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ositranperu-my.sharepoint.com/personal/mmendezv_ositran_gob_pe/Documents/0. TUUA Transferencia/0.4 Nuevo IT/Paquete/"/>
    </mc:Choice>
  </mc:AlternateContent>
  <xr:revisionPtr revIDLastSave="14" documentId="8_{05EF6545-9E15-4E0C-BD5C-7EB0A26CB8AA}" xr6:coauthVersionLast="47" xr6:coauthVersionMax="47" xr10:uidLastSave="{7AB2B6BD-A794-4BF4-9EC1-A2BBF57E7519}"/>
  <bookViews>
    <workbookView xWindow="-108" yWindow="-108" windowWidth="23256" windowHeight="12456" tabRatio="847" xr2:uid="{B71EDA0F-CCFE-418A-9CC3-97EE26DF2C30}"/>
  </bookViews>
  <sheets>
    <sheet name="Caratula" sheetId="13" r:id="rId1"/>
    <sheet name="Índice" sheetId="14" r:id="rId2"/>
    <sheet name="Tarifa" sheetId="15" r:id="rId3"/>
    <sheet name="0. Flujo DOM-DOM" sheetId="11" r:id="rId4"/>
    <sheet name="0. Flujo INT-INT" sheetId="12" r:id="rId5"/>
    <sheet name="1. Demanda" sheetId="1" r:id="rId6"/>
    <sheet name="2. OPEX" sheetId="6" r:id="rId7"/>
    <sheet name="2.1 OPEX TUUA" sheetId="4" r:id="rId8"/>
    <sheet name="2.2 OPEX LAP 2023" sheetId="2" r:id="rId9"/>
    <sheet name="3. CAPEX" sheetId="10" r:id="rId10"/>
    <sheet name="3.1.1 CAPEX-Exclusivas" sheetId="7" r:id="rId11"/>
    <sheet name="3.1.2 CAPEX-Exclusivas" sheetId="20" r:id="rId12"/>
    <sheet name="3.2.1 CAPEX-Comunes" sheetId="8" r:id="rId13"/>
    <sheet name="3.2.2 CAPEX-Comunes" sheetId="23" r:id="rId14"/>
    <sheet name="3.2.3 CAPEX-Comunes" sheetId="24" r:id="rId15"/>
    <sheet name="3.3 CAPEX Indirecto" sheetId="9" r:id="rId16"/>
    <sheet name="4. WACC" sheetId="16" r:id="rId17"/>
    <sheet name="4.1 Betas" sheetId="17" r:id="rId18"/>
    <sheet name="4.2 Deuda" sheetId="18" r:id="rId19"/>
    <sheet name="5.1 Var-Macro" sheetId="19" r:id="rId20"/>
    <sheet name="5.2 Asignación de Áreas" sheetId="5" r:id="rId21"/>
    <sheet name="5.3 Var OPEX 2023-25" sheetId="3" r:id="rId22"/>
  </sheets>
  <externalReferences>
    <externalReference r:id="rId23"/>
    <externalReference r:id="rId24"/>
    <externalReference r:id="rId25"/>
  </externalReferences>
  <definedNames>
    <definedName name="_xlnm._FilterDatabase" localSheetId="7" hidden="1">'2.1 OPEX TUUA'!$B$13:$L$486</definedName>
    <definedName name="_xlnm._FilterDatabase" localSheetId="8" hidden="1">'2.2 OPEX LAP 2023'!$A$13:$A$485</definedName>
    <definedName name="DiasOper_2025">'[1]0. FC-Counter'!$F$5</definedName>
    <definedName name="DiasOper_2030">'[1]0. FC-Counter'!$K$5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8" l="1"/>
  <c r="E62" i="8"/>
  <c r="F62" i="8"/>
  <c r="G62" i="8"/>
  <c r="H62" i="8"/>
  <c r="D63" i="8"/>
  <c r="E63" i="8"/>
  <c r="F63" i="8"/>
  <c r="G63" i="8"/>
  <c r="H63" i="8"/>
  <c r="D64" i="8"/>
  <c r="E64" i="8"/>
  <c r="F64" i="8"/>
  <c r="G64" i="8"/>
  <c r="H64" i="8"/>
  <c r="D65" i="8"/>
  <c r="E65" i="8"/>
  <c r="F65" i="8"/>
  <c r="G65" i="8"/>
  <c r="H65" i="8"/>
  <c r="D66" i="8"/>
  <c r="E66" i="8"/>
  <c r="F66" i="8"/>
  <c r="G66" i="8"/>
  <c r="H66" i="8"/>
  <c r="D67" i="8"/>
  <c r="E67" i="8"/>
  <c r="F67" i="8"/>
  <c r="G67" i="8"/>
  <c r="H67" i="8"/>
  <c r="D68" i="8"/>
  <c r="E68" i="8"/>
  <c r="F68" i="8"/>
  <c r="G68" i="8"/>
  <c r="H68" i="8"/>
  <c r="D69" i="8"/>
  <c r="E69" i="8"/>
  <c r="F69" i="8"/>
  <c r="G69" i="8"/>
  <c r="H69" i="8"/>
  <c r="C63" i="8"/>
  <c r="C64" i="8"/>
  <c r="C65" i="8"/>
  <c r="C66" i="8"/>
  <c r="C67" i="8"/>
  <c r="C68" i="8"/>
  <c r="C69" i="8"/>
  <c r="C62" i="8"/>
  <c r="J20" i="10"/>
  <c r="I20" i="10"/>
  <c r="H20" i="10"/>
  <c r="J15" i="10"/>
  <c r="I15" i="10"/>
  <c r="H15" i="10"/>
  <c r="K57" i="8"/>
  <c r="K55" i="8"/>
  <c r="K54" i="8"/>
  <c r="K53" i="8"/>
  <c r="K51" i="8"/>
  <c r="K50" i="8"/>
  <c r="K48" i="8"/>
  <c r="K47" i="8"/>
  <c r="K46" i="8"/>
  <c r="K44" i="8"/>
  <c r="K43" i="8"/>
  <c r="K42" i="8"/>
  <c r="K40" i="8"/>
  <c r="K39" i="8"/>
  <c r="K38" i="8"/>
  <c r="K36" i="8"/>
  <c r="K35" i="8"/>
  <c r="K34" i="8"/>
  <c r="K32" i="8"/>
  <c r="K31" i="8"/>
  <c r="K29" i="8"/>
  <c r="K28" i="8"/>
  <c r="K26" i="8"/>
  <c r="K25" i="8"/>
  <c r="K24" i="8"/>
  <c r="K23" i="8"/>
  <c r="D6" i="15" l="1"/>
  <c r="D5" i="15"/>
  <c r="C148" i="19"/>
  <c r="C12" i="23"/>
  <c r="C12" i="7"/>
  <c r="J4" i="10"/>
  <c r="J5" i="10" s="1"/>
  <c r="K4" i="10"/>
  <c r="L4" i="10"/>
  <c r="M4" i="10"/>
  <c r="N4" i="10"/>
  <c r="I4" i="10"/>
  <c r="I5" i="10" s="1"/>
  <c r="I484" i="2"/>
  <c r="I483" i="2"/>
  <c r="I452" i="2"/>
  <c r="I451" i="2"/>
  <c r="I420" i="2"/>
  <c r="I419" i="2"/>
  <c r="I388" i="2"/>
  <c r="I387" i="2"/>
  <c r="I356" i="2"/>
  <c r="I355" i="2"/>
  <c r="I324" i="2"/>
  <c r="I323" i="2"/>
  <c r="I292" i="2"/>
  <c r="I291" i="2"/>
  <c r="I260" i="2"/>
  <c r="I259" i="2"/>
  <c r="I228" i="2"/>
  <c r="I227" i="2"/>
  <c r="I196" i="2"/>
  <c r="I195" i="2"/>
  <c r="I164" i="2"/>
  <c r="I163" i="2"/>
  <c r="I139" i="2"/>
  <c r="I135" i="2"/>
  <c r="I132" i="2"/>
  <c r="I116" i="2"/>
  <c r="I115" i="2"/>
  <c r="I111" i="2"/>
  <c r="I95" i="2"/>
  <c r="I92" i="2"/>
  <c r="I91" i="2"/>
  <c r="I75" i="2"/>
  <c r="I73" i="2"/>
  <c r="I71" i="2"/>
  <c r="I59" i="2"/>
  <c r="I57" i="2"/>
  <c r="I56" i="2"/>
  <c r="I47" i="2"/>
  <c r="I44" i="2"/>
  <c r="I43" i="2"/>
  <c r="I33" i="2"/>
  <c r="I32" i="2"/>
  <c r="I31" i="2"/>
  <c r="I20" i="2"/>
  <c r="I19" i="2"/>
  <c r="I17" i="2"/>
  <c r="I8" i="2"/>
  <c r="I482" i="2" s="1"/>
  <c r="C18" i="16"/>
  <c r="I140" i="19"/>
  <c r="H140" i="19"/>
  <c r="G140" i="19"/>
  <c r="F140" i="19"/>
  <c r="E140" i="19"/>
  <c r="D140" i="19"/>
  <c r="C7" i="18"/>
  <c r="I156" i="2" l="1"/>
  <c r="I188" i="2"/>
  <c r="I220" i="2"/>
  <c r="I252" i="2"/>
  <c r="I284" i="2"/>
  <c r="I316" i="2"/>
  <c r="I348" i="2"/>
  <c r="I380" i="2"/>
  <c r="I412" i="2"/>
  <c r="I444" i="2"/>
  <c r="I476" i="2"/>
  <c r="I23" i="2"/>
  <c r="I35" i="2"/>
  <c r="I48" i="2"/>
  <c r="I60" i="2"/>
  <c r="I76" i="2"/>
  <c r="I99" i="2"/>
  <c r="I119" i="2"/>
  <c r="I140" i="2"/>
  <c r="I171" i="2"/>
  <c r="I203" i="2"/>
  <c r="I235" i="2"/>
  <c r="I267" i="2"/>
  <c r="I299" i="2"/>
  <c r="I331" i="2"/>
  <c r="I363" i="2"/>
  <c r="I395" i="2"/>
  <c r="I427" i="2"/>
  <c r="I459" i="2"/>
  <c r="I24" i="2"/>
  <c r="I36" i="2"/>
  <c r="I49" i="2"/>
  <c r="I63" i="2"/>
  <c r="I79" i="2"/>
  <c r="I100" i="2"/>
  <c r="I123" i="2"/>
  <c r="I143" i="2"/>
  <c r="I172" i="2"/>
  <c r="I204" i="2"/>
  <c r="I236" i="2"/>
  <c r="I268" i="2"/>
  <c r="I300" i="2"/>
  <c r="I332" i="2"/>
  <c r="I364" i="2"/>
  <c r="I396" i="2"/>
  <c r="I428" i="2"/>
  <c r="I460" i="2"/>
  <c r="I51" i="2"/>
  <c r="I65" i="2"/>
  <c r="I83" i="2"/>
  <c r="I103" i="2"/>
  <c r="I124" i="2"/>
  <c r="I147" i="2"/>
  <c r="I179" i="2"/>
  <c r="I211" i="2"/>
  <c r="I243" i="2"/>
  <c r="I275" i="2"/>
  <c r="I307" i="2"/>
  <c r="I339" i="2"/>
  <c r="I371" i="2"/>
  <c r="I403" i="2"/>
  <c r="I435" i="2"/>
  <c r="I467" i="2"/>
  <c r="I25" i="2"/>
  <c r="I15" i="2"/>
  <c r="I27" i="2"/>
  <c r="I40" i="2"/>
  <c r="I52" i="2"/>
  <c r="I67" i="2"/>
  <c r="I84" i="2"/>
  <c r="I107" i="2"/>
  <c r="I127" i="2"/>
  <c r="I148" i="2"/>
  <c r="I180" i="2"/>
  <c r="I212" i="2"/>
  <c r="I244" i="2"/>
  <c r="I276" i="2"/>
  <c r="I308" i="2"/>
  <c r="I340" i="2"/>
  <c r="I372" i="2"/>
  <c r="I404" i="2"/>
  <c r="I436" i="2"/>
  <c r="I468" i="2"/>
  <c r="I39" i="2"/>
  <c r="I16" i="2"/>
  <c r="I28" i="2"/>
  <c r="I41" i="2"/>
  <c r="I55" i="2"/>
  <c r="I68" i="2"/>
  <c r="I87" i="2"/>
  <c r="I108" i="2"/>
  <c r="I131" i="2"/>
  <c r="I155" i="2"/>
  <c r="I187" i="2"/>
  <c r="I219" i="2"/>
  <c r="I251" i="2"/>
  <c r="I283" i="2"/>
  <c r="I315" i="2"/>
  <c r="I347" i="2"/>
  <c r="I379" i="2"/>
  <c r="I411" i="2"/>
  <c r="I443" i="2"/>
  <c r="I475" i="2"/>
  <c r="I21" i="2"/>
  <c r="I29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I157" i="2"/>
  <c r="I165" i="2"/>
  <c r="I173" i="2"/>
  <c r="I181" i="2"/>
  <c r="I189" i="2"/>
  <c r="I197" i="2"/>
  <c r="I205" i="2"/>
  <c r="I213" i="2"/>
  <c r="I221" i="2"/>
  <c r="I229" i="2"/>
  <c r="I237" i="2"/>
  <c r="I245" i="2"/>
  <c r="I253" i="2"/>
  <c r="I261" i="2"/>
  <c r="I269" i="2"/>
  <c r="I277" i="2"/>
  <c r="I285" i="2"/>
  <c r="I293" i="2"/>
  <c r="I301" i="2"/>
  <c r="I309" i="2"/>
  <c r="I317" i="2"/>
  <c r="I325" i="2"/>
  <c r="I333" i="2"/>
  <c r="I341" i="2"/>
  <c r="I349" i="2"/>
  <c r="I357" i="2"/>
  <c r="I365" i="2"/>
  <c r="I373" i="2"/>
  <c r="I381" i="2"/>
  <c r="I389" i="2"/>
  <c r="I397" i="2"/>
  <c r="I405" i="2"/>
  <c r="I413" i="2"/>
  <c r="I421" i="2"/>
  <c r="I429" i="2"/>
  <c r="I437" i="2"/>
  <c r="I445" i="2"/>
  <c r="I453" i="2"/>
  <c r="I461" i="2"/>
  <c r="I469" i="2"/>
  <c r="I477" i="2"/>
  <c r="I485" i="2"/>
  <c r="I22" i="2"/>
  <c r="I30" i="2"/>
  <c r="I38" i="2"/>
  <c r="I46" i="2"/>
  <c r="I54" i="2"/>
  <c r="I62" i="2"/>
  <c r="I70" i="2"/>
  <c r="I78" i="2"/>
  <c r="I86" i="2"/>
  <c r="I94" i="2"/>
  <c r="I102" i="2"/>
  <c r="I110" i="2"/>
  <c r="I118" i="2"/>
  <c r="I126" i="2"/>
  <c r="I134" i="2"/>
  <c r="I142" i="2"/>
  <c r="I150" i="2"/>
  <c r="I158" i="2"/>
  <c r="I166" i="2"/>
  <c r="I174" i="2"/>
  <c r="I182" i="2"/>
  <c r="I190" i="2"/>
  <c r="I198" i="2"/>
  <c r="I206" i="2"/>
  <c r="I214" i="2"/>
  <c r="I222" i="2"/>
  <c r="I230" i="2"/>
  <c r="I238" i="2"/>
  <c r="I246" i="2"/>
  <c r="I254" i="2"/>
  <c r="I262" i="2"/>
  <c r="I270" i="2"/>
  <c r="I278" i="2"/>
  <c r="I286" i="2"/>
  <c r="I294" i="2"/>
  <c r="I302" i="2"/>
  <c r="I310" i="2"/>
  <c r="I318" i="2"/>
  <c r="I326" i="2"/>
  <c r="I334" i="2"/>
  <c r="I342" i="2"/>
  <c r="I350" i="2"/>
  <c r="I358" i="2"/>
  <c r="I366" i="2"/>
  <c r="I374" i="2"/>
  <c r="I382" i="2"/>
  <c r="I390" i="2"/>
  <c r="I398" i="2"/>
  <c r="I406" i="2"/>
  <c r="I414" i="2"/>
  <c r="I422" i="2"/>
  <c r="I430" i="2"/>
  <c r="I438" i="2"/>
  <c r="I446" i="2"/>
  <c r="I454" i="2"/>
  <c r="I462" i="2"/>
  <c r="I470" i="2"/>
  <c r="I478" i="2"/>
  <c r="I151" i="2"/>
  <c r="I159" i="2"/>
  <c r="I167" i="2"/>
  <c r="I175" i="2"/>
  <c r="I183" i="2"/>
  <c r="I191" i="2"/>
  <c r="I199" i="2"/>
  <c r="I207" i="2"/>
  <c r="I215" i="2"/>
  <c r="I223" i="2"/>
  <c r="I231" i="2"/>
  <c r="I239" i="2"/>
  <c r="I247" i="2"/>
  <c r="I255" i="2"/>
  <c r="I263" i="2"/>
  <c r="I271" i="2"/>
  <c r="I279" i="2"/>
  <c r="I287" i="2"/>
  <c r="I295" i="2"/>
  <c r="I303" i="2"/>
  <c r="I311" i="2"/>
  <c r="I319" i="2"/>
  <c r="I327" i="2"/>
  <c r="I335" i="2"/>
  <c r="I343" i="2"/>
  <c r="I351" i="2"/>
  <c r="I359" i="2"/>
  <c r="I367" i="2"/>
  <c r="I375" i="2"/>
  <c r="I383" i="2"/>
  <c r="I391" i="2"/>
  <c r="I399" i="2"/>
  <c r="I407" i="2"/>
  <c r="I415" i="2"/>
  <c r="I423" i="2"/>
  <c r="I431" i="2"/>
  <c r="I439" i="2"/>
  <c r="I447" i="2"/>
  <c r="I455" i="2"/>
  <c r="I463" i="2"/>
  <c r="I471" i="2"/>
  <c r="I479" i="2"/>
  <c r="I64" i="2"/>
  <c r="I72" i="2"/>
  <c r="I80" i="2"/>
  <c r="I88" i="2"/>
  <c r="I96" i="2"/>
  <c r="I104" i="2"/>
  <c r="I112" i="2"/>
  <c r="I120" i="2"/>
  <c r="I128" i="2"/>
  <c r="I136" i="2"/>
  <c r="I144" i="2"/>
  <c r="I152" i="2"/>
  <c r="I160" i="2"/>
  <c r="I168" i="2"/>
  <c r="I176" i="2"/>
  <c r="I184" i="2"/>
  <c r="I192" i="2"/>
  <c r="I200" i="2"/>
  <c r="I208" i="2"/>
  <c r="I216" i="2"/>
  <c r="I224" i="2"/>
  <c r="I232" i="2"/>
  <c r="I240" i="2"/>
  <c r="I248" i="2"/>
  <c r="I256" i="2"/>
  <c r="I264" i="2"/>
  <c r="I272" i="2"/>
  <c r="I280" i="2"/>
  <c r="I288" i="2"/>
  <c r="I296" i="2"/>
  <c r="I304" i="2"/>
  <c r="I312" i="2"/>
  <c r="I320" i="2"/>
  <c r="I328" i="2"/>
  <c r="I336" i="2"/>
  <c r="I344" i="2"/>
  <c r="I352" i="2"/>
  <c r="I360" i="2"/>
  <c r="I368" i="2"/>
  <c r="I376" i="2"/>
  <c r="I384" i="2"/>
  <c r="I392" i="2"/>
  <c r="I400" i="2"/>
  <c r="I408" i="2"/>
  <c r="I416" i="2"/>
  <c r="I424" i="2"/>
  <c r="I432" i="2"/>
  <c r="I440" i="2"/>
  <c r="I448" i="2"/>
  <c r="I456" i="2"/>
  <c r="I464" i="2"/>
  <c r="I472" i="2"/>
  <c r="I480" i="2"/>
  <c r="I89" i="2"/>
  <c r="I145" i="2"/>
  <c r="I153" i="2"/>
  <c r="I161" i="2"/>
  <c r="I169" i="2"/>
  <c r="I177" i="2"/>
  <c r="I185" i="2"/>
  <c r="I193" i="2"/>
  <c r="I201" i="2"/>
  <c r="I209" i="2"/>
  <c r="I217" i="2"/>
  <c r="I225" i="2"/>
  <c r="I233" i="2"/>
  <c r="I241" i="2"/>
  <c r="I249" i="2"/>
  <c r="I257" i="2"/>
  <c r="I265" i="2"/>
  <c r="I273" i="2"/>
  <c r="I281" i="2"/>
  <c r="I289" i="2"/>
  <c r="I297" i="2"/>
  <c r="I305" i="2"/>
  <c r="I313" i="2"/>
  <c r="I321" i="2"/>
  <c r="I329" i="2"/>
  <c r="I337" i="2"/>
  <c r="I345" i="2"/>
  <c r="I353" i="2"/>
  <c r="I361" i="2"/>
  <c r="I369" i="2"/>
  <c r="I377" i="2"/>
  <c r="I385" i="2"/>
  <c r="I393" i="2"/>
  <c r="I401" i="2"/>
  <c r="I409" i="2"/>
  <c r="I417" i="2"/>
  <c r="I425" i="2"/>
  <c r="I433" i="2"/>
  <c r="I441" i="2"/>
  <c r="I449" i="2"/>
  <c r="I457" i="2"/>
  <c r="I465" i="2"/>
  <c r="I473" i="2"/>
  <c r="I481" i="2"/>
  <c r="I81" i="2"/>
  <c r="I97" i="2"/>
  <c r="I105" i="2"/>
  <c r="I113" i="2"/>
  <c r="I121" i="2"/>
  <c r="I129" i="2"/>
  <c r="I137" i="2"/>
  <c r="I18" i="2"/>
  <c r="I26" i="2"/>
  <c r="I34" i="2"/>
  <c r="I42" i="2"/>
  <c r="I50" i="2"/>
  <c r="I58" i="2"/>
  <c r="I66" i="2"/>
  <c r="I74" i="2"/>
  <c r="I82" i="2"/>
  <c r="I90" i="2"/>
  <c r="I98" i="2"/>
  <c r="I106" i="2"/>
  <c r="I114" i="2"/>
  <c r="I122" i="2"/>
  <c r="I130" i="2"/>
  <c r="I138" i="2"/>
  <c r="I146" i="2"/>
  <c r="I154" i="2"/>
  <c r="I162" i="2"/>
  <c r="I170" i="2"/>
  <c r="I178" i="2"/>
  <c r="I186" i="2"/>
  <c r="I194" i="2"/>
  <c r="I202" i="2"/>
  <c r="I210" i="2"/>
  <c r="I218" i="2"/>
  <c r="I226" i="2"/>
  <c r="I234" i="2"/>
  <c r="I242" i="2"/>
  <c r="I250" i="2"/>
  <c r="I258" i="2"/>
  <c r="I266" i="2"/>
  <c r="I274" i="2"/>
  <c r="I282" i="2"/>
  <c r="I290" i="2"/>
  <c r="I298" i="2"/>
  <c r="I306" i="2"/>
  <c r="I314" i="2"/>
  <c r="I322" i="2"/>
  <c r="I330" i="2"/>
  <c r="I338" i="2"/>
  <c r="I346" i="2"/>
  <c r="I354" i="2"/>
  <c r="I362" i="2"/>
  <c r="I370" i="2"/>
  <c r="I378" i="2"/>
  <c r="I386" i="2"/>
  <c r="I394" i="2"/>
  <c r="I402" i="2"/>
  <c r="I410" i="2"/>
  <c r="I418" i="2"/>
  <c r="I426" i="2"/>
  <c r="I434" i="2"/>
  <c r="I442" i="2"/>
  <c r="I450" i="2"/>
  <c r="I458" i="2"/>
  <c r="I466" i="2"/>
  <c r="I474" i="2"/>
  <c r="K5" i="10"/>
  <c r="L5" i="10" s="1"/>
  <c r="M5" i="10" s="1"/>
  <c r="N5" i="10" s="1"/>
  <c r="D8" i="24"/>
  <c r="C8" i="24"/>
  <c r="C27" i="24"/>
  <c r="C26" i="24"/>
  <c r="C23" i="24"/>
  <c r="E22" i="24"/>
  <c r="F22" i="24" s="1"/>
  <c r="F77" i="23"/>
  <c r="F76" i="23"/>
  <c r="F75" i="23"/>
  <c r="F74" i="23"/>
  <c r="F68" i="23"/>
  <c r="F67" i="23"/>
  <c r="F66" i="23"/>
  <c r="F65" i="23"/>
  <c r="D59" i="23"/>
  <c r="C59" i="23"/>
  <c r="D57" i="23"/>
  <c r="C57" i="23"/>
  <c r="C46" i="23"/>
  <c r="D47" i="23" s="1"/>
  <c r="E39" i="23"/>
  <c r="E38" i="23"/>
  <c r="E37" i="23"/>
  <c r="E36" i="23"/>
  <c r="E35" i="23"/>
  <c r="E34" i="23"/>
  <c r="E33" i="23"/>
  <c r="E32" i="23"/>
  <c r="D20" i="23"/>
  <c r="C26" i="23" s="1"/>
  <c r="D7" i="24" s="1"/>
  <c r="C20" i="23"/>
  <c r="K105" i="8"/>
  <c r="L105" i="8"/>
  <c r="M105" i="8"/>
  <c r="N105" i="8"/>
  <c r="O105" i="8"/>
  <c r="K106" i="8"/>
  <c r="L106" i="8"/>
  <c r="M106" i="8"/>
  <c r="N106" i="8"/>
  <c r="O106" i="8"/>
  <c r="J106" i="8"/>
  <c r="J105" i="8"/>
  <c r="K98" i="8"/>
  <c r="L98" i="8"/>
  <c r="M98" i="8"/>
  <c r="N98" i="8"/>
  <c r="O98" i="8"/>
  <c r="K99" i="8"/>
  <c r="L99" i="8"/>
  <c r="M99" i="8"/>
  <c r="N99" i="8"/>
  <c r="O99" i="8"/>
  <c r="K100" i="8"/>
  <c r="L100" i="8"/>
  <c r="M100" i="8"/>
  <c r="N100" i="8"/>
  <c r="O100" i="8"/>
  <c r="J100" i="8"/>
  <c r="J99" i="8"/>
  <c r="J98" i="8"/>
  <c r="K96" i="8"/>
  <c r="L96" i="8"/>
  <c r="M96" i="8"/>
  <c r="N96" i="8"/>
  <c r="O96" i="8"/>
  <c r="J96" i="8"/>
  <c r="K91" i="8"/>
  <c r="L91" i="8"/>
  <c r="M91" i="8"/>
  <c r="N91" i="8"/>
  <c r="O91" i="8"/>
  <c r="J91" i="8"/>
  <c r="K84" i="8"/>
  <c r="L84" i="8"/>
  <c r="M84" i="8"/>
  <c r="N84" i="8"/>
  <c r="O84" i="8"/>
  <c r="J84" i="8"/>
  <c r="K80" i="8"/>
  <c r="L80" i="8"/>
  <c r="M80" i="8"/>
  <c r="N80" i="8"/>
  <c r="O80" i="8"/>
  <c r="K81" i="8"/>
  <c r="L81" i="8"/>
  <c r="M81" i="8"/>
  <c r="N81" i="8"/>
  <c r="O81" i="8"/>
  <c r="J81" i="8"/>
  <c r="J80" i="8"/>
  <c r="K77" i="8"/>
  <c r="L77" i="8"/>
  <c r="M77" i="8"/>
  <c r="N77" i="8"/>
  <c r="O77" i="8"/>
  <c r="K78" i="8"/>
  <c r="L78" i="8"/>
  <c r="M78" i="8"/>
  <c r="N78" i="8"/>
  <c r="O78" i="8"/>
  <c r="J78" i="8"/>
  <c r="J77" i="8"/>
  <c r="D105" i="8"/>
  <c r="E105" i="8"/>
  <c r="F105" i="8"/>
  <c r="G105" i="8"/>
  <c r="H105" i="8"/>
  <c r="D107" i="8"/>
  <c r="E107" i="8"/>
  <c r="F107" i="8"/>
  <c r="G107" i="8"/>
  <c r="H107" i="8"/>
  <c r="D109" i="8"/>
  <c r="E109" i="8"/>
  <c r="F109" i="8"/>
  <c r="G109" i="8"/>
  <c r="H109" i="8"/>
  <c r="C109" i="8"/>
  <c r="C107" i="8"/>
  <c r="C105" i="8"/>
  <c r="D102" i="8"/>
  <c r="E102" i="8"/>
  <c r="F102" i="8"/>
  <c r="G102" i="8"/>
  <c r="H102" i="8"/>
  <c r="D103" i="8"/>
  <c r="E103" i="8"/>
  <c r="F103" i="8"/>
  <c r="G103" i="8"/>
  <c r="H103" i="8"/>
  <c r="C103" i="8"/>
  <c r="C102" i="8"/>
  <c r="D94" i="8"/>
  <c r="E94" i="8"/>
  <c r="F94" i="8"/>
  <c r="G94" i="8"/>
  <c r="H94" i="8"/>
  <c r="C94" i="8"/>
  <c r="D90" i="8"/>
  <c r="E90" i="8"/>
  <c r="F90" i="8"/>
  <c r="G90" i="8"/>
  <c r="H90" i="8"/>
  <c r="D92" i="8"/>
  <c r="E92" i="8"/>
  <c r="F92" i="8"/>
  <c r="G92" i="8"/>
  <c r="H92" i="8"/>
  <c r="C92" i="8"/>
  <c r="C90" i="8"/>
  <c r="D86" i="8"/>
  <c r="E86" i="8"/>
  <c r="F86" i="8"/>
  <c r="G86" i="8"/>
  <c r="H86" i="8"/>
  <c r="D87" i="8"/>
  <c r="E87" i="8"/>
  <c r="F87" i="8"/>
  <c r="G87" i="8"/>
  <c r="H87" i="8"/>
  <c r="D88" i="8"/>
  <c r="E88" i="8"/>
  <c r="F88" i="8"/>
  <c r="G88" i="8"/>
  <c r="H88" i="8"/>
  <c r="C88" i="8"/>
  <c r="C87" i="8"/>
  <c r="C86" i="8"/>
  <c r="D83" i="8"/>
  <c r="E83" i="8"/>
  <c r="F83" i="8"/>
  <c r="G83" i="8"/>
  <c r="H83" i="8"/>
  <c r="C83" i="8"/>
  <c r="D81" i="8"/>
  <c r="E81" i="8"/>
  <c r="F81" i="8"/>
  <c r="G81" i="8"/>
  <c r="H81" i="8"/>
  <c r="C81" i="8"/>
  <c r="D80" i="8"/>
  <c r="E80" i="8"/>
  <c r="F80" i="8"/>
  <c r="G80" i="8"/>
  <c r="H80" i="8"/>
  <c r="C80" i="8"/>
  <c r="D76" i="8"/>
  <c r="E76" i="8"/>
  <c r="F76" i="8"/>
  <c r="G76" i="8"/>
  <c r="H76" i="8"/>
  <c r="C76" i="8"/>
  <c r="D75" i="8"/>
  <c r="E75" i="8"/>
  <c r="F75" i="8"/>
  <c r="G75" i="8"/>
  <c r="H75" i="8"/>
  <c r="C75" i="8"/>
  <c r="H70" i="8"/>
  <c r="G70" i="8"/>
  <c r="F70" i="8"/>
  <c r="E70" i="8"/>
  <c r="D70" i="8"/>
  <c r="C70" i="8"/>
  <c r="D58" i="20"/>
  <c r="C47" i="20"/>
  <c r="C39" i="20"/>
  <c r="C38" i="20"/>
  <c r="C35" i="20"/>
  <c r="E34" i="20"/>
  <c r="F34" i="20" s="1"/>
  <c r="F28" i="20"/>
  <c r="D60" i="20" s="1"/>
  <c r="F27" i="20"/>
  <c r="D59" i="20" s="1"/>
  <c r="F26" i="20"/>
  <c r="C58" i="20" s="1"/>
  <c r="C25" i="20"/>
  <c r="F19" i="20"/>
  <c r="C49" i="20" s="1"/>
  <c r="F18" i="20"/>
  <c r="D48" i="20" s="1"/>
  <c r="F17" i="20"/>
  <c r="E47" i="20" s="1"/>
  <c r="F16" i="20"/>
  <c r="D46" i="20" s="1"/>
  <c r="C15" i="20"/>
  <c r="E47" i="23" l="1"/>
  <c r="E49" i="23" s="1"/>
  <c r="C75" i="23" s="1"/>
  <c r="F47" i="23"/>
  <c r="F49" i="23" s="1"/>
  <c r="E40" i="23"/>
  <c r="D56" i="23"/>
  <c r="D58" i="23" s="1"/>
  <c r="D60" i="23" s="1"/>
  <c r="D77" i="23" s="1"/>
  <c r="D50" i="23"/>
  <c r="D49" i="23"/>
  <c r="D51" i="23"/>
  <c r="D48" i="23"/>
  <c r="C66" i="23"/>
  <c r="C25" i="23"/>
  <c r="C7" i="24" s="1"/>
  <c r="F50" i="23"/>
  <c r="E50" i="23"/>
  <c r="F48" i="23"/>
  <c r="E51" i="23"/>
  <c r="C47" i="23"/>
  <c r="C56" i="23"/>
  <c r="C58" i="23" s="1"/>
  <c r="C60" i="23" s="1"/>
  <c r="F51" i="23"/>
  <c r="C59" i="20"/>
  <c r="D47" i="20"/>
  <c r="C48" i="20"/>
  <c r="E58" i="20"/>
  <c r="E49" i="20"/>
  <c r="E59" i="20"/>
  <c r="D49" i="20"/>
  <c r="C46" i="20"/>
  <c r="E48" i="20"/>
  <c r="C60" i="20"/>
  <c r="E46" i="20"/>
  <c r="E60" i="20"/>
  <c r="D65" i="7"/>
  <c r="C65" i="7"/>
  <c r="C63" i="7"/>
  <c r="C52" i="7"/>
  <c r="D74" i="23" l="1"/>
  <c r="D75" i="23"/>
  <c r="E75" i="23" s="1"/>
  <c r="G75" i="23" s="1"/>
  <c r="D76" i="23"/>
  <c r="E48" i="23"/>
  <c r="C68" i="23"/>
  <c r="C77" i="23"/>
  <c r="E77" i="23" s="1"/>
  <c r="G77" i="23" s="1"/>
  <c r="C65" i="23"/>
  <c r="C74" i="23"/>
  <c r="E74" i="23" s="1"/>
  <c r="G74" i="23" s="1"/>
  <c r="C76" i="23"/>
  <c r="C67" i="23"/>
  <c r="D68" i="23"/>
  <c r="D66" i="23"/>
  <c r="E66" i="23" s="1"/>
  <c r="G66" i="23" s="1"/>
  <c r="D67" i="23"/>
  <c r="D65" i="23"/>
  <c r="C28" i="9"/>
  <c r="E27" i="9"/>
  <c r="F27" i="9" s="1"/>
  <c r="G96" i="10"/>
  <c r="H96" i="10"/>
  <c r="I96" i="10"/>
  <c r="J96" i="10"/>
  <c r="G78" i="10"/>
  <c r="G90" i="10" s="1"/>
  <c r="G25" i="12" s="1"/>
  <c r="H78" i="10"/>
  <c r="H79" i="10" s="1"/>
  <c r="I78" i="10"/>
  <c r="I79" i="10" s="1"/>
  <c r="J78" i="10"/>
  <c r="J90" i="10" s="1"/>
  <c r="J25" i="12" s="1"/>
  <c r="K22" i="10"/>
  <c r="L22" i="10"/>
  <c r="M22" i="10"/>
  <c r="N22" i="10"/>
  <c r="F73" i="10"/>
  <c r="G73" i="10" s="1"/>
  <c r="H73" i="10" s="1"/>
  <c r="I73" i="10" s="1"/>
  <c r="J73" i="10" s="1"/>
  <c r="C65" i="10"/>
  <c r="H62" i="10"/>
  <c r="H57" i="10"/>
  <c r="C55" i="10"/>
  <c r="C54" i="10"/>
  <c r="C53" i="10"/>
  <c r="H52" i="10"/>
  <c r="I49" i="10"/>
  <c r="J49" i="10" s="1"/>
  <c r="K49" i="10" s="1"/>
  <c r="L49" i="10" s="1"/>
  <c r="M49" i="10" s="1"/>
  <c r="N49" i="10" s="1"/>
  <c r="I28" i="10"/>
  <c r="J28" i="10" s="1"/>
  <c r="K28" i="10" s="1"/>
  <c r="L28" i="10" s="1"/>
  <c r="M28" i="10" s="1"/>
  <c r="N28" i="10" s="1"/>
  <c r="C44" i="10"/>
  <c r="C34" i="10"/>
  <c r="C33" i="10"/>
  <c r="C32" i="10"/>
  <c r="H41" i="10"/>
  <c r="H36" i="10"/>
  <c r="H31" i="10"/>
  <c r="J27" i="10"/>
  <c r="K27" i="10" s="1"/>
  <c r="L27" i="10" s="1"/>
  <c r="M27" i="10" s="1"/>
  <c r="N27" i="10" s="1"/>
  <c r="J11" i="10"/>
  <c r="K11" i="10" s="1"/>
  <c r="L11" i="10" s="1"/>
  <c r="M11" i="10" s="1"/>
  <c r="N11" i="10" s="1"/>
  <c r="E67" i="23" l="1"/>
  <c r="G67" i="23" s="1"/>
  <c r="E76" i="23"/>
  <c r="G76" i="23" s="1"/>
  <c r="G78" i="23" s="1"/>
  <c r="D9" i="24" s="1"/>
  <c r="D10" i="24" s="1"/>
  <c r="E16" i="24" s="1"/>
  <c r="E68" i="23"/>
  <c r="G68" i="23" s="1"/>
  <c r="E65" i="23"/>
  <c r="G65" i="23" s="1"/>
  <c r="J79" i="10"/>
  <c r="G79" i="10"/>
  <c r="H90" i="10"/>
  <c r="H25" i="12" s="1"/>
  <c r="I90" i="10"/>
  <c r="I25" i="12" s="1"/>
  <c r="H67" i="10"/>
  <c r="H46" i="10"/>
  <c r="G69" i="23" l="1"/>
  <c r="C9" i="24" s="1"/>
  <c r="C10" i="24" s="1"/>
  <c r="E15" i="24" s="1"/>
  <c r="H69" i="10"/>
  <c r="D100" i="10"/>
  <c r="D101" i="10" s="1"/>
  <c r="D104" i="10" s="1"/>
  <c r="H48" i="10"/>
  <c r="D82" i="10"/>
  <c r="D83" i="10" s="1"/>
  <c r="D86" i="10" s="1"/>
  <c r="H108" i="10" l="1"/>
  <c r="H25" i="11" s="1"/>
  <c r="H97" i="10"/>
  <c r="J108" i="10"/>
  <c r="J25" i="11" s="1"/>
  <c r="J97" i="10"/>
  <c r="G108" i="10"/>
  <c r="G25" i="11" s="1"/>
  <c r="G97" i="10"/>
  <c r="I108" i="10"/>
  <c r="I25" i="11" s="1"/>
  <c r="I97" i="10"/>
  <c r="O5" i="4" l="1"/>
  <c r="P5" i="4" s="1"/>
  <c r="Q5" i="4" s="1"/>
  <c r="R5" i="4" s="1"/>
  <c r="S5" i="4" s="1"/>
  <c r="H5" i="4"/>
  <c r="I5" i="4" s="1"/>
  <c r="J5" i="4" s="1"/>
  <c r="K5" i="4" s="1"/>
  <c r="L5" i="4" s="1"/>
  <c r="K7" i="2" l="1"/>
  <c r="L7" i="2" s="1"/>
  <c r="M7" i="2" s="1"/>
  <c r="N7" i="2" s="1"/>
  <c r="J13" i="2"/>
  <c r="K13" i="2" s="1"/>
  <c r="L13" i="2" s="1"/>
  <c r="M13" i="2" s="1"/>
  <c r="N13" i="2" s="1"/>
  <c r="C20" i="1" l="1"/>
  <c r="C21" i="6" s="1"/>
  <c r="D20" i="1"/>
  <c r="D19" i="1" s="1"/>
  <c r="E20" i="1"/>
  <c r="E19" i="1" s="1"/>
  <c r="F20" i="1"/>
  <c r="F19" i="1" s="1"/>
  <c r="G20" i="1"/>
  <c r="G19" i="1" s="1"/>
  <c r="H20" i="1"/>
  <c r="H21" i="6" s="1"/>
  <c r="C14" i="1"/>
  <c r="G7" i="4" s="1"/>
  <c r="C133" i="19"/>
  <c r="D104" i="19"/>
  <c r="C104" i="19"/>
  <c r="C6" i="16" s="1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C84" i="18"/>
  <c r="C15" i="16" s="1"/>
  <c r="G78" i="18"/>
  <c r="F78" i="18"/>
  <c r="E78" i="18"/>
  <c r="D78" i="18"/>
  <c r="C78" i="18"/>
  <c r="G77" i="18"/>
  <c r="F77" i="18"/>
  <c r="E77" i="18"/>
  <c r="D77" i="18"/>
  <c r="C77" i="18"/>
  <c r="H77" i="18" s="1"/>
  <c r="G76" i="18"/>
  <c r="F76" i="18"/>
  <c r="E76" i="18"/>
  <c r="D76" i="18"/>
  <c r="C76" i="18"/>
  <c r="H76" i="18" s="1"/>
  <c r="G75" i="18"/>
  <c r="F75" i="18"/>
  <c r="H75" i="18" s="1"/>
  <c r="E75" i="18"/>
  <c r="D75" i="18"/>
  <c r="C75" i="18"/>
  <c r="G74" i="18"/>
  <c r="F74" i="18"/>
  <c r="E74" i="18"/>
  <c r="D74" i="18"/>
  <c r="C74" i="18"/>
  <c r="H74" i="18" s="1"/>
  <c r="G73" i="18"/>
  <c r="F73" i="18"/>
  <c r="E73" i="18"/>
  <c r="D73" i="18"/>
  <c r="C73" i="18"/>
  <c r="G72" i="18"/>
  <c r="F72" i="18"/>
  <c r="E72" i="18"/>
  <c r="D72" i="18"/>
  <c r="C72" i="18"/>
  <c r="H72" i="18" s="1"/>
  <c r="G71" i="18"/>
  <c r="F71" i="18"/>
  <c r="E71" i="18"/>
  <c r="D71" i="18"/>
  <c r="C71" i="18"/>
  <c r="G70" i="18"/>
  <c r="F70" i="18"/>
  <c r="E70" i="18"/>
  <c r="D70" i="18"/>
  <c r="C70" i="18"/>
  <c r="G69" i="18"/>
  <c r="F69" i="18"/>
  <c r="E69" i="18"/>
  <c r="D69" i="18"/>
  <c r="C69" i="18"/>
  <c r="G68" i="18"/>
  <c r="F68" i="18"/>
  <c r="E68" i="18"/>
  <c r="D68" i="18"/>
  <c r="C68" i="18"/>
  <c r="H68" i="18" s="1"/>
  <c r="G67" i="18"/>
  <c r="F67" i="18"/>
  <c r="E67" i="18"/>
  <c r="D67" i="18"/>
  <c r="C67" i="18"/>
  <c r="G66" i="18"/>
  <c r="F66" i="18"/>
  <c r="E66" i="18"/>
  <c r="D66" i="18"/>
  <c r="C66" i="18"/>
  <c r="G65" i="18"/>
  <c r="F65" i="18"/>
  <c r="E65" i="18"/>
  <c r="D65" i="18"/>
  <c r="C65" i="18"/>
  <c r="H64" i="18"/>
  <c r="G64" i="18"/>
  <c r="F64" i="18"/>
  <c r="E64" i="18"/>
  <c r="D64" i="18"/>
  <c r="C64" i="18"/>
  <c r="G63" i="18"/>
  <c r="F63" i="18"/>
  <c r="E63" i="18"/>
  <c r="D63" i="18"/>
  <c r="C63" i="18"/>
  <c r="G62" i="18"/>
  <c r="F62" i="18"/>
  <c r="E62" i="18"/>
  <c r="D62" i="18"/>
  <c r="C62" i="18"/>
  <c r="G61" i="18"/>
  <c r="F61" i="18"/>
  <c r="E61" i="18"/>
  <c r="D61" i="18"/>
  <c r="C61" i="18"/>
  <c r="G60" i="18"/>
  <c r="F60" i="18"/>
  <c r="E60" i="18"/>
  <c r="D60" i="18"/>
  <c r="C60" i="18"/>
  <c r="H60" i="18" s="1"/>
  <c r="G59" i="18"/>
  <c r="F59" i="18"/>
  <c r="H59" i="18" s="1"/>
  <c r="E59" i="18"/>
  <c r="D59" i="18"/>
  <c r="C59" i="18"/>
  <c r="G58" i="18"/>
  <c r="F58" i="18"/>
  <c r="E58" i="18"/>
  <c r="D58" i="18"/>
  <c r="C58" i="18"/>
  <c r="G57" i="18"/>
  <c r="F57" i="18"/>
  <c r="E57" i="18"/>
  <c r="D57" i="18"/>
  <c r="C57" i="18"/>
  <c r="G56" i="18"/>
  <c r="F56" i="18"/>
  <c r="E56" i="18"/>
  <c r="D56" i="18"/>
  <c r="C56" i="18"/>
  <c r="H56" i="18" s="1"/>
  <c r="G55" i="18"/>
  <c r="F55" i="18"/>
  <c r="E55" i="18"/>
  <c r="D55" i="18"/>
  <c r="C55" i="18"/>
  <c r="G54" i="18"/>
  <c r="F54" i="18"/>
  <c r="E54" i="18"/>
  <c r="D54" i="18"/>
  <c r="C54" i="18"/>
  <c r="G53" i="18"/>
  <c r="F53" i="18"/>
  <c r="E53" i="18"/>
  <c r="D53" i="18"/>
  <c r="C53" i="18"/>
  <c r="G52" i="18"/>
  <c r="F52" i="18"/>
  <c r="E52" i="18"/>
  <c r="D52" i="18"/>
  <c r="C52" i="18"/>
  <c r="H52" i="18" s="1"/>
  <c r="G51" i="18"/>
  <c r="F51" i="18"/>
  <c r="E51" i="18"/>
  <c r="D51" i="18"/>
  <c r="C51" i="18"/>
  <c r="G50" i="18"/>
  <c r="F50" i="18"/>
  <c r="E50" i="18"/>
  <c r="D50" i="18"/>
  <c r="C50" i="18"/>
  <c r="C9" i="16"/>
  <c r="I24" i="17"/>
  <c r="I23" i="17"/>
  <c r="I22" i="17"/>
  <c r="I21" i="17"/>
  <c r="I20" i="17"/>
  <c r="I19" i="17"/>
  <c r="I18" i="17"/>
  <c r="I17" i="17"/>
  <c r="I25" i="17" s="1"/>
  <c r="C8" i="16" s="1"/>
  <c r="C14" i="16"/>
  <c r="C11" i="16"/>
  <c r="D36" i="12"/>
  <c r="D37" i="12"/>
  <c r="G38" i="12"/>
  <c r="H38" i="12"/>
  <c r="I38" i="12"/>
  <c r="J38" i="12"/>
  <c r="G38" i="11"/>
  <c r="H38" i="11"/>
  <c r="I38" i="11"/>
  <c r="J38" i="11"/>
  <c r="D36" i="11"/>
  <c r="D37" i="11"/>
  <c r="C10" i="16" l="1"/>
  <c r="H58" i="18"/>
  <c r="H66" i="18"/>
  <c r="H67" i="18"/>
  <c r="H69" i="18"/>
  <c r="H54" i="18"/>
  <c r="H55" i="18"/>
  <c r="H57" i="18"/>
  <c r="H62" i="18"/>
  <c r="H63" i="18"/>
  <c r="H65" i="18"/>
  <c r="H50" i="18"/>
  <c r="H51" i="18"/>
  <c r="H53" i="18"/>
  <c r="H70" i="18"/>
  <c r="H71" i="18"/>
  <c r="H73" i="18"/>
  <c r="H61" i="18"/>
  <c r="H78" i="18"/>
  <c r="D23" i="1"/>
  <c r="D24" i="1"/>
  <c r="D20" i="6"/>
  <c r="G20" i="6"/>
  <c r="G24" i="1"/>
  <c r="G23" i="1"/>
  <c r="F20" i="6"/>
  <c r="F24" i="1"/>
  <c r="F23" i="1"/>
  <c r="E23" i="1"/>
  <c r="E24" i="1"/>
  <c r="G21" i="6"/>
  <c r="E21" i="6"/>
  <c r="D21" i="6"/>
  <c r="C19" i="1"/>
  <c r="F21" i="6"/>
  <c r="E104" i="19"/>
  <c r="C7" i="16" s="1"/>
  <c r="E20" i="6"/>
  <c r="H19" i="1"/>
  <c r="H79" i="18"/>
  <c r="C13" i="16"/>
  <c r="C16" i="16"/>
  <c r="C12" i="16" l="1"/>
  <c r="C17" i="16" s="1"/>
  <c r="C19" i="16" s="1"/>
  <c r="C23" i="1"/>
  <c r="C24" i="1"/>
  <c r="H24" i="1"/>
  <c r="H23" i="1"/>
  <c r="H20" i="6"/>
  <c r="F6" i="12"/>
  <c r="G6" i="12" s="1"/>
  <c r="H6" i="12" s="1"/>
  <c r="I6" i="12" s="1"/>
  <c r="J6" i="12" s="1"/>
  <c r="F6" i="11"/>
  <c r="G6" i="11" s="1"/>
  <c r="H6" i="11" s="1"/>
  <c r="I6" i="11" s="1"/>
  <c r="J6" i="11" s="1"/>
  <c r="C30" i="12" l="1"/>
  <c r="C30" i="11"/>
  <c r="D20" i="12" l="1"/>
  <c r="D20" i="11"/>
  <c r="C19" i="9" l="1"/>
  <c r="C16" i="9"/>
  <c r="C15" i="9"/>
  <c r="C14" i="9"/>
  <c r="C9" i="9"/>
  <c r="C29" i="9" s="1"/>
  <c r="P109" i="8"/>
  <c r="D150" i="8" s="1"/>
  <c r="P107" i="8"/>
  <c r="D148" i="8" s="1"/>
  <c r="P106" i="8"/>
  <c r="P105" i="8"/>
  <c r="P103" i="8"/>
  <c r="D144" i="8" s="1"/>
  <c r="P102" i="8"/>
  <c r="D143" i="8" s="1"/>
  <c r="P100" i="8"/>
  <c r="P99" i="8"/>
  <c r="P98" i="8"/>
  <c r="P96" i="8"/>
  <c r="P95" i="8"/>
  <c r="D136" i="8" s="1"/>
  <c r="P94" i="8"/>
  <c r="D135" i="8" s="1"/>
  <c r="P92" i="8"/>
  <c r="D133" i="8" s="1"/>
  <c r="P91" i="8"/>
  <c r="P90" i="8"/>
  <c r="D131" i="8" s="1"/>
  <c r="P88" i="8"/>
  <c r="D129" i="8" s="1"/>
  <c r="P87" i="8"/>
  <c r="D128" i="8" s="1"/>
  <c r="P86" i="8"/>
  <c r="D127" i="8" s="1"/>
  <c r="P84" i="8"/>
  <c r="P83" i="8"/>
  <c r="D124" i="8" s="1"/>
  <c r="P81" i="8"/>
  <c r="P80" i="8"/>
  <c r="P78" i="8"/>
  <c r="P77" i="8"/>
  <c r="P76" i="8"/>
  <c r="D117" i="8" s="1"/>
  <c r="P75" i="8"/>
  <c r="D116" i="8" s="1"/>
  <c r="I76" i="8"/>
  <c r="I77" i="8"/>
  <c r="I78" i="8"/>
  <c r="I80" i="8"/>
  <c r="I81" i="8"/>
  <c r="I83" i="8"/>
  <c r="I84" i="8"/>
  <c r="I86" i="8"/>
  <c r="I87" i="8"/>
  <c r="I88" i="8"/>
  <c r="I90" i="8"/>
  <c r="I91" i="8"/>
  <c r="I92" i="8"/>
  <c r="I94" i="8"/>
  <c r="I95" i="8"/>
  <c r="I96" i="8"/>
  <c r="I98" i="8"/>
  <c r="I99" i="8"/>
  <c r="I100" i="8"/>
  <c r="I102" i="8"/>
  <c r="I103" i="8"/>
  <c r="I105" i="8"/>
  <c r="I106" i="8"/>
  <c r="I107" i="8"/>
  <c r="I109" i="8"/>
  <c r="I75" i="8"/>
  <c r="E65" i="10"/>
  <c r="E43" i="10"/>
  <c r="F83" i="7"/>
  <c r="F82" i="7"/>
  <c r="F81" i="7"/>
  <c r="F80" i="7"/>
  <c r="F72" i="7"/>
  <c r="F73" i="7"/>
  <c r="F74" i="7"/>
  <c r="F71" i="7"/>
  <c r="D63" i="7"/>
  <c r="C20" i="9"/>
  <c r="F53" i="7"/>
  <c r="F54" i="7" s="1"/>
  <c r="E53" i="7"/>
  <c r="E55" i="7" s="1"/>
  <c r="D53" i="7"/>
  <c r="D54" i="7" s="1"/>
  <c r="C53" i="7"/>
  <c r="E39" i="7"/>
  <c r="E40" i="7"/>
  <c r="E41" i="7"/>
  <c r="E42" i="7"/>
  <c r="E43" i="7"/>
  <c r="E44" i="7"/>
  <c r="E45" i="7"/>
  <c r="E38" i="7"/>
  <c r="D26" i="7"/>
  <c r="D62" i="7" s="1"/>
  <c r="C26" i="7"/>
  <c r="C62" i="7" s="1"/>
  <c r="C64" i="7" s="1"/>
  <c r="C66" i="7" s="1"/>
  <c r="E5" i="5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J139" i="2" s="1"/>
  <c r="K139" i="2" s="1"/>
  <c r="L139" i="2" s="1"/>
  <c r="M139" i="2" s="1"/>
  <c r="N139" i="2" s="1"/>
  <c r="G140" i="2"/>
  <c r="J140" i="2" s="1"/>
  <c r="K140" i="2" s="1"/>
  <c r="L140" i="2" s="1"/>
  <c r="M140" i="2" s="1"/>
  <c r="N140" i="2" s="1"/>
  <c r="G141" i="2"/>
  <c r="G142" i="2"/>
  <c r="J142" i="2" s="1"/>
  <c r="K142" i="2" s="1"/>
  <c r="L142" i="2" s="1"/>
  <c r="M142" i="2" s="1"/>
  <c r="N142" i="2" s="1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J296" i="2" s="1"/>
  <c r="K296" i="2" s="1"/>
  <c r="L296" i="2" s="1"/>
  <c r="M296" i="2" s="1"/>
  <c r="N296" i="2" s="1"/>
  <c r="G297" i="2"/>
  <c r="J297" i="2" s="1"/>
  <c r="K297" i="2" s="1"/>
  <c r="L297" i="2" s="1"/>
  <c r="M297" i="2" s="1"/>
  <c r="N297" i="2" s="1"/>
  <c r="G298" i="2"/>
  <c r="G299" i="2"/>
  <c r="J299" i="2" s="1"/>
  <c r="K299" i="2" s="1"/>
  <c r="L299" i="2" s="1"/>
  <c r="M299" i="2" s="1"/>
  <c r="N299" i="2" s="1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J329" i="2" s="1"/>
  <c r="K329" i="2" s="1"/>
  <c r="L329" i="2" s="1"/>
  <c r="M329" i="2" s="1"/>
  <c r="N329" i="2" s="1"/>
  <c r="G330" i="2"/>
  <c r="J330" i="2" s="1"/>
  <c r="K330" i="2" s="1"/>
  <c r="L330" i="2" s="1"/>
  <c r="M330" i="2" s="1"/>
  <c r="N330" i="2" s="1"/>
  <c r="G331" i="2"/>
  <c r="J331" i="2" s="1"/>
  <c r="K331" i="2" s="1"/>
  <c r="L331" i="2" s="1"/>
  <c r="M331" i="2" s="1"/>
  <c r="N331" i="2" s="1"/>
  <c r="G332" i="2"/>
  <c r="J332" i="2" s="1"/>
  <c r="K332" i="2" s="1"/>
  <c r="L332" i="2" s="1"/>
  <c r="M332" i="2" s="1"/>
  <c r="N332" i="2" s="1"/>
  <c r="G333" i="2"/>
  <c r="J333" i="2" s="1"/>
  <c r="K333" i="2" s="1"/>
  <c r="L333" i="2" s="1"/>
  <c r="M333" i="2" s="1"/>
  <c r="N333" i="2" s="1"/>
  <c r="G334" i="2"/>
  <c r="J334" i="2" s="1"/>
  <c r="K334" i="2" s="1"/>
  <c r="L334" i="2" s="1"/>
  <c r="M334" i="2" s="1"/>
  <c r="N334" i="2" s="1"/>
  <c r="G335" i="2"/>
  <c r="J335" i="2" s="1"/>
  <c r="K335" i="2" s="1"/>
  <c r="L335" i="2" s="1"/>
  <c r="M335" i="2" s="1"/>
  <c r="N335" i="2" s="1"/>
  <c r="G336" i="2"/>
  <c r="J336" i="2" s="1"/>
  <c r="K336" i="2" s="1"/>
  <c r="L336" i="2" s="1"/>
  <c r="M336" i="2" s="1"/>
  <c r="N336" i="2" s="1"/>
  <c r="G337" i="2"/>
  <c r="J337" i="2" s="1"/>
  <c r="K337" i="2" s="1"/>
  <c r="L337" i="2" s="1"/>
  <c r="M337" i="2" s="1"/>
  <c r="N337" i="2" s="1"/>
  <c r="G338" i="2"/>
  <c r="J338" i="2" s="1"/>
  <c r="K338" i="2" s="1"/>
  <c r="L338" i="2" s="1"/>
  <c r="M338" i="2" s="1"/>
  <c r="N338" i="2" s="1"/>
  <c r="G339" i="2"/>
  <c r="J339" i="2" s="1"/>
  <c r="K339" i="2" s="1"/>
  <c r="L339" i="2" s="1"/>
  <c r="M339" i="2" s="1"/>
  <c r="N339" i="2" s="1"/>
  <c r="G340" i="2"/>
  <c r="J340" i="2" s="1"/>
  <c r="K340" i="2" s="1"/>
  <c r="L340" i="2" s="1"/>
  <c r="M340" i="2" s="1"/>
  <c r="N340" i="2" s="1"/>
  <c r="G341" i="2"/>
  <c r="J341" i="2" s="1"/>
  <c r="K341" i="2" s="1"/>
  <c r="L341" i="2" s="1"/>
  <c r="M341" i="2" s="1"/>
  <c r="N341" i="2" s="1"/>
  <c r="G342" i="2"/>
  <c r="J342" i="2" s="1"/>
  <c r="K342" i="2" s="1"/>
  <c r="L342" i="2" s="1"/>
  <c r="M342" i="2" s="1"/>
  <c r="N342" i="2" s="1"/>
  <c r="G343" i="2"/>
  <c r="J343" i="2" s="1"/>
  <c r="K343" i="2" s="1"/>
  <c r="L343" i="2" s="1"/>
  <c r="M343" i="2" s="1"/>
  <c r="N343" i="2" s="1"/>
  <c r="G344" i="2"/>
  <c r="J344" i="2" s="1"/>
  <c r="K344" i="2" s="1"/>
  <c r="L344" i="2" s="1"/>
  <c r="M344" i="2" s="1"/>
  <c r="N344" i="2" s="1"/>
  <c r="G345" i="2"/>
  <c r="J345" i="2" s="1"/>
  <c r="K345" i="2" s="1"/>
  <c r="L345" i="2" s="1"/>
  <c r="M345" i="2" s="1"/>
  <c r="N345" i="2" s="1"/>
  <c r="G346" i="2"/>
  <c r="J346" i="2" s="1"/>
  <c r="K346" i="2" s="1"/>
  <c r="L346" i="2" s="1"/>
  <c r="M346" i="2" s="1"/>
  <c r="N346" i="2" s="1"/>
  <c r="G347" i="2"/>
  <c r="J347" i="2" s="1"/>
  <c r="K347" i="2" s="1"/>
  <c r="L347" i="2" s="1"/>
  <c r="M347" i="2" s="1"/>
  <c r="N347" i="2" s="1"/>
  <c r="G348" i="2"/>
  <c r="J348" i="2" s="1"/>
  <c r="K348" i="2" s="1"/>
  <c r="L348" i="2" s="1"/>
  <c r="M348" i="2" s="1"/>
  <c r="N348" i="2" s="1"/>
  <c r="G349" i="2"/>
  <c r="J349" i="2" s="1"/>
  <c r="K349" i="2" s="1"/>
  <c r="L349" i="2" s="1"/>
  <c r="M349" i="2" s="1"/>
  <c r="N349" i="2" s="1"/>
  <c r="G350" i="2"/>
  <c r="J350" i="2" s="1"/>
  <c r="K350" i="2" s="1"/>
  <c r="L350" i="2" s="1"/>
  <c r="M350" i="2" s="1"/>
  <c r="N350" i="2" s="1"/>
  <c r="G351" i="2"/>
  <c r="J351" i="2" s="1"/>
  <c r="K351" i="2" s="1"/>
  <c r="L351" i="2" s="1"/>
  <c r="M351" i="2" s="1"/>
  <c r="N351" i="2" s="1"/>
  <c r="G352" i="2"/>
  <c r="J352" i="2" s="1"/>
  <c r="K352" i="2" s="1"/>
  <c r="L352" i="2" s="1"/>
  <c r="M352" i="2" s="1"/>
  <c r="N352" i="2" s="1"/>
  <c r="G353" i="2"/>
  <c r="J353" i="2" s="1"/>
  <c r="K353" i="2" s="1"/>
  <c r="L353" i="2" s="1"/>
  <c r="M353" i="2" s="1"/>
  <c r="N353" i="2" s="1"/>
  <c r="G354" i="2"/>
  <c r="J354" i="2" s="1"/>
  <c r="K354" i="2" s="1"/>
  <c r="L354" i="2" s="1"/>
  <c r="M354" i="2" s="1"/>
  <c r="N354" i="2" s="1"/>
  <c r="G355" i="2"/>
  <c r="J355" i="2" s="1"/>
  <c r="K355" i="2" s="1"/>
  <c r="L355" i="2" s="1"/>
  <c r="M355" i="2" s="1"/>
  <c r="N355" i="2" s="1"/>
  <c r="G356" i="2"/>
  <c r="J356" i="2" s="1"/>
  <c r="K356" i="2" s="1"/>
  <c r="L356" i="2" s="1"/>
  <c r="M356" i="2" s="1"/>
  <c r="N356" i="2" s="1"/>
  <c r="G357" i="2"/>
  <c r="J357" i="2" s="1"/>
  <c r="K357" i="2" s="1"/>
  <c r="L357" i="2" s="1"/>
  <c r="M357" i="2" s="1"/>
  <c r="N357" i="2" s="1"/>
  <c r="G358" i="2"/>
  <c r="J358" i="2" s="1"/>
  <c r="K358" i="2" s="1"/>
  <c r="L358" i="2" s="1"/>
  <c r="M358" i="2" s="1"/>
  <c r="N358" i="2" s="1"/>
  <c r="G359" i="2"/>
  <c r="J359" i="2" s="1"/>
  <c r="K359" i="2" s="1"/>
  <c r="L359" i="2" s="1"/>
  <c r="M359" i="2" s="1"/>
  <c r="N359" i="2" s="1"/>
  <c r="G360" i="2"/>
  <c r="J360" i="2" s="1"/>
  <c r="K360" i="2" s="1"/>
  <c r="L360" i="2" s="1"/>
  <c r="M360" i="2" s="1"/>
  <c r="N360" i="2" s="1"/>
  <c r="G361" i="2"/>
  <c r="J361" i="2" s="1"/>
  <c r="K361" i="2" s="1"/>
  <c r="L361" i="2" s="1"/>
  <c r="M361" i="2" s="1"/>
  <c r="N361" i="2" s="1"/>
  <c r="G362" i="2"/>
  <c r="J362" i="2" s="1"/>
  <c r="K362" i="2" s="1"/>
  <c r="L362" i="2" s="1"/>
  <c r="M362" i="2" s="1"/>
  <c r="N362" i="2" s="1"/>
  <c r="G363" i="2"/>
  <c r="J363" i="2" s="1"/>
  <c r="K363" i="2" s="1"/>
  <c r="L363" i="2" s="1"/>
  <c r="M363" i="2" s="1"/>
  <c r="N363" i="2" s="1"/>
  <c r="G364" i="2"/>
  <c r="J364" i="2" s="1"/>
  <c r="K364" i="2" s="1"/>
  <c r="L364" i="2" s="1"/>
  <c r="M364" i="2" s="1"/>
  <c r="N364" i="2" s="1"/>
  <c r="G365" i="2"/>
  <c r="J365" i="2" s="1"/>
  <c r="K365" i="2" s="1"/>
  <c r="L365" i="2" s="1"/>
  <c r="M365" i="2" s="1"/>
  <c r="N365" i="2" s="1"/>
  <c r="G366" i="2"/>
  <c r="J366" i="2" s="1"/>
  <c r="K366" i="2" s="1"/>
  <c r="L366" i="2" s="1"/>
  <c r="M366" i="2" s="1"/>
  <c r="N366" i="2" s="1"/>
  <c r="G367" i="2"/>
  <c r="J367" i="2" s="1"/>
  <c r="K367" i="2" s="1"/>
  <c r="L367" i="2" s="1"/>
  <c r="M367" i="2" s="1"/>
  <c r="N367" i="2" s="1"/>
  <c r="G368" i="2"/>
  <c r="J368" i="2" s="1"/>
  <c r="K368" i="2" s="1"/>
  <c r="L368" i="2" s="1"/>
  <c r="M368" i="2" s="1"/>
  <c r="N368" i="2" s="1"/>
  <c r="G369" i="2"/>
  <c r="J369" i="2" s="1"/>
  <c r="K369" i="2" s="1"/>
  <c r="L369" i="2" s="1"/>
  <c r="M369" i="2" s="1"/>
  <c r="N369" i="2" s="1"/>
  <c r="G370" i="2"/>
  <c r="J370" i="2" s="1"/>
  <c r="K370" i="2" s="1"/>
  <c r="L370" i="2" s="1"/>
  <c r="M370" i="2" s="1"/>
  <c r="N370" i="2" s="1"/>
  <c r="G371" i="2"/>
  <c r="J371" i="2" s="1"/>
  <c r="K371" i="2" s="1"/>
  <c r="L371" i="2" s="1"/>
  <c r="M371" i="2" s="1"/>
  <c r="N371" i="2" s="1"/>
  <c r="G372" i="2"/>
  <c r="J372" i="2" s="1"/>
  <c r="K372" i="2" s="1"/>
  <c r="L372" i="2" s="1"/>
  <c r="M372" i="2" s="1"/>
  <c r="N372" i="2" s="1"/>
  <c r="G373" i="2"/>
  <c r="J373" i="2" s="1"/>
  <c r="K373" i="2" s="1"/>
  <c r="L373" i="2" s="1"/>
  <c r="M373" i="2" s="1"/>
  <c r="N373" i="2" s="1"/>
  <c r="G374" i="2"/>
  <c r="J374" i="2" s="1"/>
  <c r="K374" i="2" s="1"/>
  <c r="L374" i="2" s="1"/>
  <c r="M374" i="2" s="1"/>
  <c r="N374" i="2" s="1"/>
  <c r="G375" i="2"/>
  <c r="J375" i="2" s="1"/>
  <c r="K375" i="2" s="1"/>
  <c r="L375" i="2" s="1"/>
  <c r="M375" i="2" s="1"/>
  <c r="N375" i="2" s="1"/>
  <c r="G376" i="2"/>
  <c r="J376" i="2" s="1"/>
  <c r="K376" i="2" s="1"/>
  <c r="L376" i="2" s="1"/>
  <c r="M376" i="2" s="1"/>
  <c r="N376" i="2" s="1"/>
  <c r="G377" i="2"/>
  <c r="J377" i="2" s="1"/>
  <c r="K377" i="2" s="1"/>
  <c r="L377" i="2" s="1"/>
  <c r="M377" i="2" s="1"/>
  <c r="N377" i="2" s="1"/>
  <c r="G378" i="2"/>
  <c r="J378" i="2" s="1"/>
  <c r="K378" i="2" s="1"/>
  <c r="L378" i="2" s="1"/>
  <c r="M378" i="2" s="1"/>
  <c r="N378" i="2" s="1"/>
  <c r="G379" i="2"/>
  <c r="J379" i="2" s="1"/>
  <c r="K379" i="2" s="1"/>
  <c r="L379" i="2" s="1"/>
  <c r="M379" i="2" s="1"/>
  <c r="N379" i="2" s="1"/>
  <c r="G380" i="2"/>
  <c r="J380" i="2" s="1"/>
  <c r="K380" i="2" s="1"/>
  <c r="L380" i="2" s="1"/>
  <c r="M380" i="2" s="1"/>
  <c r="N380" i="2" s="1"/>
  <c r="G381" i="2"/>
  <c r="J381" i="2" s="1"/>
  <c r="K381" i="2" s="1"/>
  <c r="L381" i="2" s="1"/>
  <c r="M381" i="2" s="1"/>
  <c r="N381" i="2" s="1"/>
  <c r="G382" i="2"/>
  <c r="J382" i="2" s="1"/>
  <c r="K382" i="2" s="1"/>
  <c r="L382" i="2" s="1"/>
  <c r="M382" i="2" s="1"/>
  <c r="N382" i="2" s="1"/>
  <c r="G383" i="2"/>
  <c r="J383" i="2" s="1"/>
  <c r="K383" i="2" s="1"/>
  <c r="L383" i="2" s="1"/>
  <c r="M383" i="2" s="1"/>
  <c r="N383" i="2" s="1"/>
  <c r="G384" i="2"/>
  <c r="J384" i="2" s="1"/>
  <c r="K384" i="2" s="1"/>
  <c r="L384" i="2" s="1"/>
  <c r="M384" i="2" s="1"/>
  <c r="N384" i="2" s="1"/>
  <c r="G385" i="2"/>
  <c r="J385" i="2" s="1"/>
  <c r="K385" i="2" s="1"/>
  <c r="L385" i="2" s="1"/>
  <c r="M385" i="2" s="1"/>
  <c r="N385" i="2" s="1"/>
  <c r="G386" i="2"/>
  <c r="J386" i="2" s="1"/>
  <c r="K386" i="2" s="1"/>
  <c r="L386" i="2" s="1"/>
  <c r="M386" i="2" s="1"/>
  <c r="N386" i="2" s="1"/>
  <c r="G387" i="2"/>
  <c r="J387" i="2" s="1"/>
  <c r="K387" i="2" s="1"/>
  <c r="L387" i="2" s="1"/>
  <c r="M387" i="2" s="1"/>
  <c r="N387" i="2" s="1"/>
  <c r="G388" i="2"/>
  <c r="J388" i="2" s="1"/>
  <c r="K388" i="2" s="1"/>
  <c r="L388" i="2" s="1"/>
  <c r="M388" i="2" s="1"/>
  <c r="N388" i="2" s="1"/>
  <c r="G389" i="2"/>
  <c r="J389" i="2" s="1"/>
  <c r="K389" i="2" s="1"/>
  <c r="L389" i="2" s="1"/>
  <c r="M389" i="2" s="1"/>
  <c r="N389" i="2" s="1"/>
  <c r="G390" i="2"/>
  <c r="J390" i="2" s="1"/>
  <c r="K390" i="2" s="1"/>
  <c r="L390" i="2" s="1"/>
  <c r="M390" i="2" s="1"/>
  <c r="N390" i="2" s="1"/>
  <c r="G391" i="2"/>
  <c r="J391" i="2" s="1"/>
  <c r="K391" i="2" s="1"/>
  <c r="L391" i="2" s="1"/>
  <c r="M391" i="2" s="1"/>
  <c r="N391" i="2" s="1"/>
  <c r="G392" i="2"/>
  <c r="J392" i="2" s="1"/>
  <c r="K392" i="2" s="1"/>
  <c r="L392" i="2" s="1"/>
  <c r="M392" i="2" s="1"/>
  <c r="N392" i="2" s="1"/>
  <c r="G393" i="2"/>
  <c r="J393" i="2" s="1"/>
  <c r="K393" i="2" s="1"/>
  <c r="L393" i="2" s="1"/>
  <c r="M393" i="2" s="1"/>
  <c r="N393" i="2" s="1"/>
  <c r="G394" i="2"/>
  <c r="J394" i="2" s="1"/>
  <c r="K394" i="2" s="1"/>
  <c r="L394" i="2" s="1"/>
  <c r="M394" i="2" s="1"/>
  <c r="N394" i="2" s="1"/>
  <c r="G395" i="2"/>
  <c r="J395" i="2" s="1"/>
  <c r="K395" i="2" s="1"/>
  <c r="L395" i="2" s="1"/>
  <c r="M395" i="2" s="1"/>
  <c r="N395" i="2" s="1"/>
  <c r="G396" i="2"/>
  <c r="J396" i="2" s="1"/>
  <c r="K396" i="2" s="1"/>
  <c r="L396" i="2" s="1"/>
  <c r="M396" i="2" s="1"/>
  <c r="N396" i="2" s="1"/>
  <c r="G397" i="2"/>
  <c r="J397" i="2" s="1"/>
  <c r="K397" i="2" s="1"/>
  <c r="L397" i="2" s="1"/>
  <c r="M397" i="2" s="1"/>
  <c r="N397" i="2" s="1"/>
  <c r="G398" i="2"/>
  <c r="J398" i="2" s="1"/>
  <c r="K398" i="2" s="1"/>
  <c r="L398" i="2" s="1"/>
  <c r="M398" i="2" s="1"/>
  <c r="N398" i="2" s="1"/>
  <c r="G399" i="2"/>
  <c r="J399" i="2" s="1"/>
  <c r="K399" i="2" s="1"/>
  <c r="L399" i="2" s="1"/>
  <c r="M399" i="2" s="1"/>
  <c r="N399" i="2" s="1"/>
  <c r="G400" i="2"/>
  <c r="J400" i="2" s="1"/>
  <c r="K400" i="2" s="1"/>
  <c r="L400" i="2" s="1"/>
  <c r="M400" i="2" s="1"/>
  <c r="N400" i="2" s="1"/>
  <c r="G401" i="2"/>
  <c r="J401" i="2" s="1"/>
  <c r="K401" i="2" s="1"/>
  <c r="L401" i="2" s="1"/>
  <c r="M401" i="2" s="1"/>
  <c r="N401" i="2" s="1"/>
  <c r="G402" i="2"/>
  <c r="J402" i="2" s="1"/>
  <c r="K402" i="2" s="1"/>
  <c r="L402" i="2" s="1"/>
  <c r="M402" i="2" s="1"/>
  <c r="N402" i="2" s="1"/>
  <c r="G403" i="2"/>
  <c r="J403" i="2" s="1"/>
  <c r="K403" i="2" s="1"/>
  <c r="L403" i="2" s="1"/>
  <c r="M403" i="2" s="1"/>
  <c r="N403" i="2" s="1"/>
  <c r="G404" i="2"/>
  <c r="J404" i="2" s="1"/>
  <c r="K404" i="2" s="1"/>
  <c r="L404" i="2" s="1"/>
  <c r="M404" i="2" s="1"/>
  <c r="N404" i="2" s="1"/>
  <c r="G405" i="2"/>
  <c r="J405" i="2" s="1"/>
  <c r="K405" i="2" s="1"/>
  <c r="L405" i="2" s="1"/>
  <c r="M405" i="2" s="1"/>
  <c r="N405" i="2" s="1"/>
  <c r="G406" i="2"/>
  <c r="J406" i="2" s="1"/>
  <c r="K406" i="2" s="1"/>
  <c r="L406" i="2" s="1"/>
  <c r="M406" i="2" s="1"/>
  <c r="N406" i="2" s="1"/>
  <c r="G407" i="2"/>
  <c r="J407" i="2" s="1"/>
  <c r="K407" i="2" s="1"/>
  <c r="L407" i="2" s="1"/>
  <c r="M407" i="2" s="1"/>
  <c r="N407" i="2" s="1"/>
  <c r="G408" i="2"/>
  <c r="J408" i="2" s="1"/>
  <c r="K408" i="2" s="1"/>
  <c r="L408" i="2" s="1"/>
  <c r="M408" i="2" s="1"/>
  <c r="N408" i="2" s="1"/>
  <c r="G409" i="2"/>
  <c r="J409" i="2" s="1"/>
  <c r="K409" i="2" s="1"/>
  <c r="L409" i="2" s="1"/>
  <c r="M409" i="2" s="1"/>
  <c r="N409" i="2" s="1"/>
  <c r="G410" i="2"/>
  <c r="J410" i="2" s="1"/>
  <c r="K410" i="2" s="1"/>
  <c r="L410" i="2" s="1"/>
  <c r="M410" i="2" s="1"/>
  <c r="N410" i="2" s="1"/>
  <c r="G411" i="2"/>
  <c r="J411" i="2" s="1"/>
  <c r="K411" i="2" s="1"/>
  <c r="L411" i="2" s="1"/>
  <c r="M411" i="2" s="1"/>
  <c r="N411" i="2" s="1"/>
  <c r="G412" i="2"/>
  <c r="J412" i="2" s="1"/>
  <c r="K412" i="2" s="1"/>
  <c r="L412" i="2" s="1"/>
  <c r="M412" i="2" s="1"/>
  <c r="N412" i="2" s="1"/>
  <c r="G413" i="2"/>
  <c r="J413" i="2" s="1"/>
  <c r="K413" i="2" s="1"/>
  <c r="L413" i="2" s="1"/>
  <c r="M413" i="2" s="1"/>
  <c r="N413" i="2" s="1"/>
  <c r="G414" i="2"/>
  <c r="J414" i="2" s="1"/>
  <c r="K414" i="2" s="1"/>
  <c r="L414" i="2" s="1"/>
  <c r="M414" i="2" s="1"/>
  <c r="N414" i="2" s="1"/>
  <c r="G415" i="2"/>
  <c r="J415" i="2" s="1"/>
  <c r="K415" i="2" s="1"/>
  <c r="L415" i="2" s="1"/>
  <c r="M415" i="2" s="1"/>
  <c r="N415" i="2" s="1"/>
  <c r="G416" i="2"/>
  <c r="J416" i="2" s="1"/>
  <c r="K416" i="2" s="1"/>
  <c r="L416" i="2" s="1"/>
  <c r="M416" i="2" s="1"/>
  <c r="N416" i="2" s="1"/>
  <c r="G417" i="2"/>
  <c r="J417" i="2" s="1"/>
  <c r="K417" i="2" s="1"/>
  <c r="L417" i="2" s="1"/>
  <c r="M417" i="2" s="1"/>
  <c r="N417" i="2" s="1"/>
  <c r="G418" i="2"/>
  <c r="J418" i="2" s="1"/>
  <c r="K418" i="2" s="1"/>
  <c r="L418" i="2" s="1"/>
  <c r="M418" i="2" s="1"/>
  <c r="N418" i="2" s="1"/>
  <c r="G419" i="2"/>
  <c r="J419" i="2" s="1"/>
  <c r="K419" i="2" s="1"/>
  <c r="L419" i="2" s="1"/>
  <c r="M419" i="2" s="1"/>
  <c r="N419" i="2" s="1"/>
  <c r="G420" i="2"/>
  <c r="J420" i="2" s="1"/>
  <c r="K420" i="2" s="1"/>
  <c r="L420" i="2" s="1"/>
  <c r="M420" i="2" s="1"/>
  <c r="N420" i="2" s="1"/>
  <c r="G421" i="2"/>
  <c r="J421" i="2" s="1"/>
  <c r="K421" i="2" s="1"/>
  <c r="L421" i="2" s="1"/>
  <c r="M421" i="2" s="1"/>
  <c r="N421" i="2" s="1"/>
  <c r="G422" i="2"/>
  <c r="J422" i="2" s="1"/>
  <c r="K422" i="2" s="1"/>
  <c r="L422" i="2" s="1"/>
  <c r="M422" i="2" s="1"/>
  <c r="N422" i="2" s="1"/>
  <c r="G423" i="2"/>
  <c r="J423" i="2" s="1"/>
  <c r="K423" i="2" s="1"/>
  <c r="L423" i="2" s="1"/>
  <c r="M423" i="2" s="1"/>
  <c r="N423" i="2" s="1"/>
  <c r="G424" i="2"/>
  <c r="J424" i="2" s="1"/>
  <c r="K424" i="2" s="1"/>
  <c r="L424" i="2" s="1"/>
  <c r="M424" i="2" s="1"/>
  <c r="N424" i="2" s="1"/>
  <c r="G425" i="2"/>
  <c r="J425" i="2" s="1"/>
  <c r="K425" i="2" s="1"/>
  <c r="L425" i="2" s="1"/>
  <c r="M425" i="2" s="1"/>
  <c r="N425" i="2" s="1"/>
  <c r="G426" i="2"/>
  <c r="J426" i="2" s="1"/>
  <c r="K426" i="2" s="1"/>
  <c r="L426" i="2" s="1"/>
  <c r="M426" i="2" s="1"/>
  <c r="N426" i="2" s="1"/>
  <c r="G427" i="2"/>
  <c r="J427" i="2" s="1"/>
  <c r="K427" i="2" s="1"/>
  <c r="L427" i="2" s="1"/>
  <c r="M427" i="2" s="1"/>
  <c r="N427" i="2" s="1"/>
  <c r="G428" i="2"/>
  <c r="J428" i="2" s="1"/>
  <c r="K428" i="2" s="1"/>
  <c r="L428" i="2" s="1"/>
  <c r="M428" i="2" s="1"/>
  <c r="N428" i="2" s="1"/>
  <c r="G429" i="2"/>
  <c r="J429" i="2" s="1"/>
  <c r="K429" i="2" s="1"/>
  <c r="L429" i="2" s="1"/>
  <c r="M429" i="2" s="1"/>
  <c r="N429" i="2" s="1"/>
  <c r="G430" i="2"/>
  <c r="J430" i="2" s="1"/>
  <c r="K430" i="2" s="1"/>
  <c r="L430" i="2" s="1"/>
  <c r="M430" i="2" s="1"/>
  <c r="N430" i="2" s="1"/>
  <c r="G431" i="2"/>
  <c r="J431" i="2" s="1"/>
  <c r="K431" i="2" s="1"/>
  <c r="L431" i="2" s="1"/>
  <c r="M431" i="2" s="1"/>
  <c r="N431" i="2" s="1"/>
  <c r="G432" i="2"/>
  <c r="J432" i="2" s="1"/>
  <c r="K432" i="2" s="1"/>
  <c r="L432" i="2" s="1"/>
  <c r="M432" i="2" s="1"/>
  <c r="N432" i="2" s="1"/>
  <c r="G433" i="2"/>
  <c r="J433" i="2" s="1"/>
  <c r="K433" i="2" s="1"/>
  <c r="L433" i="2" s="1"/>
  <c r="M433" i="2" s="1"/>
  <c r="N433" i="2" s="1"/>
  <c r="G434" i="2"/>
  <c r="J434" i="2" s="1"/>
  <c r="K434" i="2" s="1"/>
  <c r="L434" i="2" s="1"/>
  <c r="M434" i="2" s="1"/>
  <c r="N434" i="2" s="1"/>
  <c r="G435" i="2"/>
  <c r="J435" i="2" s="1"/>
  <c r="K435" i="2" s="1"/>
  <c r="L435" i="2" s="1"/>
  <c r="M435" i="2" s="1"/>
  <c r="N435" i="2" s="1"/>
  <c r="G436" i="2"/>
  <c r="J436" i="2" s="1"/>
  <c r="K436" i="2" s="1"/>
  <c r="L436" i="2" s="1"/>
  <c r="M436" i="2" s="1"/>
  <c r="N436" i="2" s="1"/>
  <c r="G437" i="2"/>
  <c r="J437" i="2" s="1"/>
  <c r="K437" i="2" s="1"/>
  <c r="L437" i="2" s="1"/>
  <c r="M437" i="2" s="1"/>
  <c r="N437" i="2" s="1"/>
  <c r="G438" i="2"/>
  <c r="J438" i="2" s="1"/>
  <c r="K438" i="2" s="1"/>
  <c r="L438" i="2" s="1"/>
  <c r="M438" i="2" s="1"/>
  <c r="N438" i="2" s="1"/>
  <c r="G439" i="2"/>
  <c r="J439" i="2" s="1"/>
  <c r="K439" i="2" s="1"/>
  <c r="L439" i="2" s="1"/>
  <c r="M439" i="2" s="1"/>
  <c r="N439" i="2" s="1"/>
  <c r="G440" i="2"/>
  <c r="J440" i="2" s="1"/>
  <c r="K440" i="2" s="1"/>
  <c r="L440" i="2" s="1"/>
  <c r="M440" i="2" s="1"/>
  <c r="N440" i="2" s="1"/>
  <c r="G441" i="2"/>
  <c r="J441" i="2" s="1"/>
  <c r="K441" i="2" s="1"/>
  <c r="L441" i="2" s="1"/>
  <c r="M441" i="2" s="1"/>
  <c r="N441" i="2" s="1"/>
  <c r="G442" i="2"/>
  <c r="J442" i="2" s="1"/>
  <c r="K442" i="2" s="1"/>
  <c r="L442" i="2" s="1"/>
  <c r="M442" i="2" s="1"/>
  <c r="N442" i="2" s="1"/>
  <c r="G443" i="2"/>
  <c r="J443" i="2" s="1"/>
  <c r="K443" i="2" s="1"/>
  <c r="L443" i="2" s="1"/>
  <c r="M443" i="2" s="1"/>
  <c r="N443" i="2" s="1"/>
  <c r="G444" i="2"/>
  <c r="J444" i="2" s="1"/>
  <c r="K444" i="2" s="1"/>
  <c r="L444" i="2" s="1"/>
  <c r="M444" i="2" s="1"/>
  <c r="N444" i="2" s="1"/>
  <c r="G445" i="2"/>
  <c r="J445" i="2" s="1"/>
  <c r="K445" i="2" s="1"/>
  <c r="L445" i="2" s="1"/>
  <c r="M445" i="2" s="1"/>
  <c r="N445" i="2" s="1"/>
  <c r="G446" i="2"/>
  <c r="J446" i="2" s="1"/>
  <c r="K446" i="2" s="1"/>
  <c r="L446" i="2" s="1"/>
  <c r="M446" i="2" s="1"/>
  <c r="N446" i="2" s="1"/>
  <c r="G447" i="2"/>
  <c r="J447" i="2" s="1"/>
  <c r="K447" i="2" s="1"/>
  <c r="L447" i="2" s="1"/>
  <c r="M447" i="2" s="1"/>
  <c r="N447" i="2" s="1"/>
  <c r="G448" i="2"/>
  <c r="J448" i="2" s="1"/>
  <c r="K448" i="2" s="1"/>
  <c r="L448" i="2" s="1"/>
  <c r="M448" i="2" s="1"/>
  <c r="N448" i="2" s="1"/>
  <c r="G449" i="2"/>
  <c r="J449" i="2" s="1"/>
  <c r="K449" i="2" s="1"/>
  <c r="L449" i="2" s="1"/>
  <c r="M449" i="2" s="1"/>
  <c r="N449" i="2" s="1"/>
  <c r="G450" i="2"/>
  <c r="J450" i="2" s="1"/>
  <c r="K450" i="2" s="1"/>
  <c r="L450" i="2" s="1"/>
  <c r="M450" i="2" s="1"/>
  <c r="N450" i="2" s="1"/>
  <c r="G451" i="2"/>
  <c r="J451" i="2" s="1"/>
  <c r="K451" i="2" s="1"/>
  <c r="L451" i="2" s="1"/>
  <c r="M451" i="2" s="1"/>
  <c r="N451" i="2" s="1"/>
  <c r="G452" i="2"/>
  <c r="J452" i="2" s="1"/>
  <c r="K452" i="2" s="1"/>
  <c r="L452" i="2" s="1"/>
  <c r="M452" i="2" s="1"/>
  <c r="N452" i="2" s="1"/>
  <c r="G453" i="2"/>
  <c r="J453" i="2" s="1"/>
  <c r="K453" i="2" s="1"/>
  <c r="L453" i="2" s="1"/>
  <c r="M453" i="2" s="1"/>
  <c r="N453" i="2" s="1"/>
  <c r="G454" i="2"/>
  <c r="J454" i="2" s="1"/>
  <c r="K454" i="2" s="1"/>
  <c r="L454" i="2" s="1"/>
  <c r="M454" i="2" s="1"/>
  <c r="N454" i="2" s="1"/>
  <c r="G455" i="2"/>
  <c r="J455" i="2" s="1"/>
  <c r="K455" i="2" s="1"/>
  <c r="L455" i="2" s="1"/>
  <c r="M455" i="2" s="1"/>
  <c r="N455" i="2" s="1"/>
  <c r="G456" i="2"/>
  <c r="J456" i="2" s="1"/>
  <c r="K456" i="2" s="1"/>
  <c r="L456" i="2" s="1"/>
  <c r="M456" i="2" s="1"/>
  <c r="N456" i="2" s="1"/>
  <c r="G457" i="2"/>
  <c r="J457" i="2" s="1"/>
  <c r="K457" i="2" s="1"/>
  <c r="L457" i="2" s="1"/>
  <c r="M457" i="2" s="1"/>
  <c r="N457" i="2" s="1"/>
  <c r="G458" i="2"/>
  <c r="J458" i="2" s="1"/>
  <c r="K458" i="2" s="1"/>
  <c r="L458" i="2" s="1"/>
  <c r="M458" i="2" s="1"/>
  <c r="N458" i="2" s="1"/>
  <c r="G459" i="2"/>
  <c r="J459" i="2" s="1"/>
  <c r="K459" i="2" s="1"/>
  <c r="L459" i="2" s="1"/>
  <c r="M459" i="2" s="1"/>
  <c r="N459" i="2" s="1"/>
  <c r="G460" i="2"/>
  <c r="J460" i="2" s="1"/>
  <c r="K460" i="2" s="1"/>
  <c r="L460" i="2" s="1"/>
  <c r="M460" i="2" s="1"/>
  <c r="N460" i="2" s="1"/>
  <c r="G461" i="2"/>
  <c r="J461" i="2" s="1"/>
  <c r="K461" i="2" s="1"/>
  <c r="L461" i="2" s="1"/>
  <c r="M461" i="2" s="1"/>
  <c r="N461" i="2" s="1"/>
  <c r="G462" i="2"/>
  <c r="J462" i="2" s="1"/>
  <c r="K462" i="2" s="1"/>
  <c r="L462" i="2" s="1"/>
  <c r="M462" i="2" s="1"/>
  <c r="N462" i="2" s="1"/>
  <c r="G463" i="2"/>
  <c r="J463" i="2" s="1"/>
  <c r="K463" i="2" s="1"/>
  <c r="L463" i="2" s="1"/>
  <c r="M463" i="2" s="1"/>
  <c r="N463" i="2" s="1"/>
  <c r="G464" i="2"/>
  <c r="J464" i="2" s="1"/>
  <c r="K464" i="2" s="1"/>
  <c r="L464" i="2" s="1"/>
  <c r="M464" i="2" s="1"/>
  <c r="N464" i="2" s="1"/>
  <c r="G465" i="2"/>
  <c r="J465" i="2" s="1"/>
  <c r="K465" i="2" s="1"/>
  <c r="L465" i="2" s="1"/>
  <c r="M465" i="2" s="1"/>
  <c r="N465" i="2" s="1"/>
  <c r="G466" i="2"/>
  <c r="J466" i="2" s="1"/>
  <c r="K466" i="2" s="1"/>
  <c r="L466" i="2" s="1"/>
  <c r="M466" i="2" s="1"/>
  <c r="N466" i="2" s="1"/>
  <c r="G467" i="2"/>
  <c r="J467" i="2" s="1"/>
  <c r="K467" i="2" s="1"/>
  <c r="L467" i="2" s="1"/>
  <c r="M467" i="2" s="1"/>
  <c r="N467" i="2" s="1"/>
  <c r="G468" i="2"/>
  <c r="J468" i="2" s="1"/>
  <c r="K468" i="2" s="1"/>
  <c r="L468" i="2" s="1"/>
  <c r="M468" i="2" s="1"/>
  <c r="N468" i="2" s="1"/>
  <c r="G469" i="2"/>
  <c r="J469" i="2" s="1"/>
  <c r="K469" i="2" s="1"/>
  <c r="L469" i="2" s="1"/>
  <c r="M469" i="2" s="1"/>
  <c r="N469" i="2" s="1"/>
  <c r="G470" i="2"/>
  <c r="J470" i="2" s="1"/>
  <c r="K470" i="2" s="1"/>
  <c r="L470" i="2" s="1"/>
  <c r="M470" i="2" s="1"/>
  <c r="N470" i="2" s="1"/>
  <c r="G471" i="2"/>
  <c r="J471" i="2" s="1"/>
  <c r="K471" i="2" s="1"/>
  <c r="L471" i="2" s="1"/>
  <c r="M471" i="2" s="1"/>
  <c r="N471" i="2" s="1"/>
  <c r="G472" i="2"/>
  <c r="J472" i="2" s="1"/>
  <c r="K472" i="2" s="1"/>
  <c r="L472" i="2" s="1"/>
  <c r="M472" i="2" s="1"/>
  <c r="N472" i="2" s="1"/>
  <c r="G473" i="2"/>
  <c r="J473" i="2" s="1"/>
  <c r="K473" i="2" s="1"/>
  <c r="L473" i="2" s="1"/>
  <c r="M473" i="2" s="1"/>
  <c r="N473" i="2" s="1"/>
  <c r="G474" i="2"/>
  <c r="J474" i="2" s="1"/>
  <c r="K474" i="2" s="1"/>
  <c r="L474" i="2" s="1"/>
  <c r="M474" i="2" s="1"/>
  <c r="N474" i="2" s="1"/>
  <c r="G475" i="2"/>
  <c r="J475" i="2" s="1"/>
  <c r="K475" i="2" s="1"/>
  <c r="L475" i="2" s="1"/>
  <c r="M475" i="2" s="1"/>
  <c r="N475" i="2" s="1"/>
  <c r="G476" i="2"/>
  <c r="J476" i="2" s="1"/>
  <c r="K476" i="2" s="1"/>
  <c r="L476" i="2" s="1"/>
  <c r="M476" i="2" s="1"/>
  <c r="N476" i="2" s="1"/>
  <c r="G477" i="2"/>
  <c r="J477" i="2" s="1"/>
  <c r="K477" i="2" s="1"/>
  <c r="L477" i="2" s="1"/>
  <c r="M477" i="2" s="1"/>
  <c r="N477" i="2" s="1"/>
  <c r="G478" i="2"/>
  <c r="J478" i="2" s="1"/>
  <c r="K478" i="2" s="1"/>
  <c r="L478" i="2" s="1"/>
  <c r="M478" i="2" s="1"/>
  <c r="N478" i="2" s="1"/>
  <c r="G479" i="2"/>
  <c r="J479" i="2" s="1"/>
  <c r="K479" i="2" s="1"/>
  <c r="L479" i="2" s="1"/>
  <c r="M479" i="2" s="1"/>
  <c r="N479" i="2" s="1"/>
  <c r="G480" i="2"/>
  <c r="J480" i="2" s="1"/>
  <c r="K480" i="2" s="1"/>
  <c r="L480" i="2" s="1"/>
  <c r="M480" i="2" s="1"/>
  <c r="N480" i="2" s="1"/>
  <c r="G481" i="2"/>
  <c r="J481" i="2" s="1"/>
  <c r="K481" i="2" s="1"/>
  <c r="L481" i="2" s="1"/>
  <c r="M481" i="2" s="1"/>
  <c r="N481" i="2" s="1"/>
  <c r="G482" i="2"/>
  <c r="J482" i="2" s="1"/>
  <c r="K482" i="2" s="1"/>
  <c r="L482" i="2" s="1"/>
  <c r="M482" i="2" s="1"/>
  <c r="N482" i="2" s="1"/>
  <c r="G483" i="2"/>
  <c r="J483" i="2" s="1"/>
  <c r="K483" i="2" s="1"/>
  <c r="L483" i="2" s="1"/>
  <c r="M483" i="2" s="1"/>
  <c r="N483" i="2" s="1"/>
  <c r="G484" i="2"/>
  <c r="J484" i="2" s="1"/>
  <c r="K484" i="2" s="1"/>
  <c r="L484" i="2" s="1"/>
  <c r="M484" i="2" s="1"/>
  <c r="N484" i="2" s="1"/>
  <c r="G485" i="2"/>
  <c r="J485" i="2" s="1"/>
  <c r="K485" i="2" s="1"/>
  <c r="L485" i="2" s="1"/>
  <c r="M485" i="2" s="1"/>
  <c r="N485" i="2" s="1"/>
  <c r="G15" i="2"/>
  <c r="F5" i="11"/>
  <c r="F7" i="11" s="1"/>
  <c r="G5" i="11"/>
  <c r="G7" i="11" s="1"/>
  <c r="H5" i="11"/>
  <c r="H7" i="11" s="1"/>
  <c r="I5" i="11"/>
  <c r="I7" i="11" s="1"/>
  <c r="J5" i="11"/>
  <c r="J7" i="11" s="1"/>
  <c r="F5" i="12"/>
  <c r="F7" i="12" s="1"/>
  <c r="G5" i="12"/>
  <c r="G7" i="12" s="1"/>
  <c r="H5" i="12"/>
  <c r="H7" i="12" s="1"/>
  <c r="I5" i="12"/>
  <c r="I7" i="12" s="1"/>
  <c r="J5" i="12"/>
  <c r="J7" i="12" s="1"/>
  <c r="H14" i="1"/>
  <c r="G14" i="1"/>
  <c r="F14" i="1"/>
  <c r="E14" i="1"/>
  <c r="D14" i="1"/>
  <c r="D147" i="8" l="1"/>
  <c r="D146" i="8"/>
  <c r="D141" i="8"/>
  <c r="D140" i="8"/>
  <c r="D139" i="8"/>
  <c r="D137" i="8"/>
  <c r="D132" i="8"/>
  <c r="D125" i="8"/>
  <c r="D122" i="8"/>
  <c r="D121" i="8"/>
  <c r="D119" i="8"/>
  <c r="D118" i="8"/>
  <c r="C139" i="8"/>
  <c r="C117" i="8"/>
  <c r="C148" i="8"/>
  <c r="C147" i="8"/>
  <c r="C136" i="8"/>
  <c r="C125" i="8"/>
  <c r="C150" i="8"/>
  <c r="C128" i="8"/>
  <c r="C137" i="8"/>
  <c r="C127" i="8"/>
  <c r="C146" i="8"/>
  <c r="C135" i="8"/>
  <c r="C124" i="8"/>
  <c r="C144" i="8"/>
  <c r="C133" i="8"/>
  <c r="C122" i="8"/>
  <c r="C143" i="8"/>
  <c r="C132" i="8"/>
  <c r="C121" i="8"/>
  <c r="C141" i="8"/>
  <c r="C131" i="8"/>
  <c r="C119" i="8"/>
  <c r="C140" i="8"/>
  <c r="C129" i="8"/>
  <c r="C118" i="8"/>
  <c r="C116" i="8"/>
  <c r="D64" i="7"/>
  <c r="D66" i="7" s="1"/>
  <c r="D81" i="7" s="1"/>
  <c r="E81" i="7" s="1"/>
  <c r="G81" i="7" s="1"/>
  <c r="E46" i="7"/>
  <c r="F57" i="7"/>
  <c r="D57" i="7"/>
  <c r="F55" i="7"/>
  <c r="E63" i="10"/>
  <c r="N63" i="10" s="1"/>
  <c r="J43" i="10"/>
  <c r="K43" i="10"/>
  <c r="M43" i="10"/>
  <c r="N43" i="10"/>
  <c r="L43" i="10"/>
  <c r="L65" i="10"/>
  <c r="K65" i="10"/>
  <c r="M65" i="10"/>
  <c r="N65" i="10"/>
  <c r="C81" i="7"/>
  <c r="C72" i="7"/>
  <c r="C31" i="7"/>
  <c r="C7" i="20" s="1"/>
  <c r="D56" i="7"/>
  <c r="F56" i="7"/>
  <c r="D55" i="7"/>
  <c r="E44" i="10"/>
  <c r="E54" i="7"/>
  <c r="D71" i="7"/>
  <c r="E64" i="10"/>
  <c r="E57" i="7"/>
  <c r="E56" i="7"/>
  <c r="E42" i="10"/>
  <c r="C17" i="9"/>
  <c r="C21" i="9"/>
  <c r="C32" i="7"/>
  <c r="D7" i="20" s="1"/>
  <c r="N6" i="2"/>
  <c r="E5" i="12"/>
  <c r="E7" i="12" s="1"/>
  <c r="E36" i="12" s="1"/>
  <c r="C20" i="6"/>
  <c r="K6" i="2"/>
  <c r="M6" i="2"/>
  <c r="G43" i="12"/>
  <c r="G36" i="12"/>
  <c r="G10" i="12"/>
  <c r="G9" i="12"/>
  <c r="Q7" i="4"/>
  <c r="J7" i="4"/>
  <c r="J482" i="4" s="1"/>
  <c r="F43" i="12"/>
  <c r="F9" i="12"/>
  <c r="F10" i="12"/>
  <c r="F36" i="12"/>
  <c r="R7" i="4"/>
  <c r="K7" i="4"/>
  <c r="K361" i="4" s="1"/>
  <c r="E5" i="11"/>
  <c r="E7" i="11" s="1"/>
  <c r="E36" i="11" s="1"/>
  <c r="L6" i="2"/>
  <c r="S7" i="4"/>
  <c r="L7" i="4"/>
  <c r="L444" i="4" s="1"/>
  <c r="J43" i="11"/>
  <c r="J10" i="11"/>
  <c r="J9" i="11"/>
  <c r="I43" i="11"/>
  <c r="I10" i="11"/>
  <c r="I9" i="11"/>
  <c r="J43" i="12"/>
  <c r="J36" i="12"/>
  <c r="J10" i="12"/>
  <c r="J9" i="12"/>
  <c r="H43" i="11"/>
  <c r="H10" i="11"/>
  <c r="H9" i="11"/>
  <c r="P7" i="4"/>
  <c r="I7" i="4"/>
  <c r="I415" i="4" s="1"/>
  <c r="N7" i="4"/>
  <c r="G480" i="4"/>
  <c r="I43" i="12"/>
  <c r="I9" i="12"/>
  <c r="I36" i="12"/>
  <c r="I10" i="12"/>
  <c r="G43" i="11"/>
  <c r="G9" i="11"/>
  <c r="G10" i="11"/>
  <c r="O7" i="4"/>
  <c r="H7" i="4"/>
  <c r="H439" i="4" s="1"/>
  <c r="H43" i="12"/>
  <c r="H9" i="12"/>
  <c r="H36" i="12"/>
  <c r="H10" i="12"/>
  <c r="F43" i="11"/>
  <c r="F9" i="11"/>
  <c r="F10" i="11"/>
  <c r="J6" i="2"/>
  <c r="H36" i="11"/>
  <c r="F36" i="11"/>
  <c r="I36" i="11"/>
  <c r="J36" i="11"/>
  <c r="G36" i="11"/>
  <c r="G477" i="4"/>
  <c r="G362" i="4"/>
  <c r="G418" i="4"/>
  <c r="G323" i="4"/>
  <c r="G281" i="4"/>
  <c r="G15" i="4"/>
  <c r="G19" i="4"/>
  <c r="G47" i="4"/>
  <c r="G51" i="4"/>
  <c r="G79" i="4"/>
  <c r="G115" i="4"/>
  <c r="G119" i="4"/>
  <c r="G34" i="4"/>
  <c r="G38" i="4"/>
  <c r="G66" i="4"/>
  <c r="G70" i="4"/>
  <c r="G98" i="4"/>
  <c r="G106" i="4"/>
  <c r="G21" i="4"/>
  <c r="G25" i="4"/>
  <c r="G53" i="4"/>
  <c r="G57" i="4"/>
  <c r="G85" i="4"/>
  <c r="G89" i="4"/>
  <c r="G117" i="4"/>
  <c r="G121" i="4"/>
  <c r="G152" i="4"/>
  <c r="G156" i="4"/>
  <c r="G184" i="4"/>
  <c r="G188" i="4"/>
  <c r="G216" i="4"/>
  <c r="G220" i="4"/>
  <c r="G252" i="4"/>
  <c r="G256" i="4"/>
  <c r="G284" i="4"/>
  <c r="G288" i="4"/>
  <c r="G48" i="4"/>
  <c r="G64" i="4"/>
  <c r="G143" i="4"/>
  <c r="G147" i="4"/>
  <c r="G175" i="4"/>
  <c r="G179" i="4"/>
  <c r="G207" i="4"/>
  <c r="G211" i="4"/>
  <c r="G239" i="4"/>
  <c r="G243" i="4"/>
  <c r="G275" i="4"/>
  <c r="G279" i="4"/>
  <c r="G311" i="4"/>
  <c r="G28" i="4"/>
  <c r="G134" i="4"/>
  <c r="G142" i="4"/>
  <c r="G170" i="4"/>
  <c r="G174" i="4"/>
  <c r="G202" i="4"/>
  <c r="G206" i="4"/>
  <c r="G234" i="4"/>
  <c r="G238" i="4"/>
  <c r="G266" i="4"/>
  <c r="G270" i="4"/>
  <c r="G302" i="4"/>
  <c r="G306" i="4"/>
  <c r="G289" i="4"/>
  <c r="G310" i="4"/>
  <c r="G353" i="4"/>
  <c r="G357" i="4"/>
  <c r="G385" i="4"/>
  <c r="G389" i="4"/>
  <c r="G421" i="4"/>
  <c r="G425" i="4"/>
  <c r="G457" i="4"/>
  <c r="G120" i="4"/>
  <c r="G312" i="4"/>
  <c r="G319" i="4"/>
  <c r="G233" i="4"/>
  <c r="G265" i="4"/>
  <c r="G344" i="4"/>
  <c r="G348" i="4"/>
  <c r="G376" i="4"/>
  <c r="G380" i="4"/>
  <c r="G408" i="4"/>
  <c r="G412" i="4"/>
  <c r="G444" i="4"/>
  <c r="G448" i="4"/>
  <c r="G237" i="4"/>
  <c r="G269" i="4"/>
  <c r="G241" i="4"/>
  <c r="G273" i="4"/>
  <c r="G327" i="4"/>
  <c r="G331" i="4"/>
  <c r="G359" i="4"/>
  <c r="G363" i="4"/>
  <c r="G391" i="4"/>
  <c r="G395" i="4"/>
  <c r="G467" i="4"/>
  <c r="G461" i="4"/>
  <c r="G427" i="4"/>
  <c r="G419" i="4"/>
  <c r="D80" i="7" l="1"/>
  <c r="D83" i="7"/>
  <c r="D82" i="7"/>
  <c r="D151" i="8"/>
  <c r="C151" i="8"/>
  <c r="D8" i="20"/>
  <c r="C8" i="20"/>
  <c r="D72" i="7"/>
  <c r="E72" i="7" s="1"/>
  <c r="G72" i="7" s="1"/>
  <c r="I63" i="10"/>
  <c r="I62" i="10" s="1"/>
  <c r="K63" i="10"/>
  <c r="L63" i="10"/>
  <c r="M63" i="10"/>
  <c r="D74" i="7"/>
  <c r="J63" i="10"/>
  <c r="D73" i="7"/>
  <c r="N64" i="10"/>
  <c r="N62" i="10" s="1"/>
  <c r="K64" i="10"/>
  <c r="L64" i="10"/>
  <c r="M64" i="10"/>
  <c r="J64" i="10"/>
  <c r="C80" i="7"/>
  <c r="E80" i="7" s="1"/>
  <c r="G80" i="7" s="1"/>
  <c r="C71" i="7"/>
  <c r="E71" i="7" s="1"/>
  <c r="G71" i="7" s="1"/>
  <c r="J42" i="10"/>
  <c r="J41" i="10" s="1"/>
  <c r="E41" i="10"/>
  <c r="M42" i="10"/>
  <c r="L42" i="10"/>
  <c r="K42" i="10"/>
  <c r="N42" i="10"/>
  <c r="I42" i="10"/>
  <c r="I41" i="10" s="1"/>
  <c r="L44" i="10"/>
  <c r="K44" i="10"/>
  <c r="N44" i="10"/>
  <c r="M44" i="10"/>
  <c r="C23" i="9"/>
  <c r="C30" i="9" s="1"/>
  <c r="C31" i="9" s="1"/>
  <c r="E62" i="10"/>
  <c r="C82" i="7"/>
  <c r="C73" i="7"/>
  <c r="C83" i="7"/>
  <c r="E83" i="7" s="1"/>
  <c r="G83" i="7" s="1"/>
  <c r="C74" i="7"/>
  <c r="G410" i="4"/>
  <c r="G382" i="4"/>
  <c r="G426" i="4"/>
  <c r="G482" i="4"/>
  <c r="G438" i="4"/>
  <c r="G83" i="4"/>
  <c r="G423" i="4"/>
  <c r="G472" i="4"/>
  <c r="G431" i="4"/>
  <c r="G454" i="4"/>
  <c r="E43" i="12"/>
  <c r="L402" i="4"/>
  <c r="L394" i="4"/>
  <c r="G430" i="4"/>
  <c r="L398" i="4"/>
  <c r="L432" i="4"/>
  <c r="L335" i="4"/>
  <c r="J54" i="2"/>
  <c r="K54" i="2" s="1"/>
  <c r="L54" i="2" s="1"/>
  <c r="M54" i="2" s="1"/>
  <c r="N54" i="2" s="1"/>
  <c r="S53" i="4" s="1"/>
  <c r="J65" i="2"/>
  <c r="K65" i="2" s="1"/>
  <c r="L65" i="2" s="1"/>
  <c r="M65" i="2" s="1"/>
  <c r="N65" i="2" s="1"/>
  <c r="S64" i="4" s="1"/>
  <c r="J70" i="2"/>
  <c r="K70" i="2" s="1"/>
  <c r="L70" i="2" s="1"/>
  <c r="M70" i="2" s="1"/>
  <c r="N70" i="2" s="1"/>
  <c r="S69" i="4" s="1"/>
  <c r="J76" i="2"/>
  <c r="K76" i="2" s="1"/>
  <c r="L76" i="2" s="1"/>
  <c r="M76" i="2" s="1"/>
  <c r="N76" i="2" s="1"/>
  <c r="S75" i="4" s="1"/>
  <c r="J82" i="2"/>
  <c r="K82" i="2" s="1"/>
  <c r="L82" i="2" s="1"/>
  <c r="M82" i="2" s="1"/>
  <c r="N82" i="2" s="1"/>
  <c r="S81" i="4" s="1"/>
  <c r="J91" i="2"/>
  <c r="K91" i="2" s="1"/>
  <c r="L91" i="2" s="1"/>
  <c r="M91" i="2" s="1"/>
  <c r="N91" i="2" s="1"/>
  <c r="S90" i="4" s="1"/>
  <c r="J95" i="2"/>
  <c r="J100" i="2"/>
  <c r="K100" i="2" s="1"/>
  <c r="L100" i="2" s="1"/>
  <c r="M100" i="2" s="1"/>
  <c r="N100" i="2" s="1"/>
  <c r="S99" i="4" s="1"/>
  <c r="J105" i="2"/>
  <c r="K105" i="2" s="1"/>
  <c r="L105" i="2" s="1"/>
  <c r="M105" i="2" s="1"/>
  <c r="N105" i="2" s="1"/>
  <c r="S104" i="4" s="1"/>
  <c r="J109" i="2"/>
  <c r="K109" i="2" s="1"/>
  <c r="L109" i="2" s="1"/>
  <c r="M109" i="2" s="1"/>
  <c r="N109" i="2" s="1"/>
  <c r="S108" i="4" s="1"/>
  <c r="J118" i="2"/>
  <c r="K118" i="2" s="1"/>
  <c r="L118" i="2" s="1"/>
  <c r="M118" i="2" s="1"/>
  <c r="N118" i="2" s="1"/>
  <c r="S117" i="4" s="1"/>
  <c r="J127" i="2"/>
  <c r="K127" i="2" s="1"/>
  <c r="L127" i="2" s="1"/>
  <c r="M127" i="2" s="1"/>
  <c r="N127" i="2" s="1"/>
  <c r="S126" i="4" s="1"/>
  <c r="J137" i="2"/>
  <c r="K137" i="2" s="1"/>
  <c r="L137" i="2" s="1"/>
  <c r="M137" i="2" s="1"/>
  <c r="N137" i="2" s="1"/>
  <c r="S136" i="4" s="1"/>
  <c r="J141" i="2"/>
  <c r="K141" i="2" s="1"/>
  <c r="L141" i="2" s="1"/>
  <c r="M141" i="2" s="1"/>
  <c r="N141" i="2" s="1"/>
  <c r="S140" i="4" s="1"/>
  <c r="J150" i="2"/>
  <c r="J160" i="2"/>
  <c r="K160" i="2" s="1"/>
  <c r="L160" i="2" s="1"/>
  <c r="M160" i="2" s="1"/>
  <c r="N160" i="2" s="1"/>
  <c r="S159" i="4" s="1"/>
  <c r="J170" i="2"/>
  <c r="K170" i="2" s="1"/>
  <c r="L170" i="2" s="1"/>
  <c r="M170" i="2" s="1"/>
  <c r="N170" i="2" s="1"/>
  <c r="S169" i="4" s="1"/>
  <c r="J179" i="2"/>
  <c r="K179" i="2" s="1"/>
  <c r="L179" i="2" s="1"/>
  <c r="M179" i="2" s="1"/>
  <c r="N179" i="2" s="1"/>
  <c r="S178" i="4" s="1"/>
  <c r="J183" i="2"/>
  <c r="K183" i="2" s="1"/>
  <c r="L183" i="2" s="1"/>
  <c r="M183" i="2" s="1"/>
  <c r="N183" i="2" s="1"/>
  <c r="S182" i="4" s="1"/>
  <c r="J192" i="2"/>
  <c r="K192" i="2" s="1"/>
  <c r="L192" i="2" s="1"/>
  <c r="M192" i="2" s="1"/>
  <c r="N192" i="2" s="1"/>
  <c r="S191" i="4" s="1"/>
  <c r="J201" i="2"/>
  <c r="K201" i="2" s="1"/>
  <c r="L201" i="2" s="1"/>
  <c r="M201" i="2" s="1"/>
  <c r="N201" i="2" s="1"/>
  <c r="S200" i="4" s="1"/>
  <c r="J209" i="2"/>
  <c r="K209" i="2" s="1"/>
  <c r="L209" i="2" s="1"/>
  <c r="M209" i="2" s="1"/>
  <c r="N209" i="2" s="1"/>
  <c r="S208" i="4" s="1"/>
  <c r="J227" i="2"/>
  <c r="J231" i="2"/>
  <c r="K231" i="2" s="1"/>
  <c r="L231" i="2" s="1"/>
  <c r="M231" i="2" s="1"/>
  <c r="N231" i="2" s="1"/>
  <c r="S230" i="4" s="1"/>
  <c r="J237" i="2"/>
  <c r="K237" i="2" s="1"/>
  <c r="L237" i="2" s="1"/>
  <c r="M237" i="2" s="1"/>
  <c r="N237" i="2" s="1"/>
  <c r="S236" i="4" s="1"/>
  <c r="J246" i="2"/>
  <c r="K246" i="2" s="1"/>
  <c r="L246" i="2" s="1"/>
  <c r="M246" i="2" s="1"/>
  <c r="N246" i="2" s="1"/>
  <c r="S245" i="4" s="1"/>
  <c r="J251" i="2"/>
  <c r="K251" i="2" s="1"/>
  <c r="L251" i="2" s="1"/>
  <c r="M251" i="2" s="1"/>
  <c r="N251" i="2" s="1"/>
  <c r="S250" i="4" s="1"/>
  <c r="J256" i="2"/>
  <c r="K256" i="2" s="1"/>
  <c r="L256" i="2" s="1"/>
  <c r="M256" i="2" s="1"/>
  <c r="N256" i="2" s="1"/>
  <c r="S255" i="4" s="1"/>
  <c r="J269" i="2"/>
  <c r="K269" i="2" s="1"/>
  <c r="L269" i="2" s="1"/>
  <c r="M269" i="2" s="1"/>
  <c r="N269" i="2" s="1"/>
  <c r="S268" i="4" s="1"/>
  <c r="J275" i="2"/>
  <c r="K275" i="2" s="1"/>
  <c r="L275" i="2" s="1"/>
  <c r="M275" i="2" s="1"/>
  <c r="N275" i="2" s="1"/>
  <c r="J278" i="2"/>
  <c r="J284" i="2"/>
  <c r="K284" i="2" s="1"/>
  <c r="L284" i="2" s="1"/>
  <c r="M284" i="2" s="1"/>
  <c r="N284" i="2" s="1"/>
  <c r="S283" i="4" s="1"/>
  <c r="J289" i="2"/>
  <c r="K289" i="2" s="1"/>
  <c r="L289" i="2" s="1"/>
  <c r="M289" i="2" s="1"/>
  <c r="N289" i="2" s="1"/>
  <c r="S288" i="4" s="1"/>
  <c r="J294" i="2"/>
  <c r="K294" i="2" s="1"/>
  <c r="L294" i="2" s="1"/>
  <c r="M294" i="2" s="1"/>
  <c r="N294" i="2" s="1"/>
  <c r="S293" i="4" s="1"/>
  <c r="J304" i="2"/>
  <c r="K304" i="2" s="1"/>
  <c r="L304" i="2" s="1"/>
  <c r="M304" i="2" s="1"/>
  <c r="N304" i="2" s="1"/>
  <c r="S303" i="4" s="1"/>
  <c r="J314" i="2"/>
  <c r="K314" i="2" s="1"/>
  <c r="L314" i="2" s="1"/>
  <c r="M314" i="2" s="1"/>
  <c r="N314" i="2" s="1"/>
  <c r="S313" i="4" s="1"/>
  <c r="J328" i="2"/>
  <c r="K328" i="2" s="1"/>
  <c r="L328" i="2" s="1"/>
  <c r="M328" i="2" s="1"/>
  <c r="N328" i="2" s="1"/>
  <c r="S327" i="4" s="1"/>
  <c r="J49" i="2"/>
  <c r="K49" i="2" s="1"/>
  <c r="L49" i="2" s="1"/>
  <c r="M49" i="2" s="1"/>
  <c r="N49" i="2" s="1"/>
  <c r="J55" i="2"/>
  <c r="J60" i="2"/>
  <c r="K60" i="2" s="1"/>
  <c r="L60" i="2" s="1"/>
  <c r="M60" i="2" s="1"/>
  <c r="N60" i="2" s="1"/>
  <c r="S59" i="4" s="1"/>
  <c r="J66" i="2"/>
  <c r="K66" i="2" s="1"/>
  <c r="L66" i="2" s="1"/>
  <c r="M66" i="2" s="1"/>
  <c r="N66" i="2" s="1"/>
  <c r="S65" i="4" s="1"/>
  <c r="J71" i="2"/>
  <c r="K71" i="2" s="1"/>
  <c r="L71" i="2" s="1"/>
  <c r="M71" i="2" s="1"/>
  <c r="N71" i="2" s="1"/>
  <c r="S70" i="4" s="1"/>
  <c r="J86" i="2"/>
  <c r="K86" i="2" s="1"/>
  <c r="L86" i="2" s="1"/>
  <c r="M86" i="2" s="1"/>
  <c r="N86" i="2" s="1"/>
  <c r="S85" i="4" s="1"/>
  <c r="J96" i="2"/>
  <c r="K96" i="2" s="1"/>
  <c r="L96" i="2" s="1"/>
  <c r="M96" i="2" s="1"/>
  <c r="N96" i="2" s="1"/>
  <c r="S95" i="4" s="1"/>
  <c r="J106" i="2"/>
  <c r="K106" i="2" s="1"/>
  <c r="L106" i="2" s="1"/>
  <c r="M106" i="2" s="1"/>
  <c r="N106" i="2" s="1"/>
  <c r="S105" i="4" s="1"/>
  <c r="J115" i="2"/>
  <c r="K115" i="2" s="1"/>
  <c r="L115" i="2" s="1"/>
  <c r="M115" i="2" s="1"/>
  <c r="N115" i="2" s="1"/>
  <c r="S114" i="4" s="1"/>
  <c r="J119" i="2"/>
  <c r="J128" i="2"/>
  <c r="K128" i="2" s="1"/>
  <c r="L128" i="2" s="1"/>
  <c r="M128" i="2" s="1"/>
  <c r="N128" i="2" s="1"/>
  <c r="S127" i="4" s="1"/>
  <c r="J133" i="2"/>
  <c r="K133" i="2" s="1"/>
  <c r="L133" i="2" s="1"/>
  <c r="M133" i="2" s="1"/>
  <c r="N133" i="2" s="1"/>
  <c r="S132" i="4" s="1"/>
  <c r="J138" i="2"/>
  <c r="K138" i="2" s="1"/>
  <c r="L138" i="2" s="1"/>
  <c r="M138" i="2" s="1"/>
  <c r="N138" i="2" s="1"/>
  <c r="S137" i="4" s="1"/>
  <c r="J147" i="2"/>
  <c r="K147" i="2" s="1"/>
  <c r="L147" i="2" s="1"/>
  <c r="M147" i="2" s="1"/>
  <c r="N147" i="2" s="1"/>
  <c r="S146" i="4" s="1"/>
  <c r="J151" i="2"/>
  <c r="K151" i="2" s="1"/>
  <c r="L151" i="2" s="1"/>
  <c r="M151" i="2" s="1"/>
  <c r="N151" i="2" s="1"/>
  <c r="S150" i="4" s="1"/>
  <c r="J156" i="2"/>
  <c r="K156" i="2" s="1"/>
  <c r="L156" i="2" s="1"/>
  <c r="M156" i="2" s="1"/>
  <c r="N156" i="2" s="1"/>
  <c r="S155" i="4" s="1"/>
  <c r="J161" i="2"/>
  <c r="K161" i="2" s="1"/>
  <c r="L161" i="2" s="1"/>
  <c r="M161" i="2" s="1"/>
  <c r="N161" i="2" s="1"/>
  <c r="S160" i="4" s="1"/>
  <c r="J165" i="2"/>
  <c r="J184" i="2"/>
  <c r="K184" i="2" s="1"/>
  <c r="L184" i="2" s="1"/>
  <c r="M184" i="2" s="1"/>
  <c r="N184" i="2" s="1"/>
  <c r="S183" i="4" s="1"/>
  <c r="J188" i="2"/>
  <c r="K188" i="2" s="1"/>
  <c r="L188" i="2" s="1"/>
  <c r="M188" i="2" s="1"/>
  <c r="N188" i="2" s="1"/>
  <c r="S187" i="4" s="1"/>
  <c r="J193" i="2"/>
  <c r="K193" i="2" s="1"/>
  <c r="L193" i="2" s="1"/>
  <c r="M193" i="2" s="1"/>
  <c r="N193" i="2" s="1"/>
  <c r="S192" i="4" s="1"/>
  <c r="J197" i="2"/>
  <c r="K197" i="2" s="1"/>
  <c r="L197" i="2" s="1"/>
  <c r="M197" i="2" s="1"/>
  <c r="N197" i="2" s="1"/>
  <c r="S196" i="4" s="1"/>
  <c r="J202" i="2"/>
  <c r="K202" i="2" s="1"/>
  <c r="L202" i="2" s="1"/>
  <c r="M202" i="2" s="1"/>
  <c r="N202" i="2" s="1"/>
  <c r="S201" i="4" s="1"/>
  <c r="J205" i="2"/>
  <c r="K205" i="2" s="1"/>
  <c r="L205" i="2" s="1"/>
  <c r="M205" i="2" s="1"/>
  <c r="N205" i="2" s="1"/>
  <c r="S204" i="4" s="1"/>
  <c r="J210" i="2"/>
  <c r="K210" i="2" s="1"/>
  <c r="L210" i="2" s="1"/>
  <c r="M210" i="2" s="1"/>
  <c r="N210" i="2" s="1"/>
  <c r="J213" i="2"/>
  <c r="J222" i="2"/>
  <c r="K222" i="2" s="1"/>
  <c r="L222" i="2" s="1"/>
  <c r="M222" i="2" s="1"/>
  <c r="N222" i="2" s="1"/>
  <c r="S221" i="4" s="1"/>
  <c r="J232" i="2"/>
  <c r="K232" i="2" s="1"/>
  <c r="L232" i="2" s="1"/>
  <c r="M232" i="2" s="1"/>
  <c r="N232" i="2" s="1"/>
  <c r="S231" i="4" s="1"/>
  <c r="J242" i="2"/>
  <c r="K242" i="2" s="1"/>
  <c r="L242" i="2" s="1"/>
  <c r="M242" i="2" s="1"/>
  <c r="N242" i="2" s="1"/>
  <c r="S241" i="4" s="1"/>
  <c r="J257" i="2"/>
  <c r="K257" i="2" s="1"/>
  <c r="L257" i="2" s="1"/>
  <c r="M257" i="2" s="1"/>
  <c r="N257" i="2" s="1"/>
  <c r="S256" i="4" s="1"/>
  <c r="J266" i="2"/>
  <c r="K266" i="2" s="1"/>
  <c r="L266" i="2" s="1"/>
  <c r="M266" i="2" s="1"/>
  <c r="N266" i="2" s="1"/>
  <c r="S265" i="4" s="1"/>
  <c r="J279" i="2"/>
  <c r="K279" i="2" s="1"/>
  <c r="L279" i="2" s="1"/>
  <c r="M279" i="2" s="1"/>
  <c r="N279" i="2" s="1"/>
  <c r="S278" i="4" s="1"/>
  <c r="J300" i="2"/>
  <c r="K300" i="2" s="1"/>
  <c r="L300" i="2" s="1"/>
  <c r="M300" i="2" s="1"/>
  <c r="N300" i="2" s="1"/>
  <c r="S299" i="4" s="1"/>
  <c r="J305" i="2"/>
  <c r="J309" i="2"/>
  <c r="K309" i="2" s="1"/>
  <c r="L309" i="2" s="1"/>
  <c r="M309" i="2" s="1"/>
  <c r="N309" i="2" s="1"/>
  <c r="S308" i="4" s="1"/>
  <c r="J315" i="2"/>
  <c r="K315" i="2" s="1"/>
  <c r="L315" i="2" s="1"/>
  <c r="M315" i="2" s="1"/>
  <c r="N315" i="2" s="1"/>
  <c r="S314" i="4" s="1"/>
  <c r="J319" i="2"/>
  <c r="K319" i="2" s="1"/>
  <c r="L319" i="2" s="1"/>
  <c r="M319" i="2" s="1"/>
  <c r="N319" i="2" s="1"/>
  <c r="S318" i="4" s="1"/>
  <c r="J324" i="2"/>
  <c r="K324" i="2" s="1"/>
  <c r="L324" i="2" s="1"/>
  <c r="M324" i="2" s="1"/>
  <c r="N324" i="2" s="1"/>
  <c r="S323" i="4" s="1"/>
  <c r="J20" i="2"/>
  <c r="K20" i="2" s="1"/>
  <c r="L20" i="2" s="1"/>
  <c r="M20" i="2" s="1"/>
  <c r="N20" i="2" s="1"/>
  <c r="S19" i="4" s="1"/>
  <c r="J24" i="2"/>
  <c r="K24" i="2" s="1"/>
  <c r="L24" i="2" s="1"/>
  <c r="M24" i="2" s="1"/>
  <c r="N24" i="2" s="1"/>
  <c r="S23" i="4" s="1"/>
  <c r="J30" i="2"/>
  <c r="K30" i="2" s="1"/>
  <c r="L30" i="2" s="1"/>
  <c r="M30" i="2" s="1"/>
  <c r="N30" i="2" s="1"/>
  <c r="S29" i="4" s="1"/>
  <c r="J34" i="2"/>
  <c r="J15" i="2"/>
  <c r="K15" i="2" s="1"/>
  <c r="L15" i="2" s="1"/>
  <c r="M15" i="2" s="1"/>
  <c r="N15" i="2" s="1"/>
  <c r="S14" i="4" s="1"/>
  <c r="J52" i="2"/>
  <c r="K52" i="2" s="1"/>
  <c r="L52" i="2" s="1"/>
  <c r="M52" i="2" s="1"/>
  <c r="N52" i="2" s="1"/>
  <c r="S51" i="4" s="1"/>
  <c r="J99" i="2"/>
  <c r="K99" i="2" s="1"/>
  <c r="L99" i="2" s="1"/>
  <c r="M99" i="2" s="1"/>
  <c r="N99" i="2" s="1"/>
  <c r="S98" i="4" s="1"/>
  <c r="J44" i="2"/>
  <c r="K44" i="2" s="1"/>
  <c r="L44" i="2" s="1"/>
  <c r="M44" i="2" s="1"/>
  <c r="N44" i="2" s="1"/>
  <c r="S43" i="4" s="1"/>
  <c r="J50" i="2"/>
  <c r="K50" i="2" s="1"/>
  <c r="L50" i="2" s="1"/>
  <c r="M50" i="2" s="1"/>
  <c r="N50" i="2" s="1"/>
  <c r="S49" i="4" s="1"/>
  <c r="J56" i="2"/>
  <c r="K56" i="2" s="1"/>
  <c r="L56" i="2" s="1"/>
  <c r="M56" i="2" s="1"/>
  <c r="N56" i="2" s="1"/>
  <c r="S55" i="4" s="1"/>
  <c r="J72" i="2"/>
  <c r="K72" i="2" s="1"/>
  <c r="L72" i="2" s="1"/>
  <c r="M72" i="2" s="1"/>
  <c r="N72" i="2" s="1"/>
  <c r="J77" i="2"/>
  <c r="K77" i="2" s="1"/>
  <c r="L77" i="2" s="1"/>
  <c r="M77" i="2" s="1"/>
  <c r="J83" i="2"/>
  <c r="K83" i="2" s="1"/>
  <c r="L83" i="2" s="1"/>
  <c r="M83" i="2" s="1"/>
  <c r="N83" i="2" s="1"/>
  <c r="S82" i="4" s="1"/>
  <c r="J87" i="2"/>
  <c r="K87" i="2" s="1"/>
  <c r="L87" i="2" s="1"/>
  <c r="M87" i="2" s="1"/>
  <c r="N87" i="2" s="1"/>
  <c r="S86" i="4" s="1"/>
  <c r="J92" i="2"/>
  <c r="K92" i="2" s="1"/>
  <c r="L92" i="2" s="1"/>
  <c r="M92" i="2" s="1"/>
  <c r="N92" i="2" s="1"/>
  <c r="J97" i="2"/>
  <c r="K97" i="2" s="1"/>
  <c r="L97" i="2" s="1"/>
  <c r="M97" i="2" s="1"/>
  <c r="N97" i="2" s="1"/>
  <c r="S96" i="4" s="1"/>
  <c r="J101" i="2"/>
  <c r="K101" i="2" s="1"/>
  <c r="L101" i="2" s="1"/>
  <c r="M101" i="2" s="1"/>
  <c r="N101" i="2" s="1"/>
  <c r="J120" i="2"/>
  <c r="K120" i="2" s="1"/>
  <c r="L120" i="2" s="1"/>
  <c r="M120" i="2" s="1"/>
  <c r="N120" i="2" s="1"/>
  <c r="S119" i="4" s="1"/>
  <c r="J124" i="2"/>
  <c r="K124" i="2" s="1"/>
  <c r="L124" i="2" s="1"/>
  <c r="M124" i="2" s="1"/>
  <c r="N124" i="2" s="1"/>
  <c r="J129" i="2"/>
  <c r="J152" i="2"/>
  <c r="K152" i="2" s="1"/>
  <c r="L152" i="2" s="1"/>
  <c r="M152" i="2" s="1"/>
  <c r="N152" i="2" s="1"/>
  <c r="S151" i="4" s="1"/>
  <c r="J162" i="2"/>
  <c r="K162" i="2" s="1"/>
  <c r="L162" i="2" s="1"/>
  <c r="M162" i="2" s="1"/>
  <c r="N162" i="2" s="1"/>
  <c r="S161" i="4" s="1"/>
  <c r="J171" i="2"/>
  <c r="K171" i="2" s="1"/>
  <c r="L171" i="2" s="1"/>
  <c r="M171" i="2" s="1"/>
  <c r="N171" i="2" s="1"/>
  <c r="S170" i="4" s="1"/>
  <c r="J174" i="2"/>
  <c r="K174" i="2" s="1"/>
  <c r="L174" i="2" s="1"/>
  <c r="M174" i="2" s="1"/>
  <c r="N174" i="2" s="1"/>
  <c r="S173" i="4" s="1"/>
  <c r="J180" i="2"/>
  <c r="K180" i="2" s="1"/>
  <c r="L180" i="2" s="1"/>
  <c r="M180" i="2" s="1"/>
  <c r="N180" i="2" s="1"/>
  <c r="S179" i="4" s="1"/>
  <c r="J194" i="2"/>
  <c r="K194" i="2" s="1"/>
  <c r="L194" i="2" s="1"/>
  <c r="M194" i="2" s="1"/>
  <c r="N194" i="2" s="1"/>
  <c r="S193" i="4" s="1"/>
  <c r="J218" i="2"/>
  <c r="K218" i="2" s="1"/>
  <c r="L218" i="2" s="1"/>
  <c r="M218" i="2" s="1"/>
  <c r="N218" i="2" s="1"/>
  <c r="S217" i="4" s="1"/>
  <c r="J223" i="2"/>
  <c r="J228" i="2"/>
  <c r="K228" i="2" s="1"/>
  <c r="L228" i="2" s="1"/>
  <c r="M228" i="2" s="1"/>
  <c r="N228" i="2" s="1"/>
  <c r="S227" i="4" s="1"/>
  <c r="J233" i="2"/>
  <c r="K233" i="2" s="1"/>
  <c r="L233" i="2" s="1"/>
  <c r="M233" i="2" s="1"/>
  <c r="N233" i="2" s="1"/>
  <c r="S232" i="4" s="1"/>
  <c r="J238" i="2"/>
  <c r="K238" i="2" s="1"/>
  <c r="L238" i="2" s="1"/>
  <c r="M238" i="2" s="1"/>
  <c r="N238" i="2" s="1"/>
  <c r="S237" i="4" s="1"/>
  <c r="J243" i="2"/>
  <c r="K243" i="2" s="1"/>
  <c r="L243" i="2" s="1"/>
  <c r="M243" i="2" s="1"/>
  <c r="N243" i="2" s="1"/>
  <c r="S242" i="4" s="1"/>
  <c r="J247" i="2"/>
  <c r="K247" i="2" s="1"/>
  <c r="L247" i="2" s="1"/>
  <c r="M247" i="2" s="1"/>
  <c r="N247" i="2" s="1"/>
  <c r="S246" i="4" s="1"/>
  <c r="J252" i="2"/>
  <c r="K252" i="2" s="1"/>
  <c r="L252" i="2" s="1"/>
  <c r="M252" i="2" s="1"/>
  <c r="N252" i="2" s="1"/>
  <c r="S251" i="4" s="1"/>
  <c r="J261" i="2"/>
  <c r="K261" i="2" s="1"/>
  <c r="L261" i="2" s="1"/>
  <c r="M261" i="2" s="1"/>
  <c r="N261" i="2" s="1"/>
  <c r="S260" i="4" s="1"/>
  <c r="J267" i="2"/>
  <c r="K267" i="2" s="1"/>
  <c r="J270" i="2"/>
  <c r="K270" i="2" s="1"/>
  <c r="L270" i="2" s="1"/>
  <c r="M270" i="2" s="1"/>
  <c r="N270" i="2" s="1"/>
  <c r="S269" i="4" s="1"/>
  <c r="J276" i="2"/>
  <c r="K276" i="2" s="1"/>
  <c r="L276" i="2" s="1"/>
  <c r="M276" i="2" s="1"/>
  <c r="N276" i="2" s="1"/>
  <c r="S275" i="4" s="1"/>
  <c r="J280" i="2"/>
  <c r="K280" i="2" s="1"/>
  <c r="L280" i="2" s="1"/>
  <c r="M280" i="2" s="1"/>
  <c r="N280" i="2" s="1"/>
  <c r="S279" i="4" s="1"/>
  <c r="J285" i="2"/>
  <c r="K285" i="2" s="1"/>
  <c r="L285" i="2" s="1"/>
  <c r="M285" i="2" s="1"/>
  <c r="N285" i="2" s="1"/>
  <c r="S284" i="4" s="1"/>
  <c r="J290" i="2"/>
  <c r="K290" i="2" s="1"/>
  <c r="L290" i="2" s="1"/>
  <c r="M290" i="2" s="1"/>
  <c r="N290" i="2" s="1"/>
  <c r="S289" i="4" s="1"/>
  <c r="J295" i="2"/>
  <c r="K295" i="2" s="1"/>
  <c r="L295" i="2" s="1"/>
  <c r="M295" i="2" s="1"/>
  <c r="N295" i="2" s="1"/>
  <c r="S294" i="4" s="1"/>
  <c r="J320" i="2"/>
  <c r="K320" i="2" s="1"/>
  <c r="L320" i="2" s="1"/>
  <c r="M320" i="2" s="1"/>
  <c r="N320" i="2" s="1"/>
  <c r="S319" i="4" s="1"/>
  <c r="J35" i="2"/>
  <c r="J16" i="2"/>
  <c r="K16" i="2" s="1"/>
  <c r="L16" i="2" s="1"/>
  <c r="M16" i="2" s="1"/>
  <c r="N16" i="2" s="1"/>
  <c r="S15" i="4" s="1"/>
  <c r="J57" i="2"/>
  <c r="K57" i="2" s="1"/>
  <c r="L57" i="2" s="1"/>
  <c r="M57" i="2" s="1"/>
  <c r="N57" i="2" s="1"/>
  <c r="S56" i="4" s="1"/>
  <c r="J61" i="2"/>
  <c r="K61" i="2" s="1"/>
  <c r="L61" i="2" s="1"/>
  <c r="M61" i="2" s="1"/>
  <c r="N61" i="2" s="1"/>
  <c r="S60" i="4" s="1"/>
  <c r="J67" i="2"/>
  <c r="K67" i="2" s="1"/>
  <c r="L67" i="2" s="1"/>
  <c r="M67" i="2" s="1"/>
  <c r="N67" i="2" s="1"/>
  <c r="S66" i="4" s="1"/>
  <c r="J73" i="2"/>
  <c r="K73" i="2" s="1"/>
  <c r="L73" i="2" s="1"/>
  <c r="M73" i="2" s="1"/>
  <c r="N73" i="2" s="1"/>
  <c r="S72" i="4" s="1"/>
  <c r="J88" i="2"/>
  <c r="K88" i="2" s="1"/>
  <c r="L88" i="2" s="1"/>
  <c r="M88" i="2" s="1"/>
  <c r="N88" i="2" s="1"/>
  <c r="S87" i="4" s="1"/>
  <c r="J98" i="2"/>
  <c r="K98" i="2" s="1"/>
  <c r="L98" i="2" s="1"/>
  <c r="M98" i="2" s="1"/>
  <c r="N98" i="2" s="1"/>
  <c r="S97" i="4" s="1"/>
  <c r="J107" i="2"/>
  <c r="J110" i="2"/>
  <c r="K110" i="2" s="1"/>
  <c r="L110" i="2" s="1"/>
  <c r="M110" i="2" s="1"/>
  <c r="N110" i="2" s="1"/>
  <c r="S109" i="4" s="1"/>
  <c r="J116" i="2"/>
  <c r="J130" i="2"/>
  <c r="K130" i="2" s="1"/>
  <c r="L130" i="2" s="1"/>
  <c r="M130" i="2" s="1"/>
  <c r="N130" i="2" s="1"/>
  <c r="S129" i="4" s="1"/>
  <c r="J148" i="2"/>
  <c r="K148" i="2" s="1"/>
  <c r="L148" i="2" s="1"/>
  <c r="M148" i="2" s="1"/>
  <c r="N148" i="2" s="1"/>
  <c r="S147" i="4" s="1"/>
  <c r="J157" i="2"/>
  <c r="K157" i="2" s="1"/>
  <c r="L157" i="2" s="1"/>
  <c r="M157" i="2" s="1"/>
  <c r="N157" i="2" s="1"/>
  <c r="S156" i="4" s="1"/>
  <c r="J175" i="2"/>
  <c r="K175" i="2" s="1"/>
  <c r="L175" i="2" s="1"/>
  <c r="M175" i="2" s="1"/>
  <c r="N175" i="2" s="1"/>
  <c r="S174" i="4" s="1"/>
  <c r="J185" i="2"/>
  <c r="K185" i="2" s="1"/>
  <c r="L185" i="2" s="1"/>
  <c r="M185" i="2" s="1"/>
  <c r="N185" i="2" s="1"/>
  <c r="S184" i="4" s="1"/>
  <c r="J189" i="2"/>
  <c r="J214" i="2"/>
  <c r="K214" i="2" s="1"/>
  <c r="L214" i="2" s="1"/>
  <c r="M214" i="2" s="1"/>
  <c r="N214" i="2" s="1"/>
  <c r="S213" i="4" s="1"/>
  <c r="J219" i="2"/>
  <c r="J224" i="2"/>
  <c r="K224" i="2" s="1"/>
  <c r="L224" i="2" s="1"/>
  <c r="M224" i="2" s="1"/>
  <c r="N224" i="2" s="1"/>
  <c r="S223" i="4" s="1"/>
  <c r="J248" i="2"/>
  <c r="K248" i="2" s="1"/>
  <c r="L248" i="2" s="1"/>
  <c r="M248" i="2" s="1"/>
  <c r="N248" i="2" s="1"/>
  <c r="S247" i="4" s="1"/>
  <c r="J258" i="2"/>
  <c r="K258" i="2" s="1"/>
  <c r="L258" i="2" s="1"/>
  <c r="M258" i="2" s="1"/>
  <c r="N258" i="2" s="1"/>
  <c r="J271" i="2"/>
  <c r="K271" i="2" s="1"/>
  <c r="L271" i="2" s="1"/>
  <c r="M271" i="2" s="1"/>
  <c r="N271" i="2" s="1"/>
  <c r="S270" i="4" s="1"/>
  <c r="J281" i="2"/>
  <c r="K281" i="2" s="1"/>
  <c r="L281" i="2" s="1"/>
  <c r="M281" i="2" s="1"/>
  <c r="N281" i="2" s="1"/>
  <c r="S280" i="4" s="1"/>
  <c r="J291" i="2"/>
  <c r="J301" i="2"/>
  <c r="K301" i="2" s="1"/>
  <c r="L301" i="2" s="1"/>
  <c r="M301" i="2" s="1"/>
  <c r="N301" i="2" s="1"/>
  <c r="S300" i="4" s="1"/>
  <c r="J310" i="2"/>
  <c r="K310" i="2" s="1"/>
  <c r="L310" i="2" s="1"/>
  <c r="J316" i="2"/>
  <c r="K316" i="2" s="1"/>
  <c r="L316" i="2" s="1"/>
  <c r="M316" i="2" s="1"/>
  <c r="N316" i="2" s="1"/>
  <c r="S315" i="4" s="1"/>
  <c r="J321" i="2"/>
  <c r="K321" i="2" s="1"/>
  <c r="L321" i="2" s="1"/>
  <c r="M321" i="2" s="1"/>
  <c r="N321" i="2" s="1"/>
  <c r="S320" i="4" s="1"/>
  <c r="J325" i="2"/>
  <c r="K325" i="2" s="1"/>
  <c r="L325" i="2" s="1"/>
  <c r="M325" i="2" s="1"/>
  <c r="N325" i="2" s="1"/>
  <c r="S324" i="4" s="1"/>
  <c r="J21" i="2"/>
  <c r="K21" i="2" s="1"/>
  <c r="L21" i="2" s="1"/>
  <c r="M21" i="2" s="1"/>
  <c r="N21" i="2" s="1"/>
  <c r="S20" i="4" s="1"/>
  <c r="J25" i="2"/>
  <c r="K25" i="2" s="1"/>
  <c r="L25" i="2" s="1"/>
  <c r="M25" i="2" s="1"/>
  <c r="N25" i="2" s="1"/>
  <c r="S24" i="4" s="1"/>
  <c r="J31" i="2"/>
  <c r="J36" i="2"/>
  <c r="K36" i="2" s="1"/>
  <c r="L36" i="2" s="1"/>
  <c r="M36" i="2" s="1"/>
  <c r="N36" i="2" s="1"/>
  <c r="S35" i="4" s="1"/>
  <c r="J40" i="2"/>
  <c r="J311" i="2"/>
  <c r="K311" i="2" s="1"/>
  <c r="L311" i="2" s="1"/>
  <c r="M311" i="2" s="1"/>
  <c r="N311" i="2" s="1"/>
  <c r="S310" i="4" s="1"/>
  <c r="J22" i="2"/>
  <c r="K22" i="2" s="1"/>
  <c r="L22" i="2" s="1"/>
  <c r="M22" i="2" s="1"/>
  <c r="N22" i="2" s="1"/>
  <c r="S21" i="4" s="1"/>
  <c r="J46" i="2"/>
  <c r="K46" i="2" s="1"/>
  <c r="L46" i="2" s="1"/>
  <c r="M46" i="2" s="1"/>
  <c r="N46" i="2" s="1"/>
  <c r="S45" i="4" s="1"/>
  <c r="J89" i="2"/>
  <c r="K89" i="2" s="1"/>
  <c r="L89" i="2" s="1"/>
  <c r="M89" i="2" s="1"/>
  <c r="N89" i="2" s="1"/>
  <c r="S88" i="4" s="1"/>
  <c r="J112" i="2"/>
  <c r="K112" i="2" s="1"/>
  <c r="L112" i="2" s="1"/>
  <c r="M112" i="2" s="1"/>
  <c r="N112" i="2" s="1"/>
  <c r="S111" i="4" s="1"/>
  <c r="J45" i="2"/>
  <c r="K45" i="2" s="1"/>
  <c r="L45" i="2" s="1"/>
  <c r="M45" i="2" s="1"/>
  <c r="J51" i="2"/>
  <c r="K51" i="2" s="1"/>
  <c r="L51" i="2" s="1"/>
  <c r="M51" i="2" s="1"/>
  <c r="N51" i="2" s="1"/>
  <c r="S50" i="4" s="1"/>
  <c r="J58" i="2"/>
  <c r="J62" i="2"/>
  <c r="K62" i="2" s="1"/>
  <c r="L62" i="2" s="1"/>
  <c r="M62" i="2" s="1"/>
  <c r="N62" i="2" s="1"/>
  <c r="S61" i="4" s="1"/>
  <c r="J74" i="2"/>
  <c r="K74" i="2" s="1"/>
  <c r="L74" i="2" s="1"/>
  <c r="M74" i="2" s="1"/>
  <c r="N74" i="2" s="1"/>
  <c r="S73" i="4" s="1"/>
  <c r="J78" i="2"/>
  <c r="K78" i="2" s="1"/>
  <c r="L78" i="2" s="1"/>
  <c r="M78" i="2" s="1"/>
  <c r="N78" i="2" s="1"/>
  <c r="S77" i="4" s="1"/>
  <c r="J84" i="2"/>
  <c r="K84" i="2" s="1"/>
  <c r="L84" i="2" s="1"/>
  <c r="M84" i="2" s="1"/>
  <c r="N84" i="2" s="1"/>
  <c r="S83" i="4" s="1"/>
  <c r="J93" i="2"/>
  <c r="K93" i="2" s="1"/>
  <c r="L93" i="2" s="1"/>
  <c r="M93" i="2" s="1"/>
  <c r="N93" i="2" s="1"/>
  <c r="J111" i="2"/>
  <c r="K111" i="2" s="1"/>
  <c r="L111" i="2" s="1"/>
  <c r="M111" i="2" s="1"/>
  <c r="J121" i="2"/>
  <c r="K121" i="2" s="1"/>
  <c r="L121" i="2" s="1"/>
  <c r="M121" i="2" s="1"/>
  <c r="N121" i="2" s="1"/>
  <c r="S120" i="4" s="1"/>
  <c r="J125" i="2"/>
  <c r="K125" i="2" s="1"/>
  <c r="L125" i="2" s="1"/>
  <c r="J134" i="2"/>
  <c r="K134" i="2" s="1"/>
  <c r="L134" i="2" s="1"/>
  <c r="M134" i="2" s="1"/>
  <c r="N134" i="2" s="1"/>
  <c r="S133" i="4" s="1"/>
  <c r="J143" i="2"/>
  <c r="K143" i="2" s="1"/>
  <c r="L143" i="2" s="1"/>
  <c r="M143" i="2" s="1"/>
  <c r="N143" i="2" s="1"/>
  <c r="S142" i="4" s="1"/>
  <c r="J153" i="2"/>
  <c r="K153" i="2" s="1"/>
  <c r="L153" i="2" s="1"/>
  <c r="M153" i="2" s="1"/>
  <c r="N153" i="2" s="1"/>
  <c r="S152" i="4" s="1"/>
  <c r="J163" i="2"/>
  <c r="K163" i="2" s="1"/>
  <c r="L163" i="2" s="1"/>
  <c r="M163" i="2" s="1"/>
  <c r="N163" i="2" s="1"/>
  <c r="S162" i="4" s="1"/>
  <c r="J166" i="2"/>
  <c r="K166" i="2" s="1"/>
  <c r="L166" i="2" s="1"/>
  <c r="M166" i="2" s="1"/>
  <c r="N166" i="2" s="1"/>
  <c r="S165" i="4" s="1"/>
  <c r="J176" i="2"/>
  <c r="K176" i="2" s="1"/>
  <c r="L176" i="2" s="1"/>
  <c r="J181" i="2"/>
  <c r="K181" i="2" s="1"/>
  <c r="L181" i="2" s="1"/>
  <c r="M181" i="2" s="1"/>
  <c r="N181" i="2" s="1"/>
  <c r="S180" i="4" s="1"/>
  <c r="J186" i="2"/>
  <c r="J195" i="2"/>
  <c r="K195" i="2" s="1"/>
  <c r="L195" i="2" s="1"/>
  <c r="M195" i="2" s="1"/>
  <c r="N195" i="2" s="1"/>
  <c r="S194" i="4" s="1"/>
  <c r="J198" i="2"/>
  <c r="K198" i="2" s="1"/>
  <c r="L198" i="2" s="1"/>
  <c r="M198" i="2" s="1"/>
  <c r="N198" i="2" s="1"/>
  <c r="S197" i="4" s="1"/>
  <c r="J203" i="2"/>
  <c r="K203" i="2" s="1"/>
  <c r="L203" i="2" s="1"/>
  <c r="M203" i="2" s="1"/>
  <c r="N203" i="2" s="1"/>
  <c r="S202" i="4" s="1"/>
  <c r="J206" i="2"/>
  <c r="K206" i="2" s="1"/>
  <c r="L206" i="2" s="1"/>
  <c r="M206" i="2" s="1"/>
  <c r="N206" i="2" s="1"/>
  <c r="S205" i="4" s="1"/>
  <c r="J211" i="2"/>
  <c r="K211" i="2" s="1"/>
  <c r="L211" i="2" s="1"/>
  <c r="M211" i="2" s="1"/>
  <c r="N211" i="2" s="1"/>
  <c r="S210" i="4" s="1"/>
  <c r="J225" i="2"/>
  <c r="J229" i="2"/>
  <c r="K229" i="2" s="1"/>
  <c r="L229" i="2" s="1"/>
  <c r="M229" i="2" s="1"/>
  <c r="N229" i="2" s="1"/>
  <c r="S228" i="4" s="1"/>
  <c r="J234" i="2"/>
  <c r="J239" i="2"/>
  <c r="K239" i="2" s="1"/>
  <c r="L239" i="2" s="1"/>
  <c r="M239" i="2" s="1"/>
  <c r="N239" i="2" s="1"/>
  <c r="S238" i="4" s="1"/>
  <c r="J244" i="2"/>
  <c r="K244" i="2" s="1"/>
  <c r="L244" i="2" s="1"/>
  <c r="M244" i="2" s="1"/>
  <c r="N244" i="2" s="1"/>
  <c r="S243" i="4" s="1"/>
  <c r="J249" i="2"/>
  <c r="K249" i="2" s="1"/>
  <c r="L249" i="2" s="1"/>
  <c r="M249" i="2" s="1"/>
  <c r="N249" i="2" s="1"/>
  <c r="J253" i="2"/>
  <c r="K253" i="2" s="1"/>
  <c r="L253" i="2" s="1"/>
  <c r="M253" i="2" s="1"/>
  <c r="N253" i="2" s="1"/>
  <c r="S252" i="4" s="1"/>
  <c r="J259" i="2"/>
  <c r="K259" i="2" s="1"/>
  <c r="L259" i="2" s="1"/>
  <c r="M259" i="2" s="1"/>
  <c r="N259" i="2" s="1"/>
  <c r="S258" i="4" s="1"/>
  <c r="J262" i="2"/>
  <c r="J268" i="2"/>
  <c r="K268" i="2" s="1"/>
  <c r="L268" i="2" s="1"/>
  <c r="M268" i="2" s="1"/>
  <c r="N268" i="2" s="1"/>
  <c r="S267" i="4" s="1"/>
  <c r="J272" i="2"/>
  <c r="K272" i="2" s="1"/>
  <c r="L272" i="2" s="1"/>
  <c r="M272" i="2" s="1"/>
  <c r="N272" i="2" s="1"/>
  <c r="S271" i="4" s="1"/>
  <c r="J286" i="2"/>
  <c r="K286" i="2" s="1"/>
  <c r="L286" i="2" s="1"/>
  <c r="M286" i="2" s="1"/>
  <c r="N286" i="2" s="1"/>
  <c r="S285" i="4" s="1"/>
  <c r="J306" i="2"/>
  <c r="K306" i="2" s="1"/>
  <c r="L306" i="2" s="1"/>
  <c r="M306" i="2" s="1"/>
  <c r="N306" i="2" s="1"/>
  <c r="S305" i="4" s="1"/>
  <c r="J26" i="2"/>
  <c r="K26" i="2" s="1"/>
  <c r="L26" i="2" s="1"/>
  <c r="M26" i="2" s="1"/>
  <c r="N26" i="2" s="1"/>
  <c r="S25" i="4" s="1"/>
  <c r="J68" i="2"/>
  <c r="K68" i="2" s="1"/>
  <c r="L68" i="2" s="1"/>
  <c r="M68" i="2" s="1"/>
  <c r="N68" i="2" s="1"/>
  <c r="S67" i="4" s="1"/>
  <c r="J79" i="2"/>
  <c r="K79" i="2" s="1"/>
  <c r="L79" i="2" s="1"/>
  <c r="M79" i="2" s="1"/>
  <c r="N79" i="2" s="1"/>
  <c r="S78" i="4" s="1"/>
  <c r="J102" i="2"/>
  <c r="J47" i="2"/>
  <c r="K47" i="2" s="1"/>
  <c r="L47" i="2" s="1"/>
  <c r="M47" i="2" s="1"/>
  <c r="N47" i="2" s="1"/>
  <c r="S46" i="4" s="1"/>
  <c r="J59" i="2"/>
  <c r="K59" i="2" s="1"/>
  <c r="L59" i="2" s="1"/>
  <c r="J64" i="2"/>
  <c r="K64" i="2" s="1"/>
  <c r="L64" i="2" s="1"/>
  <c r="M64" i="2" s="1"/>
  <c r="N64" i="2" s="1"/>
  <c r="S63" i="4" s="1"/>
  <c r="J75" i="2"/>
  <c r="K75" i="2" s="1"/>
  <c r="L75" i="2" s="1"/>
  <c r="M75" i="2" s="1"/>
  <c r="N75" i="2" s="1"/>
  <c r="S74" i="4" s="1"/>
  <c r="J80" i="2"/>
  <c r="K80" i="2" s="1"/>
  <c r="L80" i="2" s="1"/>
  <c r="M80" i="2" s="1"/>
  <c r="N80" i="2" s="1"/>
  <c r="S79" i="4" s="1"/>
  <c r="J85" i="2"/>
  <c r="K85" i="2" s="1"/>
  <c r="L85" i="2" s="1"/>
  <c r="M85" i="2" s="1"/>
  <c r="N85" i="2" s="1"/>
  <c r="S84" i="4" s="1"/>
  <c r="J90" i="2"/>
  <c r="K90" i="2" s="1"/>
  <c r="L90" i="2" s="1"/>
  <c r="M90" i="2" s="1"/>
  <c r="N90" i="2" s="1"/>
  <c r="S89" i="4" s="1"/>
  <c r="J103" i="2"/>
  <c r="K103" i="2" s="1"/>
  <c r="L103" i="2" s="1"/>
  <c r="M103" i="2" s="1"/>
  <c r="N103" i="2" s="1"/>
  <c r="J108" i="2"/>
  <c r="K108" i="2" s="1"/>
  <c r="L108" i="2" s="1"/>
  <c r="M108" i="2" s="1"/>
  <c r="N108" i="2" s="1"/>
  <c r="S107" i="4" s="1"/>
  <c r="J113" i="2"/>
  <c r="J136" i="2"/>
  <c r="K136" i="2" s="1"/>
  <c r="L136" i="2" s="1"/>
  <c r="M136" i="2" s="1"/>
  <c r="N136" i="2" s="1"/>
  <c r="S135" i="4" s="1"/>
  <c r="J145" i="2"/>
  <c r="K145" i="2" s="1"/>
  <c r="L145" i="2" s="1"/>
  <c r="M145" i="2" s="1"/>
  <c r="N145" i="2" s="1"/>
  <c r="S144" i="4" s="1"/>
  <c r="J158" i="2"/>
  <c r="K158" i="2" s="1"/>
  <c r="L158" i="2" s="1"/>
  <c r="M158" i="2" s="1"/>
  <c r="N158" i="2" s="1"/>
  <c r="S157" i="4" s="1"/>
  <c r="J168" i="2"/>
  <c r="K168" i="2" s="1"/>
  <c r="L168" i="2" s="1"/>
  <c r="M168" i="2" s="1"/>
  <c r="N168" i="2" s="1"/>
  <c r="S167" i="4" s="1"/>
  <c r="J178" i="2"/>
  <c r="K178" i="2" s="1"/>
  <c r="L178" i="2" s="1"/>
  <c r="M178" i="2" s="1"/>
  <c r="N178" i="2" s="1"/>
  <c r="S177" i="4" s="1"/>
  <c r="J187" i="2"/>
  <c r="J190" i="2"/>
  <c r="K190" i="2" s="1"/>
  <c r="L190" i="2" s="1"/>
  <c r="M190" i="2" s="1"/>
  <c r="N190" i="2" s="1"/>
  <c r="S189" i="4" s="1"/>
  <c r="J114" i="2"/>
  <c r="J132" i="2"/>
  <c r="K132" i="2" s="1"/>
  <c r="L132" i="2" s="1"/>
  <c r="M132" i="2" s="1"/>
  <c r="N132" i="2" s="1"/>
  <c r="S131" i="4" s="1"/>
  <c r="J159" i="2"/>
  <c r="K159" i="2" s="1"/>
  <c r="L159" i="2" s="1"/>
  <c r="M159" i="2" s="1"/>
  <c r="N159" i="2" s="1"/>
  <c r="S158" i="4" s="1"/>
  <c r="J207" i="2"/>
  <c r="K207" i="2" s="1"/>
  <c r="L207" i="2" s="1"/>
  <c r="M207" i="2" s="1"/>
  <c r="N207" i="2" s="1"/>
  <c r="S206" i="4" s="1"/>
  <c r="J217" i="2"/>
  <c r="K217" i="2" s="1"/>
  <c r="L217" i="2" s="1"/>
  <c r="M217" i="2" s="1"/>
  <c r="N217" i="2" s="1"/>
  <c r="S216" i="4" s="1"/>
  <c r="J230" i="2"/>
  <c r="K230" i="2" s="1"/>
  <c r="L230" i="2" s="1"/>
  <c r="M230" i="2" s="1"/>
  <c r="N230" i="2" s="1"/>
  <c r="S229" i="4" s="1"/>
  <c r="J255" i="2"/>
  <c r="J282" i="2"/>
  <c r="K282" i="2" s="1"/>
  <c r="L282" i="2" s="1"/>
  <c r="M282" i="2" s="1"/>
  <c r="N282" i="2" s="1"/>
  <c r="S281" i="4" s="1"/>
  <c r="J303" i="2"/>
  <c r="J18" i="2"/>
  <c r="K18" i="2" s="1"/>
  <c r="L18" i="2" s="1"/>
  <c r="M18" i="2" s="1"/>
  <c r="N18" i="2" s="1"/>
  <c r="S17" i="4" s="1"/>
  <c r="J196" i="2"/>
  <c r="K196" i="2" s="1"/>
  <c r="L196" i="2" s="1"/>
  <c r="M196" i="2" s="1"/>
  <c r="N196" i="2" s="1"/>
  <c r="S195" i="4" s="1"/>
  <c r="J220" i="2"/>
  <c r="K220" i="2" s="1"/>
  <c r="L220" i="2" s="1"/>
  <c r="M220" i="2" s="1"/>
  <c r="N220" i="2" s="1"/>
  <c r="S219" i="4" s="1"/>
  <c r="J245" i="2"/>
  <c r="K245" i="2" s="1"/>
  <c r="L245" i="2" s="1"/>
  <c r="M245" i="2" s="1"/>
  <c r="N245" i="2" s="1"/>
  <c r="S244" i="4" s="1"/>
  <c r="J283" i="2"/>
  <c r="K283" i="2" s="1"/>
  <c r="L283" i="2" s="1"/>
  <c r="M283" i="2" s="1"/>
  <c r="N283" i="2" s="1"/>
  <c r="S282" i="4" s="1"/>
  <c r="J307" i="2"/>
  <c r="J318" i="2"/>
  <c r="K318" i="2" s="1"/>
  <c r="L318" i="2" s="1"/>
  <c r="M318" i="2" s="1"/>
  <c r="N318" i="2" s="1"/>
  <c r="S317" i="4" s="1"/>
  <c r="J27" i="2"/>
  <c r="J131" i="2"/>
  <c r="K131" i="2" s="1"/>
  <c r="L131" i="2" s="1"/>
  <c r="M131" i="2" s="1"/>
  <c r="N131" i="2" s="1"/>
  <c r="S130" i="4" s="1"/>
  <c r="J204" i="2"/>
  <c r="K204" i="2" s="1"/>
  <c r="L204" i="2" s="1"/>
  <c r="M204" i="2" s="1"/>
  <c r="N204" i="2" s="1"/>
  <c r="S203" i="4" s="1"/>
  <c r="J293" i="2"/>
  <c r="K293" i="2" s="1"/>
  <c r="L293" i="2" s="1"/>
  <c r="M293" i="2" s="1"/>
  <c r="N293" i="2" s="1"/>
  <c r="S292" i="4" s="1"/>
  <c r="J327" i="2"/>
  <c r="K327" i="2" s="1"/>
  <c r="L327" i="2" s="1"/>
  <c r="M327" i="2" s="1"/>
  <c r="N327" i="2" s="1"/>
  <c r="S326" i="4" s="1"/>
  <c r="J81" i="2"/>
  <c r="K81" i="2" s="1"/>
  <c r="L81" i="2" s="1"/>
  <c r="M81" i="2" s="1"/>
  <c r="N81" i="2" s="1"/>
  <c r="S80" i="4" s="1"/>
  <c r="J117" i="2"/>
  <c r="J135" i="2"/>
  <c r="K135" i="2" s="1"/>
  <c r="L135" i="2" s="1"/>
  <c r="M135" i="2" s="1"/>
  <c r="N135" i="2" s="1"/>
  <c r="S134" i="4" s="1"/>
  <c r="J144" i="2"/>
  <c r="J19" i="2"/>
  <c r="K19" i="2" s="1"/>
  <c r="L19" i="2" s="1"/>
  <c r="M19" i="2" s="1"/>
  <c r="N19" i="2" s="1"/>
  <c r="S18" i="4" s="1"/>
  <c r="J29" i="2"/>
  <c r="K29" i="2" s="1"/>
  <c r="L29" i="2" s="1"/>
  <c r="M29" i="2" s="1"/>
  <c r="N29" i="2" s="1"/>
  <c r="S28" i="4" s="1"/>
  <c r="J39" i="2"/>
  <c r="K39" i="2" s="1"/>
  <c r="L39" i="2" s="1"/>
  <c r="M39" i="2" s="1"/>
  <c r="N39" i="2" s="1"/>
  <c r="S38" i="4" s="1"/>
  <c r="J33" i="2"/>
  <c r="K33" i="2" s="1"/>
  <c r="L33" i="2" s="1"/>
  <c r="M33" i="2" s="1"/>
  <c r="N33" i="2" s="1"/>
  <c r="S32" i="4" s="1"/>
  <c r="J177" i="2"/>
  <c r="K177" i="2" s="1"/>
  <c r="L177" i="2" s="1"/>
  <c r="M177" i="2" s="1"/>
  <c r="N177" i="2" s="1"/>
  <c r="S176" i="4" s="1"/>
  <c r="J216" i="2"/>
  <c r="K216" i="2" s="1"/>
  <c r="J317" i="2"/>
  <c r="K317" i="2" s="1"/>
  <c r="L317" i="2" s="1"/>
  <c r="M317" i="2" s="1"/>
  <c r="N317" i="2" s="1"/>
  <c r="S316" i="4" s="1"/>
  <c r="J48" i="2"/>
  <c r="O47" i="4" s="1"/>
  <c r="J146" i="2"/>
  <c r="K146" i="2" s="1"/>
  <c r="L146" i="2" s="1"/>
  <c r="M146" i="2" s="1"/>
  <c r="N146" i="2" s="1"/>
  <c r="S145" i="4" s="1"/>
  <c r="J164" i="2"/>
  <c r="K164" i="2" s="1"/>
  <c r="L164" i="2" s="1"/>
  <c r="M164" i="2" s="1"/>
  <c r="N164" i="2" s="1"/>
  <c r="S163" i="4" s="1"/>
  <c r="J182" i="2"/>
  <c r="K182" i="2" s="1"/>
  <c r="L182" i="2" s="1"/>
  <c r="M182" i="2" s="1"/>
  <c r="N182" i="2" s="1"/>
  <c r="S181" i="4" s="1"/>
  <c r="J199" i="2"/>
  <c r="K199" i="2" s="1"/>
  <c r="L199" i="2" s="1"/>
  <c r="M199" i="2" s="1"/>
  <c r="N199" i="2" s="1"/>
  <c r="S198" i="4" s="1"/>
  <c r="J208" i="2"/>
  <c r="K208" i="2" s="1"/>
  <c r="L208" i="2" s="1"/>
  <c r="M208" i="2" s="1"/>
  <c r="N208" i="2" s="1"/>
  <c r="S207" i="4" s="1"/>
  <c r="J235" i="2"/>
  <c r="K235" i="2" s="1"/>
  <c r="L235" i="2" s="1"/>
  <c r="J260" i="2"/>
  <c r="K260" i="2" s="1"/>
  <c r="L260" i="2" s="1"/>
  <c r="M260" i="2" s="1"/>
  <c r="N260" i="2" s="1"/>
  <c r="J273" i="2"/>
  <c r="J41" i="2"/>
  <c r="K41" i="2" s="1"/>
  <c r="L41" i="2" s="1"/>
  <c r="M41" i="2" s="1"/>
  <c r="N41" i="2" s="1"/>
  <c r="S40" i="4" s="1"/>
  <c r="J23" i="2"/>
  <c r="K23" i="2" s="1"/>
  <c r="L23" i="2" s="1"/>
  <c r="M23" i="2" s="1"/>
  <c r="N23" i="2" s="1"/>
  <c r="S22" i="4" s="1"/>
  <c r="J32" i="2"/>
  <c r="K32" i="2" s="1"/>
  <c r="L32" i="2" s="1"/>
  <c r="M32" i="2" s="1"/>
  <c r="N32" i="2" s="1"/>
  <c r="S31" i="4" s="1"/>
  <c r="J42" i="2"/>
  <c r="K42" i="2" s="1"/>
  <c r="L42" i="2" s="1"/>
  <c r="M42" i="2" s="1"/>
  <c r="N42" i="2" s="1"/>
  <c r="S41" i="4" s="1"/>
  <c r="J264" i="2"/>
  <c r="K264" i="2" s="1"/>
  <c r="L264" i="2" s="1"/>
  <c r="M264" i="2" s="1"/>
  <c r="N264" i="2" s="1"/>
  <c r="S263" i="4" s="1"/>
  <c r="J313" i="2"/>
  <c r="J53" i="2"/>
  <c r="K53" i="2" s="1"/>
  <c r="L53" i="2" s="1"/>
  <c r="M53" i="2" s="1"/>
  <c r="N53" i="2" s="1"/>
  <c r="S52" i="4" s="1"/>
  <c r="J122" i="2"/>
  <c r="J149" i="2"/>
  <c r="K149" i="2" s="1"/>
  <c r="L149" i="2" s="1"/>
  <c r="M149" i="2" s="1"/>
  <c r="N149" i="2" s="1"/>
  <c r="S148" i="4" s="1"/>
  <c r="J167" i="2"/>
  <c r="K167" i="2" s="1"/>
  <c r="L167" i="2" s="1"/>
  <c r="M167" i="2" s="1"/>
  <c r="N167" i="2" s="1"/>
  <c r="S166" i="4" s="1"/>
  <c r="J221" i="2"/>
  <c r="K221" i="2" s="1"/>
  <c r="L221" i="2" s="1"/>
  <c r="M221" i="2" s="1"/>
  <c r="N221" i="2" s="1"/>
  <c r="S220" i="4" s="1"/>
  <c r="J308" i="2"/>
  <c r="K308" i="2" s="1"/>
  <c r="L308" i="2" s="1"/>
  <c r="M308" i="2" s="1"/>
  <c r="N308" i="2" s="1"/>
  <c r="S307" i="4" s="1"/>
  <c r="J322" i="2"/>
  <c r="K322" i="2" s="1"/>
  <c r="L322" i="2" s="1"/>
  <c r="M322" i="2" s="1"/>
  <c r="N322" i="2" s="1"/>
  <c r="S321" i="4" s="1"/>
  <c r="J154" i="2"/>
  <c r="J172" i="2"/>
  <c r="K172" i="2" s="1"/>
  <c r="L172" i="2" s="1"/>
  <c r="M172" i="2" s="1"/>
  <c r="N172" i="2" s="1"/>
  <c r="S171" i="4" s="1"/>
  <c r="J240" i="2"/>
  <c r="J288" i="2"/>
  <c r="K288" i="2" s="1"/>
  <c r="L288" i="2" s="1"/>
  <c r="M288" i="2" s="1"/>
  <c r="N288" i="2" s="1"/>
  <c r="S287" i="4" s="1"/>
  <c r="J37" i="2"/>
  <c r="K37" i="2" s="1"/>
  <c r="L37" i="2" s="1"/>
  <c r="M37" i="2" s="1"/>
  <c r="N37" i="2" s="1"/>
  <c r="S36" i="4" s="1"/>
  <c r="J254" i="2"/>
  <c r="K254" i="2" s="1"/>
  <c r="L254" i="2" s="1"/>
  <c r="M254" i="2" s="1"/>
  <c r="N254" i="2" s="1"/>
  <c r="S253" i="4" s="1"/>
  <c r="J17" i="2"/>
  <c r="K17" i="2" s="1"/>
  <c r="L17" i="2" s="1"/>
  <c r="M17" i="2" s="1"/>
  <c r="N17" i="2" s="1"/>
  <c r="S16" i="4" s="1"/>
  <c r="J38" i="2"/>
  <c r="K38" i="2" s="1"/>
  <c r="L38" i="2" s="1"/>
  <c r="M38" i="2" s="1"/>
  <c r="N38" i="2" s="1"/>
  <c r="S37" i="4" s="1"/>
  <c r="J94" i="2"/>
  <c r="K94" i="2" s="1"/>
  <c r="J123" i="2"/>
  <c r="K123" i="2" s="1"/>
  <c r="L123" i="2" s="1"/>
  <c r="M123" i="2" s="1"/>
  <c r="N123" i="2" s="1"/>
  <c r="S122" i="4" s="1"/>
  <c r="J169" i="2"/>
  <c r="K169" i="2" s="1"/>
  <c r="L169" i="2" s="1"/>
  <c r="J200" i="2"/>
  <c r="K200" i="2" s="1"/>
  <c r="L200" i="2" s="1"/>
  <c r="M200" i="2" s="1"/>
  <c r="N200" i="2" s="1"/>
  <c r="S199" i="4" s="1"/>
  <c r="J212" i="2"/>
  <c r="K212" i="2" s="1"/>
  <c r="L212" i="2" s="1"/>
  <c r="M212" i="2" s="1"/>
  <c r="N212" i="2" s="1"/>
  <c r="S211" i="4" s="1"/>
  <c r="J236" i="2"/>
  <c r="K236" i="2" s="1"/>
  <c r="L236" i="2" s="1"/>
  <c r="M236" i="2" s="1"/>
  <c r="N236" i="2" s="1"/>
  <c r="S235" i="4" s="1"/>
  <c r="J263" i="2"/>
  <c r="K263" i="2" s="1"/>
  <c r="L263" i="2" s="1"/>
  <c r="M263" i="2" s="1"/>
  <c r="N263" i="2" s="1"/>
  <c r="S262" i="4" s="1"/>
  <c r="J274" i="2"/>
  <c r="K274" i="2" s="1"/>
  <c r="L274" i="2" s="1"/>
  <c r="M274" i="2" s="1"/>
  <c r="N274" i="2" s="1"/>
  <c r="S273" i="4" s="1"/>
  <c r="J287" i="2"/>
  <c r="J298" i="2"/>
  <c r="K298" i="2" s="1"/>
  <c r="L298" i="2" s="1"/>
  <c r="M298" i="2" s="1"/>
  <c r="N298" i="2" s="1"/>
  <c r="S297" i="4" s="1"/>
  <c r="J312" i="2"/>
  <c r="K312" i="2" s="1"/>
  <c r="J323" i="2"/>
  <c r="K323" i="2" s="1"/>
  <c r="L323" i="2" s="1"/>
  <c r="M323" i="2" s="1"/>
  <c r="N323" i="2" s="1"/>
  <c r="S322" i="4" s="1"/>
  <c r="J43" i="2"/>
  <c r="K43" i="2" s="1"/>
  <c r="L43" i="2" s="1"/>
  <c r="M43" i="2" s="1"/>
  <c r="N43" i="2" s="1"/>
  <c r="S42" i="4" s="1"/>
  <c r="J63" i="2"/>
  <c r="K63" i="2" s="1"/>
  <c r="L63" i="2" s="1"/>
  <c r="M63" i="2" s="1"/>
  <c r="N63" i="2" s="1"/>
  <c r="S62" i="4" s="1"/>
  <c r="J250" i="2"/>
  <c r="K250" i="2" s="1"/>
  <c r="L250" i="2" s="1"/>
  <c r="M250" i="2" s="1"/>
  <c r="N250" i="2" s="1"/>
  <c r="J326" i="2"/>
  <c r="K326" i="2" s="1"/>
  <c r="L326" i="2" s="1"/>
  <c r="M326" i="2" s="1"/>
  <c r="N326" i="2" s="1"/>
  <c r="S325" i="4" s="1"/>
  <c r="J69" i="2"/>
  <c r="J104" i="2"/>
  <c r="K104" i="2" s="1"/>
  <c r="L104" i="2" s="1"/>
  <c r="M104" i="2" s="1"/>
  <c r="N104" i="2" s="1"/>
  <c r="S103" i="4" s="1"/>
  <c r="J126" i="2"/>
  <c r="J155" i="2"/>
  <c r="K155" i="2" s="1"/>
  <c r="L155" i="2" s="1"/>
  <c r="M155" i="2" s="1"/>
  <c r="N155" i="2" s="1"/>
  <c r="S154" i="4" s="1"/>
  <c r="J173" i="2"/>
  <c r="K173" i="2" s="1"/>
  <c r="L173" i="2" s="1"/>
  <c r="M173" i="2" s="1"/>
  <c r="N173" i="2" s="1"/>
  <c r="S172" i="4" s="1"/>
  <c r="J191" i="2"/>
  <c r="K191" i="2" s="1"/>
  <c r="L191" i="2" s="1"/>
  <c r="M191" i="2" s="1"/>
  <c r="N191" i="2" s="1"/>
  <c r="S190" i="4" s="1"/>
  <c r="J215" i="2"/>
  <c r="K215" i="2" s="1"/>
  <c r="L215" i="2" s="1"/>
  <c r="M215" i="2" s="1"/>
  <c r="N215" i="2" s="1"/>
  <c r="S214" i="4" s="1"/>
  <c r="J226" i="2"/>
  <c r="K226" i="2" s="1"/>
  <c r="L226" i="2" s="1"/>
  <c r="M226" i="2" s="1"/>
  <c r="N226" i="2" s="1"/>
  <c r="S225" i="4" s="1"/>
  <c r="J241" i="2"/>
  <c r="K241" i="2" s="1"/>
  <c r="J265" i="2"/>
  <c r="K265" i="2" s="1"/>
  <c r="L265" i="2" s="1"/>
  <c r="M265" i="2" s="1"/>
  <c r="N265" i="2" s="1"/>
  <c r="S264" i="4" s="1"/>
  <c r="J277" i="2"/>
  <c r="J292" i="2"/>
  <c r="K292" i="2" s="1"/>
  <c r="L292" i="2" s="1"/>
  <c r="M292" i="2" s="1"/>
  <c r="N292" i="2" s="1"/>
  <c r="S291" i="4" s="1"/>
  <c r="J302" i="2"/>
  <c r="K302" i="2" s="1"/>
  <c r="L302" i="2" s="1"/>
  <c r="M302" i="2" s="1"/>
  <c r="N302" i="2" s="1"/>
  <c r="S301" i="4" s="1"/>
  <c r="J28" i="2"/>
  <c r="K28" i="2" s="1"/>
  <c r="L28" i="2" s="1"/>
  <c r="M28" i="2" s="1"/>
  <c r="N28" i="2" s="1"/>
  <c r="S27" i="4" s="1"/>
  <c r="Q209" i="4"/>
  <c r="Q184" i="4"/>
  <c r="Q330" i="4"/>
  <c r="Q334" i="4"/>
  <c r="Q338" i="4"/>
  <c r="Q342" i="4"/>
  <c r="Q346" i="4"/>
  <c r="Q350" i="4"/>
  <c r="Q354" i="4"/>
  <c r="Q358" i="4"/>
  <c r="Q362" i="4"/>
  <c r="Q366" i="4"/>
  <c r="Q370" i="4"/>
  <c r="Q374" i="4"/>
  <c r="Q378" i="4"/>
  <c r="Q382" i="4"/>
  <c r="Q386" i="4"/>
  <c r="Q390" i="4"/>
  <c r="Q394" i="4"/>
  <c r="Q398" i="4"/>
  <c r="Q402" i="4"/>
  <c r="Q410" i="4"/>
  <c r="Q418" i="4"/>
  <c r="Q422" i="4"/>
  <c r="Q426" i="4"/>
  <c r="Q430" i="4"/>
  <c r="Q329" i="4"/>
  <c r="Q333" i="4"/>
  <c r="Q337" i="4"/>
  <c r="Q341" i="4"/>
  <c r="Q345" i="4"/>
  <c r="Q349" i="4"/>
  <c r="Q353" i="4"/>
  <c r="Q357" i="4"/>
  <c r="Q361" i="4"/>
  <c r="Q365" i="4"/>
  <c r="Q369" i="4"/>
  <c r="Q373" i="4"/>
  <c r="Q377" i="4"/>
  <c r="Q381" i="4"/>
  <c r="Q385" i="4"/>
  <c r="Q389" i="4"/>
  <c r="Q393" i="4"/>
  <c r="Q397" i="4"/>
  <c r="Q401" i="4"/>
  <c r="Q409" i="4"/>
  <c r="Q413" i="4"/>
  <c r="Q417" i="4"/>
  <c r="Q421" i="4"/>
  <c r="Q425" i="4"/>
  <c r="Q429" i="4"/>
  <c r="Q260" i="4"/>
  <c r="Q328" i="4"/>
  <c r="Q332" i="4"/>
  <c r="Q336" i="4"/>
  <c r="Q340" i="4"/>
  <c r="Q344" i="4"/>
  <c r="Q348" i="4"/>
  <c r="Q352" i="4"/>
  <c r="Q356" i="4"/>
  <c r="Q360" i="4"/>
  <c r="Q364" i="4"/>
  <c r="Q368" i="4"/>
  <c r="Q372" i="4"/>
  <c r="Q376" i="4"/>
  <c r="Q380" i="4"/>
  <c r="Q384" i="4"/>
  <c r="Q388" i="4"/>
  <c r="Q392" i="4"/>
  <c r="Q396" i="4"/>
  <c r="Q400" i="4"/>
  <c r="Q404" i="4"/>
  <c r="Q408" i="4"/>
  <c r="Q412" i="4"/>
  <c r="Q420" i="4"/>
  <c r="Q424" i="4"/>
  <c r="Q428" i="4"/>
  <c r="Q331" i="4"/>
  <c r="Q335" i="4"/>
  <c r="Q339" i="4"/>
  <c r="Q343" i="4"/>
  <c r="Q347" i="4"/>
  <c r="Q351" i="4"/>
  <c r="Q355" i="4"/>
  <c r="Q359" i="4"/>
  <c r="Q363" i="4"/>
  <c r="Q367" i="4"/>
  <c r="Q371" i="4"/>
  <c r="Q375" i="4"/>
  <c r="Q379" i="4"/>
  <c r="Q383" i="4"/>
  <c r="Q387" i="4"/>
  <c r="Q391" i="4"/>
  <c r="Q395" i="4"/>
  <c r="Q399" i="4"/>
  <c r="Q403" i="4"/>
  <c r="Q407" i="4"/>
  <c r="Q411" i="4"/>
  <c r="Q415" i="4"/>
  <c r="Q419" i="4"/>
  <c r="Q423" i="4"/>
  <c r="Q427" i="4"/>
  <c r="Q445" i="4"/>
  <c r="Q457" i="4"/>
  <c r="Q465" i="4"/>
  <c r="Q473" i="4"/>
  <c r="Q481" i="4"/>
  <c r="Q434" i="4"/>
  <c r="Q482" i="4"/>
  <c r="Q433" i="4"/>
  <c r="Q437" i="4"/>
  <c r="Q441" i="4"/>
  <c r="Q449" i="4"/>
  <c r="Q461" i="4"/>
  <c r="Q469" i="4"/>
  <c r="Q477" i="4"/>
  <c r="Q438" i="4"/>
  <c r="Q470" i="4"/>
  <c r="Q478" i="4"/>
  <c r="Q463" i="4"/>
  <c r="Q479" i="4"/>
  <c r="Q462" i="4"/>
  <c r="Q432" i="4"/>
  <c r="Q436" i="4"/>
  <c r="Q440" i="4"/>
  <c r="Q444" i="4"/>
  <c r="Q448" i="4"/>
  <c r="Q456" i="4"/>
  <c r="Q460" i="4"/>
  <c r="Q464" i="4"/>
  <c r="Q468" i="4"/>
  <c r="Q472" i="4"/>
  <c r="Q476" i="4"/>
  <c r="Q480" i="4"/>
  <c r="Q484" i="4"/>
  <c r="Q467" i="4"/>
  <c r="Q483" i="4"/>
  <c r="Q446" i="4"/>
  <c r="Q447" i="4"/>
  <c r="Q459" i="4"/>
  <c r="Q475" i="4"/>
  <c r="Q450" i="4"/>
  <c r="Q458" i="4"/>
  <c r="Q466" i="4"/>
  <c r="Q431" i="4"/>
  <c r="Q435" i="4"/>
  <c r="Q439" i="4"/>
  <c r="Q443" i="4"/>
  <c r="Q451" i="4"/>
  <c r="Q471" i="4"/>
  <c r="Q474" i="4"/>
  <c r="Q442" i="4"/>
  <c r="Q454" i="4"/>
  <c r="I457" i="4"/>
  <c r="S48" i="4"/>
  <c r="S123" i="4"/>
  <c r="S209" i="4"/>
  <c r="S71" i="4"/>
  <c r="S331" i="4"/>
  <c r="S335" i="4"/>
  <c r="S339" i="4"/>
  <c r="S343" i="4"/>
  <c r="S347" i="4"/>
  <c r="S351" i="4"/>
  <c r="S355" i="4"/>
  <c r="S359" i="4"/>
  <c r="S363" i="4"/>
  <c r="S367" i="4"/>
  <c r="S371" i="4"/>
  <c r="S375" i="4"/>
  <c r="S379" i="4"/>
  <c r="S383" i="4"/>
  <c r="S387" i="4"/>
  <c r="S391" i="4"/>
  <c r="S395" i="4"/>
  <c r="S399" i="4"/>
  <c r="S403" i="4"/>
  <c r="S407" i="4"/>
  <c r="S411" i="4"/>
  <c r="S415" i="4"/>
  <c r="S419" i="4"/>
  <c r="S423" i="4"/>
  <c r="S427" i="4"/>
  <c r="S274" i="4"/>
  <c r="S330" i="4"/>
  <c r="S334" i="4"/>
  <c r="S338" i="4"/>
  <c r="S342" i="4"/>
  <c r="S346" i="4"/>
  <c r="S350" i="4"/>
  <c r="S354" i="4"/>
  <c r="S358" i="4"/>
  <c r="S362" i="4"/>
  <c r="S366" i="4"/>
  <c r="S370" i="4"/>
  <c r="S374" i="4"/>
  <c r="S378" i="4"/>
  <c r="S382" i="4"/>
  <c r="S386" i="4"/>
  <c r="S390" i="4"/>
  <c r="S394" i="4"/>
  <c r="S398" i="4"/>
  <c r="S402" i="4"/>
  <c r="S410" i="4"/>
  <c r="S418" i="4"/>
  <c r="S422" i="4"/>
  <c r="S426" i="4"/>
  <c r="S329" i="4"/>
  <c r="S333" i="4"/>
  <c r="S337" i="4"/>
  <c r="S341" i="4"/>
  <c r="S345" i="4"/>
  <c r="S349" i="4"/>
  <c r="S353" i="4"/>
  <c r="S357" i="4"/>
  <c r="S361" i="4"/>
  <c r="S365" i="4"/>
  <c r="S369" i="4"/>
  <c r="S373" i="4"/>
  <c r="S377" i="4"/>
  <c r="S381" i="4"/>
  <c r="S385" i="4"/>
  <c r="S389" i="4"/>
  <c r="S393" i="4"/>
  <c r="S397" i="4"/>
  <c r="S401" i="4"/>
  <c r="S409" i="4"/>
  <c r="S413" i="4"/>
  <c r="S417" i="4"/>
  <c r="S421" i="4"/>
  <c r="S425" i="4"/>
  <c r="S429" i="4"/>
  <c r="S328" i="4"/>
  <c r="S332" i="4"/>
  <c r="S336" i="4"/>
  <c r="S340" i="4"/>
  <c r="S344" i="4"/>
  <c r="S348" i="4"/>
  <c r="S352" i="4"/>
  <c r="S356" i="4"/>
  <c r="S360" i="4"/>
  <c r="S364" i="4"/>
  <c r="S368" i="4"/>
  <c r="S372" i="4"/>
  <c r="S376" i="4"/>
  <c r="S380" i="4"/>
  <c r="S384" i="4"/>
  <c r="S388" i="4"/>
  <c r="S392" i="4"/>
  <c r="S396" i="4"/>
  <c r="S400" i="4"/>
  <c r="S404" i="4"/>
  <c r="S408" i="4"/>
  <c r="S412" i="4"/>
  <c r="S420" i="4"/>
  <c r="S424" i="4"/>
  <c r="S428" i="4"/>
  <c r="S454" i="4"/>
  <c r="S462" i="4"/>
  <c r="S470" i="4"/>
  <c r="S478" i="4"/>
  <c r="S471" i="4"/>
  <c r="S430" i="4"/>
  <c r="S434" i="4"/>
  <c r="S438" i="4"/>
  <c r="S442" i="4"/>
  <c r="S446" i="4"/>
  <c r="S450" i="4"/>
  <c r="S458" i="4"/>
  <c r="S466" i="4"/>
  <c r="S474" i="4"/>
  <c r="S482" i="4"/>
  <c r="S468" i="4"/>
  <c r="S484" i="4"/>
  <c r="S439" i="4"/>
  <c r="S447" i="4"/>
  <c r="S467" i="4"/>
  <c r="S479" i="4"/>
  <c r="S433" i="4"/>
  <c r="S437" i="4"/>
  <c r="S441" i="4"/>
  <c r="S445" i="4"/>
  <c r="S449" i="4"/>
  <c r="S457" i="4"/>
  <c r="S461" i="4"/>
  <c r="S465" i="4"/>
  <c r="S469" i="4"/>
  <c r="S473" i="4"/>
  <c r="S477" i="4"/>
  <c r="S481" i="4"/>
  <c r="S448" i="4"/>
  <c r="S472" i="4"/>
  <c r="S431" i="4"/>
  <c r="S463" i="4"/>
  <c r="S464" i="4"/>
  <c r="S480" i="4"/>
  <c r="S443" i="4"/>
  <c r="S475" i="4"/>
  <c r="S483" i="4"/>
  <c r="S432" i="4"/>
  <c r="S436" i="4"/>
  <c r="S440" i="4"/>
  <c r="S444" i="4"/>
  <c r="S456" i="4"/>
  <c r="S460" i="4"/>
  <c r="S476" i="4"/>
  <c r="S435" i="4"/>
  <c r="S451" i="4"/>
  <c r="S459" i="4"/>
  <c r="I438" i="4"/>
  <c r="O123" i="4"/>
  <c r="O29" i="4"/>
  <c r="O137" i="4"/>
  <c r="O209" i="4"/>
  <c r="O140" i="4"/>
  <c r="O97" i="4"/>
  <c r="O210" i="4"/>
  <c r="O289" i="4"/>
  <c r="O329" i="4"/>
  <c r="O333" i="4"/>
  <c r="O337" i="4"/>
  <c r="O341" i="4"/>
  <c r="O345" i="4"/>
  <c r="O349" i="4"/>
  <c r="O353" i="4"/>
  <c r="O357" i="4"/>
  <c r="O361" i="4"/>
  <c r="O365" i="4"/>
  <c r="O369" i="4"/>
  <c r="O373" i="4"/>
  <c r="O377" i="4"/>
  <c r="O381" i="4"/>
  <c r="O385" i="4"/>
  <c r="O389" i="4"/>
  <c r="O393" i="4"/>
  <c r="O397" i="4"/>
  <c r="O401" i="4"/>
  <c r="O409" i="4"/>
  <c r="O413" i="4"/>
  <c r="O417" i="4"/>
  <c r="O421" i="4"/>
  <c r="O425" i="4"/>
  <c r="O429" i="4"/>
  <c r="O256" i="4"/>
  <c r="O328" i="4"/>
  <c r="O332" i="4"/>
  <c r="O336" i="4"/>
  <c r="O340" i="4"/>
  <c r="O344" i="4"/>
  <c r="O348" i="4"/>
  <c r="O352" i="4"/>
  <c r="O356" i="4"/>
  <c r="O360" i="4"/>
  <c r="O364" i="4"/>
  <c r="O368" i="4"/>
  <c r="O372" i="4"/>
  <c r="O376" i="4"/>
  <c r="O380" i="4"/>
  <c r="O384" i="4"/>
  <c r="O388" i="4"/>
  <c r="O392" i="4"/>
  <c r="O396" i="4"/>
  <c r="O400" i="4"/>
  <c r="O404" i="4"/>
  <c r="O408" i="4"/>
  <c r="O412" i="4"/>
  <c r="O420" i="4"/>
  <c r="O424" i="4"/>
  <c r="O428" i="4"/>
  <c r="O319" i="4"/>
  <c r="O331" i="4"/>
  <c r="O335" i="4"/>
  <c r="O339" i="4"/>
  <c r="O343" i="4"/>
  <c r="O347" i="4"/>
  <c r="O351" i="4"/>
  <c r="O355" i="4"/>
  <c r="O359" i="4"/>
  <c r="O363" i="4"/>
  <c r="O367" i="4"/>
  <c r="O371" i="4"/>
  <c r="O375" i="4"/>
  <c r="O379" i="4"/>
  <c r="O383" i="4"/>
  <c r="O387" i="4"/>
  <c r="O391" i="4"/>
  <c r="O395" i="4"/>
  <c r="O399" i="4"/>
  <c r="O403" i="4"/>
  <c r="O407" i="4"/>
  <c r="O411" i="4"/>
  <c r="O415" i="4"/>
  <c r="O419" i="4"/>
  <c r="O423" i="4"/>
  <c r="O427" i="4"/>
  <c r="O274" i="4"/>
  <c r="O330" i="4"/>
  <c r="O334" i="4"/>
  <c r="O338" i="4"/>
  <c r="O342" i="4"/>
  <c r="O346" i="4"/>
  <c r="O350" i="4"/>
  <c r="O354" i="4"/>
  <c r="O358" i="4"/>
  <c r="O362" i="4"/>
  <c r="O366" i="4"/>
  <c r="O370" i="4"/>
  <c r="O374" i="4"/>
  <c r="O378" i="4"/>
  <c r="O382" i="4"/>
  <c r="O386" i="4"/>
  <c r="O390" i="4"/>
  <c r="O394" i="4"/>
  <c r="O398" i="4"/>
  <c r="O402" i="4"/>
  <c r="O410" i="4"/>
  <c r="O418" i="4"/>
  <c r="O422" i="4"/>
  <c r="O426" i="4"/>
  <c r="O430" i="4"/>
  <c r="O460" i="4"/>
  <c r="O468" i="4"/>
  <c r="O476" i="4"/>
  <c r="O484" i="4"/>
  <c r="O432" i="4"/>
  <c r="O436" i="4"/>
  <c r="O440" i="4"/>
  <c r="O444" i="4"/>
  <c r="O448" i="4"/>
  <c r="O456" i="4"/>
  <c r="O464" i="4"/>
  <c r="O472" i="4"/>
  <c r="O480" i="4"/>
  <c r="O446" i="4"/>
  <c r="O474" i="4"/>
  <c r="O473" i="4"/>
  <c r="O431" i="4"/>
  <c r="O435" i="4"/>
  <c r="O439" i="4"/>
  <c r="O443" i="4"/>
  <c r="O447" i="4"/>
  <c r="O451" i="4"/>
  <c r="O459" i="4"/>
  <c r="O463" i="4"/>
  <c r="O467" i="4"/>
  <c r="O471" i="4"/>
  <c r="O475" i="4"/>
  <c r="O479" i="4"/>
  <c r="O483" i="4"/>
  <c r="O458" i="4"/>
  <c r="O462" i="4"/>
  <c r="O478" i="4"/>
  <c r="O441" i="4"/>
  <c r="O457" i="4"/>
  <c r="O469" i="4"/>
  <c r="O477" i="4"/>
  <c r="O470" i="4"/>
  <c r="O433" i="4"/>
  <c r="O434" i="4"/>
  <c r="O438" i="4"/>
  <c r="O442" i="4"/>
  <c r="O450" i="4"/>
  <c r="O454" i="4"/>
  <c r="O466" i="4"/>
  <c r="O482" i="4"/>
  <c r="O445" i="4"/>
  <c r="O465" i="4"/>
  <c r="O481" i="4"/>
  <c r="O437" i="4"/>
  <c r="O449" i="4"/>
  <c r="O461" i="4"/>
  <c r="R24" i="4"/>
  <c r="R71" i="4"/>
  <c r="R111" i="4"/>
  <c r="R123" i="4"/>
  <c r="R90" i="4"/>
  <c r="R209" i="4"/>
  <c r="R184" i="4"/>
  <c r="R114" i="4"/>
  <c r="R258" i="4"/>
  <c r="R330" i="4"/>
  <c r="R334" i="4"/>
  <c r="R338" i="4"/>
  <c r="R342" i="4"/>
  <c r="R346" i="4"/>
  <c r="R350" i="4"/>
  <c r="R354" i="4"/>
  <c r="R358" i="4"/>
  <c r="R362" i="4"/>
  <c r="R366" i="4"/>
  <c r="R370" i="4"/>
  <c r="R374" i="4"/>
  <c r="R378" i="4"/>
  <c r="R382" i="4"/>
  <c r="R386" i="4"/>
  <c r="R390" i="4"/>
  <c r="R394" i="4"/>
  <c r="R398" i="4"/>
  <c r="R402" i="4"/>
  <c r="R410" i="4"/>
  <c r="R418" i="4"/>
  <c r="R422" i="4"/>
  <c r="R329" i="4"/>
  <c r="R333" i="4"/>
  <c r="R337" i="4"/>
  <c r="R341" i="4"/>
  <c r="R345" i="4"/>
  <c r="R349" i="4"/>
  <c r="R353" i="4"/>
  <c r="R357" i="4"/>
  <c r="R361" i="4"/>
  <c r="R365" i="4"/>
  <c r="R369" i="4"/>
  <c r="R373" i="4"/>
  <c r="R377" i="4"/>
  <c r="R381" i="4"/>
  <c r="R385" i="4"/>
  <c r="R389" i="4"/>
  <c r="R393" i="4"/>
  <c r="R397" i="4"/>
  <c r="R401" i="4"/>
  <c r="R409" i="4"/>
  <c r="R413" i="4"/>
  <c r="R417" i="4"/>
  <c r="R421" i="4"/>
  <c r="R425" i="4"/>
  <c r="R260" i="4"/>
  <c r="R328" i="4"/>
  <c r="R332" i="4"/>
  <c r="R336" i="4"/>
  <c r="R340" i="4"/>
  <c r="R344" i="4"/>
  <c r="R348" i="4"/>
  <c r="R352" i="4"/>
  <c r="R356" i="4"/>
  <c r="R360" i="4"/>
  <c r="R364" i="4"/>
  <c r="R368" i="4"/>
  <c r="R372" i="4"/>
  <c r="R376" i="4"/>
  <c r="R380" i="4"/>
  <c r="R384" i="4"/>
  <c r="R388" i="4"/>
  <c r="R392" i="4"/>
  <c r="R396" i="4"/>
  <c r="R400" i="4"/>
  <c r="R404" i="4"/>
  <c r="R408" i="4"/>
  <c r="R412" i="4"/>
  <c r="R420" i="4"/>
  <c r="R424" i="4"/>
  <c r="R428" i="4"/>
  <c r="R331" i="4"/>
  <c r="R363" i="4"/>
  <c r="R395" i="4"/>
  <c r="R426" i="4"/>
  <c r="R430" i="4"/>
  <c r="R434" i="4"/>
  <c r="R438" i="4"/>
  <c r="R442" i="4"/>
  <c r="R446" i="4"/>
  <c r="R450" i="4"/>
  <c r="R454" i="4"/>
  <c r="R458" i="4"/>
  <c r="R462" i="4"/>
  <c r="R466" i="4"/>
  <c r="R470" i="4"/>
  <c r="R474" i="4"/>
  <c r="R478" i="4"/>
  <c r="R482" i="4"/>
  <c r="R343" i="4"/>
  <c r="R375" i="4"/>
  <c r="R407" i="4"/>
  <c r="R427" i="4"/>
  <c r="R355" i="4"/>
  <c r="R387" i="4"/>
  <c r="R419" i="4"/>
  <c r="R433" i="4"/>
  <c r="R437" i="4"/>
  <c r="R441" i="4"/>
  <c r="R445" i="4"/>
  <c r="R449" i="4"/>
  <c r="R457" i="4"/>
  <c r="R461" i="4"/>
  <c r="R465" i="4"/>
  <c r="R469" i="4"/>
  <c r="R473" i="4"/>
  <c r="R477" i="4"/>
  <c r="R481" i="4"/>
  <c r="R335" i="4"/>
  <c r="R367" i="4"/>
  <c r="R399" i="4"/>
  <c r="R351" i="4"/>
  <c r="R347" i="4"/>
  <c r="R379" i="4"/>
  <c r="R411" i="4"/>
  <c r="R432" i="4"/>
  <c r="R436" i="4"/>
  <c r="R440" i="4"/>
  <c r="R444" i="4"/>
  <c r="R448" i="4"/>
  <c r="R456" i="4"/>
  <c r="R460" i="4"/>
  <c r="R464" i="4"/>
  <c r="R468" i="4"/>
  <c r="R472" i="4"/>
  <c r="R476" i="4"/>
  <c r="R480" i="4"/>
  <c r="R484" i="4"/>
  <c r="R263" i="4"/>
  <c r="R359" i="4"/>
  <c r="R391" i="4"/>
  <c r="R423" i="4"/>
  <c r="R383" i="4"/>
  <c r="R339" i="4"/>
  <c r="R371" i="4"/>
  <c r="R403" i="4"/>
  <c r="R429" i="4"/>
  <c r="R431" i="4"/>
  <c r="R435" i="4"/>
  <c r="R439" i="4"/>
  <c r="R443" i="4"/>
  <c r="R447" i="4"/>
  <c r="R451" i="4"/>
  <c r="R459" i="4"/>
  <c r="R463" i="4"/>
  <c r="R467" i="4"/>
  <c r="R471" i="4"/>
  <c r="R475" i="4"/>
  <c r="R479" i="4"/>
  <c r="R483" i="4"/>
  <c r="R415" i="4"/>
  <c r="I423" i="4"/>
  <c r="N15" i="4"/>
  <c r="N19" i="4"/>
  <c r="N23" i="4"/>
  <c r="N27" i="4"/>
  <c r="N31" i="4"/>
  <c r="N35" i="4"/>
  <c r="N39" i="4"/>
  <c r="N43" i="4"/>
  <c r="N47" i="4"/>
  <c r="N51" i="4"/>
  <c r="N55" i="4"/>
  <c r="N59" i="4"/>
  <c r="N63" i="4"/>
  <c r="N67" i="4"/>
  <c r="N71" i="4"/>
  <c r="N75" i="4"/>
  <c r="N79" i="4"/>
  <c r="N83" i="4"/>
  <c r="N87" i="4"/>
  <c r="N95" i="4"/>
  <c r="N99" i="4"/>
  <c r="N103" i="4"/>
  <c r="N107" i="4"/>
  <c r="N111" i="4"/>
  <c r="N115" i="4"/>
  <c r="N119" i="4"/>
  <c r="N123" i="4"/>
  <c r="N127" i="4"/>
  <c r="N18" i="4"/>
  <c r="N22" i="4"/>
  <c r="N26" i="4"/>
  <c r="N30" i="4"/>
  <c r="N34" i="4"/>
  <c r="N38" i="4"/>
  <c r="N42" i="4"/>
  <c r="N46" i="4"/>
  <c r="N50" i="4"/>
  <c r="N54" i="4"/>
  <c r="N58" i="4"/>
  <c r="N62" i="4"/>
  <c r="N66" i="4"/>
  <c r="N70" i="4"/>
  <c r="N74" i="4"/>
  <c r="N78" i="4"/>
  <c r="N82" i="4"/>
  <c r="N86" i="4"/>
  <c r="N90" i="4"/>
  <c r="N94" i="4"/>
  <c r="N98" i="4"/>
  <c r="N106" i="4"/>
  <c r="N110" i="4"/>
  <c r="N114" i="4"/>
  <c r="N118" i="4"/>
  <c r="N122" i="4"/>
  <c r="N126" i="4"/>
  <c r="N17" i="4"/>
  <c r="N21" i="4"/>
  <c r="N25" i="4"/>
  <c r="N29" i="4"/>
  <c r="N33" i="4"/>
  <c r="N37" i="4"/>
  <c r="N41" i="4"/>
  <c r="N45" i="4"/>
  <c r="N49" i="4"/>
  <c r="N53" i="4"/>
  <c r="N57" i="4"/>
  <c r="N61" i="4"/>
  <c r="N65" i="4"/>
  <c r="N69" i="4"/>
  <c r="N73" i="4"/>
  <c r="N77" i="4"/>
  <c r="N81" i="4"/>
  <c r="N85" i="4"/>
  <c r="N89" i="4"/>
  <c r="N93" i="4"/>
  <c r="N97" i="4"/>
  <c r="N101" i="4"/>
  <c r="N105" i="4"/>
  <c r="N109" i="4"/>
  <c r="N113" i="4"/>
  <c r="N117" i="4"/>
  <c r="N121" i="4"/>
  <c r="N125" i="4"/>
  <c r="N36" i="4"/>
  <c r="N52" i="4"/>
  <c r="N68" i="4"/>
  <c r="N84" i="4"/>
  <c r="N116" i="4"/>
  <c r="N16" i="4"/>
  <c r="N132" i="4"/>
  <c r="N136" i="4"/>
  <c r="N140" i="4"/>
  <c r="N144" i="4"/>
  <c r="N148" i="4"/>
  <c r="N152" i="4"/>
  <c r="N156" i="4"/>
  <c r="N160" i="4"/>
  <c r="N164" i="4"/>
  <c r="N168" i="4"/>
  <c r="N172" i="4"/>
  <c r="N176" i="4"/>
  <c r="N180" i="4"/>
  <c r="N184" i="4"/>
  <c r="N188" i="4"/>
  <c r="N192" i="4"/>
  <c r="N196" i="4"/>
  <c r="N200" i="4"/>
  <c r="N204" i="4"/>
  <c r="N208" i="4"/>
  <c r="N212" i="4"/>
  <c r="N216" i="4"/>
  <c r="N28" i="4"/>
  <c r="N48" i="4"/>
  <c r="N64" i="4"/>
  <c r="N80" i="4"/>
  <c r="N96" i="4"/>
  <c r="N112" i="4"/>
  <c r="N128" i="4"/>
  <c r="N40" i="4"/>
  <c r="N131" i="4"/>
  <c r="N135" i="4"/>
  <c r="N143" i="4"/>
  <c r="N147" i="4"/>
  <c r="N151" i="4"/>
  <c r="N155" i="4"/>
  <c r="N159" i="4"/>
  <c r="N163" i="4"/>
  <c r="N167" i="4"/>
  <c r="N171" i="4"/>
  <c r="N175" i="4"/>
  <c r="N179" i="4"/>
  <c r="N183" i="4"/>
  <c r="N187" i="4"/>
  <c r="N191" i="4"/>
  <c r="N195" i="4"/>
  <c r="N199" i="4"/>
  <c r="N203" i="4"/>
  <c r="N207" i="4"/>
  <c r="N211" i="4"/>
  <c r="N215" i="4"/>
  <c r="N20" i="4"/>
  <c r="N60" i="4"/>
  <c r="N76" i="4"/>
  <c r="N108" i="4"/>
  <c r="N124" i="4"/>
  <c r="N32" i="4"/>
  <c r="N130" i="4"/>
  <c r="N134" i="4"/>
  <c r="N142" i="4"/>
  <c r="N146" i="4"/>
  <c r="N150" i="4"/>
  <c r="N154" i="4"/>
  <c r="N158" i="4"/>
  <c r="N162" i="4"/>
  <c r="N166" i="4"/>
  <c r="N170" i="4"/>
  <c r="N174" i="4"/>
  <c r="N178" i="4"/>
  <c r="N182" i="4"/>
  <c r="N186" i="4"/>
  <c r="N190" i="4"/>
  <c r="N194" i="4"/>
  <c r="N198" i="4"/>
  <c r="N202" i="4"/>
  <c r="N206" i="4"/>
  <c r="N210" i="4"/>
  <c r="N214" i="4"/>
  <c r="N218" i="4"/>
  <c r="N44" i="4"/>
  <c r="N56" i="4"/>
  <c r="N72" i="4"/>
  <c r="N88" i="4"/>
  <c r="N104" i="4"/>
  <c r="N120" i="4"/>
  <c r="N157" i="4"/>
  <c r="N189" i="4"/>
  <c r="N24" i="4"/>
  <c r="N137" i="4"/>
  <c r="N169" i="4"/>
  <c r="N201" i="4"/>
  <c r="N220" i="4"/>
  <c r="N224" i="4"/>
  <c r="N228" i="4"/>
  <c r="N232" i="4"/>
  <c r="N236" i="4"/>
  <c r="N240" i="4"/>
  <c r="N244" i="4"/>
  <c r="N252" i="4"/>
  <c r="N256" i="4"/>
  <c r="N260" i="4"/>
  <c r="N264" i="4"/>
  <c r="N268" i="4"/>
  <c r="N272" i="4"/>
  <c r="N276" i="4"/>
  <c r="N280" i="4"/>
  <c r="N284" i="4"/>
  <c r="N288" i="4"/>
  <c r="N292" i="4"/>
  <c r="N300" i="4"/>
  <c r="N304" i="4"/>
  <c r="N308" i="4"/>
  <c r="N312" i="4"/>
  <c r="N316" i="4"/>
  <c r="N320" i="4"/>
  <c r="N324" i="4"/>
  <c r="N328" i="4"/>
  <c r="N332" i="4"/>
  <c r="N336" i="4"/>
  <c r="N340" i="4"/>
  <c r="N344" i="4"/>
  <c r="N348" i="4"/>
  <c r="N352" i="4"/>
  <c r="N356" i="4"/>
  <c r="N360" i="4"/>
  <c r="N364" i="4"/>
  <c r="N368" i="4"/>
  <c r="N372" i="4"/>
  <c r="N376" i="4"/>
  <c r="N380" i="4"/>
  <c r="N384" i="4"/>
  <c r="N388" i="4"/>
  <c r="N392" i="4"/>
  <c r="N396" i="4"/>
  <c r="N400" i="4"/>
  <c r="N404" i="4"/>
  <c r="N408" i="4"/>
  <c r="N412" i="4"/>
  <c r="N420" i="4"/>
  <c r="N424" i="4"/>
  <c r="N149" i="4"/>
  <c r="N181" i="4"/>
  <c r="N213" i="4"/>
  <c r="N129" i="4"/>
  <c r="N161" i="4"/>
  <c r="N193" i="4"/>
  <c r="N219" i="4"/>
  <c r="N223" i="4"/>
  <c r="N227" i="4"/>
  <c r="N231" i="4"/>
  <c r="N235" i="4"/>
  <c r="N239" i="4"/>
  <c r="N243" i="4"/>
  <c r="N247" i="4"/>
  <c r="N251" i="4"/>
  <c r="N255" i="4"/>
  <c r="N263" i="4"/>
  <c r="N267" i="4"/>
  <c r="N271" i="4"/>
  <c r="N275" i="4"/>
  <c r="N279" i="4"/>
  <c r="N283" i="4"/>
  <c r="N287" i="4"/>
  <c r="N291" i="4"/>
  <c r="N299" i="4"/>
  <c r="N303" i="4"/>
  <c r="N307" i="4"/>
  <c r="N311" i="4"/>
  <c r="N315" i="4"/>
  <c r="N319" i="4"/>
  <c r="N323" i="4"/>
  <c r="N327" i="4"/>
  <c r="N331" i="4"/>
  <c r="N335" i="4"/>
  <c r="N339" i="4"/>
  <c r="N343" i="4"/>
  <c r="N347" i="4"/>
  <c r="N351" i="4"/>
  <c r="N355" i="4"/>
  <c r="N359" i="4"/>
  <c r="N363" i="4"/>
  <c r="N367" i="4"/>
  <c r="N371" i="4"/>
  <c r="N375" i="4"/>
  <c r="N379" i="4"/>
  <c r="N383" i="4"/>
  <c r="N387" i="4"/>
  <c r="N391" i="4"/>
  <c r="N395" i="4"/>
  <c r="N399" i="4"/>
  <c r="N403" i="4"/>
  <c r="N407" i="4"/>
  <c r="N411" i="4"/>
  <c r="N415" i="4"/>
  <c r="N419" i="4"/>
  <c r="N423" i="4"/>
  <c r="N427" i="4"/>
  <c r="N173" i="4"/>
  <c r="N205" i="4"/>
  <c r="N153" i="4"/>
  <c r="N185" i="4"/>
  <c r="N217" i="4"/>
  <c r="N222" i="4"/>
  <c r="N226" i="4"/>
  <c r="N230" i="4"/>
  <c r="N234" i="4"/>
  <c r="N238" i="4"/>
  <c r="N242" i="4"/>
  <c r="N246" i="4"/>
  <c r="N250" i="4"/>
  <c r="N254" i="4"/>
  <c r="N258" i="4"/>
  <c r="N262" i="4"/>
  <c r="N266" i="4"/>
  <c r="N270" i="4"/>
  <c r="N274" i="4"/>
  <c r="N278" i="4"/>
  <c r="N282" i="4"/>
  <c r="N286" i="4"/>
  <c r="N290" i="4"/>
  <c r="N294" i="4"/>
  <c r="N302" i="4"/>
  <c r="N306" i="4"/>
  <c r="N310" i="4"/>
  <c r="N314" i="4"/>
  <c r="N318" i="4"/>
  <c r="N322" i="4"/>
  <c r="N326" i="4"/>
  <c r="N330" i="4"/>
  <c r="N334" i="4"/>
  <c r="N338" i="4"/>
  <c r="N342" i="4"/>
  <c r="N346" i="4"/>
  <c r="N350" i="4"/>
  <c r="N354" i="4"/>
  <c r="N358" i="4"/>
  <c r="N362" i="4"/>
  <c r="N366" i="4"/>
  <c r="N370" i="4"/>
  <c r="N374" i="4"/>
  <c r="N378" i="4"/>
  <c r="N382" i="4"/>
  <c r="N386" i="4"/>
  <c r="N390" i="4"/>
  <c r="N394" i="4"/>
  <c r="N398" i="4"/>
  <c r="N402" i="4"/>
  <c r="N410" i="4"/>
  <c r="N418" i="4"/>
  <c r="N422" i="4"/>
  <c r="N426" i="4"/>
  <c r="N430" i="4"/>
  <c r="N133" i="4"/>
  <c r="N165" i="4"/>
  <c r="N197" i="4"/>
  <c r="N225" i="4"/>
  <c r="N289" i="4"/>
  <c r="N321" i="4"/>
  <c r="N353" i="4"/>
  <c r="N385" i="4"/>
  <c r="N417" i="4"/>
  <c r="N432" i="4"/>
  <c r="N436" i="4"/>
  <c r="N440" i="4"/>
  <c r="N444" i="4"/>
  <c r="N448" i="4"/>
  <c r="N456" i="4"/>
  <c r="N460" i="4"/>
  <c r="N464" i="4"/>
  <c r="N468" i="4"/>
  <c r="N472" i="4"/>
  <c r="N476" i="4"/>
  <c r="N480" i="4"/>
  <c r="N484" i="4"/>
  <c r="N237" i="4"/>
  <c r="N269" i="4"/>
  <c r="N301" i="4"/>
  <c r="N333" i="4"/>
  <c r="N365" i="4"/>
  <c r="N397" i="4"/>
  <c r="N209" i="4"/>
  <c r="N281" i="4"/>
  <c r="N313" i="4"/>
  <c r="N345" i="4"/>
  <c r="N377" i="4"/>
  <c r="N409" i="4"/>
  <c r="N428" i="4"/>
  <c r="N431" i="4"/>
  <c r="N435" i="4"/>
  <c r="N439" i="4"/>
  <c r="N443" i="4"/>
  <c r="N447" i="4"/>
  <c r="N451" i="4"/>
  <c r="N459" i="4"/>
  <c r="N463" i="4"/>
  <c r="N467" i="4"/>
  <c r="N471" i="4"/>
  <c r="N475" i="4"/>
  <c r="N479" i="4"/>
  <c r="N483" i="4"/>
  <c r="N229" i="4"/>
  <c r="N261" i="4"/>
  <c r="N293" i="4"/>
  <c r="N325" i="4"/>
  <c r="N357" i="4"/>
  <c r="N389" i="4"/>
  <c r="N421" i="4"/>
  <c r="N14" i="4"/>
  <c r="N145" i="4"/>
  <c r="N241" i="4"/>
  <c r="N273" i="4"/>
  <c r="N305" i="4"/>
  <c r="N337" i="4"/>
  <c r="N369" i="4"/>
  <c r="N401" i="4"/>
  <c r="N429" i="4"/>
  <c r="N434" i="4"/>
  <c r="N438" i="4"/>
  <c r="N442" i="4"/>
  <c r="N446" i="4"/>
  <c r="N450" i="4"/>
  <c r="N454" i="4"/>
  <c r="N458" i="4"/>
  <c r="N462" i="4"/>
  <c r="N466" i="4"/>
  <c r="N470" i="4"/>
  <c r="N474" i="4"/>
  <c r="N478" i="4"/>
  <c r="N482" i="4"/>
  <c r="N341" i="4"/>
  <c r="N221" i="4"/>
  <c r="N253" i="4"/>
  <c r="N285" i="4"/>
  <c r="N317" i="4"/>
  <c r="N349" i="4"/>
  <c r="N381" i="4"/>
  <c r="N413" i="4"/>
  <c r="N233" i="4"/>
  <c r="N265" i="4"/>
  <c r="N297" i="4"/>
  <c r="N329" i="4"/>
  <c r="N361" i="4"/>
  <c r="N393" i="4"/>
  <c r="N425" i="4"/>
  <c r="N433" i="4"/>
  <c r="N437" i="4"/>
  <c r="N441" i="4"/>
  <c r="N445" i="4"/>
  <c r="N449" i="4"/>
  <c r="N457" i="4"/>
  <c r="N461" i="4"/>
  <c r="N465" i="4"/>
  <c r="N469" i="4"/>
  <c r="N473" i="4"/>
  <c r="N477" i="4"/>
  <c r="N481" i="4"/>
  <c r="N177" i="4"/>
  <c r="N245" i="4"/>
  <c r="N277" i="4"/>
  <c r="N309" i="4"/>
  <c r="N373" i="4"/>
  <c r="P71" i="4"/>
  <c r="P90" i="4"/>
  <c r="P165" i="4"/>
  <c r="P209" i="4"/>
  <c r="P160" i="4"/>
  <c r="P208" i="4"/>
  <c r="P210" i="4"/>
  <c r="P329" i="4"/>
  <c r="P333" i="4"/>
  <c r="P337" i="4"/>
  <c r="P341" i="4"/>
  <c r="P345" i="4"/>
  <c r="P349" i="4"/>
  <c r="P353" i="4"/>
  <c r="P357" i="4"/>
  <c r="P361" i="4"/>
  <c r="P365" i="4"/>
  <c r="P369" i="4"/>
  <c r="P373" i="4"/>
  <c r="P377" i="4"/>
  <c r="P381" i="4"/>
  <c r="P385" i="4"/>
  <c r="P389" i="4"/>
  <c r="P393" i="4"/>
  <c r="P397" i="4"/>
  <c r="P401" i="4"/>
  <c r="P409" i="4"/>
  <c r="P413" i="4"/>
  <c r="P417" i="4"/>
  <c r="P421" i="4"/>
  <c r="P425" i="4"/>
  <c r="P220" i="4"/>
  <c r="P260" i="4"/>
  <c r="P328" i="4"/>
  <c r="P332" i="4"/>
  <c r="P336" i="4"/>
  <c r="P340" i="4"/>
  <c r="P344" i="4"/>
  <c r="P348" i="4"/>
  <c r="P352" i="4"/>
  <c r="P356" i="4"/>
  <c r="P360" i="4"/>
  <c r="P364" i="4"/>
  <c r="P368" i="4"/>
  <c r="P372" i="4"/>
  <c r="P376" i="4"/>
  <c r="P380" i="4"/>
  <c r="P384" i="4"/>
  <c r="P388" i="4"/>
  <c r="P392" i="4"/>
  <c r="P396" i="4"/>
  <c r="P400" i="4"/>
  <c r="P404" i="4"/>
  <c r="P408" i="4"/>
  <c r="P412" i="4"/>
  <c r="P420" i="4"/>
  <c r="P424" i="4"/>
  <c r="P299" i="4"/>
  <c r="P327" i="4"/>
  <c r="P331" i="4"/>
  <c r="P335" i="4"/>
  <c r="P339" i="4"/>
  <c r="P343" i="4"/>
  <c r="P347" i="4"/>
  <c r="P351" i="4"/>
  <c r="P355" i="4"/>
  <c r="P359" i="4"/>
  <c r="P363" i="4"/>
  <c r="P367" i="4"/>
  <c r="P371" i="4"/>
  <c r="P375" i="4"/>
  <c r="P379" i="4"/>
  <c r="P383" i="4"/>
  <c r="P387" i="4"/>
  <c r="P391" i="4"/>
  <c r="P395" i="4"/>
  <c r="P399" i="4"/>
  <c r="P403" i="4"/>
  <c r="P407" i="4"/>
  <c r="P411" i="4"/>
  <c r="P415" i="4"/>
  <c r="P419" i="4"/>
  <c r="P423" i="4"/>
  <c r="P427" i="4"/>
  <c r="P342" i="4"/>
  <c r="P374" i="4"/>
  <c r="P433" i="4"/>
  <c r="P437" i="4"/>
  <c r="P441" i="4"/>
  <c r="P445" i="4"/>
  <c r="P449" i="4"/>
  <c r="P457" i="4"/>
  <c r="P461" i="4"/>
  <c r="P465" i="4"/>
  <c r="P469" i="4"/>
  <c r="P473" i="4"/>
  <c r="P477" i="4"/>
  <c r="P481" i="4"/>
  <c r="P354" i="4"/>
  <c r="P386" i="4"/>
  <c r="P418" i="4"/>
  <c r="P334" i="4"/>
  <c r="P366" i="4"/>
  <c r="P398" i="4"/>
  <c r="P432" i="4"/>
  <c r="P436" i="4"/>
  <c r="P440" i="4"/>
  <c r="P444" i="4"/>
  <c r="P448" i="4"/>
  <c r="P456" i="4"/>
  <c r="P460" i="4"/>
  <c r="P464" i="4"/>
  <c r="P468" i="4"/>
  <c r="P472" i="4"/>
  <c r="P476" i="4"/>
  <c r="P480" i="4"/>
  <c r="P484" i="4"/>
  <c r="P362" i="4"/>
  <c r="P346" i="4"/>
  <c r="P378" i="4"/>
  <c r="P410" i="4"/>
  <c r="P428" i="4"/>
  <c r="P358" i="4"/>
  <c r="P390" i="4"/>
  <c r="P422" i="4"/>
  <c r="P431" i="4"/>
  <c r="P435" i="4"/>
  <c r="P439" i="4"/>
  <c r="P443" i="4"/>
  <c r="P447" i="4"/>
  <c r="P451" i="4"/>
  <c r="P459" i="4"/>
  <c r="P463" i="4"/>
  <c r="P467" i="4"/>
  <c r="P471" i="4"/>
  <c r="P475" i="4"/>
  <c r="P479" i="4"/>
  <c r="P483" i="4"/>
  <c r="P338" i="4"/>
  <c r="P370" i="4"/>
  <c r="P402" i="4"/>
  <c r="P429" i="4"/>
  <c r="P350" i="4"/>
  <c r="P382" i="4"/>
  <c r="P434" i="4"/>
  <c r="P438" i="4"/>
  <c r="P442" i="4"/>
  <c r="P446" i="4"/>
  <c r="P450" i="4"/>
  <c r="P454" i="4"/>
  <c r="P458" i="4"/>
  <c r="P462" i="4"/>
  <c r="P466" i="4"/>
  <c r="P470" i="4"/>
  <c r="P474" i="4"/>
  <c r="P478" i="4"/>
  <c r="P482" i="4"/>
  <c r="P330" i="4"/>
  <c r="P394" i="4"/>
  <c r="P426" i="4"/>
  <c r="P430" i="4"/>
  <c r="K353" i="4"/>
  <c r="H411" i="4"/>
  <c r="H410" i="4"/>
  <c r="H356" i="4"/>
  <c r="G245" i="4"/>
  <c r="G435" i="4"/>
  <c r="G471" i="4"/>
  <c r="G387" i="4"/>
  <c r="G355" i="4"/>
  <c r="G324" i="4"/>
  <c r="G209" i="4"/>
  <c r="G205" i="4"/>
  <c r="G440" i="4"/>
  <c r="G404" i="4"/>
  <c r="G372" i="4"/>
  <c r="G340" i="4"/>
  <c r="G201" i="4"/>
  <c r="G293" i="4"/>
  <c r="G449" i="4"/>
  <c r="G417" i="4"/>
  <c r="G381" i="4"/>
  <c r="G349" i="4"/>
  <c r="G225" i="4"/>
  <c r="G294" i="4"/>
  <c r="G262" i="4"/>
  <c r="G230" i="4"/>
  <c r="G198" i="4"/>
  <c r="G166" i="4"/>
  <c r="G130" i="4"/>
  <c r="G307" i="4"/>
  <c r="G271" i="4"/>
  <c r="G235" i="4"/>
  <c r="G203" i="4"/>
  <c r="G171" i="4"/>
  <c r="G135" i="4"/>
  <c r="G32" i="4"/>
  <c r="G280" i="4"/>
  <c r="G244" i="4"/>
  <c r="G212" i="4"/>
  <c r="G180" i="4"/>
  <c r="G148" i="4"/>
  <c r="G113" i="4"/>
  <c r="G81" i="4"/>
  <c r="G49" i="4"/>
  <c r="G17" i="4"/>
  <c r="G94" i="4"/>
  <c r="G62" i="4"/>
  <c r="G30" i="4"/>
  <c r="G111" i="4"/>
  <c r="G75" i="4"/>
  <c r="G43" i="4"/>
  <c r="J476" i="4"/>
  <c r="G463" i="4"/>
  <c r="G439" i="4"/>
  <c r="G334" i="4"/>
  <c r="G469" i="4"/>
  <c r="G462" i="4"/>
  <c r="G88" i="4"/>
  <c r="G378" i="4"/>
  <c r="G476" i="4"/>
  <c r="G253" i="4"/>
  <c r="G443" i="4"/>
  <c r="G68" i="4"/>
  <c r="G475" i="4"/>
  <c r="G383" i="4"/>
  <c r="G351" i="4"/>
  <c r="G321" i="4"/>
  <c r="G177" i="4"/>
  <c r="G173" i="4"/>
  <c r="G436" i="4"/>
  <c r="G400" i="4"/>
  <c r="G368" i="4"/>
  <c r="G336" i="4"/>
  <c r="G169" i="4"/>
  <c r="G261" i="4"/>
  <c r="G445" i="4"/>
  <c r="G413" i="4"/>
  <c r="G377" i="4"/>
  <c r="G345" i="4"/>
  <c r="G193" i="4"/>
  <c r="G290" i="4"/>
  <c r="G258" i="4"/>
  <c r="G226" i="4"/>
  <c r="G194" i="4"/>
  <c r="G162" i="4"/>
  <c r="G124" i="4"/>
  <c r="G303" i="4"/>
  <c r="G267" i="4"/>
  <c r="G231" i="4"/>
  <c r="G199" i="4"/>
  <c r="G167" i="4"/>
  <c r="G131" i="4"/>
  <c r="G16" i="4"/>
  <c r="G276" i="4"/>
  <c r="G240" i="4"/>
  <c r="G208" i="4"/>
  <c r="G176" i="4"/>
  <c r="G144" i="4"/>
  <c r="G109" i="4"/>
  <c r="G77" i="4"/>
  <c r="G45" i="4"/>
  <c r="G126" i="4"/>
  <c r="G90" i="4"/>
  <c r="G58" i="4"/>
  <c r="G26" i="4"/>
  <c r="G107" i="4"/>
  <c r="G71" i="4"/>
  <c r="G39" i="4"/>
  <c r="J353" i="4"/>
  <c r="J464" i="4"/>
  <c r="G317" i="4"/>
  <c r="G447" i="4"/>
  <c r="G366" i="4"/>
  <c r="G72" i="4"/>
  <c r="G84" i="4"/>
  <c r="G189" i="4"/>
  <c r="G390" i="4"/>
  <c r="G481" i="4"/>
  <c r="G451" i="4"/>
  <c r="G379" i="4"/>
  <c r="G347" i="4"/>
  <c r="G318" i="4"/>
  <c r="G145" i="4"/>
  <c r="G36" i="4"/>
  <c r="G432" i="4"/>
  <c r="G396" i="4"/>
  <c r="G364" i="4"/>
  <c r="G332" i="4"/>
  <c r="G137" i="4"/>
  <c r="G229" i="4"/>
  <c r="G441" i="4"/>
  <c r="G409" i="4"/>
  <c r="G373" i="4"/>
  <c r="G341" i="4"/>
  <c r="G161" i="4"/>
  <c r="G286" i="4"/>
  <c r="G254" i="4"/>
  <c r="G222" i="4"/>
  <c r="G190" i="4"/>
  <c r="G158" i="4"/>
  <c r="G108" i="4"/>
  <c r="G299" i="4"/>
  <c r="G263" i="4"/>
  <c r="G227" i="4"/>
  <c r="G195" i="4"/>
  <c r="G163" i="4"/>
  <c r="G128" i="4"/>
  <c r="G308" i="4"/>
  <c r="G272" i="4"/>
  <c r="G236" i="4"/>
  <c r="G204" i="4"/>
  <c r="G172" i="4"/>
  <c r="G140" i="4"/>
  <c r="G105" i="4"/>
  <c r="G73" i="4"/>
  <c r="G41" i="4"/>
  <c r="G122" i="4"/>
  <c r="G86" i="4"/>
  <c r="G54" i="4"/>
  <c r="G22" i="4"/>
  <c r="G103" i="4"/>
  <c r="G67" i="4"/>
  <c r="G35" i="4"/>
  <c r="J398" i="4"/>
  <c r="G466" i="4"/>
  <c r="G354" i="4"/>
  <c r="G221" i="4"/>
  <c r="G185" i="4"/>
  <c r="G320" i="4"/>
  <c r="G398" i="4"/>
  <c r="G309" i="4"/>
  <c r="G479" i="4"/>
  <c r="G370" i="4"/>
  <c r="G459" i="4"/>
  <c r="G342" i="4"/>
  <c r="G483" i="4"/>
  <c r="G375" i="4"/>
  <c r="G343" i="4"/>
  <c r="G315" i="4"/>
  <c r="G52" i="4"/>
  <c r="G24" i="4"/>
  <c r="G428" i="4"/>
  <c r="G392" i="4"/>
  <c r="G360" i="4"/>
  <c r="G328" i="4"/>
  <c r="G20" i="4"/>
  <c r="G197" i="4"/>
  <c r="G437" i="4"/>
  <c r="G401" i="4"/>
  <c r="G369" i="4"/>
  <c r="G337" i="4"/>
  <c r="G129" i="4"/>
  <c r="G282" i="4"/>
  <c r="G250" i="4"/>
  <c r="G218" i="4"/>
  <c r="G186" i="4"/>
  <c r="G154" i="4"/>
  <c r="G76" i="4"/>
  <c r="G291" i="4"/>
  <c r="G255" i="4"/>
  <c r="G223" i="4"/>
  <c r="G191" i="4"/>
  <c r="G159" i="4"/>
  <c r="G112" i="4"/>
  <c r="G304" i="4"/>
  <c r="G268" i="4"/>
  <c r="G232" i="4"/>
  <c r="G200" i="4"/>
  <c r="G168" i="4"/>
  <c r="G136" i="4"/>
  <c r="G101" i="4"/>
  <c r="G69" i="4"/>
  <c r="G37" i="4"/>
  <c r="G118" i="4"/>
  <c r="G82" i="4"/>
  <c r="G50" i="4"/>
  <c r="G18" i="4"/>
  <c r="G99" i="4"/>
  <c r="G63" i="4"/>
  <c r="G31" i="4"/>
  <c r="G277" i="4"/>
  <c r="G470" i="4"/>
  <c r="G386" i="4"/>
  <c r="J444" i="4"/>
  <c r="G56" i="4"/>
  <c r="G330" i="4"/>
  <c r="G434" i="4"/>
  <c r="G442" i="4"/>
  <c r="G422" i="4"/>
  <c r="G326" i="4"/>
  <c r="G338" i="4"/>
  <c r="G402" i="4"/>
  <c r="G464" i="4"/>
  <c r="G374" i="4"/>
  <c r="G403" i="4"/>
  <c r="G371" i="4"/>
  <c r="G339" i="4"/>
  <c r="G313" i="4"/>
  <c r="G40" i="4"/>
  <c r="G460" i="4"/>
  <c r="G424" i="4"/>
  <c r="G388" i="4"/>
  <c r="G356" i="4"/>
  <c r="G316" i="4"/>
  <c r="G325" i="4"/>
  <c r="G165" i="4"/>
  <c r="G433" i="4"/>
  <c r="G397" i="4"/>
  <c r="G365" i="4"/>
  <c r="G333" i="4"/>
  <c r="G116" i="4"/>
  <c r="G278" i="4"/>
  <c r="G246" i="4"/>
  <c r="G214" i="4"/>
  <c r="G182" i="4"/>
  <c r="G150" i="4"/>
  <c r="G60" i="4"/>
  <c r="G287" i="4"/>
  <c r="G251" i="4"/>
  <c r="G219" i="4"/>
  <c r="G187" i="4"/>
  <c r="G155" i="4"/>
  <c r="G96" i="4"/>
  <c r="G300" i="4"/>
  <c r="G264" i="4"/>
  <c r="G228" i="4"/>
  <c r="G196" i="4"/>
  <c r="G164" i="4"/>
  <c r="G132" i="4"/>
  <c r="G97" i="4"/>
  <c r="G65" i="4"/>
  <c r="G33" i="4"/>
  <c r="G114" i="4"/>
  <c r="G78" i="4"/>
  <c r="G46" i="4"/>
  <c r="G127" i="4"/>
  <c r="G95" i="4"/>
  <c r="G59" i="4"/>
  <c r="G27" i="4"/>
  <c r="G285" i="4"/>
  <c r="G474" i="4"/>
  <c r="G407" i="4"/>
  <c r="G149" i="4"/>
  <c r="G181" i="4"/>
  <c r="G346" i="4"/>
  <c r="G465" i="4"/>
  <c r="G458" i="4"/>
  <c r="G450" i="4"/>
  <c r="G217" i="4"/>
  <c r="G411" i="4"/>
  <c r="G399" i="4"/>
  <c r="G367" i="4"/>
  <c r="G335" i="4"/>
  <c r="G305" i="4"/>
  <c r="G301" i="4"/>
  <c r="G456" i="4"/>
  <c r="G420" i="4"/>
  <c r="G384" i="4"/>
  <c r="G352" i="4"/>
  <c r="G297" i="4"/>
  <c r="G322" i="4"/>
  <c r="G133" i="4"/>
  <c r="G429" i="4"/>
  <c r="G393" i="4"/>
  <c r="G361" i="4"/>
  <c r="G329" i="4"/>
  <c r="G104" i="4"/>
  <c r="G274" i="4"/>
  <c r="G242" i="4"/>
  <c r="G210" i="4"/>
  <c r="G178" i="4"/>
  <c r="G146" i="4"/>
  <c r="G44" i="4"/>
  <c r="G283" i="4"/>
  <c r="G247" i="4"/>
  <c r="G215" i="4"/>
  <c r="G183" i="4"/>
  <c r="G151" i="4"/>
  <c r="G80" i="4"/>
  <c r="G292" i="4"/>
  <c r="G260" i="4"/>
  <c r="G224" i="4"/>
  <c r="G192" i="4"/>
  <c r="G160" i="4"/>
  <c r="G125" i="4"/>
  <c r="G93" i="4"/>
  <c r="G61" i="4"/>
  <c r="G29" i="4"/>
  <c r="G110" i="4"/>
  <c r="G74" i="4"/>
  <c r="G42" i="4"/>
  <c r="G123" i="4"/>
  <c r="G87" i="4"/>
  <c r="G55" i="4"/>
  <c r="G23" i="4"/>
  <c r="G350" i="4"/>
  <c r="G478" i="4"/>
  <c r="G415" i="4"/>
  <c r="G157" i="4"/>
  <c r="G394" i="4"/>
  <c r="G358" i="4"/>
  <c r="G213" i="4"/>
  <c r="G484" i="4"/>
  <c r="J394" i="4"/>
  <c r="J484" i="4"/>
  <c r="J333" i="4"/>
  <c r="J390" i="4"/>
  <c r="J335" i="4"/>
  <c r="K375" i="4"/>
  <c r="K444" i="4"/>
  <c r="J430" i="4"/>
  <c r="J440" i="4"/>
  <c r="J362" i="4"/>
  <c r="J468" i="4"/>
  <c r="J341" i="4"/>
  <c r="J408" i="4"/>
  <c r="K374" i="4"/>
  <c r="J424" i="4"/>
  <c r="J457" i="4"/>
  <c r="J438" i="4"/>
  <c r="J386" i="4"/>
  <c r="K457" i="4"/>
  <c r="K367" i="4"/>
  <c r="J446" i="4"/>
  <c r="J479" i="4"/>
  <c r="J456" i="4"/>
  <c r="J370" i="4"/>
  <c r="L476" i="4"/>
  <c r="J392" i="4"/>
  <c r="J432" i="4"/>
  <c r="J417" i="4"/>
  <c r="J434" i="4"/>
  <c r="J382" i="4"/>
  <c r="J367" i="4"/>
  <c r="J400" i="4"/>
  <c r="J475" i="4"/>
  <c r="J466" i="4"/>
  <c r="J454" i="4"/>
  <c r="J378" i="4"/>
  <c r="K344" i="4"/>
  <c r="J337" i="4"/>
  <c r="K422" i="4"/>
  <c r="J384" i="4"/>
  <c r="J409" i="4"/>
  <c r="J426" i="4"/>
  <c r="J374" i="4"/>
  <c r="I469" i="4"/>
  <c r="K441" i="4"/>
  <c r="J410" i="4"/>
  <c r="J401" i="4"/>
  <c r="J422" i="4"/>
  <c r="J366" i="4"/>
  <c r="J375" i="4"/>
  <c r="J343" i="4"/>
  <c r="J350" i="4"/>
  <c r="K351" i="4"/>
  <c r="J459" i="4"/>
  <c r="J480" i="4"/>
  <c r="J481" i="4"/>
  <c r="J360" i="4"/>
  <c r="J361" i="4"/>
  <c r="J402" i="4"/>
  <c r="J346" i="4"/>
  <c r="J428" i="4"/>
  <c r="J359" i="4"/>
  <c r="H350" i="4"/>
  <c r="H437" i="4"/>
  <c r="H369" i="4"/>
  <c r="I442" i="4"/>
  <c r="H337" i="4"/>
  <c r="H330" i="4"/>
  <c r="L393" i="4"/>
  <c r="I427" i="4"/>
  <c r="H367" i="4"/>
  <c r="H454" i="4"/>
  <c r="H460" i="4"/>
  <c r="H401" i="4"/>
  <c r="H424" i="4"/>
  <c r="H351" i="4"/>
  <c r="H334" i="4"/>
  <c r="H388" i="4"/>
  <c r="H475" i="4"/>
  <c r="J376" i="4"/>
  <c r="K476" i="4"/>
  <c r="F11" i="12"/>
  <c r="I462" i="4"/>
  <c r="J462" i="4"/>
  <c r="J399" i="4"/>
  <c r="J458" i="4"/>
  <c r="J342" i="4"/>
  <c r="J423" i="4"/>
  <c r="J441" i="4"/>
  <c r="E10" i="12"/>
  <c r="E9" i="12"/>
  <c r="L466" i="4"/>
  <c r="L448" i="4"/>
  <c r="I449" i="4"/>
  <c r="I398" i="4"/>
  <c r="I473" i="4"/>
  <c r="I351" i="4"/>
  <c r="L401" i="4"/>
  <c r="L390" i="4"/>
  <c r="L386" i="4"/>
  <c r="I435" i="4"/>
  <c r="L353" i="4"/>
  <c r="I417" i="4"/>
  <c r="I394" i="4"/>
  <c r="L360" i="4"/>
  <c r="I428" i="4"/>
  <c r="L480" i="4"/>
  <c r="L457" i="4"/>
  <c r="L400" i="4"/>
  <c r="L409" i="4"/>
  <c r="L481" i="4"/>
  <c r="I432" i="4"/>
  <c r="L376" i="4"/>
  <c r="L458" i="4"/>
  <c r="L382" i="4"/>
  <c r="I484" i="4"/>
  <c r="J393" i="4"/>
  <c r="I413" i="4"/>
  <c r="I366" i="4"/>
  <c r="J368" i="4"/>
  <c r="L484" i="4"/>
  <c r="L333" i="4"/>
  <c r="L417" i="4"/>
  <c r="J448" i="4"/>
  <c r="L438" i="4"/>
  <c r="L374" i="4"/>
  <c r="I371" i="4"/>
  <c r="I460" i="4"/>
  <c r="I377" i="4"/>
  <c r="I362" i="4"/>
  <c r="I478" i="4"/>
  <c r="I391" i="4"/>
  <c r="L426" i="4"/>
  <c r="L343" i="4"/>
  <c r="I463" i="4"/>
  <c r="I345" i="4"/>
  <c r="I330" i="4"/>
  <c r="L392" i="4"/>
  <c r="L361" i="4"/>
  <c r="L475" i="4"/>
  <c r="L424" i="4"/>
  <c r="L467" i="4"/>
  <c r="L369" i="4"/>
  <c r="L339" i="4"/>
  <c r="I380" i="4"/>
  <c r="I461" i="4"/>
  <c r="I468" i="4"/>
  <c r="I384" i="4"/>
  <c r="I341" i="4"/>
  <c r="I381" i="4"/>
  <c r="L463" i="4"/>
  <c r="I329" i="4"/>
  <c r="L418" i="4"/>
  <c r="L347" i="4"/>
  <c r="I411" i="4"/>
  <c r="I477" i="4"/>
  <c r="L408" i="4"/>
  <c r="I348" i="4"/>
  <c r="J11" i="12"/>
  <c r="J433" i="4"/>
  <c r="I11" i="12"/>
  <c r="I355" i="4"/>
  <c r="I419" i="4"/>
  <c r="H11" i="12"/>
  <c r="I339" i="4"/>
  <c r="J369" i="4"/>
  <c r="J358" i="4"/>
  <c r="J339" i="4"/>
  <c r="J415" i="4"/>
  <c r="K399" i="4"/>
  <c r="H484" i="4"/>
  <c r="H451" i="4"/>
  <c r="H352" i="4"/>
  <c r="H397" i="4"/>
  <c r="H418" i="4"/>
  <c r="I359" i="4"/>
  <c r="H398" i="4"/>
  <c r="I331" i="4"/>
  <c r="I472" i="4"/>
  <c r="I443" i="4"/>
  <c r="H343" i="4"/>
  <c r="H378" i="4"/>
  <c r="I479" i="4"/>
  <c r="I466" i="4"/>
  <c r="I376" i="4"/>
  <c r="I340" i="4"/>
  <c r="I445" i="4"/>
  <c r="I409" i="4"/>
  <c r="I373" i="4"/>
  <c r="I337" i="4"/>
  <c r="I434" i="4"/>
  <c r="I390" i="4"/>
  <c r="I358" i="4"/>
  <c r="H463" i="4"/>
  <c r="H478" i="4"/>
  <c r="H448" i="4"/>
  <c r="H412" i="4"/>
  <c r="H380" i="4"/>
  <c r="H348" i="4"/>
  <c r="H465" i="4"/>
  <c r="H429" i="4"/>
  <c r="H393" i="4"/>
  <c r="H361" i="4"/>
  <c r="H329" i="4"/>
  <c r="I470" i="4"/>
  <c r="L337" i="4"/>
  <c r="K376" i="4"/>
  <c r="K337" i="4"/>
  <c r="K402" i="4"/>
  <c r="K358" i="4"/>
  <c r="K343" i="4"/>
  <c r="H387" i="4"/>
  <c r="H374" i="4"/>
  <c r="H390" i="4"/>
  <c r="L471" i="4"/>
  <c r="H342" i="4"/>
  <c r="H419" i="4"/>
  <c r="H433" i="4"/>
  <c r="K366" i="4"/>
  <c r="H363" i="4"/>
  <c r="I440" i="4"/>
  <c r="I335" i="4"/>
  <c r="H335" i="4"/>
  <c r="K384" i="4"/>
  <c r="H427" i="4"/>
  <c r="H459" i="4"/>
  <c r="I451" i="4"/>
  <c r="H346" i="4"/>
  <c r="H430" i="4"/>
  <c r="K480" i="4"/>
  <c r="I474" i="4"/>
  <c r="I372" i="4"/>
  <c r="I336" i="4"/>
  <c r="I441" i="4"/>
  <c r="I401" i="4"/>
  <c r="I369" i="4"/>
  <c r="I333" i="4"/>
  <c r="I430" i="4"/>
  <c r="I386" i="4"/>
  <c r="I354" i="4"/>
  <c r="K409" i="4"/>
  <c r="K433" i="4"/>
  <c r="K464" i="4"/>
  <c r="H444" i="4"/>
  <c r="H408" i="4"/>
  <c r="H376" i="4"/>
  <c r="H344" i="4"/>
  <c r="H461" i="4"/>
  <c r="H425" i="4"/>
  <c r="H389" i="4"/>
  <c r="H357" i="4"/>
  <c r="I387" i="4"/>
  <c r="I481" i="4"/>
  <c r="K333" i="4"/>
  <c r="K398" i="4"/>
  <c r="K342" i="4"/>
  <c r="K339" i="4"/>
  <c r="I447" i="4"/>
  <c r="H426" i="4"/>
  <c r="K428" i="4"/>
  <c r="K400" i="4"/>
  <c r="E10" i="11"/>
  <c r="H384" i="4"/>
  <c r="H333" i="4"/>
  <c r="K418" i="4"/>
  <c r="H358" i="4"/>
  <c r="H391" i="4"/>
  <c r="I388" i="4"/>
  <c r="H366" i="4"/>
  <c r="I408" i="4"/>
  <c r="H468" i="4"/>
  <c r="L434" i="4"/>
  <c r="H338" i="4"/>
  <c r="I395" i="4"/>
  <c r="I476" i="4"/>
  <c r="L385" i="4"/>
  <c r="I404" i="4"/>
  <c r="I368" i="4"/>
  <c r="I332" i="4"/>
  <c r="I437" i="4"/>
  <c r="I397" i="4"/>
  <c r="I361" i="4"/>
  <c r="I426" i="4"/>
  <c r="I382" i="4"/>
  <c r="I350" i="4"/>
  <c r="I375" i="4"/>
  <c r="I412" i="4"/>
  <c r="I436" i="4"/>
  <c r="H466" i="4"/>
  <c r="H440" i="4"/>
  <c r="H404" i="4"/>
  <c r="H372" i="4"/>
  <c r="H340" i="4"/>
  <c r="H457" i="4"/>
  <c r="H421" i="4"/>
  <c r="H385" i="4"/>
  <c r="H353" i="4"/>
  <c r="J351" i="4"/>
  <c r="K401" i="4"/>
  <c r="K458" i="4"/>
  <c r="K394" i="4"/>
  <c r="K334" i="4"/>
  <c r="K335" i="4"/>
  <c r="H469" i="4"/>
  <c r="I407" i="4"/>
  <c r="E43" i="11"/>
  <c r="E9" i="11"/>
  <c r="K349" i="4"/>
  <c r="H422" i="4"/>
  <c r="I448" i="4"/>
  <c r="H472" i="4"/>
  <c r="I399" i="4"/>
  <c r="H399" i="4"/>
  <c r="H435" i="4"/>
  <c r="K462" i="4"/>
  <c r="J418" i="4"/>
  <c r="J334" i="4"/>
  <c r="K392" i="4"/>
  <c r="H438" i="4"/>
  <c r="I471" i="4"/>
  <c r="I483" i="4"/>
  <c r="I400" i="4"/>
  <c r="I364" i="4"/>
  <c r="I328" i="4"/>
  <c r="I433" i="4"/>
  <c r="I393" i="4"/>
  <c r="I357" i="4"/>
  <c r="I458" i="4"/>
  <c r="I422" i="4"/>
  <c r="I378" i="4"/>
  <c r="I346" i="4"/>
  <c r="H379" i="4"/>
  <c r="H470" i="4"/>
  <c r="H482" i="4"/>
  <c r="H436" i="4"/>
  <c r="H400" i="4"/>
  <c r="H368" i="4"/>
  <c r="H336" i="4"/>
  <c r="H449" i="4"/>
  <c r="H417" i="4"/>
  <c r="H381" i="4"/>
  <c r="H349" i="4"/>
  <c r="K393" i="4"/>
  <c r="K438" i="4"/>
  <c r="K390" i="4"/>
  <c r="K423" i="4"/>
  <c r="H371" i="4"/>
  <c r="H479" i="4"/>
  <c r="K448" i="4"/>
  <c r="H415" i="4"/>
  <c r="H462" i="4"/>
  <c r="I365" i="4"/>
  <c r="H370" i="4"/>
  <c r="H375" i="4"/>
  <c r="I344" i="4"/>
  <c r="H456" i="4"/>
  <c r="H450" i="4"/>
  <c r="H476" i="4"/>
  <c r="L366" i="4"/>
  <c r="H402" i="4"/>
  <c r="H464" i="4"/>
  <c r="I480" i="4"/>
  <c r="J385" i="4"/>
  <c r="K360" i="4"/>
  <c r="H446" i="4"/>
  <c r="K484" i="4"/>
  <c r="I396" i="4"/>
  <c r="I360" i="4"/>
  <c r="I429" i="4"/>
  <c r="I389" i="4"/>
  <c r="I353" i="4"/>
  <c r="I450" i="4"/>
  <c r="I418" i="4"/>
  <c r="I374" i="4"/>
  <c r="I342" i="4"/>
  <c r="I343" i="4"/>
  <c r="H382" i="4"/>
  <c r="K417" i="4"/>
  <c r="J471" i="4"/>
  <c r="H432" i="4"/>
  <c r="H396" i="4"/>
  <c r="H364" i="4"/>
  <c r="H332" i="4"/>
  <c r="H445" i="4"/>
  <c r="H413" i="4"/>
  <c r="H377" i="4"/>
  <c r="H345" i="4"/>
  <c r="H359" i="4"/>
  <c r="I465" i="4"/>
  <c r="K385" i="4"/>
  <c r="K434" i="4"/>
  <c r="K386" i="4"/>
  <c r="K415" i="4"/>
  <c r="I464" i="4"/>
  <c r="K432" i="4"/>
  <c r="H386" i="4"/>
  <c r="K475" i="4"/>
  <c r="H423" i="4"/>
  <c r="K425" i="4"/>
  <c r="H395" i="4"/>
  <c r="H420" i="4"/>
  <c r="H365" i="4"/>
  <c r="H331" i="4"/>
  <c r="I424" i="4"/>
  <c r="I456" i="4"/>
  <c r="H480" i="4"/>
  <c r="L334" i="4"/>
  <c r="J344" i="4"/>
  <c r="I363" i="4"/>
  <c r="H443" i="4"/>
  <c r="K481" i="4"/>
  <c r="I367" i="4"/>
  <c r="I403" i="4"/>
  <c r="I475" i="4"/>
  <c r="I392" i="4"/>
  <c r="I356" i="4"/>
  <c r="I425" i="4"/>
  <c r="I385" i="4"/>
  <c r="I349" i="4"/>
  <c r="I446" i="4"/>
  <c r="I402" i="4"/>
  <c r="I370" i="4"/>
  <c r="I334" i="4"/>
  <c r="H347" i="4"/>
  <c r="I420" i="4"/>
  <c r="I444" i="4"/>
  <c r="H474" i="4"/>
  <c r="H428" i="4"/>
  <c r="H392" i="4"/>
  <c r="H360" i="4"/>
  <c r="H328" i="4"/>
  <c r="H441" i="4"/>
  <c r="H409" i="4"/>
  <c r="H373" i="4"/>
  <c r="H341" i="4"/>
  <c r="I379" i="4"/>
  <c r="H362" i="4"/>
  <c r="K466" i="4"/>
  <c r="K369" i="4"/>
  <c r="K426" i="4"/>
  <c r="K382" i="4"/>
  <c r="H394" i="4"/>
  <c r="K471" i="4"/>
  <c r="H383" i="4"/>
  <c r="I421" i="4"/>
  <c r="J425" i="4"/>
  <c r="I482" i="4"/>
  <c r="I410" i="4"/>
  <c r="J357" i="4"/>
  <c r="J467" i="4"/>
  <c r="K463" i="4"/>
  <c r="L346" i="4"/>
  <c r="L377" i="4"/>
  <c r="J347" i="4"/>
  <c r="I347" i="4"/>
  <c r="G11" i="12"/>
  <c r="J463" i="4"/>
  <c r="J349" i="4"/>
  <c r="K377" i="4"/>
  <c r="K346" i="4"/>
  <c r="L352" i="4"/>
  <c r="J352" i="4"/>
  <c r="K352" i="4"/>
  <c r="L357" i="4"/>
  <c r="K467" i="4"/>
  <c r="H274" i="4"/>
  <c r="K347" i="4"/>
  <c r="I459" i="4"/>
  <c r="J377" i="4"/>
  <c r="I467" i="4"/>
  <c r="I352" i="4"/>
  <c r="I454" i="4"/>
  <c r="K357" i="4"/>
  <c r="H165" i="4"/>
  <c r="I338" i="4"/>
  <c r="K424" i="4"/>
  <c r="K408" i="4"/>
  <c r="H442" i="4"/>
  <c r="H407" i="4"/>
  <c r="H431" i="4"/>
  <c r="H471" i="4"/>
  <c r="H481" i="4"/>
  <c r="H458" i="4"/>
  <c r="I431" i="4"/>
  <c r="K368" i="4"/>
  <c r="H467" i="4"/>
  <c r="H354" i="4"/>
  <c r="H434" i="4"/>
  <c r="H339" i="4"/>
  <c r="H403" i="4"/>
  <c r="I383" i="4"/>
  <c r="I439" i="4"/>
  <c r="G153" i="4"/>
  <c r="G446" i="4"/>
  <c r="G468" i="4"/>
  <c r="G473" i="4"/>
  <c r="G314" i="4"/>
  <c r="G14" i="4"/>
  <c r="H483" i="4"/>
  <c r="H477" i="4"/>
  <c r="L462" i="4"/>
  <c r="H447" i="4"/>
  <c r="H473" i="4"/>
  <c r="L384" i="4"/>
  <c r="H355" i="4"/>
  <c r="L428" i="4"/>
  <c r="G11" i="11"/>
  <c r="H11" i="11"/>
  <c r="F11" i="11"/>
  <c r="D4" i="5" l="1"/>
  <c r="F4" i="5" s="1"/>
  <c r="K8" i="4" s="1"/>
  <c r="C15" i="24"/>
  <c r="F15" i="24" s="1"/>
  <c r="D5" i="5"/>
  <c r="F5" i="5" s="1"/>
  <c r="C16" i="24"/>
  <c r="F16" i="24" s="1"/>
  <c r="R227" i="4"/>
  <c r="O280" i="4"/>
  <c r="P46" i="4"/>
  <c r="O230" i="4"/>
  <c r="P183" i="4"/>
  <c r="P127" i="4"/>
  <c r="O14" i="4"/>
  <c r="O269" i="4"/>
  <c r="R221" i="4"/>
  <c r="R230" i="4"/>
  <c r="O221" i="4"/>
  <c r="Q127" i="4"/>
  <c r="P267" i="4"/>
  <c r="O283" i="4"/>
  <c r="Q308" i="4"/>
  <c r="Q120" i="4"/>
  <c r="P227" i="4"/>
  <c r="O183" i="4"/>
  <c r="O15" i="4"/>
  <c r="P189" i="4"/>
  <c r="R14" i="4"/>
  <c r="O151" i="4"/>
  <c r="P14" i="4"/>
  <c r="Q269" i="4"/>
  <c r="P269" i="4"/>
  <c r="Q82" i="4"/>
  <c r="R171" i="4"/>
  <c r="Q227" i="4"/>
  <c r="R317" i="4"/>
  <c r="E82" i="7"/>
  <c r="G82" i="7" s="1"/>
  <c r="G84" i="7" s="1"/>
  <c r="D9" i="20" s="1"/>
  <c r="D10" i="20" s="1"/>
  <c r="E25" i="20" s="1"/>
  <c r="F25" i="20" s="1"/>
  <c r="P130" i="4"/>
  <c r="R293" i="4"/>
  <c r="P310" i="4"/>
  <c r="O108" i="4"/>
  <c r="P108" i="4"/>
  <c r="Q250" i="4"/>
  <c r="Q243" i="4"/>
  <c r="P242" i="4"/>
  <c r="R37" i="4"/>
  <c r="O197" i="4"/>
  <c r="P211" i="4"/>
  <c r="O142" i="4"/>
  <c r="R301" i="4"/>
  <c r="R122" i="4"/>
  <c r="Q210" i="4"/>
  <c r="R229" i="4"/>
  <c r="O111" i="4"/>
  <c r="Q71" i="4"/>
  <c r="Q37" i="4"/>
  <c r="P147" i="4"/>
  <c r="P64" i="4"/>
  <c r="R303" i="4"/>
  <c r="R323" i="4"/>
  <c r="R245" i="4"/>
  <c r="R144" i="4"/>
  <c r="O293" i="4"/>
  <c r="O96" i="4"/>
  <c r="Q196" i="4"/>
  <c r="Q43" i="4"/>
  <c r="P318" i="4"/>
  <c r="P315" i="4"/>
  <c r="P182" i="4"/>
  <c r="P21" i="4"/>
  <c r="P74" i="4"/>
  <c r="P40" i="4"/>
  <c r="R108" i="4"/>
  <c r="O147" i="4"/>
  <c r="O21" i="4"/>
  <c r="O64" i="4"/>
  <c r="P70" i="4"/>
  <c r="R189" i="4"/>
  <c r="R60" i="4"/>
  <c r="O247" i="4"/>
  <c r="O98" i="4"/>
  <c r="Q180" i="4"/>
  <c r="Q64" i="4"/>
  <c r="P96" i="4"/>
  <c r="P237" i="4"/>
  <c r="R256" i="4"/>
  <c r="R203" i="4"/>
  <c r="O322" i="4"/>
  <c r="O243" i="4"/>
  <c r="O144" i="4"/>
  <c r="Q256" i="4"/>
  <c r="Q69" i="4"/>
  <c r="H195" i="4"/>
  <c r="P238" i="4"/>
  <c r="P144" i="4"/>
  <c r="R73" i="4"/>
  <c r="H303" i="4"/>
  <c r="H146" i="4"/>
  <c r="P142" i="4"/>
  <c r="P178" i="4"/>
  <c r="R305" i="4"/>
  <c r="R147" i="4"/>
  <c r="R158" i="4"/>
  <c r="R69" i="4"/>
  <c r="O238" i="4"/>
  <c r="O182" i="4"/>
  <c r="O63" i="4"/>
  <c r="Q279" i="4"/>
  <c r="Q146" i="4"/>
  <c r="P289" i="4"/>
  <c r="R79" i="4"/>
  <c r="O202" i="4"/>
  <c r="O152" i="4"/>
  <c r="Q255" i="4"/>
  <c r="Q189" i="4"/>
  <c r="Q126" i="4"/>
  <c r="Q77" i="4"/>
  <c r="P152" i="4"/>
  <c r="R262" i="4"/>
  <c r="O321" i="4"/>
  <c r="O162" i="4"/>
  <c r="Q150" i="4"/>
  <c r="P77" i="4"/>
  <c r="R72" i="4"/>
  <c r="O95" i="4"/>
  <c r="H191" i="4"/>
  <c r="R75" i="4"/>
  <c r="O181" i="4"/>
  <c r="Q181" i="4"/>
  <c r="H166" i="4"/>
  <c r="P246" i="4"/>
  <c r="P255" i="4"/>
  <c r="P324" i="4"/>
  <c r="P150" i="4"/>
  <c r="P265" i="4"/>
  <c r="P203" i="4"/>
  <c r="P49" i="4"/>
  <c r="P117" i="4"/>
  <c r="P173" i="4"/>
  <c r="P79" i="4"/>
  <c r="P72" i="4"/>
  <c r="R220" i="4"/>
  <c r="R191" i="4"/>
  <c r="R66" i="4"/>
  <c r="R201" i="4"/>
  <c r="R74" i="4"/>
  <c r="R146" i="4"/>
  <c r="R28" i="4"/>
  <c r="R49" i="4"/>
  <c r="O219" i="4"/>
  <c r="O220" i="4"/>
  <c r="O265" i="4"/>
  <c r="O166" i="4"/>
  <c r="O203" i="4"/>
  <c r="O173" i="4"/>
  <c r="O75" i="4"/>
  <c r="O72" i="4"/>
  <c r="Q246" i="4"/>
  <c r="Q157" i="4"/>
  <c r="Q142" i="4"/>
  <c r="Q31" i="4"/>
  <c r="Q49" i="4"/>
  <c r="P95" i="4"/>
  <c r="O77" i="4"/>
  <c r="O79" i="4"/>
  <c r="R255" i="4"/>
  <c r="R219" i="4"/>
  <c r="R324" i="4"/>
  <c r="R195" i="4"/>
  <c r="R289" i="4"/>
  <c r="R250" i="4"/>
  <c r="R22" i="4"/>
  <c r="R197" i="4"/>
  <c r="R38" i="4"/>
  <c r="R142" i="4"/>
  <c r="R43" i="4"/>
  <c r="R45" i="4"/>
  <c r="O323" i="4"/>
  <c r="O253" i="4"/>
  <c r="O195" i="4"/>
  <c r="O49" i="4"/>
  <c r="O117" i="4"/>
  <c r="O157" i="4"/>
  <c r="O74" i="4"/>
  <c r="Q219" i="4"/>
  <c r="Q313" i="4"/>
  <c r="Q242" i="4"/>
  <c r="Q74" i="4"/>
  <c r="Q38" i="4"/>
  <c r="Q19" i="4"/>
  <c r="Q45" i="4"/>
  <c r="R150" i="4"/>
  <c r="Q220" i="4"/>
  <c r="P66" i="4"/>
  <c r="P243" i="4"/>
  <c r="R320" i="4"/>
  <c r="R163" i="4"/>
  <c r="R265" i="4"/>
  <c r="R246" i="4"/>
  <c r="R196" i="4"/>
  <c r="R206" i="4"/>
  <c r="R126" i="4"/>
  <c r="R31" i="4"/>
  <c r="R117" i="4"/>
  <c r="O324" i="4"/>
  <c r="O158" i="4"/>
  <c r="O191" i="4"/>
  <c r="O196" i="4"/>
  <c r="O85" i="4"/>
  <c r="O66" i="4"/>
  <c r="O43" i="4"/>
  <c r="Q305" i="4"/>
  <c r="Q211" i="4"/>
  <c r="Q156" i="4"/>
  <c r="P166" i="4"/>
  <c r="P247" i="4"/>
  <c r="P320" i="4"/>
  <c r="P75" i="4"/>
  <c r="P292" i="4"/>
  <c r="P202" i="4"/>
  <c r="P158" i="4"/>
  <c r="P191" i="4"/>
  <c r="P196" i="4"/>
  <c r="P69" i="4"/>
  <c r="P157" i="4"/>
  <c r="P250" i="4"/>
  <c r="P323" i="4"/>
  <c r="P284" i="4"/>
  <c r="P313" i="4"/>
  <c r="P172" i="4"/>
  <c r="P73" i="4"/>
  <c r="P42" i="4"/>
  <c r="P43" i="4"/>
  <c r="P36" i="4"/>
  <c r="R243" i="4"/>
  <c r="R292" i="4"/>
  <c r="R325" i="4"/>
  <c r="R242" i="4"/>
  <c r="R181" i="4"/>
  <c r="R202" i="4"/>
  <c r="R19" i="4"/>
  <c r="R89" i="4"/>
  <c r="R25" i="4"/>
  <c r="O250" i="4"/>
  <c r="O303" i="4"/>
  <c r="O320" i="4"/>
  <c r="O313" i="4"/>
  <c r="O73" i="4"/>
  <c r="O154" i="4"/>
  <c r="O176" i="4"/>
  <c r="O69" i="4"/>
  <c r="O45" i="4"/>
  <c r="O38" i="4"/>
  <c r="O31" i="4"/>
  <c r="Q323" i="4"/>
  <c r="Q324" i="4"/>
  <c r="Q289" i="4"/>
  <c r="Q191" i="4"/>
  <c r="Q152" i="4"/>
  <c r="Q202" i="4"/>
  <c r="Q123" i="4"/>
  <c r="Q96" i="4"/>
  <c r="Q29" i="4"/>
  <c r="P45" i="4"/>
  <c r="P195" i="4"/>
  <c r="P219" i="4"/>
  <c r="P305" i="4"/>
  <c r="P179" i="4"/>
  <c r="P201" i="4"/>
  <c r="P25" i="4"/>
  <c r="P38" i="4"/>
  <c r="P31" i="4"/>
  <c r="P28" i="4"/>
  <c r="R247" i="4"/>
  <c r="R284" i="4"/>
  <c r="R156" i="4"/>
  <c r="R173" i="4"/>
  <c r="R182" i="4"/>
  <c r="R85" i="4"/>
  <c r="R21" i="4"/>
  <c r="O246" i="4"/>
  <c r="O292" i="4"/>
  <c r="O305" i="4"/>
  <c r="O150" i="4"/>
  <c r="O179" i="4"/>
  <c r="O172" i="4"/>
  <c r="O19" i="4"/>
  <c r="Q303" i="4"/>
  <c r="Q179" i="4"/>
  <c r="Q182" i="4"/>
  <c r="Q95" i="4"/>
  <c r="Q25" i="4"/>
  <c r="P181" i="4"/>
  <c r="O126" i="4"/>
  <c r="P85" i="4"/>
  <c r="H74" i="4"/>
  <c r="H157" i="4"/>
  <c r="P303" i="4"/>
  <c r="P206" i="4"/>
  <c r="P256" i="4"/>
  <c r="P301" i="4"/>
  <c r="P146" i="4"/>
  <c r="P163" i="4"/>
  <c r="P156" i="4"/>
  <c r="P197" i="4"/>
  <c r="P126" i="4"/>
  <c r="P22" i="4"/>
  <c r="P19" i="4"/>
  <c r="R264" i="4"/>
  <c r="R313" i="4"/>
  <c r="R179" i="4"/>
  <c r="R152" i="4"/>
  <c r="R157" i="4"/>
  <c r="R166" i="4"/>
  <c r="R95" i="4"/>
  <c r="R96" i="4"/>
  <c r="R77" i="4"/>
  <c r="O242" i="4"/>
  <c r="O255" i="4"/>
  <c r="O284" i="4"/>
  <c r="O206" i="4"/>
  <c r="O146" i="4"/>
  <c r="O163" i="4"/>
  <c r="O156" i="4"/>
  <c r="O201" i="4"/>
  <c r="O25" i="4"/>
  <c r="Q265" i="4"/>
  <c r="Q171" i="4"/>
  <c r="Q201" i="4"/>
  <c r="Q158" i="4"/>
  <c r="Q75" i="4"/>
  <c r="Q117" i="4"/>
  <c r="P27" i="4"/>
  <c r="R253" i="4"/>
  <c r="Q27" i="4"/>
  <c r="P253" i="4"/>
  <c r="P235" i="4"/>
  <c r="Q235" i="4"/>
  <c r="Q190" i="4"/>
  <c r="J190" i="4"/>
  <c r="P190" i="4"/>
  <c r="R211" i="4"/>
  <c r="R172" i="4"/>
  <c r="O235" i="4"/>
  <c r="O190" i="4"/>
  <c r="O103" i="4"/>
  <c r="Q228" i="4"/>
  <c r="Q197" i="4"/>
  <c r="P62" i="4"/>
  <c r="R235" i="4"/>
  <c r="R190" i="4"/>
  <c r="R62" i="4"/>
  <c r="R27" i="4"/>
  <c r="Q62" i="4"/>
  <c r="J62" i="10"/>
  <c r="E74" i="7"/>
  <c r="G74" i="7" s="1"/>
  <c r="E73" i="7"/>
  <c r="G73" i="7" s="1"/>
  <c r="M62" i="10"/>
  <c r="K62" i="10"/>
  <c r="N41" i="10"/>
  <c r="L62" i="10"/>
  <c r="K41" i="10"/>
  <c r="L41" i="10"/>
  <c r="M41" i="10"/>
  <c r="R244" i="4"/>
  <c r="O193" i="4"/>
  <c r="O27" i="4"/>
  <c r="O20" i="4"/>
  <c r="Q264" i="4"/>
  <c r="Q122" i="4"/>
  <c r="Q79" i="4"/>
  <c r="R294" i="4"/>
  <c r="R83" i="4"/>
  <c r="R167" i="4"/>
  <c r="Q155" i="4"/>
  <c r="O84" i="4"/>
  <c r="Q119" i="4"/>
  <c r="P88" i="4"/>
  <c r="R119" i="4"/>
  <c r="O244" i="4"/>
  <c r="O273" i="4"/>
  <c r="O37" i="4"/>
  <c r="P205" i="4"/>
  <c r="R216" i="4"/>
  <c r="R205" i="4"/>
  <c r="Q83" i="4"/>
  <c r="P175" i="4"/>
  <c r="P76" i="4"/>
  <c r="O110" i="4"/>
  <c r="O93" i="4"/>
  <c r="O175" i="4"/>
  <c r="H240" i="4"/>
  <c r="O215" i="4"/>
  <c r="O76" i="4"/>
  <c r="R42" i="4"/>
  <c r="R36" i="4"/>
  <c r="O301" i="4"/>
  <c r="O207" i="4"/>
  <c r="Q316" i="4"/>
  <c r="Q325" i="4"/>
  <c r="Q147" i="4"/>
  <c r="Q206" i="4"/>
  <c r="Q134" i="4"/>
  <c r="Q72" i="4"/>
  <c r="P231" i="4"/>
  <c r="Q207" i="4"/>
  <c r="H169" i="4"/>
  <c r="E11" i="11"/>
  <c r="R231" i="4"/>
  <c r="R187" i="4"/>
  <c r="O232" i="4"/>
  <c r="O62" i="4"/>
  <c r="Q231" i="4"/>
  <c r="Q292" i="4"/>
  <c r="Q253" i="4"/>
  <c r="Q165" i="4"/>
  <c r="Q35" i="4"/>
  <c r="Q28" i="4"/>
  <c r="R132" i="4"/>
  <c r="Q288" i="4"/>
  <c r="P161" i="4"/>
  <c r="R169" i="4"/>
  <c r="O169" i="4"/>
  <c r="Q132" i="4"/>
  <c r="R314" i="4"/>
  <c r="R56" i="4"/>
  <c r="O288" i="4"/>
  <c r="O161" i="4"/>
  <c r="H231" i="4"/>
  <c r="P314" i="4"/>
  <c r="Q297" i="4"/>
  <c r="Q65" i="4"/>
  <c r="P51" i="4"/>
  <c r="R288" i="4"/>
  <c r="Q236" i="4"/>
  <c r="K277" i="2"/>
  <c r="I276" i="4" s="1"/>
  <c r="O276" i="4"/>
  <c r="K240" i="2"/>
  <c r="O239" i="4"/>
  <c r="K144" i="2"/>
  <c r="O143" i="4"/>
  <c r="M59" i="2"/>
  <c r="Q58" i="4"/>
  <c r="K186" i="2"/>
  <c r="O185" i="4"/>
  <c r="K58" i="2"/>
  <c r="O57" i="4"/>
  <c r="H57" i="4"/>
  <c r="K116" i="2"/>
  <c r="O115" i="4"/>
  <c r="P309" i="4"/>
  <c r="K69" i="2"/>
  <c r="O68" i="4"/>
  <c r="K287" i="2"/>
  <c r="H286" i="4"/>
  <c r="K154" i="2"/>
  <c r="O153" i="4"/>
  <c r="K313" i="2"/>
  <c r="O312" i="4"/>
  <c r="M235" i="2"/>
  <c r="Q234" i="4"/>
  <c r="L216" i="2"/>
  <c r="P215" i="4"/>
  <c r="K117" i="2"/>
  <c r="O116" i="4"/>
  <c r="K307" i="2"/>
  <c r="O306" i="4"/>
  <c r="K255" i="2"/>
  <c r="O254" i="4"/>
  <c r="K187" i="2"/>
  <c r="O186" i="4"/>
  <c r="K102" i="2"/>
  <c r="O101" i="4"/>
  <c r="K262" i="2"/>
  <c r="O261" i="4"/>
  <c r="M176" i="2"/>
  <c r="Q175" i="4"/>
  <c r="K291" i="2"/>
  <c r="O290" i="4"/>
  <c r="K189" i="2"/>
  <c r="O188" i="4"/>
  <c r="K107" i="2"/>
  <c r="O106" i="4"/>
  <c r="K35" i="2"/>
  <c r="O34" i="4"/>
  <c r="L267" i="2"/>
  <c r="P266" i="4"/>
  <c r="K223" i="2"/>
  <c r="H222" i="4"/>
  <c r="O222" i="4"/>
  <c r="K129" i="2"/>
  <c r="O128" i="4"/>
  <c r="N77" i="2"/>
  <c r="S76" i="4" s="1"/>
  <c r="R76" i="4"/>
  <c r="K34" i="2"/>
  <c r="O33" i="4"/>
  <c r="K305" i="2"/>
  <c r="O304" i="4"/>
  <c r="K213" i="2"/>
  <c r="I212" i="4" s="1"/>
  <c r="O212" i="4"/>
  <c r="K165" i="2"/>
  <c r="O164" i="4"/>
  <c r="K119" i="2"/>
  <c r="O118" i="4"/>
  <c r="K55" i="2"/>
  <c r="O54" i="4"/>
  <c r="K278" i="2"/>
  <c r="O277" i="4"/>
  <c r="K227" i="2"/>
  <c r="O226" i="4"/>
  <c r="K150" i="2"/>
  <c r="O149" i="4"/>
  <c r="K95" i="2"/>
  <c r="O94" i="4"/>
  <c r="P234" i="4"/>
  <c r="P110" i="4"/>
  <c r="P124" i="4"/>
  <c r="P44" i="4"/>
  <c r="O240" i="4"/>
  <c r="Q271" i="4"/>
  <c r="M310" i="2"/>
  <c r="Q309" i="4"/>
  <c r="K219" i="2"/>
  <c r="O218" i="4"/>
  <c r="P168" i="4"/>
  <c r="R271" i="4"/>
  <c r="O168" i="4"/>
  <c r="L241" i="2"/>
  <c r="P240" i="4"/>
  <c r="N45" i="2"/>
  <c r="S44" i="4" s="1"/>
  <c r="R44" i="4"/>
  <c r="H312" i="4"/>
  <c r="O234" i="4"/>
  <c r="O271" i="4"/>
  <c r="Q76" i="4"/>
  <c r="L312" i="2"/>
  <c r="P311" i="4"/>
  <c r="K122" i="2"/>
  <c r="O121" i="4"/>
  <c r="K27" i="2"/>
  <c r="O26" i="4"/>
  <c r="K303" i="2"/>
  <c r="O302" i="4"/>
  <c r="K113" i="2"/>
  <c r="O112" i="4"/>
  <c r="K40" i="2"/>
  <c r="O39" i="4"/>
  <c r="H39" i="4"/>
  <c r="O311" i="4"/>
  <c r="P58" i="4"/>
  <c r="N111" i="2"/>
  <c r="S110" i="4" s="1"/>
  <c r="R110" i="4"/>
  <c r="H175" i="4"/>
  <c r="O286" i="4"/>
  <c r="O44" i="4"/>
  <c r="Q110" i="4"/>
  <c r="K126" i="2"/>
  <c r="O125" i="4"/>
  <c r="K273" i="2"/>
  <c r="O272" i="4"/>
  <c r="K234" i="2"/>
  <c r="H233" i="4"/>
  <c r="O233" i="4"/>
  <c r="O309" i="4"/>
  <c r="K225" i="2"/>
  <c r="O224" i="4"/>
  <c r="P271" i="4"/>
  <c r="O124" i="4"/>
  <c r="M169" i="2"/>
  <c r="Q168" i="4"/>
  <c r="K48" i="2"/>
  <c r="H47" i="4"/>
  <c r="K114" i="2"/>
  <c r="O113" i="4"/>
  <c r="M125" i="2"/>
  <c r="Q124" i="4"/>
  <c r="L94" i="2"/>
  <c r="P93" i="4"/>
  <c r="K31" i="2"/>
  <c r="O30" i="4"/>
  <c r="H239" i="4"/>
  <c r="H276" i="4"/>
  <c r="O266" i="4"/>
  <c r="O58" i="4"/>
  <c r="Q44" i="4"/>
  <c r="H111" i="4"/>
  <c r="P275" i="4"/>
  <c r="P207" i="4"/>
  <c r="P29" i="4"/>
  <c r="P169" i="4"/>
  <c r="P89" i="4"/>
  <c r="P80" i="4"/>
  <c r="R319" i="4"/>
  <c r="R207" i="4"/>
  <c r="R176" i="4"/>
  <c r="R140" i="4"/>
  <c r="R217" i="4"/>
  <c r="R177" i="4"/>
  <c r="R51" i="4"/>
  <c r="O282" i="4"/>
  <c r="O263" i="4"/>
  <c r="O89" i="4"/>
  <c r="O236" i="4"/>
  <c r="O65" i="4"/>
  <c r="O132" i="4"/>
  <c r="O165" i="4"/>
  <c r="O51" i="4"/>
  <c r="O80" i="4"/>
  <c r="O24" i="4"/>
  <c r="Q275" i="4"/>
  <c r="Q273" i="4"/>
  <c r="Q314" i="4"/>
  <c r="Q140" i="4"/>
  <c r="Q161" i="4"/>
  <c r="Q80" i="4"/>
  <c r="Q51" i="4"/>
  <c r="Q263" i="4"/>
  <c r="H263" i="4"/>
  <c r="P282" i="4"/>
  <c r="P319" i="4"/>
  <c r="P263" i="4"/>
  <c r="P229" i="4"/>
  <c r="P86" i="4"/>
  <c r="P123" i="4"/>
  <c r="P24" i="4"/>
  <c r="R275" i="4"/>
  <c r="R280" i="4"/>
  <c r="R236" i="4"/>
  <c r="R321" i="4"/>
  <c r="R225" i="4"/>
  <c r="R165" i="4"/>
  <c r="R104" i="4"/>
  <c r="R48" i="4"/>
  <c r="R29" i="4"/>
  <c r="O314" i="4"/>
  <c r="O258" i="4"/>
  <c r="O208" i="4"/>
  <c r="O160" i="4"/>
  <c r="O90" i="4"/>
  <c r="Q319" i="4"/>
  <c r="Q280" i="4"/>
  <c r="Q232" i="4"/>
  <c r="Q114" i="4"/>
  <c r="P274" i="4"/>
  <c r="P288" i="4"/>
  <c r="P236" i="4"/>
  <c r="P325" i="4"/>
  <c r="P273" i="4"/>
  <c r="P225" i="4"/>
  <c r="P187" i="4"/>
  <c r="P184" i="4"/>
  <c r="P78" i="4"/>
  <c r="R232" i="4"/>
  <c r="R273" i="4"/>
  <c r="R208" i="4"/>
  <c r="R160" i="4"/>
  <c r="R161" i="4"/>
  <c r="R65" i="4"/>
  <c r="O299" i="4"/>
  <c r="O260" i="4"/>
  <c r="O86" i="4"/>
  <c r="Q187" i="4"/>
  <c r="Q86" i="4"/>
  <c r="Q111" i="4"/>
  <c r="Q53" i="4"/>
  <c r="H210" i="4"/>
  <c r="P258" i="4"/>
  <c r="P232" i="4"/>
  <c r="P321" i="4"/>
  <c r="P97" i="4"/>
  <c r="P176" i="4"/>
  <c r="P140" i="4"/>
  <c r="P53" i="4"/>
  <c r="P111" i="4"/>
  <c r="P104" i="4"/>
  <c r="P56" i="4"/>
  <c r="R299" i="4"/>
  <c r="R282" i="4"/>
  <c r="R86" i="4"/>
  <c r="R78" i="4"/>
  <c r="R80" i="4"/>
  <c r="R97" i="4"/>
  <c r="O229" i="4"/>
  <c r="O53" i="4"/>
  <c r="O177" i="4"/>
  <c r="O78" i="4"/>
  <c r="O104" i="4"/>
  <c r="O56" i="4"/>
  <c r="Q282" i="4"/>
  <c r="Q160" i="4"/>
  <c r="Q177" i="4"/>
  <c r="Q56" i="4"/>
  <c r="H176" i="4"/>
  <c r="H104" i="4"/>
  <c r="P280" i="4"/>
  <c r="P65" i="4"/>
  <c r="P132" i="4"/>
  <c r="P217" i="4"/>
  <c r="P177" i="4"/>
  <c r="P37" i="4"/>
  <c r="P114" i="4"/>
  <c r="P48" i="4"/>
  <c r="R274" i="4"/>
  <c r="R210" i="4"/>
  <c r="R53" i="4"/>
  <c r="O275" i="4"/>
  <c r="O231" i="4"/>
  <c r="O325" i="4"/>
  <c r="O225" i="4"/>
  <c r="O187" i="4"/>
  <c r="O184" i="4"/>
  <c r="O217" i="4"/>
  <c r="O114" i="4"/>
  <c r="O71" i="4"/>
  <c r="O48" i="4"/>
  <c r="Q299" i="4"/>
  <c r="Q225" i="4"/>
  <c r="Q274" i="4"/>
  <c r="Q208" i="4"/>
  <c r="Q217" i="4"/>
  <c r="Q169" i="4"/>
  <c r="Q90" i="4"/>
  <c r="Q104" i="4"/>
  <c r="Q48" i="4"/>
  <c r="Q97" i="4"/>
  <c r="H127" i="4"/>
  <c r="P135" i="4"/>
  <c r="P17" i="4"/>
  <c r="P35" i="4"/>
  <c r="R287" i="4"/>
  <c r="R300" i="4"/>
  <c r="R135" i="4"/>
  <c r="R194" i="4"/>
  <c r="R154" i="4"/>
  <c r="R35" i="4"/>
  <c r="R64" i="4"/>
  <c r="R61" i="4"/>
  <c r="O318" i="4"/>
  <c r="O279" i="4"/>
  <c r="O297" i="4"/>
  <c r="O213" i="4"/>
  <c r="O145" i="4"/>
  <c r="O70" i="4"/>
  <c r="O107" i="4"/>
  <c r="O59" i="4"/>
  <c r="O60" i="4"/>
  <c r="Q14" i="4"/>
  <c r="Q221" i="4"/>
  <c r="Q159" i="4"/>
  <c r="Q50" i="4"/>
  <c r="P131" i="4"/>
  <c r="P154" i="4"/>
  <c r="P223" i="4"/>
  <c r="P316" i="4"/>
  <c r="P170" i="4"/>
  <c r="P297" i="4"/>
  <c r="P109" i="4"/>
  <c r="P171" i="4"/>
  <c r="P192" i="4"/>
  <c r="P213" i="4"/>
  <c r="P145" i="4"/>
  <c r="P98" i="4"/>
  <c r="P63" i="4"/>
  <c r="P60" i="4"/>
  <c r="R223" i="4"/>
  <c r="R281" i="4"/>
  <c r="R241" i="4"/>
  <c r="R98" i="4"/>
  <c r="R213" i="4"/>
  <c r="R145" i="4"/>
  <c r="R107" i="4"/>
  <c r="R63" i="4"/>
  <c r="R17" i="4"/>
  <c r="O310" i="4"/>
  <c r="O316" i="4"/>
  <c r="O178" i="4"/>
  <c r="O135" i="4"/>
  <c r="O133" i="4"/>
  <c r="O17" i="4"/>
  <c r="O99" i="4"/>
  <c r="O52" i="4"/>
  <c r="Q315" i="4"/>
  <c r="Q267" i="4"/>
  <c r="Q223" i="4"/>
  <c r="Q293" i="4"/>
  <c r="Q322" i="4"/>
  <c r="Q151" i="4"/>
  <c r="Q70" i="4"/>
  <c r="Q178" i="4"/>
  <c r="Q46" i="4"/>
  <c r="Q108" i="4"/>
  <c r="Q60" i="4"/>
  <c r="R285" i="4"/>
  <c r="H297" i="4"/>
  <c r="P291" i="4"/>
  <c r="P228" i="4"/>
  <c r="P293" i="4"/>
  <c r="P221" i="4"/>
  <c r="P199" i="4"/>
  <c r="P137" i="4"/>
  <c r="P107" i="4"/>
  <c r="P59" i="4"/>
  <c r="R267" i="4"/>
  <c r="R131" i="4"/>
  <c r="R237" i="4"/>
  <c r="R159" i="4"/>
  <c r="R322" i="4"/>
  <c r="R82" i="4"/>
  <c r="R192" i="4"/>
  <c r="R137" i="4"/>
  <c r="R103" i="4"/>
  <c r="R59" i="4"/>
  <c r="R52" i="4"/>
  <c r="O267" i="4"/>
  <c r="O227" i="4"/>
  <c r="O317" i="4"/>
  <c r="O285" i="4"/>
  <c r="O245" i="4"/>
  <c r="O170" i="4"/>
  <c r="O134" i="4"/>
  <c r="O131" i="4"/>
  <c r="O192" i="4"/>
  <c r="O129" i="4"/>
  <c r="O18" i="4"/>
  <c r="Q300" i="4"/>
  <c r="Q245" i="4"/>
  <c r="Q318" i="4"/>
  <c r="Q230" i="4"/>
  <c r="Q145" i="4"/>
  <c r="Q170" i="4"/>
  <c r="Q17" i="4"/>
  <c r="Q238" i="4"/>
  <c r="H103" i="4"/>
  <c r="P287" i="4"/>
  <c r="P308" i="4"/>
  <c r="P159" i="4"/>
  <c r="P133" i="4"/>
  <c r="P103" i="4"/>
  <c r="P15" i="4"/>
  <c r="P52" i="4"/>
  <c r="R315" i="4"/>
  <c r="R316" i="4"/>
  <c r="R318" i="4"/>
  <c r="R133" i="4"/>
  <c r="R178" i="4"/>
  <c r="R134" i="4"/>
  <c r="R46" i="4"/>
  <c r="R99" i="4"/>
  <c r="R15" i="4"/>
  <c r="O223" i="4"/>
  <c r="O308" i="4"/>
  <c r="O228" i="4"/>
  <c r="O281" i="4"/>
  <c r="O241" i="4"/>
  <c r="O130" i="4"/>
  <c r="O171" i="4"/>
  <c r="O122" i="4"/>
  <c r="O127" i="4"/>
  <c r="O120" i="4"/>
  <c r="Q281" i="4"/>
  <c r="Q241" i="4"/>
  <c r="Q183" i="4"/>
  <c r="Q192" i="4"/>
  <c r="Q137" i="4"/>
  <c r="Q107" i="4"/>
  <c r="Q59" i="4"/>
  <c r="Q52" i="4"/>
  <c r="Q109" i="4"/>
  <c r="O61" i="4"/>
  <c r="H285" i="4"/>
  <c r="E11" i="12"/>
  <c r="P230" i="4"/>
  <c r="P322" i="4"/>
  <c r="P283" i="4"/>
  <c r="P264" i="4"/>
  <c r="P317" i="4"/>
  <c r="P285" i="4"/>
  <c r="P245" i="4"/>
  <c r="P61" i="4"/>
  <c r="P151" i="4"/>
  <c r="P180" i="4"/>
  <c r="P148" i="4"/>
  <c r="P129" i="4"/>
  <c r="P122" i="4"/>
  <c r="P99" i="4"/>
  <c r="R283" i="4"/>
  <c r="R279" i="4"/>
  <c r="R183" i="4"/>
  <c r="R269" i="4"/>
  <c r="R238" i="4"/>
  <c r="R50" i="4"/>
  <c r="R129" i="4"/>
  <c r="R170" i="4"/>
  <c r="R130" i="4"/>
  <c r="R127" i="4"/>
  <c r="O291" i="4"/>
  <c r="O264" i="4"/>
  <c r="O237" i="4"/>
  <c r="O199" i="4"/>
  <c r="O189" i="4"/>
  <c r="O82" i="4"/>
  <c r="O50" i="4"/>
  <c r="O35" i="4"/>
  <c r="O40" i="4"/>
  <c r="Q317" i="4"/>
  <c r="Q237" i="4"/>
  <c r="Q310" i="4"/>
  <c r="Q213" i="4"/>
  <c r="Q133" i="4"/>
  <c r="Q154" i="4"/>
  <c r="Q103" i="4"/>
  <c r="Q15" i="4"/>
  <c r="O315" i="4"/>
  <c r="H40" i="4"/>
  <c r="H148" i="4"/>
  <c r="P134" i="4"/>
  <c r="P279" i="4"/>
  <c r="P194" i="4"/>
  <c r="P300" i="4"/>
  <c r="P281" i="4"/>
  <c r="P241" i="4"/>
  <c r="P82" i="4"/>
  <c r="P50" i="4"/>
  <c r="P18" i="4"/>
  <c r="P120" i="4"/>
  <c r="R291" i="4"/>
  <c r="R308" i="4"/>
  <c r="R228" i="4"/>
  <c r="R151" i="4"/>
  <c r="R297" i="4"/>
  <c r="R310" i="4"/>
  <c r="R199" i="4"/>
  <c r="R180" i="4"/>
  <c r="R148" i="4"/>
  <c r="R70" i="4"/>
  <c r="R18" i="4"/>
  <c r="R120" i="4"/>
  <c r="R40" i="4"/>
  <c r="R109" i="4"/>
  <c r="O287" i="4"/>
  <c r="O300" i="4"/>
  <c r="O194" i="4"/>
  <c r="O109" i="4"/>
  <c r="O159" i="4"/>
  <c r="O180" i="4"/>
  <c r="O148" i="4"/>
  <c r="O46" i="4"/>
  <c r="Q283" i="4"/>
  <c r="Q98" i="4"/>
  <c r="Q129" i="4"/>
  <c r="Q99" i="4"/>
  <c r="H327" i="4"/>
  <c r="H41" i="4"/>
  <c r="P251" i="4"/>
  <c r="P252" i="4"/>
  <c r="P214" i="4"/>
  <c r="P84" i="4"/>
  <c r="P20" i="4"/>
  <c r="R251" i="4"/>
  <c r="R326" i="4"/>
  <c r="R88" i="4"/>
  <c r="R105" i="4"/>
  <c r="R41" i="4"/>
  <c r="O270" i="4"/>
  <c r="O167" i="4"/>
  <c r="O41" i="4"/>
  <c r="O22" i="4"/>
  <c r="O67" i="4"/>
  <c r="O16" i="4"/>
  <c r="Q307" i="4"/>
  <c r="Q320" i="4"/>
  <c r="Q284" i="4"/>
  <c r="Q252" i="4"/>
  <c r="Q301" i="4"/>
  <c r="Q229" i="4"/>
  <c r="Q278" i="4"/>
  <c r="Q66" i="4"/>
  <c r="Q205" i="4"/>
  <c r="Q173" i="4"/>
  <c r="Q214" i="4"/>
  <c r="Q88" i="4"/>
  <c r="Q24" i="4"/>
  <c r="Q105" i="4"/>
  <c r="Q73" i="4"/>
  <c r="Q41" i="4"/>
  <c r="P270" i="4"/>
  <c r="P244" i="4"/>
  <c r="P155" i="4"/>
  <c r="P204" i="4"/>
  <c r="P16" i="4"/>
  <c r="R214" i="4"/>
  <c r="R84" i="4"/>
  <c r="R20" i="4"/>
  <c r="O327" i="4"/>
  <c r="O204" i="4"/>
  <c r="Q244" i="4"/>
  <c r="Q84" i="4"/>
  <c r="Q20" i="4"/>
  <c r="P198" i="4"/>
  <c r="P278" i="4"/>
  <c r="P174" i="4"/>
  <c r="P81" i="4"/>
  <c r="P200" i="4"/>
  <c r="P136" i="4"/>
  <c r="P193" i="4"/>
  <c r="P67" i="4"/>
  <c r="R327" i="4"/>
  <c r="R268" i="4"/>
  <c r="R204" i="4"/>
  <c r="R193" i="4"/>
  <c r="R16" i="4"/>
  <c r="O294" i="4"/>
  <c r="O262" i="4"/>
  <c r="O251" i="4"/>
  <c r="O268" i="4"/>
  <c r="O214" i="4"/>
  <c r="O200" i="4"/>
  <c r="O136" i="4"/>
  <c r="Q270" i="4"/>
  <c r="Q216" i="4"/>
  <c r="Q174" i="4"/>
  <c r="Q16" i="4"/>
  <c r="P326" i="4"/>
  <c r="P294" i="4"/>
  <c r="R307" i="4"/>
  <c r="R278" i="4"/>
  <c r="R200" i="4"/>
  <c r="R136" i="4"/>
  <c r="R174" i="4"/>
  <c r="R67" i="4"/>
  <c r="O326" i="4"/>
  <c r="O155" i="4"/>
  <c r="O81" i="4"/>
  <c r="O42" i="4"/>
  <c r="O87" i="4"/>
  <c r="O55" i="4"/>
  <c r="O23" i="4"/>
  <c r="O36" i="4"/>
  <c r="Q327" i="4"/>
  <c r="Q291" i="4"/>
  <c r="Q321" i="4"/>
  <c r="Q203" i="4"/>
  <c r="Q135" i="4"/>
  <c r="Q148" i="4"/>
  <c r="Q193" i="4"/>
  <c r="Q22" i="4"/>
  <c r="Q67" i="4"/>
  <c r="Q61" i="4"/>
  <c r="H84" i="4"/>
  <c r="P262" i="4"/>
  <c r="P307" i="4"/>
  <c r="P268" i="4"/>
  <c r="P105" i="4"/>
  <c r="O174" i="4"/>
  <c r="O205" i="4"/>
  <c r="O119" i="4"/>
  <c r="O83" i="4"/>
  <c r="O32" i="4"/>
  <c r="Q287" i="4"/>
  <c r="Q251" i="4"/>
  <c r="Q268" i="4"/>
  <c r="Q285" i="4"/>
  <c r="Q78" i="4"/>
  <c r="Q294" i="4"/>
  <c r="Q262" i="4"/>
  <c r="Q199" i="4"/>
  <c r="Q167" i="4"/>
  <c r="Q131" i="4"/>
  <c r="Q176" i="4"/>
  <c r="Q144" i="4"/>
  <c r="Q198" i="4"/>
  <c r="Q166" i="4"/>
  <c r="Q130" i="4"/>
  <c r="Q18" i="4"/>
  <c r="Q63" i="4"/>
  <c r="Q40" i="4"/>
  <c r="Q89" i="4"/>
  <c r="H20" i="4"/>
  <c r="P162" i="4"/>
  <c r="P41" i="4"/>
  <c r="P87" i="4"/>
  <c r="P55" i="4"/>
  <c r="P23" i="4"/>
  <c r="P32" i="4"/>
  <c r="R155" i="4"/>
  <c r="R270" i="4"/>
  <c r="R198" i="4"/>
  <c r="O211" i="4"/>
  <c r="O28" i="4"/>
  <c r="Q247" i="4"/>
  <c r="Q326" i="4"/>
  <c r="Q258" i="4"/>
  <c r="Q195" i="4"/>
  <c r="Q163" i="4"/>
  <c r="Q204" i="4"/>
  <c r="Q172" i="4"/>
  <c r="Q194" i="4"/>
  <c r="Q162" i="4"/>
  <c r="Q36" i="4"/>
  <c r="Q85" i="4"/>
  <c r="Q21" i="4"/>
  <c r="P167" i="4"/>
  <c r="P216" i="4"/>
  <c r="P119" i="4"/>
  <c r="P83" i="4"/>
  <c r="R252" i="4"/>
  <c r="R162" i="4"/>
  <c r="R87" i="4"/>
  <c r="R55" i="4"/>
  <c r="R23" i="4"/>
  <c r="R32" i="4"/>
  <c r="R81" i="4"/>
  <c r="O278" i="4"/>
  <c r="O105" i="4"/>
  <c r="O307" i="4"/>
  <c r="O252" i="4"/>
  <c r="O198" i="4"/>
  <c r="O216" i="4"/>
  <c r="O88" i="4"/>
  <c r="Q200" i="4"/>
  <c r="Q136" i="4"/>
  <c r="Q42" i="4"/>
  <c r="Q87" i="4"/>
  <c r="Q55" i="4"/>
  <c r="Q23" i="4"/>
  <c r="Q32" i="4"/>
  <c r="Q81" i="4"/>
  <c r="D31" i="9"/>
  <c r="F31" i="9"/>
  <c r="E31" i="9"/>
  <c r="I327" i="4"/>
  <c r="I104" i="4"/>
  <c r="I263" i="4"/>
  <c r="H190" i="4"/>
  <c r="I190" i="4"/>
  <c r="H30" i="4"/>
  <c r="I22" i="4"/>
  <c r="J22" i="4"/>
  <c r="H22" i="4"/>
  <c r="K22" i="4"/>
  <c r="L22" i="4"/>
  <c r="I41" i="4"/>
  <c r="I74" i="4"/>
  <c r="H212" i="4"/>
  <c r="I166" i="4"/>
  <c r="H278" i="4"/>
  <c r="H294" i="4"/>
  <c r="H93" i="4"/>
  <c r="H246" i="4"/>
  <c r="I303" i="4"/>
  <c r="I176" i="4"/>
  <c r="H198" i="4"/>
  <c r="H118" i="4"/>
  <c r="H21" i="4"/>
  <c r="H62" i="4"/>
  <c r="H123" i="4"/>
  <c r="H310" i="4"/>
  <c r="H150" i="4"/>
  <c r="H199" i="4"/>
  <c r="H254" i="4"/>
  <c r="H318" i="4"/>
  <c r="H214" i="4"/>
  <c r="H71" i="4"/>
  <c r="H323" i="4"/>
  <c r="H126" i="4"/>
  <c r="H14" i="4"/>
  <c r="I40" i="4"/>
  <c r="H86" i="4"/>
  <c r="H158" i="4"/>
  <c r="H134" i="4"/>
  <c r="H38" i="4"/>
  <c r="H311" i="4"/>
  <c r="H135" i="4"/>
  <c r="H182" i="4"/>
  <c r="H117" i="4"/>
  <c r="H70" i="4"/>
  <c r="H167" i="4"/>
  <c r="H54" i="4"/>
  <c r="H105" i="4"/>
  <c r="H94" i="4"/>
  <c r="H63" i="4"/>
  <c r="H29" i="4"/>
  <c r="H230" i="4"/>
  <c r="H255" i="4"/>
  <c r="H59" i="4"/>
  <c r="J477" i="4"/>
  <c r="H202" i="4"/>
  <c r="H96" i="4"/>
  <c r="J420" i="4"/>
  <c r="H132" i="4"/>
  <c r="H43" i="4"/>
  <c r="J330" i="4"/>
  <c r="H261" i="4"/>
  <c r="H152" i="4"/>
  <c r="H87" i="4"/>
  <c r="H78" i="4"/>
  <c r="H124" i="4"/>
  <c r="J435" i="4"/>
  <c r="H99" i="4"/>
  <c r="H145" i="4"/>
  <c r="H216" i="4"/>
  <c r="H79" i="4"/>
  <c r="H326" i="4"/>
  <c r="J421" i="4"/>
  <c r="H308" i="4"/>
  <c r="H163" i="4"/>
  <c r="H178" i="4"/>
  <c r="H236" i="4"/>
  <c r="K459" i="4"/>
  <c r="H219" i="4"/>
  <c r="H149" i="4"/>
  <c r="H200" i="4"/>
  <c r="L375" i="4"/>
  <c r="H36" i="4"/>
  <c r="J395" i="4"/>
  <c r="H75" i="4"/>
  <c r="H90" i="4"/>
  <c r="H256" i="4"/>
  <c r="H319" i="4"/>
  <c r="H46" i="4"/>
  <c r="J436" i="4"/>
  <c r="H28" i="4"/>
  <c r="H213" i="4"/>
  <c r="H177" i="4"/>
  <c r="H112" i="4"/>
  <c r="L367" i="4"/>
  <c r="L342" i="4"/>
  <c r="H25" i="4"/>
  <c r="H151" i="4"/>
  <c r="H188" i="4"/>
  <c r="H171" i="4"/>
  <c r="J354" i="4"/>
  <c r="H53" i="4"/>
  <c r="H209" i="4"/>
  <c r="H315" i="4"/>
  <c r="H130" i="4"/>
  <c r="H289" i="4"/>
  <c r="H32" i="4"/>
  <c r="H287" i="4"/>
  <c r="H68" i="4"/>
  <c r="H229" i="4"/>
  <c r="H258" i="4"/>
  <c r="H88" i="4"/>
  <c r="H23" i="4"/>
  <c r="H322" i="4"/>
  <c r="H60" i="4"/>
  <c r="H35" i="4"/>
  <c r="H250" i="4"/>
  <c r="J465" i="4"/>
  <c r="H81" i="4"/>
  <c r="H144" i="4"/>
  <c r="H15" i="4"/>
  <c r="H262" i="4"/>
  <c r="H101" i="4"/>
  <c r="H244" i="4"/>
  <c r="H106" i="4"/>
  <c r="H265" i="4"/>
  <c r="H172" i="4"/>
  <c r="H155" i="4"/>
  <c r="H306" i="4"/>
  <c r="J449" i="4"/>
  <c r="H128" i="4"/>
  <c r="J445" i="4"/>
  <c r="J372" i="4"/>
  <c r="H26" i="4"/>
  <c r="H185" i="4"/>
  <c r="H192" i="4"/>
  <c r="H247" i="4"/>
  <c r="J478" i="4"/>
  <c r="K370" i="4"/>
  <c r="H113" i="4"/>
  <c r="H48" i="4"/>
  <c r="J387" i="4"/>
  <c r="J473" i="4"/>
  <c r="J332" i="4"/>
  <c r="H64" i="4"/>
  <c r="K350" i="4"/>
  <c r="J389" i="4"/>
  <c r="J363" i="4"/>
  <c r="H253" i="4"/>
  <c r="H121" i="4"/>
  <c r="H120" i="4"/>
  <c r="H183" i="4"/>
  <c r="K446" i="4"/>
  <c r="H133" i="4"/>
  <c r="H267" i="4"/>
  <c r="L441" i="4"/>
  <c r="H49" i="4"/>
  <c r="K440" i="4"/>
  <c r="L433" i="4"/>
  <c r="H168" i="4"/>
  <c r="J381" i="4"/>
  <c r="H196" i="4"/>
  <c r="H107" i="4"/>
  <c r="H142" i="4"/>
  <c r="H251" i="4"/>
  <c r="J379" i="4"/>
  <c r="H186" i="4"/>
  <c r="H180" i="4"/>
  <c r="H42" i="4"/>
  <c r="H108" i="4"/>
  <c r="H83" i="4"/>
  <c r="H234" i="4"/>
  <c r="H325" i="4"/>
  <c r="L464" i="4"/>
  <c r="H269" i="4"/>
  <c r="H114" i="4"/>
  <c r="H221" i="4"/>
  <c r="H16" i="4"/>
  <c r="K479" i="4"/>
  <c r="L351" i="4"/>
  <c r="J412" i="4"/>
  <c r="H116" i="4"/>
  <c r="H137" i="4"/>
  <c r="H208" i="4"/>
  <c r="H44" i="4"/>
  <c r="J427" i="4"/>
  <c r="H19" i="4"/>
  <c r="H170" i="4"/>
  <c r="J340" i="4"/>
  <c r="H173" i="4"/>
  <c r="H56" i="4"/>
  <c r="H119" i="4"/>
  <c r="H203" i="4"/>
  <c r="H282" i="4"/>
  <c r="H77" i="4"/>
  <c r="H181" i="4"/>
  <c r="I157" i="4"/>
  <c r="J470" i="4"/>
  <c r="J355" i="4"/>
  <c r="J469" i="4"/>
  <c r="H266" i="4"/>
  <c r="K359" i="4"/>
  <c r="K410" i="4"/>
  <c r="H66" i="4"/>
  <c r="H225" i="4"/>
  <c r="H223" i="4"/>
  <c r="J388" i="4"/>
  <c r="H24" i="4"/>
  <c r="L415" i="4"/>
  <c r="H160" i="4"/>
  <c r="H61" i="4"/>
  <c r="H204" i="4"/>
  <c r="J443" i="4"/>
  <c r="H115" i="4"/>
  <c r="K362" i="4"/>
  <c r="J413" i="4"/>
  <c r="H97" i="4"/>
  <c r="L344" i="4"/>
  <c r="J447" i="4"/>
  <c r="H95" i="4"/>
  <c r="J356" i="4"/>
  <c r="H45" i="4"/>
  <c r="H307" i="4"/>
  <c r="J442" i="4"/>
  <c r="H58" i="4"/>
  <c r="H217" i="4"/>
  <c r="J429" i="4"/>
  <c r="K468" i="4"/>
  <c r="J474" i="4"/>
  <c r="H50" i="4"/>
  <c r="H52" i="4"/>
  <c r="H37" i="4"/>
  <c r="H73" i="4"/>
  <c r="H136" i="4"/>
  <c r="I14" i="4"/>
  <c r="H98" i="4"/>
  <c r="H193" i="4"/>
  <c r="L368" i="4"/>
  <c r="K341" i="4"/>
  <c r="H292" i="4"/>
  <c r="J331" i="4"/>
  <c r="H301" i="4"/>
  <c r="H55" i="4"/>
  <c r="H302" i="4"/>
  <c r="H284" i="4"/>
  <c r="J451" i="4"/>
  <c r="H131" i="4"/>
  <c r="H218" i="4"/>
  <c r="L423" i="4"/>
  <c r="J338" i="4"/>
  <c r="H245" i="4"/>
  <c r="K482" i="4"/>
  <c r="H224" i="4"/>
  <c r="H69" i="4"/>
  <c r="H194" i="4"/>
  <c r="J403" i="4"/>
  <c r="L425" i="4"/>
  <c r="H17" i="4"/>
  <c r="H80" i="4"/>
  <c r="J383" i="4"/>
  <c r="H317" i="4"/>
  <c r="H27" i="4"/>
  <c r="H201" i="4"/>
  <c r="H272" i="4"/>
  <c r="H321" i="4"/>
  <c r="H268" i="4"/>
  <c r="H159" i="4"/>
  <c r="H122" i="4"/>
  <c r="H140" i="4"/>
  <c r="H51" i="4"/>
  <c r="H125" i="4"/>
  <c r="H33" i="4"/>
  <c r="H304" i="4"/>
  <c r="H31" i="4"/>
  <c r="J461" i="4"/>
  <c r="H324" i="4"/>
  <c r="H243" i="4"/>
  <c r="H153" i="4"/>
  <c r="H279" i="4"/>
  <c r="H270" i="4"/>
  <c r="H316" i="4"/>
  <c r="H299" i="4"/>
  <c r="J329" i="4"/>
  <c r="H271" i="4"/>
  <c r="L422" i="4"/>
  <c r="J380" i="4"/>
  <c r="J371" i="4"/>
  <c r="H189" i="4"/>
  <c r="H72" i="4"/>
  <c r="H197" i="4"/>
  <c r="H34" i="4"/>
  <c r="H129" i="4"/>
  <c r="J431" i="4"/>
  <c r="I191" i="4"/>
  <c r="I246" i="4"/>
  <c r="H228" i="4"/>
  <c r="H275" i="4"/>
  <c r="H290" i="4"/>
  <c r="H109" i="4"/>
  <c r="H238" i="4"/>
  <c r="H220" i="4"/>
  <c r="H67" i="4"/>
  <c r="H154" i="4"/>
  <c r="J345" i="4"/>
  <c r="H320" i="4"/>
  <c r="J397" i="4"/>
  <c r="J364" i="4"/>
  <c r="J450" i="4"/>
  <c r="H187" i="4"/>
  <c r="H161" i="4"/>
  <c r="H281" i="4"/>
  <c r="H76" i="4"/>
  <c r="J411" i="4"/>
  <c r="H309" i="4"/>
  <c r="H277" i="4"/>
  <c r="H232" i="4"/>
  <c r="J391" i="4"/>
  <c r="H205" i="4"/>
  <c r="H260" i="4"/>
  <c r="J483" i="4"/>
  <c r="H179" i="4"/>
  <c r="H85" i="4"/>
  <c r="H89" i="4"/>
  <c r="H288" i="4"/>
  <c r="H215" i="4"/>
  <c r="H206" i="4"/>
  <c r="H252" i="4"/>
  <c r="H235" i="4"/>
  <c r="L349" i="4"/>
  <c r="H273" i="4"/>
  <c r="J336" i="4"/>
  <c r="H207" i="4"/>
  <c r="J437" i="4"/>
  <c r="H291" i="4"/>
  <c r="H314" i="4"/>
  <c r="K456" i="4"/>
  <c r="K378" i="4"/>
  <c r="H293" i="4"/>
  <c r="H65" i="4"/>
  <c r="J328" i="4"/>
  <c r="H164" i="4"/>
  <c r="H211" i="4"/>
  <c r="H226" i="4"/>
  <c r="H174" i="4"/>
  <c r="H156" i="4"/>
  <c r="J419" i="4"/>
  <c r="H82" i="4"/>
  <c r="H305" i="4"/>
  <c r="L399" i="4"/>
  <c r="J472" i="4"/>
  <c r="H280" i="4"/>
  <c r="J439" i="4"/>
  <c r="H143" i="4"/>
  <c r="L358" i="4"/>
  <c r="J348" i="4"/>
  <c r="H237" i="4"/>
  <c r="H227" i="4"/>
  <c r="H242" i="4"/>
  <c r="K454" i="4"/>
  <c r="H300" i="4"/>
  <c r="J460" i="4"/>
  <c r="H283" i="4"/>
  <c r="H264" i="4"/>
  <c r="J407" i="4"/>
  <c r="J404" i="4"/>
  <c r="H147" i="4"/>
  <c r="H162" i="4"/>
  <c r="H313" i="4"/>
  <c r="H110" i="4"/>
  <c r="J373" i="4"/>
  <c r="H18" i="4"/>
  <c r="H241" i="4"/>
  <c r="H184" i="4"/>
  <c r="K430" i="4"/>
  <c r="I169" i="4"/>
  <c r="J396" i="4"/>
  <c r="J365" i="4"/>
  <c r="I93" i="4"/>
  <c r="G8" i="4" l="1"/>
  <c r="G100" i="4" s="1"/>
  <c r="H8" i="4"/>
  <c r="H455" i="4" s="1"/>
  <c r="I8" i="4"/>
  <c r="I414" i="4" s="1"/>
  <c r="K452" i="4"/>
  <c r="K141" i="4"/>
  <c r="K91" i="4"/>
  <c r="K455" i="4"/>
  <c r="K248" i="4"/>
  <c r="J8" i="4"/>
  <c r="J249" i="4" s="1"/>
  <c r="L8" i="4"/>
  <c r="L100" i="4" s="1"/>
  <c r="D41" i="24"/>
  <c r="I19" i="10" s="1"/>
  <c r="C40" i="24"/>
  <c r="E41" i="24"/>
  <c r="J19" i="10" s="1"/>
  <c r="C41" i="24"/>
  <c r="H19" i="10" s="1"/>
  <c r="D40" i="24"/>
  <c r="E40" i="24"/>
  <c r="Q8" i="4"/>
  <c r="O8" i="4"/>
  <c r="P8" i="4"/>
  <c r="N8" i="4"/>
  <c r="S8" i="4"/>
  <c r="R8" i="4"/>
  <c r="F17" i="24"/>
  <c r="E32" i="24"/>
  <c r="D32" i="24"/>
  <c r="D33" i="24"/>
  <c r="I14" i="10" s="1"/>
  <c r="E33" i="24"/>
  <c r="J14" i="10" s="1"/>
  <c r="C32" i="24"/>
  <c r="C33" i="24"/>
  <c r="H14" i="10" s="1"/>
  <c r="I100" i="4"/>
  <c r="J257" i="4"/>
  <c r="H139" i="4"/>
  <c r="J453" i="4"/>
  <c r="H298" i="4"/>
  <c r="H452" i="4"/>
  <c r="H453" i="4"/>
  <c r="H405" i="4"/>
  <c r="K139" i="4"/>
  <c r="K406" i="4"/>
  <c r="G102" i="4"/>
  <c r="I102" i="4"/>
  <c r="K249" i="4"/>
  <c r="K92" i="4"/>
  <c r="K414" i="4"/>
  <c r="I453" i="4"/>
  <c r="H100" i="4"/>
  <c r="H295" i="4"/>
  <c r="G249" i="4"/>
  <c r="G139" i="4"/>
  <c r="G92" i="4"/>
  <c r="G296" i="4"/>
  <c r="I452" i="4"/>
  <c r="K259" i="4"/>
  <c r="K296" i="4"/>
  <c r="I138" i="4"/>
  <c r="I416" i="4"/>
  <c r="K102" i="4"/>
  <c r="K298" i="4"/>
  <c r="I295" i="4"/>
  <c r="K257" i="4"/>
  <c r="I249" i="4"/>
  <c r="K138" i="4"/>
  <c r="I406" i="4"/>
  <c r="I257" i="4"/>
  <c r="I92" i="4"/>
  <c r="I91" i="4"/>
  <c r="I139" i="4"/>
  <c r="K295" i="4"/>
  <c r="I296" i="4"/>
  <c r="I455" i="4"/>
  <c r="I259" i="4"/>
  <c r="K405" i="4"/>
  <c r="I298" i="4"/>
  <c r="K416" i="4"/>
  <c r="I248" i="4"/>
  <c r="K453" i="4"/>
  <c r="I141" i="4"/>
  <c r="H141" i="4"/>
  <c r="G406" i="4"/>
  <c r="G257" i="4"/>
  <c r="G452" i="4"/>
  <c r="H91" i="4"/>
  <c r="G295" i="4"/>
  <c r="H414" i="4"/>
  <c r="G91" i="4"/>
  <c r="G416" i="4"/>
  <c r="G455" i="4"/>
  <c r="G298" i="4"/>
  <c r="G259" i="4"/>
  <c r="G405" i="4"/>
  <c r="G138" i="4"/>
  <c r="G141" i="4"/>
  <c r="G248" i="4"/>
  <c r="G414" i="4"/>
  <c r="G453" i="4"/>
  <c r="H257" i="4"/>
  <c r="H92" i="4"/>
  <c r="H249" i="4"/>
  <c r="H296" i="4"/>
  <c r="H102" i="4"/>
  <c r="J102" i="4"/>
  <c r="H406" i="4"/>
  <c r="H416" i="4"/>
  <c r="H259" i="4"/>
  <c r="H138" i="4"/>
  <c r="H248" i="4"/>
  <c r="I405" i="4"/>
  <c r="D57" i="20"/>
  <c r="F29" i="20"/>
  <c r="E56" i="20"/>
  <c r="E57" i="20"/>
  <c r="C57" i="20"/>
  <c r="D56" i="20"/>
  <c r="C56" i="20"/>
  <c r="G75" i="7"/>
  <c r="C9" i="20" s="1"/>
  <c r="C10" i="20" s="1"/>
  <c r="E15" i="20" s="1"/>
  <c r="F15" i="20" s="1"/>
  <c r="E8" i="6"/>
  <c r="E26" i="6" s="1"/>
  <c r="G15" i="12" s="1"/>
  <c r="L31" i="2"/>
  <c r="I30" i="4"/>
  <c r="P30" i="4"/>
  <c r="L48" i="2"/>
  <c r="P47" i="4"/>
  <c r="L219" i="2"/>
  <c r="P218" i="4"/>
  <c r="L278" i="2"/>
  <c r="P277" i="4"/>
  <c r="L213" i="2"/>
  <c r="P212" i="4"/>
  <c r="L129" i="2"/>
  <c r="P128" i="4"/>
  <c r="L40" i="2"/>
  <c r="P39" i="4"/>
  <c r="L122" i="2"/>
  <c r="P121" i="4"/>
  <c r="L107" i="2"/>
  <c r="P106" i="4"/>
  <c r="L262" i="2"/>
  <c r="P261" i="4"/>
  <c r="L307" i="2"/>
  <c r="P306" i="4"/>
  <c r="L313" i="2"/>
  <c r="P312" i="4"/>
  <c r="N59" i="2"/>
  <c r="S58" i="4" s="1"/>
  <c r="R58" i="4"/>
  <c r="L234" i="2"/>
  <c r="P233" i="4"/>
  <c r="L95" i="2"/>
  <c r="P94" i="4"/>
  <c r="N310" i="2"/>
  <c r="S309" i="4" s="1"/>
  <c r="R309" i="4"/>
  <c r="L116" i="2"/>
  <c r="P115" i="4"/>
  <c r="L113" i="2"/>
  <c r="P112" i="4"/>
  <c r="M312" i="2"/>
  <c r="Q311" i="4"/>
  <c r="M241" i="2"/>
  <c r="Q240" i="4"/>
  <c r="L223" i="2"/>
  <c r="J222" i="4" s="1"/>
  <c r="P222" i="4"/>
  <c r="L189" i="2"/>
  <c r="P188" i="4"/>
  <c r="L102" i="2"/>
  <c r="P101" i="4"/>
  <c r="L117" i="2"/>
  <c r="P116" i="4"/>
  <c r="L154" i="2"/>
  <c r="P153" i="4"/>
  <c r="L144" i="2"/>
  <c r="P143" i="4"/>
  <c r="N125" i="2"/>
  <c r="S124" i="4" s="1"/>
  <c r="R124" i="4"/>
  <c r="L273" i="2"/>
  <c r="P272" i="4"/>
  <c r="L150" i="2"/>
  <c r="P149" i="4"/>
  <c r="L119" i="2"/>
  <c r="P118" i="4"/>
  <c r="L34" i="2"/>
  <c r="P33" i="4"/>
  <c r="M94" i="2"/>
  <c r="Q93" i="4"/>
  <c r="L55" i="2"/>
  <c r="P54" i="4"/>
  <c r="L303" i="2"/>
  <c r="P302" i="4"/>
  <c r="M267" i="2"/>
  <c r="Q266" i="4"/>
  <c r="L291" i="2"/>
  <c r="P290" i="4"/>
  <c r="L187" i="2"/>
  <c r="P186" i="4"/>
  <c r="M216" i="2"/>
  <c r="Q215" i="4"/>
  <c r="L287" i="2"/>
  <c r="P286" i="4"/>
  <c r="L58" i="2"/>
  <c r="P57" i="4"/>
  <c r="L240" i="2"/>
  <c r="P239" i="4"/>
  <c r="L114" i="2"/>
  <c r="P113" i="4"/>
  <c r="L225" i="2"/>
  <c r="P224" i="4"/>
  <c r="L126" i="2"/>
  <c r="P125" i="4"/>
  <c r="L227" i="2"/>
  <c r="P226" i="4"/>
  <c r="L165" i="2"/>
  <c r="P164" i="4"/>
  <c r="N169" i="2"/>
  <c r="S168" i="4" s="1"/>
  <c r="R168" i="4"/>
  <c r="L305" i="2"/>
  <c r="P304" i="4"/>
  <c r="L27" i="2"/>
  <c r="P26" i="4"/>
  <c r="L35" i="2"/>
  <c r="P34" i="4"/>
  <c r="N176" i="2"/>
  <c r="S175" i="4" s="1"/>
  <c r="R175" i="4"/>
  <c r="L255" i="2"/>
  <c r="P254" i="4"/>
  <c r="N235" i="2"/>
  <c r="S234" i="4" s="1"/>
  <c r="R234" i="4"/>
  <c r="L69" i="2"/>
  <c r="P68" i="4"/>
  <c r="L186" i="2"/>
  <c r="P185" i="4"/>
  <c r="L277" i="2"/>
  <c r="J276" i="4" s="1"/>
  <c r="P276" i="4"/>
  <c r="E35" i="9"/>
  <c r="E34" i="9"/>
  <c r="F35" i="9"/>
  <c r="F34" i="9"/>
  <c r="D35" i="9"/>
  <c r="D34" i="9"/>
  <c r="J47" i="4"/>
  <c r="I47" i="4"/>
  <c r="I286" i="4"/>
  <c r="K190" i="4"/>
  <c r="I165" i="4"/>
  <c r="J240" i="4"/>
  <c r="J104" i="4"/>
  <c r="I240" i="4"/>
  <c r="I274" i="4"/>
  <c r="I84" i="4"/>
  <c r="I111" i="4"/>
  <c r="I127" i="4"/>
  <c r="I20" i="4"/>
  <c r="I39" i="4"/>
  <c r="I103" i="4"/>
  <c r="J41" i="4"/>
  <c r="I222" i="4"/>
  <c r="I231" i="4"/>
  <c r="I148" i="4"/>
  <c r="I297" i="4"/>
  <c r="I278" i="4"/>
  <c r="I312" i="4"/>
  <c r="J40" i="4"/>
  <c r="J263" i="4"/>
  <c r="J303" i="4"/>
  <c r="I195" i="4"/>
  <c r="I233" i="4"/>
  <c r="I210" i="4"/>
  <c r="I239" i="4"/>
  <c r="I175" i="4"/>
  <c r="K100" i="4"/>
  <c r="I198" i="4"/>
  <c r="I294" i="4"/>
  <c r="I146" i="4"/>
  <c r="I285" i="4"/>
  <c r="I118" i="4"/>
  <c r="I230" i="4"/>
  <c r="I214" i="4"/>
  <c r="I311" i="4"/>
  <c r="I199" i="4"/>
  <c r="I123" i="4"/>
  <c r="I59" i="4"/>
  <c r="I94" i="4"/>
  <c r="I54" i="4"/>
  <c r="I158" i="4"/>
  <c r="I71" i="4"/>
  <c r="I70" i="4"/>
  <c r="J175" i="4"/>
  <c r="I29" i="4"/>
  <c r="I117" i="4"/>
  <c r="I318" i="4"/>
  <c r="I150" i="4"/>
  <c r="I38" i="4"/>
  <c r="I126" i="4"/>
  <c r="I62" i="4"/>
  <c r="I255" i="4"/>
  <c r="I167" i="4"/>
  <c r="I86" i="4"/>
  <c r="I182" i="4"/>
  <c r="I135" i="4"/>
  <c r="I254" i="4"/>
  <c r="I310" i="4"/>
  <c r="I63" i="4"/>
  <c r="I105" i="4"/>
  <c r="I134" i="4"/>
  <c r="I323" i="4"/>
  <c r="I21" i="4"/>
  <c r="I53" i="4"/>
  <c r="I256" i="4"/>
  <c r="K395" i="4"/>
  <c r="I178" i="4"/>
  <c r="K421" i="4"/>
  <c r="I99" i="4"/>
  <c r="I43" i="4"/>
  <c r="I264" i="4"/>
  <c r="J84" i="4"/>
  <c r="I110" i="4"/>
  <c r="I300" i="4"/>
  <c r="I65" i="4"/>
  <c r="I288" i="4"/>
  <c r="I232" i="4"/>
  <c r="K411" i="4"/>
  <c r="J103" i="4"/>
  <c r="I220" i="4"/>
  <c r="K431" i="4"/>
  <c r="I122" i="4"/>
  <c r="K383" i="4"/>
  <c r="I245" i="4"/>
  <c r="I131" i="4"/>
  <c r="L341" i="4"/>
  <c r="I98" i="4"/>
  <c r="I217" i="4"/>
  <c r="K447" i="4"/>
  <c r="K443" i="4"/>
  <c r="I225" i="4"/>
  <c r="L359" i="4"/>
  <c r="J233" i="4"/>
  <c r="I282" i="4"/>
  <c r="K340" i="4"/>
  <c r="I114" i="4"/>
  <c r="I325" i="4"/>
  <c r="I186" i="4"/>
  <c r="L446" i="4"/>
  <c r="I64" i="4"/>
  <c r="K332" i="4"/>
  <c r="I247" i="4"/>
  <c r="K449" i="4"/>
  <c r="I101" i="4"/>
  <c r="I60" i="4"/>
  <c r="I32" i="4"/>
  <c r="I188" i="4"/>
  <c r="I213" i="4"/>
  <c r="I200" i="4"/>
  <c r="I78" i="4"/>
  <c r="I96" i="4"/>
  <c r="I280" i="4"/>
  <c r="I281" i="4"/>
  <c r="K364" i="4"/>
  <c r="K461" i="4"/>
  <c r="I201" i="4"/>
  <c r="K413" i="4"/>
  <c r="K355" i="4"/>
  <c r="K427" i="4"/>
  <c r="I229" i="4"/>
  <c r="J169" i="4"/>
  <c r="I147" i="4"/>
  <c r="J127" i="4"/>
  <c r="I237" i="4"/>
  <c r="I143" i="4"/>
  <c r="I226" i="4"/>
  <c r="I291" i="4"/>
  <c r="I207" i="4"/>
  <c r="I179" i="4"/>
  <c r="J239" i="4"/>
  <c r="I290" i="4"/>
  <c r="I197" i="4"/>
  <c r="I270" i="4"/>
  <c r="I304" i="4"/>
  <c r="I321" i="4"/>
  <c r="I302" i="4"/>
  <c r="K331" i="4"/>
  <c r="I73" i="4"/>
  <c r="I307" i="4"/>
  <c r="K388" i="4"/>
  <c r="J231" i="4"/>
  <c r="K470" i="4"/>
  <c r="J148" i="4"/>
  <c r="I56" i="4"/>
  <c r="I208" i="4"/>
  <c r="K412" i="4"/>
  <c r="I108" i="4"/>
  <c r="I142" i="4"/>
  <c r="K381" i="4"/>
  <c r="I121" i="4"/>
  <c r="J111" i="4"/>
  <c r="I26" i="4"/>
  <c r="K445" i="4"/>
  <c r="I172" i="4"/>
  <c r="I144" i="4"/>
  <c r="I88" i="4"/>
  <c r="I315" i="4"/>
  <c r="K354" i="4"/>
  <c r="I46" i="4"/>
  <c r="L459" i="4"/>
  <c r="I216" i="4"/>
  <c r="K435" i="4"/>
  <c r="I261" i="4"/>
  <c r="K419" i="4"/>
  <c r="I273" i="4"/>
  <c r="K380" i="4"/>
  <c r="I224" i="4"/>
  <c r="I301" i="4"/>
  <c r="J327" i="4"/>
  <c r="I42" i="4"/>
  <c r="L430" i="4"/>
  <c r="I18" i="4"/>
  <c r="I283" i="4"/>
  <c r="K472" i="4"/>
  <c r="I305" i="4"/>
  <c r="I206" i="4"/>
  <c r="I205" i="4"/>
  <c r="I161" i="4"/>
  <c r="I154" i="4"/>
  <c r="I189" i="4"/>
  <c r="I243" i="4"/>
  <c r="I51" i="4"/>
  <c r="I27" i="4"/>
  <c r="K403" i="4"/>
  <c r="K451" i="4"/>
  <c r="L468" i="4"/>
  <c r="J278" i="4"/>
  <c r="I160" i="4"/>
  <c r="I181" i="4"/>
  <c r="I170" i="4"/>
  <c r="I16" i="4"/>
  <c r="I180" i="4"/>
  <c r="K379" i="4"/>
  <c r="J212" i="4"/>
  <c r="I267" i="4"/>
  <c r="K389" i="4"/>
  <c r="L370" i="4"/>
  <c r="I106" i="4"/>
  <c r="I250" i="4"/>
  <c r="I68" i="4"/>
  <c r="I112" i="4"/>
  <c r="I90" i="4"/>
  <c r="I163" i="4"/>
  <c r="I132" i="4"/>
  <c r="K365" i="4"/>
  <c r="I241" i="4"/>
  <c r="I313" i="4"/>
  <c r="I242" i="4"/>
  <c r="K348" i="4"/>
  <c r="I156" i="4"/>
  <c r="I293" i="4"/>
  <c r="L456" i="4"/>
  <c r="K437" i="4"/>
  <c r="I89" i="4"/>
  <c r="K483" i="4"/>
  <c r="I277" i="4"/>
  <c r="J176" i="4"/>
  <c r="J165" i="4"/>
  <c r="I238" i="4"/>
  <c r="I129" i="4"/>
  <c r="I299" i="4"/>
  <c r="I159" i="4"/>
  <c r="I80" i="4"/>
  <c r="K338" i="4"/>
  <c r="J14" i="4"/>
  <c r="I58" i="4"/>
  <c r="L362" i="4"/>
  <c r="I66" i="4"/>
  <c r="K469" i="4"/>
  <c r="I203" i="4"/>
  <c r="I57" i="4"/>
  <c r="I44" i="4"/>
  <c r="I269" i="4"/>
  <c r="I234" i="4"/>
  <c r="J297" i="4"/>
  <c r="I183" i="4"/>
  <c r="I192" i="4"/>
  <c r="K372" i="4"/>
  <c r="I306" i="4"/>
  <c r="I262" i="4"/>
  <c r="I322" i="4"/>
  <c r="I289" i="4"/>
  <c r="I151" i="4"/>
  <c r="I28" i="4"/>
  <c r="I36" i="4"/>
  <c r="I149" i="4"/>
  <c r="I326" i="4"/>
  <c r="I87" i="4"/>
  <c r="K330" i="4"/>
  <c r="I202" i="4"/>
  <c r="I184" i="4"/>
  <c r="K373" i="4"/>
  <c r="K407" i="4"/>
  <c r="K460" i="4"/>
  <c r="K439" i="4"/>
  <c r="I211" i="4"/>
  <c r="K336" i="4"/>
  <c r="I235" i="4"/>
  <c r="I76" i="4"/>
  <c r="I320" i="4"/>
  <c r="I275" i="4"/>
  <c r="K371" i="4"/>
  <c r="I279" i="4"/>
  <c r="I33" i="4"/>
  <c r="I272" i="4"/>
  <c r="I69" i="4"/>
  <c r="I55" i="4"/>
  <c r="I37" i="4"/>
  <c r="I50" i="4"/>
  <c r="K429" i="4"/>
  <c r="I45" i="4"/>
  <c r="I204" i="4"/>
  <c r="I266" i="4"/>
  <c r="I137" i="4"/>
  <c r="I107" i="4"/>
  <c r="I253" i="4"/>
  <c r="I48" i="4"/>
  <c r="I81" i="4"/>
  <c r="I258" i="4"/>
  <c r="I209" i="4"/>
  <c r="I319" i="4"/>
  <c r="I236" i="4"/>
  <c r="I145" i="4"/>
  <c r="K420" i="4"/>
  <c r="I260" i="4"/>
  <c r="I228" i="4"/>
  <c r="I72" i="4"/>
  <c r="I153" i="4"/>
  <c r="I61" i="4"/>
  <c r="K396" i="4"/>
  <c r="J274" i="4"/>
  <c r="K404" i="4"/>
  <c r="L454" i="4"/>
  <c r="J20" i="4"/>
  <c r="I82" i="4"/>
  <c r="K328" i="4"/>
  <c r="I215" i="4"/>
  <c r="K391" i="4"/>
  <c r="I187" i="4"/>
  <c r="K450" i="4"/>
  <c r="K397" i="4"/>
  <c r="I67" i="4"/>
  <c r="J191" i="4"/>
  <c r="I271" i="4"/>
  <c r="I324" i="4"/>
  <c r="I140" i="4"/>
  <c r="I317" i="4"/>
  <c r="L482" i="4"/>
  <c r="I218" i="4"/>
  <c r="I292" i="4"/>
  <c r="I193" i="4"/>
  <c r="K442" i="4"/>
  <c r="I95" i="4"/>
  <c r="I97" i="4"/>
  <c r="I223" i="4"/>
  <c r="I77" i="4"/>
  <c r="I19" i="4"/>
  <c r="I221" i="4"/>
  <c r="I168" i="4"/>
  <c r="L440" i="4"/>
  <c r="I49" i="4"/>
  <c r="I133" i="4"/>
  <c r="L350" i="4"/>
  <c r="K473" i="4"/>
  <c r="K478" i="4"/>
  <c r="I128" i="4"/>
  <c r="I244" i="4"/>
  <c r="I35" i="4"/>
  <c r="I287" i="4"/>
  <c r="I171" i="4"/>
  <c r="I177" i="4"/>
  <c r="K436" i="4"/>
  <c r="I75" i="4"/>
  <c r="I308" i="4"/>
  <c r="I124" i="4"/>
  <c r="K477" i="4"/>
  <c r="J93" i="4"/>
  <c r="I164" i="4"/>
  <c r="I252" i="4"/>
  <c r="K329" i="4"/>
  <c r="I125" i="4"/>
  <c r="I52" i="4"/>
  <c r="I24" i="4"/>
  <c r="I116" i="4"/>
  <c r="I196" i="4"/>
  <c r="K387" i="4"/>
  <c r="I113" i="4"/>
  <c r="I265" i="4"/>
  <c r="K465" i="4"/>
  <c r="J166" i="4"/>
  <c r="I162" i="4"/>
  <c r="I227" i="4"/>
  <c r="I174" i="4"/>
  <c r="L378" i="4"/>
  <c r="I314" i="4"/>
  <c r="I85" i="4"/>
  <c r="I309" i="4"/>
  <c r="K345" i="4"/>
  <c r="I109" i="4"/>
  <c r="I34" i="4"/>
  <c r="I316" i="4"/>
  <c r="I31" i="4"/>
  <c r="I268" i="4"/>
  <c r="I17" i="4"/>
  <c r="I194" i="4"/>
  <c r="I284" i="4"/>
  <c r="I136" i="4"/>
  <c r="K474" i="4"/>
  <c r="K356" i="4"/>
  <c r="I115" i="4"/>
  <c r="L410" i="4"/>
  <c r="J157" i="4"/>
  <c r="I119" i="4"/>
  <c r="I173" i="4"/>
  <c r="L479" i="4"/>
  <c r="I83" i="4"/>
  <c r="I251" i="4"/>
  <c r="I120" i="4"/>
  <c r="K363" i="4"/>
  <c r="J285" i="4"/>
  <c r="I185" i="4"/>
  <c r="I155" i="4"/>
  <c r="I15" i="4"/>
  <c r="I23" i="4"/>
  <c r="I130" i="4"/>
  <c r="I25" i="4"/>
  <c r="I219" i="4"/>
  <c r="I79" i="4"/>
  <c r="I152" i="4"/>
  <c r="I11" i="11"/>
  <c r="J11" i="11"/>
  <c r="I13" i="10" l="1"/>
  <c r="J414" i="4"/>
  <c r="J295" i="4"/>
  <c r="J452" i="4"/>
  <c r="J13" i="10"/>
  <c r="E42" i="24"/>
  <c r="J18" i="10"/>
  <c r="J139" i="4"/>
  <c r="J298" i="4"/>
  <c r="J92" i="4"/>
  <c r="I18" i="10"/>
  <c r="J100" i="4"/>
  <c r="J141" i="4"/>
  <c r="H13" i="10"/>
  <c r="H18" i="10"/>
  <c r="D96" i="10" s="1"/>
  <c r="J91" i="4"/>
  <c r="J248" i="4"/>
  <c r="J416" i="4"/>
  <c r="J296" i="4"/>
  <c r="J259" i="4"/>
  <c r="J138" i="4"/>
  <c r="J405" i="4"/>
  <c r="J406" i="4"/>
  <c r="J455" i="4"/>
  <c r="E34" i="24"/>
  <c r="L139" i="4"/>
  <c r="L406" i="4"/>
  <c r="L91" i="4"/>
  <c r="L248" i="4"/>
  <c r="L452" i="4"/>
  <c r="L138" i="4"/>
  <c r="L416" i="4"/>
  <c r="L141" i="4"/>
  <c r="L405" i="4"/>
  <c r="L453" i="4"/>
  <c r="L102" i="4"/>
  <c r="L414" i="4"/>
  <c r="L296" i="4"/>
  <c r="L259" i="4"/>
  <c r="L92" i="4"/>
  <c r="L295" i="4"/>
  <c r="L298" i="4"/>
  <c r="L249" i="4"/>
  <c r="L455" i="4"/>
  <c r="L257" i="4"/>
  <c r="D42" i="24"/>
  <c r="E59" i="10"/>
  <c r="N59" i="10" s="1"/>
  <c r="D34" i="24"/>
  <c r="O91" i="4"/>
  <c r="O248" i="4"/>
  <c r="O452" i="4"/>
  <c r="O102" i="4"/>
  <c r="O296" i="4"/>
  <c r="O455" i="4"/>
  <c r="O141" i="4"/>
  <c r="O416" i="4"/>
  <c r="O453" i="4"/>
  <c r="O139" i="4"/>
  <c r="O259" i="4"/>
  <c r="O138" i="4"/>
  <c r="O295" i="4"/>
  <c r="O249" i="4"/>
  <c r="O298" i="4"/>
  <c r="O92" i="4"/>
  <c r="O257" i="4"/>
  <c r="O406" i="4"/>
  <c r="O100" i="4"/>
  <c r="O405" i="4"/>
  <c r="O414" i="4"/>
  <c r="Q100" i="4"/>
  <c r="Q414" i="4"/>
  <c r="Q295" i="4"/>
  <c r="Q91" i="4"/>
  <c r="Q249" i="4"/>
  <c r="Q453" i="4"/>
  <c r="Q138" i="4"/>
  <c r="Q257" i="4"/>
  <c r="Q452" i="4"/>
  <c r="Q141" i="4"/>
  <c r="Q405" i="4"/>
  <c r="Q455" i="4"/>
  <c r="Q102" i="4"/>
  <c r="Q248" i="4"/>
  <c r="Q139" i="4"/>
  <c r="Q296" i="4"/>
  <c r="Q298" i="4"/>
  <c r="Q416" i="4"/>
  <c r="Q92" i="4"/>
  <c r="Q406" i="4"/>
  <c r="Q259" i="4"/>
  <c r="R298" i="4"/>
  <c r="R296" i="4"/>
  <c r="R406" i="4"/>
  <c r="R416" i="4"/>
  <c r="R92" i="4"/>
  <c r="R414" i="4"/>
  <c r="R259" i="4"/>
  <c r="R100" i="4"/>
  <c r="R139" i="4"/>
  <c r="R453" i="4"/>
  <c r="R91" i="4"/>
  <c r="R249" i="4"/>
  <c r="R452" i="4"/>
  <c r="R138" i="4"/>
  <c r="R257" i="4"/>
  <c r="R295" i="4"/>
  <c r="R141" i="4"/>
  <c r="R405" i="4"/>
  <c r="R455" i="4"/>
  <c r="R102" i="4"/>
  <c r="R248" i="4"/>
  <c r="S259" i="4"/>
  <c r="S248" i="4"/>
  <c r="S102" i="4"/>
  <c r="S295" i="4"/>
  <c r="S296" i="4"/>
  <c r="S92" i="4"/>
  <c r="S298" i="4"/>
  <c r="S416" i="4"/>
  <c r="S100" i="4"/>
  <c r="S406" i="4"/>
  <c r="S455" i="4"/>
  <c r="S139" i="4"/>
  <c r="S414" i="4"/>
  <c r="S453" i="4"/>
  <c r="S138" i="4"/>
  <c r="S249" i="4"/>
  <c r="S452" i="4"/>
  <c r="S91" i="4"/>
  <c r="S257" i="4"/>
  <c r="S141" i="4"/>
  <c r="S405" i="4"/>
  <c r="C34" i="24"/>
  <c r="N139" i="4"/>
  <c r="N141" i="4"/>
  <c r="N453" i="4"/>
  <c r="N92" i="4"/>
  <c r="N298" i="4"/>
  <c r="N405" i="4"/>
  <c r="N138" i="4"/>
  <c r="N406" i="4"/>
  <c r="N248" i="4"/>
  <c r="N414" i="4"/>
  <c r="N296" i="4"/>
  <c r="N257" i="4"/>
  <c r="N91" i="4"/>
  <c r="N416" i="4"/>
  <c r="N452" i="4"/>
  <c r="N102" i="4"/>
  <c r="N259" i="4"/>
  <c r="N249" i="4"/>
  <c r="N100" i="4"/>
  <c r="N295" i="4"/>
  <c r="N455" i="4"/>
  <c r="C42" i="24"/>
  <c r="P141" i="4"/>
  <c r="P416" i="4"/>
  <c r="P298" i="4"/>
  <c r="P139" i="4"/>
  <c r="P259" i="4"/>
  <c r="P249" i="4"/>
  <c r="P295" i="4"/>
  <c r="P257" i="4"/>
  <c r="P406" i="4"/>
  <c r="P92" i="4"/>
  <c r="P405" i="4"/>
  <c r="P453" i="4"/>
  <c r="P100" i="4"/>
  <c r="P138" i="4"/>
  <c r="P452" i="4"/>
  <c r="P91" i="4"/>
  <c r="P248" i="4"/>
  <c r="P455" i="4"/>
  <c r="P102" i="4"/>
  <c r="P296" i="4"/>
  <c r="P414" i="4"/>
  <c r="C61" i="20"/>
  <c r="E61" i="20"/>
  <c r="D61" i="20"/>
  <c r="D8" i="6"/>
  <c r="D26" i="6" s="1"/>
  <c r="F15" i="12" s="1"/>
  <c r="C8" i="6"/>
  <c r="C26" i="6" s="1"/>
  <c r="E15" i="12" s="1"/>
  <c r="C7" i="6"/>
  <c r="C25" i="6" s="1"/>
  <c r="E14" i="12" s="1"/>
  <c r="D6" i="6"/>
  <c r="D24" i="6" s="1"/>
  <c r="C6" i="6"/>
  <c r="D7" i="6"/>
  <c r="D25" i="6" s="1"/>
  <c r="F14" i="12" s="1"/>
  <c r="E58" i="10"/>
  <c r="C44" i="20"/>
  <c r="F20" i="20"/>
  <c r="E45" i="20"/>
  <c r="E44" i="20"/>
  <c r="D45" i="20"/>
  <c r="C45" i="20"/>
  <c r="D44" i="20"/>
  <c r="E60" i="10"/>
  <c r="N60" i="10" s="1"/>
  <c r="C35" i="9"/>
  <c r="M255" i="2"/>
  <c r="Q254" i="4"/>
  <c r="M69" i="2"/>
  <c r="Q68" i="4"/>
  <c r="M35" i="2"/>
  <c r="Q34" i="4"/>
  <c r="M165" i="2"/>
  <c r="Q164" i="4"/>
  <c r="M114" i="2"/>
  <c r="Q113" i="4"/>
  <c r="N216" i="2"/>
  <c r="S215" i="4" s="1"/>
  <c r="R215" i="4"/>
  <c r="M303" i="2"/>
  <c r="Q302" i="4"/>
  <c r="M119" i="2"/>
  <c r="Q118" i="4"/>
  <c r="M144" i="2"/>
  <c r="Q143" i="4"/>
  <c r="M189" i="2"/>
  <c r="Q188" i="4"/>
  <c r="M113" i="2"/>
  <c r="Q112" i="4"/>
  <c r="M234" i="2"/>
  <c r="K233" i="4" s="1"/>
  <c r="Q233" i="4"/>
  <c r="M262" i="2"/>
  <c r="Q261" i="4"/>
  <c r="M129" i="2"/>
  <c r="Q128" i="4"/>
  <c r="M48" i="2"/>
  <c r="Q47" i="4"/>
  <c r="M277" i="2"/>
  <c r="Q276" i="4"/>
  <c r="M305" i="2"/>
  <c r="Q304" i="4"/>
  <c r="M126" i="2"/>
  <c r="Q125" i="4"/>
  <c r="M58" i="2"/>
  <c r="Q57" i="4"/>
  <c r="M291" i="2"/>
  <c r="Q290" i="4"/>
  <c r="N94" i="2"/>
  <c r="S93" i="4" s="1"/>
  <c r="R93" i="4"/>
  <c r="M273" i="2"/>
  <c r="Q272" i="4"/>
  <c r="M117" i="2"/>
  <c r="Q116" i="4"/>
  <c r="N241" i="2"/>
  <c r="S240" i="4" s="1"/>
  <c r="R240" i="4"/>
  <c r="M313" i="2"/>
  <c r="K312" i="4" s="1"/>
  <c r="Q312" i="4"/>
  <c r="M122" i="2"/>
  <c r="Q121" i="4"/>
  <c r="M278" i="2"/>
  <c r="Q277" i="4"/>
  <c r="M186" i="2"/>
  <c r="Q185" i="4"/>
  <c r="M287" i="2"/>
  <c r="K286" i="4" s="1"/>
  <c r="Q286" i="4"/>
  <c r="M102" i="2"/>
  <c r="Q101" i="4"/>
  <c r="N312" i="2"/>
  <c r="S311" i="4" s="1"/>
  <c r="R311" i="4"/>
  <c r="M95" i="2"/>
  <c r="Q94" i="4"/>
  <c r="M307" i="2"/>
  <c r="Q306" i="4"/>
  <c r="M219" i="2"/>
  <c r="Q218" i="4"/>
  <c r="J286" i="4"/>
  <c r="M27" i="2"/>
  <c r="Q26" i="4"/>
  <c r="M227" i="2"/>
  <c r="Q226" i="4"/>
  <c r="M240" i="2"/>
  <c r="K239" i="4" s="1"/>
  <c r="Q239" i="4"/>
  <c r="M187" i="2"/>
  <c r="Q186" i="4"/>
  <c r="M55" i="2"/>
  <c r="Q54" i="4"/>
  <c r="M150" i="2"/>
  <c r="Q149" i="4"/>
  <c r="M154" i="2"/>
  <c r="Q153" i="4"/>
  <c r="M223" i="2"/>
  <c r="K222" i="4" s="1"/>
  <c r="Q222" i="4"/>
  <c r="M116" i="2"/>
  <c r="Q115" i="4"/>
  <c r="M107" i="2"/>
  <c r="Q106" i="4"/>
  <c r="M213" i="2"/>
  <c r="K212" i="4" s="1"/>
  <c r="Q212" i="4"/>
  <c r="J312" i="4"/>
  <c r="M225" i="2"/>
  <c r="Q224" i="4"/>
  <c r="N267" i="2"/>
  <c r="S266" i="4" s="1"/>
  <c r="R266" i="4"/>
  <c r="M34" i="2"/>
  <c r="Q33" i="4"/>
  <c r="M40" i="2"/>
  <c r="K39" i="4" s="1"/>
  <c r="Q39" i="4"/>
  <c r="J39" i="4"/>
  <c r="M31" i="2"/>
  <c r="Q30" i="4"/>
  <c r="J30" i="4"/>
  <c r="E33" i="9"/>
  <c r="D33" i="9"/>
  <c r="E55" i="10"/>
  <c r="L55" i="10" s="1"/>
  <c r="C34" i="9"/>
  <c r="F33" i="9"/>
  <c r="J246" i="4"/>
  <c r="K240" i="4"/>
  <c r="J74" i="4"/>
  <c r="L190" i="4"/>
  <c r="K303" i="4"/>
  <c r="J195" i="4"/>
  <c r="J210" i="4"/>
  <c r="J146" i="4"/>
  <c r="J294" i="4"/>
  <c r="J118" i="4"/>
  <c r="J198" i="4"/>
  <c r="G8" i="6"/>
  <c r="G26" i="6" s="1"/>
  <c r="I15" i="12" s="1"/>
  <c r="J254" i="4"/>
  <c r="J86" i="4"/>
  <c r="J38" i="4"/>
  <c r="J70" i="4"/>
  <c r="J54" i="4"/>
  <c r="J311" i="4"/>
  <c r="J117" i="4"/>
  <c r="J323" i="4"/>
  <c r="J105" i="4"/>
  <c r="J255" i="4"/>
  <c r="J63" i="4"/>
  <c r="J135" i="4"/>
  <c r="J62" i="4"/>
  <c r="J123" i="4"/>
  <c r="J150" i="4"/>
  <c r="J71" i="4"/>
  <c r="J214" i="4"/>
  <c r="J134" i="4"/>
  <c r="J167" i="4"/>
  <c r="J29" i="4"/>
  <c r="J94" i="4"/>
  <c r="E6" i="6"/>
  <c r="E24" i="6" s="1"/>
  <c r="G13" i="12" s="1"/>
  <c r="J310" i="4"/>
  <c r="J126" i="4"/>
  <c r="J318" i="4"/>
  <c r="J158" i="4"/>
  <c r="J59" i="4"/>
  <c r="J199" i="4"/>
  <c r="J21" i="4"/>
  <c r="J182" i="4"/>
  <c r="J230" i="4"/>
  <c r="J61" i="4"/>
  <c r="J72" i="4"/>
  <c r="J258" i="4"/>
  <c r="J266" i="4"/>
  <c r="L429" i="4"/>
  <c r="J272" i="4"/>
  <c r="L371" i="4"/>
  <c r="J235" i="4"/>
  <c r="L439" i="4"/>
  <c r="J87" i="4"/>
  <c r="J322" i="4"/>
  <c r="J44" i="4"/>
  <c r="J159" i="4"/>
  <c r="J129" i="4"/>
  <c r="L348" i="4"/>
  <c r="J163" i="4"/>
  <c r="J283" i="4"/>
  <c r="J273" i="4"/>
  <c r="L435" i="4"/>
  <c r="J172" i="4"/>
  <c r="J56" i="4"/>
  <c r="J197" i="4"/>
  <c r="K127" i="4"/>
  <c r="K169" i="4"/>
  <c r="J64" i="4"/>
  <c r="J186" i="4"/>
  <c r="J98" i="4"/>
  <c r="J245" i="4"/>
  <c r="L431" i="4"/>
  <c r="J288" i="4"/>
  <c r="J99" i="4"/>
  <c r="L395" i="4"/>
  <c r="J130" i="4"/>
  <c r="J120" i="4"/>
  <c r="J83" i="4"/>
  <c r="J119" i="4"/>
  <c r="J115" i="4"/>
  <c r="J31" i="4"/>
  <c r="J314" i="4"/>
  <c r="J227" i="4"/>
  <c r="J24" i="4"/>
  <c r="E7" i="6"/>
  <c r="E25" i="6" s="1"/>
  <c r="J35" i="4"/>
  <c r="J292" i="4"/>
  <c r="J317" i="4"/>
  <c r="J187" i="4"/>
  <c r="L420" i="4"/>
  <c r="J48" i="4"/>
  <c r="J36" i="4"/>
  <c r="L372" i="4"/>
  <c r="K104" i="4"/>
  <c r="K176" i="4"/>
  <c r="J68" i="4"/>
  <c r="J170" i="4"/>
  <c r="L451" i="4"/>
  <c r="J161" i="4"/>
  <c r="J42" i="4"/>
  <c r="J46" i="4"/>
  <c r="K111" i="4"/>
  <c r="L381" i="4"/>
  <c r="K231" i="4"/>
  <c r="J302" i="4"/>
  <c r="J201" i="4"/>
  <c r="J60" i="4"/>
  <c r="L340" i="4"/>
  <c r="L447" i="4"/>
  <c r="L411" i="4"/>
  <c r="J300" i="4"/>
  <c r="J79" i="4"/>
  <c r="J194" i="4"/>
  <c r="J196" i="4"/>
  <c r="J252" i="4"/>
  <c r="L477" i="4"/>
  <c r="J177" i="4"/>
  <c r="J95" i="4"/>
  <c r="J67" i="4"/>
  <c r="J155" i="4"/>
  <c r="J136" i="4"/>
  <c r="J109" i="4"/>
  <c r="J113" i="4"/>
  <c r="L329" i="4"/>
  <c r="J75" i="4"/>
  <c r="L478" i="4"/>
  <c r="J133" i="4"/>
  <c r="J168" i="4"/>
  <c r="J19" i="4"/>
  <c r="J223" i="4"/>
  <c r="J271" i="4"/>
  <c r="L328" i="4"/>
  <c r="J319" i="4"/>
  <c r="J107" i="4"/>
  <c r="J137" i="4"/>
  <c r="J55" i="4"/>
  <c r="L373" i="4"/>
  <c r="J202" i="4"/>
  <c r="J151" i="4"/>
  <c r="J234" i="4"/>
  <c r="L338" i="4"/>
  <c r="J89" i="4"/>
  <c r="J293" i="4"/>
  <c r="L365" i="4"/>
  <c r="J267" i="4"/>
  <c r="J160" i="4"/>
  <c r="J27" i="4"/>
  <c r="J243" i="4"/>
  <c r="J305" i="4"/>
  <c r="J224" i="4"/>
  <c r="L419" i="4"/>
  <c r="J88" i="4"/>
  <c r="L445" i="4"/>
  <c r="L412" i="4"/>
  <c r="K148" i="4"/>
  <c r="J73" i="4"/>
  <c r="J304" i="4"/>
  <c r="J291" i="4"/>
  <c r="J143" i="4"/>
  <c r="J281" i="4"/>
  <c r="J200" i="4"/>
  <c r="J247" i="4"/>
  <c r="J264" i="4"/>
  <c r="L421" i="4"/>
  <c r="J219" i="4"/>
  <c r="K157" i="4"/>
  <c r="J17" i="4"/>
  <c r="J309" i="4"/>
  <c r="L465" i="4"/>
  <c r="J116" i="4"/>
  <c r="J164" i="4"/>
  <c r="J171" i="4"/>
  <c r="L442" i="4"/>
  <c r="L397" i="4"/>
  <c r="L391" i="4"/>
  <c r="L396" i="4"/>
  <c r="J228" i="4"/>
  <c r="J81" i="4"/>
  <c r="J204" i="4"/>
  <c r="J33" i="4"/>
  <c r="L336" i="4"/>
  <c r="J326" i="4"/>
  <c r="J262" i="4"/>
  <c r="J57" i="4"/>
  <c r="L469" i="4"/>
  <c r="J299" i="4"/>
  <c r="J238" i="4"/>
  <c r="J242" i="4"/>
  <c r="J90" i="4"/>
  <c r="K146" i="4"/>
  <c r="J180" i="4"/>
  <c r="J154" i="4"/>
  <c r="J18" i="4"/>
  <c r="J290" i="4"/>
  <c r="J147" i="4"/>
  <c r="L355" i="4"/>
  <c r="J188" i="4"/>
  <c r="J325" i="4"/>
  <c r="L383" i="4"/>
  <c r="J65" i="4"/>
  <c r="J23" i="4"/>
  <c r="L356" i="4"/>
  <c r="J316" i="4"/>
  <c r="J162" i="4"/>
  <c r="L387" i="4"/>
  <c r="J52" i="4"/>
  <c r="J124" i="4"/>
  <c r="J244" i="4"/>
  <c r="L473" i="4"/>
  <c r="J218" i="4"/>
  <c r="J140" i="4"/>
  <c r="J145" i="4"/>
  <c r="J50" i="4"/>
  <c r="J275" i="4"/>
  <c r="L460" i="4"/>
  <c r="J28" i="4"/>
  <c r="J192" i="4"/>
  <c r="J183" i="4"/>
  <c r="J58" i="4"/>
  <c r="J277" i="4"/>
  <c r="L437" i="4"/>
  <c r="J250" i="4"/>
  <c r="J181" i="4"/>
  <c r="J205" i="4"/>
  <c r="K327" i="4"/>
  <c r="J216" i="4"/>
  <c r="L354" i="4"/>
  <c r="J121" i="4"/>
  <c r="J142" i="4"/>
  <c r="L388" i="4"/>
  <c r="J179" i="4"/>
  <c r="L461" i="4"/>
  <c r="J96" i="4"/>
  <c r="J101" i="4"/>
  <c r="J282" i="4"/>
  <c r="J225" i="4"/>
  <c r="J220" i="4"/>
  <c r="J110" i="4"/>
  <c r="J256" i="4"/>
  <c r="J152" i="4"/>
  <c r="J185" i="4"/>
  <c r="L363" i="4"/>
  <c r="J284" i="4"/>
  <c r="L345" i="4"/>
  <c r="K47" i="4"/>
  <c r="K93" i="4"/>
  <c r="L436" i="4"/>
  <c r="J49" i="4"/>
  <c r="J221" i="4"/>
  <c r="J77" i="4"/>
  <c r="J97" i="4"/>
  <c r="K191" i="4"/>
  <c r="J82" i="4"/>
  <c r="L404" i="4"/>
  <c r="J153" i="4"/>
  <c r="J209" i="4"/>
  <c r="J69" i="4"/>
  <c r="J76" i="4"/>
  <c r="J184" i="4"/>
  <c r="L330" i="4"/>
  <c r="J289" i="4"/>
  <c r="J269" i="4"/>
  <c r="J80" i="4"/>
  <c r="J156" i="4"/>
  <c r="J132" i="4"/>
  <c r="K278" i="4"/>
  <c r="J51" i="4"/>
  <c r="J189" i="4"/>
  <c r="L472" i="4"/>
  <c r="L380" i="4"/>
  <c r="J144" i="4"/>
  <c r="J208" i="4"/>
  <c r="J270" i="4"/>
  <c r="J237" i="4"/>
  <c r="J229" i="4"/>
  <c r="L413" i="4"/>
  <c r="J280" i="4"/>
  <c r="J213" i="4"/>
  <c r="L332" i="4"/>
  <c r="J217" i="4"/>
  <c r="J131" i="4"/>
  <c r="J232" i="4"/>
  <c r="J43" i="4"/>
  <c r="J25" i="4"/>
  <c r="J251" i="4"/>
  <c r="J173" i="4"/>
  <c r="J268" i="4"/>
  <c r="J85" i="4"/>
  <c r="J174" i="4"/>
  <c r="K166" i="4"/>
  <c r="J287" i="4"/>
  <c r="J193" i="4"/>
  <c r="L450" i="4"/>
  <c r="J260" i="4"/>
  <c r="J45" i="4"/>
  <c r="J279" i="4"/>
  <c r="J211" i="4"/>
  <c r="L407" i="4"/>
  <c r="J149" i="4"/>
  <c r="J306" i="4"/>
  <c r="K297" i="4"/>
  <c r="J203" i="4"/>
  <c r="K14" i="4"/>
  <c r="K165" i="4"/>
  <c r="J313" i="4"/>
  <c r="J112" i="4"/>
  <c r="J16" i="4"/>
  <c r="L403" i="4"/>
  <c r="J261" i="4"/>
  <c r="J26" i="4"/>
  <c r="L470" i="4"/>
  <c r="L331" i="4"/>
  <c r="J32" i="4"/>
  <c r="L449" i="4"/>
  <c r="J114" i="4"/>
  <c r="L443" i="4"/>
  <c r="J122" i="4"/>
  <c r="K103" i="4"/>
  <c r="K84" i="4"/>
  <c r="J178" i="4"/>
  <c r="J15" i="4"/>
  <c r="K285" i="4"/>
  <c r="L474" i="4"/>
  <c r="J34" i="4"/>
  <c r="J265" i="4"/>
  <c r="J125" i="4"/>
  <c r="J308" i="4"/>
  <c r="J128" i="4"/>
  <c r="J324" i="4"/>
  <c r="J215" i="4"/>
  <c r="K20" i="4"/>
  <c r="K274" i="4"/>
  <c r="J236" i="4"/>
  <c r="J253" i="4"/>
  <c r="J37" i="4"/>
  <c r="J320" i="4"/>
  <c r="K210" i="4"/>
  <c r="J66" i="4"/>
  <c r="L483" i="4"/>
  <c r="J241" i="4"/>
  <c r="J106" i="4"/>
  <c r="L389" i="4"/>
  <c r="L379" i="4"/>
  <c r="K246" i="4"/>
  <c r="J206" i="4"/>
  <c r="J301" i="4"/>
  <c r="J315" i="4"/>
  <c r="J108" i="4"/>
  <c r="J307" i="4"/>
  <c r="J321" i="4"/>
  <c r="J207" i="4"/>
  <c r="J226" i="4"/>
  <c r="L427" i="4"/>
  <c r="L364" i="4"/>
  <c r="J78" i="4"/>
  <c r="K41" i="4"/>
  <c r="J53" i="4"/>
  <c r="E13" i="6" l="1"/>
  <c r="E31" i="6" s="1"/>
  <c r="G14" i="11" s="1"/>
  <c r="G14" i="6"/>
  <c r="G32" i="6" s="1"/>
  <c r="I15" i="11" s="1"/>
  <c r="F8" i="6"/>
  <c r="F26" i="6" s="1"/>
  <c r="H15" i="12" s="1"/>
  <c r="E12" i="6"/>
  <c r="E30" i="6" s="1"/>
  <c r="G13" i="11" s="1"/>
  <c r="C12" i="6"/>
  <c r="C30" i="6" s="1"/>
  <c r="E13" i="11" s="1"/>
  <c r="D13" i="6"/>
  <c r="D31" i="6" s="1"/>
  <c r="F14" i="11" s="1"/>
  <c r="F14" i="6"/>
  <c r="F32" i="6" s="1"/>
  <c r="H15" i="11" s="1"/>
  <c r="E14" i="6"/>
  <c r="E32" i="6" s="1"/>
  <c r="G15" i="11" s="1"/>
  <c r="C13" i="6"/>
  <c r="C31" i="6" s="1"/>
  <c r="E14" i="11" s="1"/>
  <c r="D14" i="6"/>
  <c r="D32" i="6" s="1"/>
  <c r="F15" i="11" s="1"/>
  <c r="C14" i="6"/>
  <c r="C32" i="6" s="1"/>
  <c r="E15" i="11" s="1"/>
  <c r="D12" i="6"/>
  <c r="E39" i="10"/>
  <c r="D50" i="20"/>
  <c r="E33" i="10"/>
  <c r="M33" i="10" s="1"/>
  <c r="C50" i="20"/>
  <c r="E37" i="10"/>
  <c r="K37" i="10" s="1"/>
  <c r="C9" i="6"/>
  <c r="C24" i="6"/>
  <c r="C27" i="6" s="1"/>
  <c r="D9" i="6"/>
  <c r="K58" i="10"/>
  <c r="J58" i="10"/>
  <c r="N58" i="10"/>
  <c r="N57" i="10" s="1"/>
  <c r="M58" i="10"/>
  <c r="I58" i="10"/>
  <c r="I57" i="10" s="1"/>
  <c r="L58" i="10"/>
  <c r="E50" i="20"/>
  <c r="D78" i="10"/>
  <c r="E96" i="10"/>
  <c r="E97" i="10" s="1"/>
  <c r="K59" i="10"/>
  <c r="C33" i="9"/>
  <c r="E53" i="10"/>
  <c r="I53" i="10" s="1"/>
  <c r="I52" i="10" s="1"/>
  <c r="L60" i="10"/>
  <c r="M60" i="10"/>
  <c r="K60" i="10"/>
  <c r="L59" i="10"/>
  <c r="M59" i="10"/>
  <c r="J59" i="10"/>
  <c r="E57" i="10"/>
  <c r="E54" i="10"/>
  <c r="K54" i="10" s="1"/>
  <c r="N107" i="2"/>
  <c r="S106" i="4" s="1"/>
  <c r="R106" i="4"/>
  <c r="N227" i="2"/>
  <c r="S226" i="4" s="1"/>
  <c r="R226" i="4"/>
  <c r="N31" i="2"/>
  <c r="R30" i="4"/>
  <c r="K30" i="4"/>
  <c r="N116" i="2"/>
  <c r="S115" i="4" s="1"/>
  <c r="R115" i="4"/>
  <c r="N55" i="2"/>
  <c r="S54" i="4" s="1"/>
  <c r="R54" i="4"/>
  <c r="N27" i="2"/>
  <c r="S26" i="4" s="1"/>
  <c r="R26" i="4"/>
  <c r="N225" i="2"/>
  <c r="S224" i="4" s="1"/>
  <c r="R224" i="4"/>
  <c r="N278" i="2"/>
  <c r="S277" i="4" s="1"/>
  <c r="R277" i="4"/>
  <c r="N117" i="2"/>
  <c r="S116" i="4" s="1"/>
  <c r="R116" i="4"/>
  <c r="N58" i="2"/>
  <c r="S57" i="4" s="1"/>
  <c r="R57" i="4"/>
  <c r="N48" i="2"/>
  <c r="S47" i="4" s="1"/>
  <c r="R47" i="4"/>
  <c r="N113" i="2"/>
  <c r="S112" i="4" s="1"/>
  <c r="R112" i="4"/>
  <c r="N303" i="2"/>
  <c r="S302" i="4" s="1"/>
  <c r="R302" i="4"/>
  <c r="N35" i="2"/>
  <c r="S34" i="4" s="1"/>
  <c r="R34" i="4"/>
  <c r="N186" i="2"/>
  <c r="S185" i="4" s="1"/>
  <c r="R185" i="4"/>
  <c r="N291" i="2"/>
  <c r="S290" i="4" s="1"/>
  <c r="R290" i="4"/>
  <c r="N234" i="2"/>
  <c r="S233" i="4" s="1"/>
  <c r="R233" i="4"/>
  <c r="N119" i="2"/>
  <c r="S118" i="4" s="1"/>
  <c r="R118" i="4"/>
  <c r="N223" i="2"/>
  <c r="S222" i="4" s="1"/>
  <c r="R222" i="4"/>
  <c r="N187" i="2"/>
  <c r="S186" i="4" s="1"/>
  <c r="R186" i="4"/>
  <c r="N150" i="2"/>
  <c r="S149" i="4" s="1"/>
  <c r="R149" i="4"/>
  <c r="N95" i="2"/>
  <c r="S94" i="4" s="1"/>
  <c r="R94" i="4"/>
  <c r="N277" i="2"/>
  <c r="S276" i="4" s="1"/>
  <c r="R276" i="4"/>
  <c r="N165" i="2"/>
  <c r="S164" i="4" s="1"/>
  <c r="R164" i="4"/>
  <c r="N40" i="2"/>
  <c r="S39" i="4" s="1"/>
  <c r="R39" i="4"/>
  <c r="N219" i="2"/>
  <c r="S218" i="4" s="1"/>
  <c r="R218" i="4"/>
  <c r="N102" i="2"/>
  <c r="S101" i="4" s="1"/>
  <c r="R101" i="4"/>
  <c r="N122" i="2"/>
  <c r="S121" i="4" s="1"/>
  <c r="R121" i="4"/>
  <c r="N273" i="2"/>
  <c r="S272" i="4" s="1"/>
  <c r="R272" i="4"/>
  <c r="N126" i="2"/>
  <c r="S125" i="4" s="1"/>
  <c r="R125" i="4"/>
  <c r="N129" i="2"/>
  <c r="S128" i="4" s="1"/>
  <c r="R128" i="4"/>
  <c r="N189" i="2"/>
  <c r="S188" i="4" s="1"/>
  <c r="R188" i="4"/>
  <c r="N69" i="2"/>
  <c r="S68" i="4" s="1"/>
  <c r="R68" i="4"/>
  <c r="N213" i="2"/>
  <c r="S212" i="4" s="1"/>
  <c r="R212" i="4"/>
  <c r="N154" i="2"/>
  <c r="S153" i="4" s="1"/>
  <c r="R153" i="4"/>
  <c r="N240" i="2"/>
  <c r="S239" i="4" s="1"/>
  <c r="R239" i="4"/>
  <c r="K276" i="4"/>
  <c r="N34" i="2"/>
  <c r="S33" i="4" s="1"/>
  <c r="R33" i="4"/>
  <c r="N307" i="2"/>
  <c r="S306" i="4" s="1"/>
  <c r="R306" i="4"/>
  <c r="N287" i="2"/>
  <c r="S286" i="4" s="1"/>
  <c r="R286" i="4"/>
  <c r="N313" i="2"/>
  <c r="S312" i="4" s="1"/>
  <c r="R312" i="4"/>
  <c r="N305" i="2"/>
  <c r="S304" i="4" s="1"/>
  <c r="R304" i="4"/>
  <c r="N262" i="2"/>
  <c r="S261" i="4" s="1"/>
  <c r="R261" i="4"/>
  <c r="N144" i="2"/>
  <c r="S143" i="4" s="1"/>
  <c r="R143" i="4"/>
  <c r="N114" i="2"/>
  <c r="S113" i="4" s="1"/>
  <c r="R113" i="4"/>
  <c r="N255" i="2"/>
  <c r="S254" i="4" s="1"/>
  <c r="R254" i="4"/>
  <c r="F96" i="10"/>
  <c r="F97" i="10" s="1"/>
  <c r="M55" i="10"/>
  <c r="N55" i="10"/>
  <c r="K55" i="10"/>
  <c r="E34" i="10"/>
  <c r="H22" i="10"/>
  <c r="H24" i="10" s="1"/>
  <c r="D97" i="10"/>
  <c r="D103" i="10" s="1"/>
  <c r="D108" i="10"/>
  <c r="D25" i="11" s="1"/>
  <c r="D38" i="11" s="1"/>
  <c r="K74" i="4"/>
  <c r="K195" i="4"/>
  <c r="K40" i="4"/>
  <c r="K175" i="4"/>
  <c r="K263" i="4"/>
  <c r="K118" i="4"/>
  <c r="K294" i="4"/>
  <c r="K198" i="4"/>
  <c r="K94" i="4"/>
  <c r="K71" i="4"/>
  <c r="K38" i="4"/>
  <c r="K150" i="4"/>
  <c r="K62" i="4"/>
  <c r="K126" i="4"/>
  <c r="K134" i="4"/>
  <c r="K54" i="4"/>
  <c r="K86" i="4"/>
  <c r="K230" i="4"/>
  <c r="K21" i="4"/>
  <c r="K158" i="4"/>
  <c r="K214" i="4"/>
  <c r="K255" i="4"/>
  <c r="K117" i="4"/>
  <c r="K29" i="4"/>
  <c r="K135" i="4"/>
  <c r="K254" i="4"/>
  <c r="K310" i="4"/>
  <c r="K123" i="4"/>
  <c r="K105" i="4"/>
  <c r="K70" i="4"/>
  <c r="K182" i="4"/>
  <c r="K199" i="4"/>
  <c r="K167" i="4"/>
  <c r="K311" i="4"/>
  <c r="K59" i="4"/>
  <c r="K318" i="4"/>
  <c r="K63" i="4"/>
  <c r="K323" i="4"/>
  <c r="K279" i="4"/>
  <c r="K221" i="4"/>
  <c r="K116" i="4"/>
  <c r="K291" i="4"/>
  <c r="K305" i="4"/>
  <c r="K19" i="4"/>
  <c r="K113" i="4"/>
  <c r="K155" i="4"/>
  <c r="K201" i="4"/>
  <c r="L231" i="4"/>
  <c r="L104" i="4"/>
  <c r="K115" i="4"/>
  <c r="K186" i="4"/>
  <c r="K159" i="4"/>
  <c r="K72" i="4"/>
  <c r="K301" i="4"/>
  <c r="K37" i="4"/>
  <c r="K178" i="4"/>
  <c r="L165" i="4"/>
  <c r="K268" i="4"/>
  <c r="K232" i="4"/>
  <c r="K280" i="4"/>
  <c r="K51" i="4"/>
  <c r="K269" i="4"/>
  <c r="K184" i="4"/>
  <c r="K97" i="4"/>
  <c r="K179" i="4"/>
  <c r="K142" i="4"/>
  <c r="K216" i="4"/>
  <c r="K145" i="4"/>
  <c r="L74" i="4"/>
  <c r="K23" i="4"/>
  <c r="K147" i="4"/>
  <c r="K18" i="4"/>
  <c r="K242" i="4"/>
  <c r="K204" i="4"/>
  <c r="F7" i="6"/>
  <c r="F25" i="6" s="1"/>
  <c r="H14" i="12" s="1"/>
  <c r="K219" i="4"/>
  <c r="K264" i="4"/>
  <c r="L148" i="4"/>
  <c r="K293" i="4"/>
  <c r="K234" i="4"/>
  <c r="K271" i="4"/>
  <c r="K196" i="4"/>
  <c r="K79" i="4"/>
  <c r="K46" i="4"/>
  <c r="K35" i="4"/>
  <c r="K245" i="4"/>
  <c r="L127" i="4"/>
  <c r="K266" i="4"/>
  <c r="K16" i="4"/>
  <c r="K17" i="4"/>
  <c r="K108" i="4"/>
  <c r="K193" i="4"/>
  <c r="K101" i="4"/>
  <c r="K181" i="4"/>
  <c r="K162" i="4"/>
  <c r="K281" i="4"/>
  <c r="K243" i="4"/>
  <c r="K177" i="4"/>
  <c r="K206" i="4"/>
  <c r="K241" i="4"/>
  <c r="K32" i="4"/>
  <c r="K261" i="4"/>
  <c r="K112" i="4"/>
  <c r="K45" i="4"/>
  <c r="K131" i="4"/>
  <c r="K156" i="4"/>
  <c r="K289" i="4"/>
  <c r="K76" i="4"/>
  <c r="K209" i="4"/>
  <c r="K82" i="4"/>
  <c r="K256" i="4"/>
  <c r="K225" i="4"/>
  <c r="K121" i="4"/>
  <c r="K183" i="4"/>
  <c r="K244" i="4"/>
  <c r="L146" i="4"/>
  <c r="K238" i="4"/>
  <c r="K57" i="4"/>
  <c r="F13" i="6"/>
  <c r="K304" i="4"/>
  <c r="K267" i="4"/>
  <c r="K89" i="4"/>
  <c r="K55" i="4"/>
  <c r="K168" i="4"/>
  <c r="K109" i="4"/>
  <c r="K42" i="4"/>
  <c r="K170" i="4"/>
  <c r="K48" i="4"/>
  <c r="K317" i="4"/>
  <c r="K64" i="4"/>
  <c r="K87" i="4"/>
  <c r="K61" i="4"/>
  <c r="K236" i="4"/>
  <c r="L166" i="4"/>
  <c r="K28" i="4"/>
  <c r="K308" i="4"/>
  <c r="K49" i="4"/>
  <c r="L40" i="4"/>
  <c r="D27" i="6"/>
  <c r="F13" i="12"/>
  <c r="K321" i="4"/>
  <c r="L274" i="4"/>
  <c r="K324" i="4"/>
  <c r="L285" i="4"/>
  <c r="K211" i="4"/>
  <c r="K174" i="4"/>
  <c r="K270" i="4"/>
  <c r="L303" i="4"/>
  <c r="K185" i="4"/>
  <c r="L327" i="4"/>
  <c r="K140" i="4"/>
  <c r="K52" i="4"/>
  <c r="K316" i="4"/>
  <c r="K65" i="4"/>
  <c r="K188" i="4"/>
  <c r="L157" i="4"/>
  <c r="K247" i="4"/>
  <c r="K151" i="4"/>
  <c r="K319" i="4"/>
  <c r="K67" i="4"/>
  <c r="K300" i="4"/>
  <c r="K36" i="4"/>
  <c r="K119" i="4"/>
  <c r="K130" i="4"/>
  <c r="K98" i="4"/>
  <c r="K197" i="4"/>
  <c r="K283" i="4"/>
  <c r="K44" i="4"/>
  <c r="E27" i="6"/>
  <c r="G14" i="12"/>
  <c r="G37" i="12" s="1"/>
  <c r="G35" i="12" s="1"/>
  <c r="G18" i="12" s="1"/>
  <c r="K120" i="4"/>
  <c r="K78" i="4"/>
  <c r="K315" i="4"/>
  <c r="K253" i="4"/>
  <c r="F6" i="6"/>
  <c r="L84" i="4"/>
  <c r="K313" i="4"/>
  <c r="K306" i="4"/>
  <c r="K260" i="4"/>
  <c r="K173" i="4"/>
  <c r="K43" i="4"/>
  <c r="K229" i="4"/>
  <c r="L278" i="4"/>
  <c r="K77" i="4"/>
  <c r="K96" i="4"/>
  <c r="K277" i="4"/>
  <c r="K275" i="4"/>
  <c r="K290" i="4"/>
  <c r="K154" i="4"/>
  <c r="K81" i="4"/>
  <c r="K143" i="4"/>
  <c r="K73" i="4"/>
  <c r="K224" i="4"/>
  <c r="K223" i="4"/>
  <c r="K133" i="4"/>
  <c r="K136" i="4"/>
  <c r="K60" i="4"/>
  <c r="L111" i="4"/>
  <c r="L176" i="4"/>
  <c r="K292" i="4"/>
  <c r="K24" i="4"/>
  <c r="K31" i="4"/>
  <c r="K288" i="4"/>
  <c r="K129" i="4"/>
  <c r="K272" i="4"/>
  <c r="K258" i="4"/>
  <c r="K237" i="4"/>
  <c r="K132" i="4"/>
  <c r="K152" i="4"/>
  <c r="K250" i="4"/>
  <c r="K88" i="4"/>
  <c r="K207" i="4"/>
  <c r="L210" i="4"/>
  <c r="K215" i="4"/>
  <c r="L297" i="4"/>
  <c r="K326" i="4"/>
  <c r="K107" i="4"/>
  <c r="L246" i="4"/>
  <c r="K320" i="4"/>
  <c r="K125" i="4"/>
  <c r="K34" i="4"/>
  <c r="F12" i="6"/>
  <c r="F30" i="6" s="1"/>
  <c r="K122" i="4"/>
  <c r="K114" i="4"/>
  <c r="K203" i="4"/>
  <c r="K287" i="4"/>
  <c r="K85" i="4"/>
  <c r="K213" i="4"/>
  <c r="K80" i="4"/>
  <c r="K110" i="4"/>
  <c r="K192" i="4"/>
  <c r="K124" i="4"/>
  <c r="K90" i="4"/>
  <c r="K299" i="4"/>
  <c r="K262" i="4"/>
  <c r="K33" i="4"/>
  <c r="K164" i="4"/>
  <c r="K309" i="4"/>
  <c r="K27" i="4"/>
  <c r="H8" i="6"/>
  <c r="H26" i="6" s="1"/>
  <c r="J15" i="12" s="1"/>
  <c r="K252" i="4"/>
  <c r="K302" i="4"/>
  <c r="K161" i="4"/>
  <c r="K68" i="4"/>
  <c r="K83" i="4"/>
  <c r="L169" i="4"/>
  <c r="E9" i="6"/>
  <c r="K265" i="4"/>
  <c r="L93" i="4"/>
  <c r="K220" i="4"/>
  <c r="K50" i="4"/>
  <c r="K160" i="4"/>
  <c r="L41" i="4"/>
  <c r="L103" i="4"/>
  <c r="L14" i="4"/>
  <c r="K25" i="4"/>
  <c r="K144" i="4"/>
  <c r="K325" i="4"/>
  <c r="K171" i="4"/>
  <c r="K75" i="4"/>
  <c r="K314" i="4"/>
  <c r="K99" i="4"/>
  <c r="K172" i="4"/>
  <c r="K53" i="4"/>
  <c r="K226" i="4"/>
  <c r="K307" i="4"/>
  <c r="K106" i="4"/>
  <c r="K66" i="4"/>
  <c r="L20" i="4"/>
  <c r="K128" i="4"/>
  <c r="K15" i="4"/>
  <c r="L263" i="4"/>
  <c r="K26" i="4"/>
  <c r="K149" i="4"/>
  <c r="K251" i="4"/>
  <c r="K217" i="4"/>
  <c r="K208" i="4"/>
  <c r="K189" i="4"/>
  <c r="K69" i="4"/>
  <c r="K153" i="4"/>
  <c r="L191" i="4"/>
  <c r="K284" i="4"/>
  <c r="K282" i="4"/>
  <c r="K205" i="4"/>
  <c r="K58" i="4"/>
  <c r="K218" i="4"/>
  <c r="K180" i="4"/>
  <c r="K228" i="4"/>
  <c r="L240" i="4"/>
  <c r="K200" i="4"/>
  <c r="K202" i="4"/>
  <c r="K137" i="4"/>
  <c r="H14" i="6"/>
  <c r="K95" i="4"/>
  <c r="K194" i="4"/>
  <c r="K187" i="4"/>
  <c r="K227" i="4"/>
  <c r="K56" i="4"/>
  <c r="K273" i="4"/>
  <c r="K163" i="4"/>
  <c r="K322" i="4"/>
  <c r="K235" i="4"/>
  <c r="E15" i="6" l="1"/>
  <c r="E37" i="11"/>
  <c r="D30" i="6"/>
  <c r="D15" i="6"/>
  <c r="E16" i="11"/>
  <c r="E44" i="11" s="1"/>
  <c r="C15" i="6"/>
  <c r="E13" i="12"/>
  <c r="C33" i="6"/>
  <c r="M39" i="10"/>
  <c r="N39" i="10"/>
  <c r="L39" i="10"/>
  <c r="K39" i="10"/>
  <c r="F78" i="10"/>
  <c r="F90" i="10" s="1"/>
  <c r="F25" i="12" s="1"/>
  <c r="F38" i="12" s="1"/>
  <c r="J22" i="10"/>
  <c r="M37" i="10"/>
  <c r="L33" i="10"/>
  <c r="J33" i="10"/>
  <c r="J37" i="10"/>
  <c r="N33" i="10"/>
  <c r="I22" i="10"/>
  <c r="I24" i="10" s="1"/>
  <c r="N37" i="10"/>
  <c r="L37" i="10"/>
  <c r="K33" i="10"/>
  <c r="I37" i="10"/>
  <c r="I36" i="10" s="1"/>
  <c r="L212" i="4"/>
  <c r="L233" i="4"/>
  <c r="L39" i="4"/>
  <c r="L312" i="4"/>
  <c r="J57" i="10"/>
  <c r="E108" i="10"/>
  <c r="E25" i="11" s="1"/>
  <c r="E38" i="11" s="1"/>
  <c r="I67" i="10"/>
  <c r="E100" i="10" s="1"/>
  <c r="E101" i="10" s="1"/>
  <c r="E104" i="10" s="1"/>
  <c r="E32" i="10"/>
  <c r="K32" i="10" s="1"/>
  <c r="K57" i="10"/>
  <c r="L57" i="10"/>
  <c r="L53" i="10"/>
  <c r="M53" i="10"/>
  <c r="N53" i="10"/>
  <c r="K53" i="10"/>
  <c r="K52" i="10" s="1"/>
  <c r="E38" i="10"/>
  <c r="E78" i="10"/>
  <c r="J53" i="10"/>
  <c r="M57" i="10"/>
  <c r="L286" i="4"/>
  <c r="E52" i="10"/>
  <c r="L54" i="10"/>
  <c r="J54" i="10"/>
  <c r="F108" i="10"/>
  <c r="F25" i="11" s="1"/>
  <c r="F38" i="11" s="1"/>
  <c r="M54" i="10"/>
  <c r="N54" i="10"/>
  <c r="L47" i="4"/>
  <c r="L222" i="4"/>
  <c r="L276" i="4"/>
  <c r="S30" i="4"/>
  <c r="L30" i="4"/>
  <c r="L239" i="4"/>
  <c r="N34" i="10"/>
  <c r="K34" i="10"/>
  <c r="M34" i="10"/>
  <c r="L34" i="10"/>
  <c r="D90" i="10"/>
  <c r="D79" i="10"/>
  <c r="D85" i="10" s="1"/>
  <c r="D105" i="10"/>
  <c r="D107" i="10" s="1"/>
  <c r="D24" i="11" s="1"/>
  <c r="E103" i="10"/>
  <c r="L195" i="4"/>
  <c r="L175" i="4"/>
  <c r="E33" i="6"/>
  <c r="G16" i="12"/>
  <c r="G44" i="12" s="1"/>
  <c r="F31" i="6"/>
  <c r="H14" i="11" s="1"/>
  <c r="H32" i="6"/>
  <c r="J15" i="11" s="1"/>
  <c r="L294" i="4"/>
  <c r="L198" i="4"/>
  <c r="G6" i="6"/>
  <c r="G24" i="6" s="1"/>
  <c r="L118" i="4"/>
  <c r="G12" i="6"/>
  <c r="G30" i="6" s="1"/>
  <c r="L310" i="4"/>
  <c r="L214" i="4"/>
  <c r="L199" i="4"/>
  <c r="L230" i="4"/>
  <c r="L54" i="4"/>
  <c r="L38" i="4"/>
  <c r="L63" i="4"/>
  <c r="L311" i="4"/>
  <c r="L105" i="4"/>
  <c r="L254" i="4"/>
  <c r="L134" i="4"/>
  <c r="L62" i="4"/>
  <c r="L318" i="4"/>
  <c r="L182" i="4"/>
  <c r="L135" i="4"/>
  <c r="L117" i="4"/>
  <c r="L158" i="4"/>
  <c r="L150" i="4"/>
  <c r="L71" i="4"/>
  <c r="L123" i="4"/>
  <c r="L59" i="4"/>
  <c r="L167" i="4"/>
  <c r="L21" i="4"/>
  <c r="L86" i="4"/>
  <c r="L126" i="4"/>
  <c r="L323" i="4"/>
  <c r="L70" i="4"/>
  <c r="L29" i="4"/>
  <c r="L255" i="4"/>
  <c r="L94" i="4"/>
  <c r="L202" i="4"/>
  <c r="L153" i="4"/>
  <c r="L251" i="4"/>
  <c r="L171" i="4"/>
  <c r="L252" i="4"/>
  <c r="L31" i="4"/>
  <c r="L290" i="4"/>
  <c r="L78" i="4"/>
  <c r="L130" i="4"/>
  <c r="L324" i="4"/>
  <c r="L64" i="4"/>
  <c r="L89" i="4"/>
  <c r="L256" i="4"/>
  <c r="L204" i="4"/>
  <c r="L159" i="4"/>
  <c r="L187" i="4"/>
  <c r="L58" i="4"/>
  <c r="L156" i="4"/>
  <c r="L32" i="4"/>
  <c r="L108" i="4"/>
  <c r="L266" i="4"/>
  <c r="L35" i="4"/>
  <c r="L264" i="4"/>
  <c r="L145" i="4"/>
  <c r="L179" i="4"/>
  <c r="L280" i="4"/>
  <c r="L305" i="4"/>
  <c r="L282" i="4"/>
  <c r="L85" i="4"/>
  <c r="L136" i="4"/>
  <c r="G16" i="11"/>
  <c r="G44" i="11" s="1"/>
  <c r="G37" i="11"/>
  <c r="L316" i="4"/>
  <c r="L170" i="4"/>
  <c r="L209" i="4"/>
  <c r="L206" i="4"/>
  <c r="L181" i="4"/>
  <c r="L234" i="4"/>
  <c r="L147" i="4"/>
  <c r="L184" i="4"/>
  <c r="L273" i="4"/>
  <c r="L228" i="4"/>
  <c r="G13" i="6"/>
  <c r="L220" i="4"/>
  <c r="L124" i="4"/>
  <c r="L114" i="4"/>
  <c r="L237" i="4"/>
  <c r="L224" i="4"/>
  <c r="L95" i="4"/>
  <c r="L307" i="4"/>
  <c r="L53" i="4"/>
  <c r="L25" i="4"/>
  <c r="L161" i="4"/>
  <c r="L164" i="4"/>
  <c r="L80" i="4"/>
  <c r="L207" i="4"/>
  <c r="L129" i="4"/>
  <c r="L81" i="4"/>
  <c r="L313" i="4"/>
  <c r="L253" i="4"/>
  <c r="L197" i="4"/>
  <c r="L188" i="4"/>
  <c r="L270" i="4"/>
  <c r="L28" i="4"/>
  <c r="L61" i="4"/>
  <c r="L168" i="4"/>
  <c r="L121" i="4"/>
  <c r="L281" i="4"/>
  <c r="L301" i="4"/>
  <c r="L186" i="4"/>
  <c r="L221" i="4"/>
  <c r="L284" i="4"/>
  <c r="L69" i="4"/>
  <c r="L208" i="4"/>
  <c r="L66" i="4"/>
  <c r="L314" i="4"/>
  <c r="L160" i="4"/>
  <c r="L83" i="4"/>
  <c r="L27" i="4"/>
  <c r="L299" i="4"/>
  <c r="L287" i="4"/>
  <c r="L122" i="4"/>
  <c r="L125" i="4"/>
  <c r="L152" i="4"/>
  <c r="L258" i="4"/>
  <c r="L24" i="4"/>
  <c r="L133" i="4"/>
  <c r="L275" i="4"/>
  <c r="L96" i="4"/>
  <c r="L229" i="4"/>
  <c r="L119" i="4"/>
  <c r="L67" i="4"/>
  <c r="L52" i="4"/>
  <c r="L317" i="4"/>
  <c r="L42" i="4"/>
  <c r="L267" i="4"/>
  <c r="L76" i="4"/>
  <c r="L131" i="4"/>
  <c r="L112" i="4"/>
  <c r="L101" i="4"/>
  <c r="L196" i="4"/>
  <c r="L219" i="4"/>
  <c r="L242" i="4"/>
  <c r="L269" i="4"/>
  <c r="L113" i="4"/>
  <c r="E37" i="12"/>
  <c r="E16" i="12"/>
  <c r="L173" i="4"/>
  <c r="L300" i="4"/>
  <c r="L151" i="4"/>
  <c r="L322" i="4"/>
  <c r="L56" i="4"/>
  <c r="L200" i="4"/>
  <c r="L180" i="4"/>
  <c r="L149" i="4"/>
  <c r="L15" i="4"/>
  <c r="L325" i="4"/>
  <c r="L192" i="4"/>
  <c r="L73" i="4"/>
  <c r="L260" i="4"/>
  <c r="L44" i="4"/>
  <c r="L174" i="4"/>
  <c r="L49" i="4"/>
  <c r="L57" i="4"/>
  <c r="L244" i="4"/>
  <c r="L177" i="4"/>
  <c r="L162" i="4"/>
  <c r="L17" i="4"/>
  <c r="L293" i="4"/>
  <c r="L23" i="4"/>
  <c r="L216" i="4"/>
  <c r="L232" i="4"/>
  <c r="L178" i="4"/>
  <c r="L291" i="4"/>
  <c r="L279" i="4"/>
  <c r="F15" i="6"/>
  <c r="L107" i="4"/>
  <c r="L88" i="4"/>
  <c r="L154" i="4"/>
  <c r="L18" i="4"/>
  <c r="L97" i="4"/>
  <c r="L72" i="4"/>
  <c r="L201" i="4"/>
  <c r="L19" i="4"/>
  <c r="L326" i="4"/>
  <c r="L163" i="4"/>
  <c r="L205" i="4"/>
  <c r="L226" i="4"/>
  <c r="L172" i="4"/>
  <c r="L50" i="4"/>
  <c r="L302" i="4"/>
  <c r="L33" i="4"/>
  <c r="L90" i="4"/>
  <c r="L213" i="4"/>
  <c r="L203" i="4"/>
  <c r="L215" i="4"/>
  <c r="L288" i="4"/>
  <c r="L60" i="4"/>
  <c r="L223" i="4"/>
  <c r="L43" i="4"/>
  <c r="L315" i="4"/>
  <c r="L120" i="4"/>
  <c r="L98" i="4"/>
  <c r="L247" i="4"/>
  <c r="L65" i="4"/>
  <c r="L185" i="4"/>
  <c r="L321" i="4"/>
  <c r="L87" i="4"/>
  <c r="L55" i="4"/>
  <c r="L225" i="4"/>
  <c r="L82" i="4"/>
  <c r="L46" i="4"/>
  <c r="L227" i="4"/>
  <c r="L194" i="4"/>
  <c r="L137" i="4"/>
  <c r="L189" i="4"/>
  <c r="L217" i="4"/>
  <c r="L26" i="4"/>
  <c r="L106" i="4"/>
  <c r="L75" i="4"/>
  <c r="L265" i="4"/>
  <c r="L320" i="4"/>
  <c r="L132" i="4"/>
  <c r="L292" i="4"/>
  <c r="L143" i="4"/>
  <c r="L277" i="4"/>
  <c r="L77" i="4"/>
  <c r="L36" i="4"/>
  <c r="L140" i="4"/>
  <c r="F37" i="12"/>
  <c r="F16" i="12"/>
  <c r="F44" i="12" s="1"/>
  <c r="L48" i="4"/>
  <c r="L304" i="4"/>
  <c r="L238" i="4"/>
  <c r="L289" i="4"/>
  <c r="L261" i="4"/>
  <c r="L241" i="4"/>
  <c r="L243" i="4"/>
  <c r="L193" i="4"/>
  <c r="L271" i="4"/>
  <c r="L142" i="4"/>
  <c r="L51" i="4"/>
  <c r="L115" i="4"/>
  <c r="L235" i="4"/>
  <c r="L218" i="4"/>
  <c r="L128" i="4"/>
  <c r="L99" i="4"/>
  <c r="G7" i="6"/>
  <c r="G25" i="6" s="1"/>
  <c r="I14" i="12" s="1"/>
  <c r="L144" i="4"/>
  <c r="L68" i="4"/>
  <c r="L309" i="4"/>
  <c r="L262" i="4"/>
  <c r="L110" i="4"/>
  <c r="L34" i="4"/>
  <c r="L250" i="4"/>
  <c r="L272" i="4"/>
  <c r="L306" i="4"/>
  <c r="F24" i="6"/>
  <c r="F9" i="6"/>
  <c r="L283" i="4"/>
  <c r="L319" i="4"/>
  <c r="L211" i="4"/>
  <c r="L308" i="4"/>
  <c r="L236" i="4"/>
  <c r="L109" i="4"/>
  <c r="L183" i="4"/>
  <c r="L45" i="4"/>
  <c r="L16" i="4"/>
  <c r="L245" i="4"/>
  <c r="L79" i="4"/>
  <c r="L268" i="4"/>
  <c r="L37" i="4"/>
  <c r="L155" i="4"/>
  <c r="L116" i="4"/>
  <c r="F79" i="10" l="1"/>
  <c r="F13" i="11"/>
  <c r="D33" i="6"/>
  <c r="J24" i="10"/>
  <c r="K24" i="10" s="1"/>
  <c r="L24" i="10" s="1"/>
  <c r="M24" i="10" s="1"/>
  <c r="N24" i="10" s="1"/>
  <c r="D25" i="12"/>
  <c r="D38" i="12" s="1"/>
  <c r="D35" i="12" s="1"/>
  <c r="I69" i="10"/>
  <c r="E45" i="11"/>
  <c r="E46" i="11" s="1"/>
  <c r="E47" i="11" s="1"/>
  <c r="E20" i="11" s="1"/>
  <c r="K67" i="10"/>
  <c r="G100" i="10" s="1"/>
  <c r="G101" i="10" s="1"/>
  <c r="J32" i="10"/>
  <c r="J31" i="10" s="1"/>
  <c r="E31" i="10"/>
  <c r="L32" i="10"/>
  <c r="L31" i="10" s="1"/>
  <c r="N32" i="10"/>
  <c r="N31" i="10" s="1"/>
  <c r="I32" i="10"/>
  <c r="I31" i="10" s="1"/>
  <c r="I46" i="10" s="1"/>
  <c r="I48" i="10" s="1"/>
  <c r="M32" i="10"/>
  <c r="M31" i="10" s="1"/>
  <c r="M52" i="10"/>
  <c r="M67" i="10" s="1"/>
  <c r="N52" i="10"/>
  <c r="N67" i="10" s="1"/>
  <c r="J45" i="11" s="1"/>
  <c r="L52" i="10"/>
  <c r="L67" i="10" s="1"/>
  <c r="H45" i="11" s="1"/>
  <c r="E79" i="10"/>
  <c r="E85" i="10" s="1"/>
  <c r="E90" i="10"/>
  <c r="E25" i="12" s="1"/>
  <c r="E38" i="12" s="1"/>
  <c r="E35" i="12" s="1"/>
  <c r="E18" i="12" s="1"/>
  <c r="K38" i="10"/>
  <c r="K36" i="10" s="1"/>
  <c r="N38" i="10"/>
  <c r="N36" i="10" s="1"/>
  <c r="J38" i="10"/>
  <c r="J36" i="10" s="1"/>
  <c r="E36" i="10"/>
  <c r="M38" i="10"/>
  <c r="M36" i="10" s="1"/>
  <c r="L38" i="10"/>
  <c r="L36" i="10" s="1"/>
  <c r="J52" i="10"/>
  <c r="J67" i="10" s="1"/>
  <c r="F100" i="10" s="1"/>
  <c r="F101" i="10" s="1"/>
  <c r="F104" i="10" s="1"/>
  <c r="D87" i="10"/>
  <c r="D89" i="10" s="1"/>
  <c r="D24" i="12" s="1"/>
  <c r="F35" i="12"/>
  <c r="F18" i="12" s="1"/>
  <c r="K31" i="10"/>
  <c r="F103" i="10"/>
  <c r="G103" i="10" s="1"/>
  <c r="H103" i="10" s="1"/>
  <c r="I103" i="10" s="1"/>
  <c r="E105" i="10"/>
  <c r="G31" i="6"/>
  <c r="I14" i="11" s="1"/>
  <c r="H6" i="6"/>
  <c r="H24" i="6" s="1"/>
  <c r="H12" i="6"/>
  <c r="E44" i="12"/>
  <c r="H7" i="6"/>
  <c r="H25" i="6" s="1"/>
  <c r="J14" i="12" s="1"/>
  <c r="G15" i="6"/>
  <c r="H13" i="6"/>
  <c r="H31" i="6" s="1"/>
  <c r="I13" i="11"/>
  <c r="H13" i="12"/>
  <c r="F27" i="6"/>
  <c r="G9" i="6"/>
  <c r="F33" i="6"/>
  <c r="H13" i="11"/>
  <c r="G27" i="6"/>
  <c r="I13" i="12"/>
  <c r="D35" i="11"/>
  <c r="F16" i="11" l="1"/>
  <c r="F44" i="11" s="1"/>
  <c r="F37" i="11"/>
  <c r="F35" i="11" s="1"/>
  <c r="F18" i="11" s="1"/>
  <c r="D40" i="12"/>
  <c r="D19" i="12" s="1"/>
  <c r="D18" i="12"/>
  <c r="D39" i="12"/>
  <c r="E34" i="12" s="1"/>
  <c r="E39" i="12" s="1"/>
  <c r="F34" i="12" s="1"/>
  <c r="F39" i="12" s="1"/>
  <c r="G34" i="12" s="1"/>
  <c r="J46" i="10"/>
  <c r="J48" i="10" s="1"/>
  <c r="E82" i="10"/>
  <c r="E83" i="10" s="1"/>
  <c r="E86" i="10" s="1"/>
  <c r="E87" i="10" s="1"/>
  <c r="G45" i="11"/>
  <c r="G46" i="11" s="1"/>
  <c r="G47" i="11" s="1"/>
  <c r="G20" i="11" s="1"/>
  <c r="E45" i="12"/>
  <c r="E46" i="12" s="1"/>
  <c r="E47" i="12" s="1"/>
  <c r="E20" i="12" s="1"/>
  <c r="I100" i="10"/>
  <c r="I101" i="10" s="1"/>
  <c r="I45" i="11"/>
  <c r="J100" i="10"/>
  <c r="J101" i="10" s="1"/>
  <c r="F45" i="11"/>
  <c r="L46" i="10"/>
  <c r="H45" i="12" s="1"/>
  <c r="N46" i="10"/>
  <c r="J45" i="12" s="1"/>
  <c r="H100" i="10"/>
  <c r="H101" i="10" s="1"/>
  <c r="K46" i="10"/>
  <c r="G45" i="12" s="1"/>
  <c r="G46" i="12" s="1"/>
  <c r="G47" i="12" s="1"/>
  <c r="G20" i="12" s="1"/>
  <c r="J69" i="10"/>
  <c r="K69" i="10" s="1"/>
  <c r="L69" i="10" s="1"/>
  <c r="M69" i="10" s="1"/>
  <c r="N69" i="10" s="1"/>
  <c r="M46" i="10"/>
  <c r="I82" i="10" s="1"/>
  <c r="I83" i="10" s="1"/>
  <c r="G33" i="6"/>
  <c r="F85" i="10"/>
  <c r="F105" i="10"/>
  <c r="G104" i="10"/>
  <c r="J103" i="10"/>
  <c r="H30" i="6"/>
  <c r="J13" i="11" s="1"/>
  <c r="I37" i="11"/>
  <c r="I35" i="11" s="1"/>
  <c r="I18" i="11" s="1"/>
  <c r="I16" i="11"/>
  <c r="I44" i="11" s="1"/>
  <c r="H9" i="6"/>
  <c r="H16" i="12"/>
  <c r="H44" i="12" s="1"/>
  <c r="H37" i="12"/>
  <c r="H35" i="12" s="1"/>
  <c r="H18" i="12" s="1"/>
  <c r="I37" i="12"/>
  <c r="I35" i="12" s="1"/>
  <c r="I18" i="12" s="1"/>
  <c r="I16" i="12"/>
  <c r="I44" i="12" s="1"/>
  <c r="J14" i="11"/>
  <c r="H15" i="6"/>
  <c r="H37" i="11"/>
  <c r="H35" i="11" s="1"/>
  <c r="H18" i="11" s="1"/>
  <c r="H16" i="11"/>
  <c r="H44" i="11" s="1"/>
  <c r="H27" i="6"/>
  <c r="J13" i="12"/>
  <c r="J16" i="12" s="1"/>
  <c r="J44" i="12" s="1"/>
  <c r="D39" i="11"/>
  <c r="E34" i="11" s="1"/>
  <c r="D18" i="11"/>
  <c r="E35" i="11"/>
  <c r="E18" i="11" s="1"/>
  <c r="D40" i="11"/>
  <c r="D19" i="11" s="1"/>
  <c r="F46" i="11" l="1"/>
  <c r="F47" i="11" s="1"/>
  <c r="F20" i="11" s="1"/>
  <c r="E40" i="12"/>
  <c r="E19" i="12" s="1"/>
  <c r="E22" i="12" s="1"/>
  <c r="E28" i="12" s="1"/>
  <c r="D22" i="12"/>
  <c r="D28" i="12" s="1"/>
  <c r="F45" i="12"/>
  <c r="F46" i="12" s="1"/>
  <c r="F47" i="12" s="1"/>
  <c r="F20" i="12" s="1"/>
  <c r="F82" i="10"/>
  <c r="F83" i="10" s="1"/>
  <c r="F86" i="10" s="1"/>
  <c r="F87" i="10" s="1"/>
  <c r="H82" i="10"/>
  <c r="H83" i="10" s="1"/>
  <c r="G82" i="10"/>
  <c r="G83" i="10" s="1"/>
  <c r="J82" i="10"/>
  <c r="J83" i="10" s="1"/>
  <c r="K48" i="10"/>
  <c r="L48" i="10" s="1"/>
  <c r="M48" i="10" s="1"/>
  <c r="N48" i="10" s="1"/>
  <c r="F40" i="12"/>
  <c r="F19" i="12" s="1"/>
  <c r="I45" i="12"/>
  <c r="I46" i="12" s="1"/>
  <c r="I47" i="12" s="1"/>
  <c r="I20" i="12" s="1"/>
  <c r="J46" i="12"/>
  <c r="J47" i="12" s="1"/>
  <c r="J20" i="12" s="1"/>
  <c r="G85" i="10"/>
  <c r="H46" i="12"/>
  <c r="H47" i="12" s="1"/>
  <c r="H20" i="12" s="1"/>
  <c r="H104" i="10"/>
  <c r="G105" i="10"/>
  <c r="H46" i="11"/>
  <c r="H47" i="11" s="1"/>
  <c r="H20" i="11" s="1"/>
  <c r="I46" i="11"/>
  <c r="I47" i="11" s="1"/>
  <c r="I20" i="11" s="1"/>
  <c r="H33" i="6"/>
  <c r="J16" i="11"/>
  <c r="J44" i="11" s="1"/>
  <c r="J46" i="11" s="1"/>
  <c r="J47" i="11" s="1"/>
  <c r="J20" i="11" s="1"/>
  <c r="J37" i="11"/>
  <c r="J35" i="11" s="1"/>
  <c r="J18" i="11" s="1"/>
  <c r="G39" i="12"/>
  <c r="H34" i="12" s="1"/>
  <c r="G40" i="12"/>
  <c r="G19" i="12" s="1"/>
  <c r="G22" i="12" s="1"/>
  <c r="G28" i="12" s="1"/>
  <c r="J37" i="12"/>
  <c r="J35" i="12" s="1"/>
  <c r="J18" i="12" s="1"/>
  <c r="D22" i="11"/>
  <c r="D28" i="11" s="1"/>
  <c r="G35" i="11"/>
  <c r="G18" i="11" s="1"/>
  <c r="E39" i="11"/>
  <c r="F34" i="11" s="1"/>
  <c r="E40" i="11"/>
  <c r="F22" i="12" l="1"/>
  <c r="F28" i="12" s="1"/>
  <c r="G86" i="10"/>
  <c r="G87" i="10" s="1"/>
  <c r="H85" i="10"/>
  <c r="I104" i="10"/>
  <c r="H105" i="10"/>
  <c r="H40" i="12"/>
  <c r="H19" i="12" s="1"/>
  <c r="H22" i="12" s="1"/>
  <c r="H28" i="12" s="1"/>
  <c r="H39" i="12"/>
  <c r="I34" i="12" s="1"/>
  <c r="E19" i="11"/>
  <c r="F40" i="11"/>
  <c r="F39" i="11"/>
  <c r="G34" i="11" s="1"/>
  <c r="H86" i="10" l="1"/>
  <c r="I86" i="10" s="1"/>
  <c r="J86" i="10" s="1"/>
  <c r="I85" i="10"/>
  <c r="J104" i="10"/>
  <c r="J105" i="10" s="1"/>
  <c r="J109" i="10" s="1"/>
  <c r="J26" i="11" s="1"/>
  <c r="I105" i="10"/>
  <c r="I39" i="12"/>
  <c r="J34" i="12" s="1"/>
  <c r="I40" i="12"/>
  <c r="I19" i="12" s="1"/>
  <c r="I22" i="12" s="1"/>
  <c r="I28" i="12" s="1"/>
  <c r="F19" i="11"/>
  <c r="E22" i="11"/>
  <c r="G39" i="11"/>
  <c r="H34" i="11" s="1"/>
  <c r="G40" i="11"/>
  <c r="H87" i="10" l="1"/>
  <c r="I87" i="10"/>
  <c r="J85" i="10"/>
  <c r="J87" i="10" s="1"/>
  <c r="J91" i="10" s="1"/>
  <c r="J26" i="12" s="1"/>
  <c r="J39" i="12"/>
  <c r="J40" i="12"/>
  <c r="J19" i="12" s="1"/>
  <c r="J22" i="12" s="1"/>
  <c r="G19" i="11"/>
  <c r="E28" i="11"/>
  <c r="F22" i="11"/>
  <c r="H40" i="11"/>
  <c r="H39" i="11"/>
  <c r="I34" i="11" s="1"/>
  <c r="J28" i="12" l="1"/>
  <c r="C31" i="12" s="1"/>
  <c r="H19" i="11"/>
  <c r="F28" i="11"/>
  <c r="G22" i="11"/>
  <c r="I39" i="11"/>
  <c r="J34" i="11" s="1"/>
  <c r="I40" i="11"/>
  <c r="G28" i="11" l="1"/>
  <c r="I19" i="11"/>
  <c r="H22" i="11"/>
  <c r="J40" i="11"/>
  <c r="J39" i="11"/>
  <c r="J19" i="11" l="1"/>
  <c r="H28" i="11"/>
  <c r="I22" i="11"/>
  <c r="I28" i="11" l="1"/>
  <c r="J22" i="11"/>
  <c r="J28" i="11" l="1"/>
  <c r="C31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M. Martín Morillo</author>
  </authors>
  <commentList>
    <comment ref="G16" authorId="0" shapeId="0" xr:uid="{7712AA95-B3C2-4B92-B877-CFAF7EE5DC50}">
      <text>
        <r>
          <rPr>
            <b/>
            <sz val="9"/>
            <color indexed="81"/>
            <rFont val="Tahoma"/>
            <family val="2"/>
          </rPr>
          <t>Indicador: EFF_TAX_RATE</t>
        </r>
      </text>
    </comment>
    <comment ref="H16" authorId="0" shapeId="0" xr:uid="{EB4F0BA8-2D6D-4C54-99A2-A870EC0A0064}">
      <text>
        <r>
          <rPr>
            <b/>
            <sz val="9"/>
            <color indexed="81"/>
            <rFont val="Tahoma"/>
            <family val="2"/>
          </rPr>
          <t>Indicador: TOT_DEBT_TO_TOT_EQY</t>
        </r>
      </text>
    </comment>
    <comment ref="G17" authorId="0" shapeId="0" xr:uid="{7E5933EE-D1DC-4B42-8B04-60E3646878FA}">
      <text>
        <r>
          <rPr>
            <b/>
            <sz val="9"/>
            <color indexed="81"/>
            <rFont val="Tahoma"/>
            <family val="2"/>
          </rPr>
          <t>Trimestre Q3 2024 (09/30/2024)</t>
        </r>
      </text>
    </comment>
    <comment ref="H17" authorId="0" shapeId="0" xr:uid="{993D341E-5ACB-4A10-A376-B77E971A49D2}">
      <text>
        <r>
          <rPr>
            <b/>
            <sz val="9"/>
            <color indexed="81"/>
            <rFont val="Tahoma"/>
            <family val="2"/>
          </rPr>
          <t>Trimestre Q3 2024 (09/30/2024)</t>
        </r>
      </text>
    </comment>
    <comment ref="G18" authorId="0" shapeId="0" xr:uid="{3BC55BA1-18B8-4291-BB30-08AC2B356132}">
      <text>
        <r>
          <rPr>
            <b/>
            <sz val="9"/>
            <color indexed="81"/>
            <rFont val="Tahoma"/>
            <family val="2"/>
          </rPr>
          <t>Trimestre Q3 2024 (09/30/2024)</t>
        </r>
      </text>
    </comment>
    <comment ref="H18" authorId="0" shapeId="0" xr:uid="{8A449999-3061-46A8-8ED8-80F145CD4067}">
      <text>
        <r>
          <rPr>
            <b/>
            <sz val="9"/>
            <color indexed="81"/>
            <rFont val="Tahoma"/>
            <family val="2"/>
          </rPr>
          <t>Trimestre Q3 2024 (09/30/2024)</t>
        </r>
      </text>
    </comment>
    <comment ref="G19" authorId="0" shapeId="0" xr:uid="{D2CA8BC7-04B9-4067-91D5-1EE16295B5AD}">
      <text>
        <r>
          <rPr>
            <b/>
            <sz val="9"/>
            <color indexed="81"/>
            <rFont val="Tahoma"/>
            <family val="2"/>
          </rPr>
          <t>Trimestre Q3 2024 (09/30/2024)</t>
        </r>
      </text>
    </comment>
    <comment ref="H19" authorId="0" shapeId="0" xr:uid="{B31180FC-A6CF-4F69-A2D1-27F2D3405847}">
      <text>
        <r>
          <rPr>
            <b/>
            <sz val="9"/>
            <color indexed="81"/>
            <rFont val="Tahoma"/>
            <family val="2"/>
          </rPr>
          <t>Trimestre Q3 2024 (09/30/2024)</t>
        </r>
      </text>
    </comment>
    <comment ref="G20" authorId="0" shapeId="0" xr:uid="{B7241AED-F074-4E0B-8B55-9D7943259AAD}">
      <text>
        <r>
          <rPr>
            <b/>
            <sz val="9"/>
            <color indexed="81"/>
            <rFont val="Tahoma"/>
            <family val="2"/>
          </rPr>
          <t>Trimestre Q3 2024 (09/30/2024)</t>
        </r>
      </text>
    </comment>
    <comment ref="H20" authorId="0" shapeId="0" xr:uid="{C7DE1494-D829-4600-8B14-772A4461E726}">
      <text>
        <r>
          <rPr>
            <b/>
            <sz val="9"/>
            <color indexed="81"/>
            <rFont val="Tahoma"/>
            <family val="2"/>
          </rPr>
          <t>Trimestre Q3 2024 (09/30/2024)</t>
        </r>
      </text>
    </comment>
    <comment ref="G21" authorId="0" shapeId="0" xr:uid="{A529076A-3455-4E31-B5A2-9539E340034A}">
      <text>
        <r>
          <rPr>
            <b/>
            <sz val="9"/>
            <color indexed="81"/>
            <rFont val="Tahoma"/>
            <family val="2"/>
          </rPr>
          <t>Trimestre Q3 2024 (09/30/2024)</t>
        </r>
      </text>
    </comment>
    <comment ref="H21" authorId="0" shapeId="0" xr:uid="{D0E0D2D6-F870-47ED-BFA4-25F8AA14FB30}">
      <text>
        <r>
          <rPr>
            <b/>
            <sz val="9"/>
            <color indexed="81"/>
            <rFont val="Tahoma"/>
            <family val="2"/>
          </rPr>
          <t>Trimestre Q3 2024 (09/30/2024)</t>
        </r>
      </text>
    </comment>
    <comment ref="G22" authorId="0" shapeId="0" xr:uid="{4FF3A977-9D2D-4C22-B192-BA60D8A791B3}">
      <text>
        <r>
          <rPr>
            <b/>
            <sz val="9"/>
            <color indexed="81"/>
            <rFont val="Tahoma"/>
            <family val="2"/>
          </rPr>
          <t>Semestre S1 2024 (06/30/2024)</t>
        </r>
      </text>
    </comment>
    <comment ref="H22" authorId="0" shapeId="0" xr:uid="{E90A0848-DB53-4D8F-BF6A-84D21AECFA56}">
      <text>
        <r>
          <rPr>
            <b/>
            <sz val="9"/>
            <color indexed="81"/>
            <rFont val="Tahoma"/>
            <family val="2"/>
          </rPr>
          <t>Semestre S1 2024 (06/30/2024)</t>
        </r>
      </text>
    </comment>
    <comment ref="G23" authorId="0" shapeId="0" xr:uid="{A41B5773-3025-4C66-8531-110BFF18DE92}">
      <text>
        <r>
          <rPr>
            <b/>
            <sz val="9"/>
            <color indexed="81"/>
            <rFont val="Tahoma"/>
            <family val="2"/>
          </rPr>
          <t>Trimestre Q3 2024 (09/30/2024)</t>
        </r>
      </text>
    </comment>
    <comment ref="H23" authorId="0" shapeId="0" xr:uid="{96946236-EFC1-4943-962A-FE39DF4F3613}">
      <text>
        <r>
          <rPr>
            <b/>
            <sz val="9"/>
            <color indexed="81"/>
            <rFont val="Tahoma"/>
            <family val="2"/>
          </rPr>
          <t>Trimestre Q3 2024 (09/30/2024)</t>
        </r>
      </text>
    </comment>
    <comment ref="G24" authorId="0" shapeId="0" xr:uid="{6E3C75FA-1C85-450C-9FDD-82E52E953034}">
      <text>
        <r>
          <rPr>
            <b/>
            <sz val="9"/>
            <color indexed="81"/>
            <rFont val="Tahoma"/>
            <family val="2"/>
          </rPr>
          <t>Año 2024</t>
        </r>
      </text>
    </comment>
    <comment ref="H24" authorId="0" shapeId="0" xr:uid="{8C9193B3-5120-47F4-BCFD-FE7F6A1476BE}">
      <text>
        <r>
          <rPr>
            <b/>
            <sz val="9"/>
            <color indexed="81"/>
            <rFont val="Tahoma"/>
            <family val="2"/>
          </rPr>
          <t>Año 2024</t>
        </r>
      </text>
    </comment>
  </commentList>
</comments>
</file>

<file path=xl/sharedStrings.xml><?xml version="1.0" encoding="utf-8"?>
<sst xmlns="http://schemas.openxmlformats.org/spreadsheetml/2006/main" count="4934" uniqueCount="649">
  <si>
    <t>INT-INT</t>
  </si>
  <si>
    <t>DOM-DOM</t>
  </si>
  <si>
    <t>INT-DOM</t>
  </si>
  <si>
    <t>DOM-INT</t>
  </si>
  <si>
    <t>INT Salidas (sin DOM-INT / INT-INT / Transito INT-INT)</t>
  </si>
  <si>
    <t>INT Llegadas (sin DOM-INT / INT-INT / Transito INT-INT)</t>
  </si>
  <si>
    <t>DOM Salidas (sin INT-DOM / DOM-DOM)</t>
  </si>
  <si>
    <t>DOM Llegadas (sin INT-DOM / DOM-DOM)</t>
  </si>
  <si>
    <t>Total</t>
  </si>
  <si>
    <t>Cuenta</t>
  </si>
  <si>
    <t>Tipo</t>
  </si>
  <si>
    <t>Item</t>
  </si>
  <si>
    <t>Nombre de la cuenta</t>
  </si>
  <si>
    <t>Directo</t>
  </si>
  <si>
    <t>Gastos de Personal</t>
  </si>
  <si>
    <t>Sueldos del Personal</t>
  </si>
  <si>
    <t>Gratificación Ordinaria</t>
  </si>
  <si>
    <t>Vacaciones</t>
  </si>
  <si>
    <t>Horas Extras</t>
  </si>
  <si>
    <t>Otras Remuneraciones</t>
  </si>
  <si>
    <t>Indemnizaciones al Personal</t>
  </si>
  <si>
    <t>Capacitación</t>
  </si>
  <si>
    <t>Gastos de Alimentación</t>
  </si>
  <si>
    <t>Eventos y atenc. al personal</t>
  </si>
  <si>
    <t>Uniformes</t>
  </si>
  <si>
    <t>Movilidad</t>
  </si>
  <si>
    <t>Examenes medicos</t>
  </si>
  <si>
    <t>Otros Gastos de Personal</t>
  </si>
  <si>
    <t>Prácticantes Profesionales</t>
  </si>
  <si>
    <t>Otros Gastos de Personal Compras</t>
  </si>
  <si>
    <t>Contribución EPS</t>
  </si>
  <si>
    <t>Régimen de Prestaciones de Salud - Essalud</t>
  </si>
  <si>
    <t>Seguro Complementario de Trabajo de Riesgo</t>
  </si>
  <si>
    <t>Seguros de vida empleados</t>
  </si>
  <si>
    <t>Seguros de vida Ley</t>
  </si>
  <si>
    <t>Aportación EPS</t>
  </si>
  <si>
    <t>Contribución SENATI</t>
  </si>
  <si>
    <t>Beneficio social de los trabajadores CTS</t>
  </si>
  <si>
    <t>Otros Costos</t>
  </si>
  <si>
    <t>Gasto de viaje y conferencias</t>
  </si>
  <si>
    <t>Servicios prestados por terceros</t>
  </si>
  <si>
    <t>Servicio de transporte</t>
  </si>
  <si>
    <t>Mensajeria</t>
  </si>
  <si>
    <t>Asesoria y consultoría</t>
  </si>
  <si>
    <t>Gastos de auditoría externa</t>
  </si>
  <si>
    <t>Fee del operador</t>
  </si>
  <si>
    <t>Servicios de Gerencia</t>
  </si>
  <si>
    <t>Consultoria operador</t>
  </si>
  <si>
    <t>Serv. Gerencia LAP Proyecto</t>
  </si>
  <si>
    <t xml:space="preserve">Outsourcing </t>
  </si>
  <si>
    <t>Serv.de Guias Aeroportuarios</t>
  </si>
  <si>
    <t>Servicio de verificacion de expedientes</t>
  </si>
  <si>
    <t>Mantenimiento de Activos</t>
  </si>
  <si>
    <t xml:space="preserve">Servicios de pintado </t>
  </si>
  <si>
    <t xml:space="preserve">MP de zonas periféricas </t>
  </si>
  <si>
    <t xml:space="preserve">MP de infra. del terminal  </t>
  </si>
  <si>
    <t xml:space="preserve">MP mobiliario del terminal </t>
  </si>
  <si>
    <t xml:space="preserve">MP Trampa de grasa </t>
  </si>
  <si>
    <t>MP Deodorizantes</t>
  </si>
  <si>
    <t>MP del alcantarillado</t>
  </si>
  <si>
    <t xml:space="preserve">Remodelaciones menores </t>
  </si>
  <si>
    <t>MC de Infra. e Instalaciones</t>
  </si>
  <si>
    <t>MP de vehículos</t>
  </si>
  <si>
    <t>MC de vehículos</t>
  </si>
  <si>
    <t>MP de equipos y sistemas</t>
  </si>
  <si>
    <t>MC de equipos y sistemas</t>
  </si>
  <si>
    <t>MP ascensores edif. central</t>
  </si>
  <si>
    <t>MP ascensores terminal</t>
  </si>
  <si>
    <t>MP zonas periféricas</t>
  </si>
  <si>
    <t xml:space="preserve">MP terminal </t>
  </si>
  <si>
    <t xml:space="preserve">MP dispositivos CCTV </t>
  </si>
  <si>
    <t>MP servidores CCTV</t>
  </si>
  <si>
    <t>MP de máquinas rayos X</t>
  </si>
  <si>
    <t xml:space="preserve">MP de equipos PDM </t>
  </si>
  <si>
    <t xml:space="preserve">MP dispositivos SDI </t>
  </si>
  <si>
    <t xml:space="preserve">MP Paneles SDI </t>
  </si>
  <si>
    <t>MP Ilumi Playa Estacionam.</t>
  </si>
  <si>
    <t xml:space="preserve">MP Aire Edific Ctral </t>
  </si>
  <si>
    <t xml:space="preserve">MP Aire Terminal </t>
  </si>
  <si>
    <t xml:space="preserve">MP Aire Gran Techo </t>
  </si>
  <si>
    <t>MC Ascensores</t>
  </si>
  <si>
    <t>MC Aire acondicionado</t>
  </si>
  <si>
    <t>MC Iluminacion</t>
  </si>
  <si>
    <t>MP Pav playa estacionam.</t>
  </si>
  <si>
    <t xml:space="preserve">MP Pav Plataforma </t>
  </si>
  <si>
    <t>MC de pavimentos</t>
  </si>
  <si>
    <t>MP de areas verdes</t>
  </si>
  <si>
    <t>MP y MC muebles administr.</t>
  </si>
  <si>
    <t>Mant. de equip. informáticos</t>
  </si>
  <si>
    <t>Mant. de Control Calidad</t>
  </si>
  <si>
    <t>Alquiler de Vehiculos</t>
  </si>
  <si>
    <t>Alquiler de eq. de computo</t>
  </si>
  <si>
    <t>Alquiler de maquinaria y equipo</t>
  </si>
  <si>
    <t>Alquiler de espac.para eventos</t>
  </si>
  <si>
    <t>alquiler de espacios para los equipos GEMS – monitoreo de ruido</t>
  </si>
  <si>
    <t>Consumo telefónico</t>
  </si>
  <si>
    <t>Consumo de electricidad</t>
  </si>
  <si>
    <t>Consumo de agua</t>
  </si>
  <si>
    <t>Gestion de residuos solidos</t>
  </si>
  <si>
    <t xml:space="preserve">Gestion de Res. Solidos de Sanidad Aérea </t>
  </si>
  <si>
    <t>Publicidad</t>
  </si>
  <si>
    <t>Anuncios</t>
  </si>
  <si>
    <t>Gastos de Representación</t>
  </si>
  <si>
    <t>Servicio de Contratistas</t>
  </si>
  <si>
    <t>Compras de Activos</t>
  </si>
  <si>
    <t>Servicio de Limpieza</t>
  </si>
  <si>
    <t>Servicio de IATA</t>
  </si>
  <si>
    <t>Mano de obra en manten.</t>
  </si>
  <si>
    <t>Servicio médico</t>
  </si>
  <si>
    <t>Servicio de buses</t>
  </si>
  <si>
    <t>Servicio de traducción</t>
  </si>
  <si>
    <t>Servicios notariales</t>
  </si>
  <si>
    <t>Administracion playa de estac.</t>
  </si>
  <si>
    <t>Administración TUUA</t>
  </si>
  <si>
    <t>Acopio carros portaequipajes</t>
  </si>
  <si>
    <t>Servicio Call Center</t>
  </si>
  <si>
    <t>Servicio de Cetreria</t>
  </si>
  <si>
    <t>Operación red gigabit</t>
  </si>
  <si>
    <t>Servicio mozos</t>
  </si>
  <si>
    <t>Administracion en la nube</t>
  </si>
  <si>
    <t>Gestion de energia electrica</t>
  </si>
  <si>
    <t>Anfitriones aeroportuarios</t>
  </si>
  <si>
    <t>Personal oficina de hallazgo</t>
  </si>
  <si>
    <t>Guías de embarque peatonal</t>
  </si>
  <si>
    <t>Señaleros vía vehicular G8</t>
  </si>
  <si>
    <t xml:space="preserve">Direccionam. de plataforma </t>
  </si>
  <si>
    <t>Servicio de Central Telefónica</t>
  </si>
  <si>
    <t>Serv.de marketing a recuperar</t>
  </si>
  <si>
    <t>Servicios de terceros diversos</t>
  </si>
  <si>
    <t xml:space="preserve">Servicio de Controladores de Tránsito </t>
  </si>
  <si>
    <t>Ofic.de Seguridad Aeropor. nivel 1</t>
  </si>
  <si>
    <t>Servicio de vigilacia 24 horas</t>
  </si>
  <si>
    <t xml:space="preserve">Guías caninos </t>
  </si>
  <si>
    <t>Sistema alarma perimetral</t>
  </si>
  <si>
    <t>Convenio PNP</t>
  </si>
  <si>
    <t>Ofic.de Seguridad Aeropor. nivel 2</t>
  </si>
  <si>
    <t xml:space="preserve">MP planta tratamiento STP </t>
  </si>
  <si>
    <t>MP blue water</t>
  </si>
  <si>
    <t>Gastos diversos a recuperar</t>
  </si>
  <si>
    <t>Com. mant. portes bancarios</t>
  </si>
  <si>
    <t>Comisión Garantia Corporativa</t>
  </si>
  <si>
    <t>Impuesto General a las Ventas</t>
  </si>
  <si>
    <t>Impuesto a las Transacciones Financieras (ITF)</t>
  </si>
  <si>
    <t>Impuesto Predial</t>
  </si>
  <si>
    <t>Arbitrios</t>
  </si>
  <si>
    <t>Impuesto Vehicular</t>
  </si>
  <si>
    <t>Seguros</t>
  </si>
  <si>
    <t>Suscripciones</t>
  </si>
  <si>
    <t>Membresías</t>
  </si>
  <si>
    <t>Licenciamiento de Software</t>
  </si>
  <si>
    <t>Con. Herramientas y Accesorios</t>
  </si>
  <si>
    <t>Consumo de Repuestos</t>
  </si>
  <si>
    <t>Consumo de Materiales Diversos</t>
  </si>
  <si>
    <t>Consumo de Combustibles</t>
  </si>
  <si>
    <t>Consumoe de Utiles de oficina</t>
  </si>
  <si>
    <t>Dif. de Inventario Herramientas y Accesorios</t>
  </si>
  <si>
    <t>Dif. de Inventario Repuestos</t>
  </si>
  <si>
    <t>Dif. de Inv. Materiales Diversos</t>
  </si>
  <si>
    <t>Dif. de Inv.Combustible</t>
  </si>
  <si>
    <t>Dif. de Utiles de Oficina</t>
  </si>
  <si>
    <t>Desv.de Inv. Herramientas y Accesorios</t>
  </si>
  <si>
    <t>Desv. de Repuestos</t>
  </si>
  <si>
    <t>Desv.  de Materiales Diversos</t>
  </si>
  <si>
    <t>Desv. de Combustible</t>
  </si>
  <si>
    <t>Desv. De Utiles de oficina</t>
  </si>
  <si>
    <t>Premios y obsequios</t>
  </si>
  <si>
    <t>Eventos protocolares</t>
  </si>
  <si>
    <t>Sanciones Administrativas</t>
  </si>
  <si>
    <t>Fotostáticas e Impresiones</t>
  </si>
  <si>
    <t>Donaciones</t>
  </si>
  <si>
    <t>Programas de Gestión Social</t>
  </si>
  <si>
    <t>Licencias y derechos</t>
  </si>
  <si>
    <t>Otras Sanciones y multas</t>
  </si>
  <si>
    <t>Compra de Bienes Menores</t>
  </si>
  <si>
    <t>Provisión Cuentas de Cobranza Dudosa</t>
  </si>
  <si>
    <t>Distribución Legal de la Renta</t>
  </si>
  <si>
    <t>Indirectos</t>
  </si>
  <si>
    <t>No Imputables</t>
  </si>
  <si>
    <t>Nombre</t>
  </si>
  <si>
    <t>Variación %</t>
  </si>
  <si>
    <t>Var OPEX 2023-2025</t>
  </si>
  <si>
    <t>CR 2023</t>
  </si>
  <si>
    <t>OPEX 2025</t>
  </si>
  <si>
    <t>Tasa de crecimiento pasajeros</t>
  </si>
  <si>
    <t>Elasticidad pasajeros-OPEX</t>
  </si>
  <si>
    <t>OPEX 2026</t>
  </si>
  <si>
    <t>OPEX 2027</t>
  </si>
  <si>
    <t>OPEX 2028</t>
  </si>
  <si>
    <t>OPEX 2029</t>
  </si>
  <si>
    <t>OPEX 2030</t>
  </si>
  <si>
    <t>Pasajero</t>
  </si>
  <si>
    <t>m2</t>
  </si>
  <si>
    <t>m2 fijo</t>
  </si>
  <si>
    <t>Driver Asignación</t>
  </si>
  <si>
    <t>INT INT</t>
  </si>
  <si>
    <t>DOM DOM</t>
  </si>
  <si>
    <t>Áreas exclusivas</t>
  </si>
  <si>
    <t>Áreas comunes</t>
  </si>
  <si>
    <t>Área Total del Terminal</t>
  </si>
  <si>
    <t>Procesador</t>
  </si>
  <si>
    <t>Swing</t>
  </si>
  <si>
    <t>Doméstico</t>
  </si>
  <si>
    <t>Internacional</t>
  </si>
  <si>
    <t>Señalética</t>
  </si>
  <si>
    <t>Equipos aeroportuarios</t>
  </si>
  <si>
    <t>Inversión asociada al terminal</t>
  </si>
  <si>
    <t>Passenger Airside Security Checkpoint System</t>
  </si>
  <si>
    <t>PBSS ( Passenger Baggage Screening )</t>
  </si>
  <si>
    <t>Ascensores - Procesador</t>
  </si>
  <si>
    <t>Escaleras mecánicas - Procesador</t>
  </si>
  <si>
    <t>Ascensores - Swing</t>
  </si>
  <si>
    <t>Escaleras mecánicas - Swing</t>
  </si>
  <si>
    <t>Ascensores - Dique doméstico</t>
  </si>
  <si>
    <t>Escaleras mecánicas - Dique doméstico</t>
  </si>
  <si>
    <t>Exclusiones</t>
  </si>
  <si>
    <t>Ratio</t>
  </si>
  <si>
    <t>Ratio Terminal áreas exclusivas</t>
  </si>
  <si>
    <t>Ratio General</t>
  </si>
  <si>
    <t>Edifiicios auxiliares y sistemas</t>
  </si>
  <si>
    <t>Inversion en edificios auxiliares Landside</t>
  </si>
  <si>
    <t>Sistema de obtención de agua cruda</t>
  </si>
  <si>
    <t xml:space="preserve">PTAR/ Planta de Tratamiento de Aguas Residuales </t>
  </si>
  <si>
    <t>Redes y sistemas de plomería (Agua, incendio) Landside</t>
  </si>
  <si>
    <t>Redes y sistemas eléctricos Landside</t>
  </si>
  <si>
    <t>Planta de generación eléctrica</t>
  </si>
  <si>
    <t>Planta de producción de agua helada</t>
  </si>
  <si>
    <t>Depósito de combustible</t>
  </si>
  <si>
    <t>Costo de inversión</t>
  </si>
  <si>
    <t>Factor de incidencia</t>
  </si>
  <si>
    <t>Ratio Transversal</t>
  </si>
  <si>
    <t>Inversión</t>
  </si>
  <si>
    <t>Lado aire</t>
  </si>
  <si>
    <t>Lado tierra</t>
  </si>
  <si>
    <t>Contingencia</t>
  </si>
  <si>
    <t>Inversión total por paquete de trabajo</t>
  </si>
  <si>
    <t>Porcentaje de asignación</t>
  </si>
  <si>
    <t>MOU Memorandum of Understanding</t>
  </si>
  <si>
    <t>Design</t>
  </si>
  <si>
    <t xml:space="preserve">Early Works </t>
  </si>
  <si>
    <t>Site Management</t>
  </si>
  <si>
    <t>Factor de Incidencia</t>
  </si>
  <si>
    <t>Factor de Incidencia área exclusiva - inversión transversal</t>
  </si>
  <si>
    <t>Inversión asociada al terminal a tomar en cuenta en las áreas exclusivas</t>
  </si>
  <si>
    <t>Edificios y sistemas auxiliares</t>
  </si>
  <si>
    <t>Inversión lado tierra</t>
  </si>
  <si>
    <t>Ratio Transversal INT-INT</t>
  </si>
  <si>
    <t>Costo del lado tierra</t>
  </si>
  <si>
    <t>Factor incidencia</t>
  </si>
  <si>
    <t>Monto de inversión</t>
  </si>
  <si>
    <t>Área del Terminal</t>
  </si>
  <si>
    <t>Ratio Transversal DOM-DOM</t>
  </si>
  <si>
    <t>Ratio Terminal</t>
  </si>
  <si>
    <t>Unidad</t>
  </si>
  <si>
    <t>Ratio (USD/m2)</t>
  </si>
  <si>
    <t>Monto (USD)</t>
  </si>
  <si>
    <t>Edificio Terminal</t>
  </si>
  <si>
    <t>Ascensores</t>
  </si>
  <si>
    <t>unidades</t>
  </si>
  <si>
    <t>Escaleras mecánicas</t>
  </si>
  <si>
    <t>Control de tarjeta de embarque</t>
  </si>
  <si>
    <t>Equipamiento de seguridad</t>
  </si>
  <si>
    <t>Inversiones exclusivas INT-INT</t>
  </si>
  <si>
    <t>Infraestructura</t>
  </si>
  <si>
    <t>Equipamiento</t>
  </si>
  <si>
    <t>inversiones exclusivas INT-INT</t>
  </si>
  <si>
    <t>Edificio Terminal-infraestructura</t>
  </si>
  <si>
    <t>Edificio Terminal-Equipamiento</t>
  </si>
  <si>
    <t>Nivel</t>
  </si>
  <si>
    <t xml:space="preserve">Áreas de conexión del terminal con PLBs - Tipo 1 </t>
  </si>
  <si>
    <t xml:space="preserve">Áreas de conexión del terminal con PLBs - Tipo 2 </t>
  </si>
  <si>
    <t xml:space="preserve">Áreas de conexión del terminal con PLBs - Tipo 1 y 2 </t>
  </si>
  <si>
    <t>Sala embarque</t>
  </si>
  <si>
    <t>Circulación 1</t>
  </si>
  <si>
    <t>Circulación 2</t>
  </si>
  <si>
    <t>Circulación 3</t>
  </si>
  <si>
    <t>Circulación 4</t>
  </si>
  <si>
    <t>P10 - Procesador</t>
  </si>
  <si>
    <t>P10 – Dique Swing</t>
  </si>
  <si>
    <t>P20 - Procesador</t>
  </si>
  <si>
    <t>P20 - Dique int</t>
  </si>
  <si>
    <t>P20 – Dique Swing-Parte 1 y 2</t>
  </si>
  <si>
    <t>P30 - Procesador</t>
  </si>
  <si>
    <t>P30- Dique Dom</t>
  </si>
  <si>
    <t>P30- Dique Int</t>
  </si>
  <si>
    <t xml:space="preserve">P30 – Dique Swing-Parte 1 </t>
  </si>
  <si>
    <t>P30 – Dique Swing-Parte 2</t>
  </si>
  <si>
    <t xml:space="preserve">P40 – Dique Swing-Parte 1 </t>
  </si>
  <si>
    <t>P40 – Dique Swing-Parte 2</t>
  </si>
  <si>
    <t>Int llegadas</t>
  </si>
  <si>
    <t>Dom llegadas</t>
  </si>
  <si>
    <t>Int salidas</t>
  </si>
  <si>
    <t>Dom salidas</t>
  </si>
  <si>
    <t>INT-
INT</t>
  </si>
  <si>
    <t>Cantidad 
(m2)</t>
  </si>
  <si>
    <t>Circulación 1 - Procesador</t>
  </si>
  <si>
    <t>X</t>
  </si>
  <si>
    <t>Circulación 2 - Procesador</t>
  </si>
  <si>
    <t>Circulación 3 - Procesador</t>
  </si>
  <si>
    <t>Circulación 4 - Procesador</t>
  </si>
  <si>
    <t>Sala de Embarque - P10 - Dique Swing</t>
  </si>
  <si>
    <t>Circulación 1 - P10 - Dique Swing</t>
  </si>
  <si>
    <t>Circulación 1 - P20 - Procesador</t>
  </si>
  <si>
    <t>Circulación 2 - P20 - Procesador</t>
  </si>
  <si>
    <t>Circulación 1 - P20 - Dique Internacional</t>
  </si>
  <si>
    <t>Áreas conexión Terminal con PLBs tipo 1 - P20 - Dique Internacional</t>
  </si>
  <si>
    <t>Áreas conexión Terminal con PLBs tipo 2 - P20 - Dique Internacional</t>
  </si>
  <si>
    <t>P20 – Dique Swing</t>
  </si>
  <si>
    <t>Circulación 1 - P20 - Dique Swing</t>
  </si>
  <si>
    <t>Áreas conexión Terminal con PLBs tipo 1 - P20 - Dique Swing</t>
  </si>
  <si>
    <t>Áreas conexión Terminal con PLBs tipo 2 - P20 - Dique Swing</t>
  </si>
  <si>
    <t>Circulación 1 - P30 - Procesador</t>
  </si>
  <si>
    <t>Circulación 2 - P30 - Procesador</t>
  </si>
  <si>
    <t>Circulación 3 - P30 - Procesador</t>
  </si>
  <si>
    <t>Sala de Embarque - P30 - Dique Doméstico</t>
  </si>
  <si>
    <t>Circulación 1 - P30 - Dique Doméstico</t>
  </si>
  <si>
    <t>Áreas conexión Terminal con PLBs tipo 1 y 2 - P30 - Dique Doméstico</t>
  </si>
  <si>
    <t>Sala de Embarque - P30 - Dique Internacional</t>
  </si>
  <si>
    <t>Circulación 1 - P30 - Dique Internacional</t>
  </si>
  <si>
    <t xml:space="preserve">P30 – Dique Swing-Parte  </t>
  </si>
  <si>
    <t>Sala de Embarque - P30 - Dique Swing</t>
  </si>
  <si>
    <t>Circulación 1 - P30 - Dique Swing</t>
  </si>
  <si>
    <t>Circulación 2 - P30 - Dique Swing</t>
  </si>
  <si>
    <t xml:space="preserve">P40 – Dique Swing-Parte </t>
  </si>
  <si>
    <t>Circulación 1 - P40 - Dique Swing</t>
  </si>
  <si>
    <t>Nivel - Asignación % pasajeros INT-INT</t>
  </si>
  <si>
    <t>Promedio</t>
  </si>
  <si>
    <t>Nivel - Asignación % pasajeros DOM-DOM</t>
  </si>
  <si>
    <t>Áreas Comunes</t>
  </si>
  <si>
    <t>Ratio Total</t>
  </si>
  <si>
    <t>Equipos</t>
  </si>
  <si>
    <t>inversiones comunes INT-INT</t>
  </si>
  <si>
    <t>inversiones comunes DOM-DOM</t>
  </si>
  <si>
    <t>Project Management Office (PMO)</t>
  </si>
  <si>
    <t xml:space="preserve">Corporate &amp; Others </t>
  </si>
  <si>
    <t>Master Planning</t>
  </si>
  <si>
    <t>Capex directo</t>
  </si>
  <si>
    <t>Inversión terminal</t>
  </si>
  <si>
    <t>Capex directo asociado al terminal</t>
  </si>
  <si>
    <t>Incidencia del capex directo</t>
  </si>
  <si>
    <t>Incidencia Capex Directo</t>
  </si>
  <si>
    <t>inversiones exclusivas DOM-DOM</t>
  </si>
  <si>
    <t>Depreciación Total INT-INT</t>
  </si>
  <si>
    <t>Plan de Inversiones</t>
  </si>
  <si>
    <t>Año</t>
  </si>
  <si>
    <t>Ingresos Brutos Totales</t>
  </si>
  <si>
    <t>Retribución del Estado</t>
  </si>
  <si>
    <t>Aporte por Regulación</t>
  </si>
  <si>
    <t>Ingresos netos</t>
  </si>
  <si>
    <t>Costo Directo</t>
  </si>
  <si>
    <t>Costo No Imputable</t>
  </si>
  <si>
    <t>Costo Indirecto</t>
  </si>
  <si>
    <t>Total costos de operación</t>
  </si>
  <si>
    <t>Net IGV</t>
  </si>
  <si>
    <t>Pago de IGV</t>
  </si>
  <si>
    <t>Pago de IR</t>
  </si>
  <si>
    <t>Flujo de Caja Operativo</t>
  </si>
  <si>
    <t>WACC</t>
  </si>
  <si>
    <t>VAN</t>
  </si>
  <si>
    <t>Base de activos</t>
  </si>
  <si>
    <t>Valor residual</t>
  </si>
  <si>
    <t>Flujo de Caja Económico</t>
  </si>
  <si>
    <t>PAGO DE IGV</t>
  </si>
  <si>
    <t>Crédito Fiscal Inicial</t>
  </si>
  <si>
    <t xml:space="preserve">Net IGV </t>
  </si>
  <si>
    <t>IGV Ingresos</t>
  </si>
  <si>
    <t>IGV Egresos - OPEX</t>
  </si>
  <si>
    <t>IGV Egresos - CAPEX</t>
  </si>
  <si>
    <t>Crédito Fiscal Final</t>
  </si>
  <si>
    <t>Pago IGV</t>
  </si>
  <si>
    <t>Ingresos Brutos</t>
  </si>
  <si>
    <t>Gastos Operativos + Retribución</t>
  </si>
  <si>
    <t>Depreciación y Amortización</t>
  </si>
  <si>
    <t>Utilidad Neta</t>
  </si>
  <si>
    <t>GERENCIA DE REGULACIÓN Y ESTUDIOS ECONÓMICOS</t>
  </si>
  <si>
    <t>Contenido</t>
  </si>
  <si>
    <t>Propuesta del Ositrán</t>
  </si>
  <si>
    <t>I. Flujo de Caja descontado</t>
  </si>
  <si>
    <t>II. Demanda del servicio</t>
  </si>
  <si>
    <t>a. Proyección de demanda</t>
  </si>
  <si>
    <t>III. Egresos del servicio</t>
  </si>
  <si>
    <t>a. Costos de operación y mantenimiento - OPEX</t>
  </si>
  <si>
    <t>b. Base de capital e inversiones - CAPEX</t>
  </si>
  <si>
    <t>IV. Tasa de descuento</t>
  </si>
  <si>
    <t>a. Costo Promedio Ponderado del Capital (WACC) al 2024</t>
  </si>
  <si>
    <t>b. Estimación del beta de la empresa</t>
  </si>
  <si>
    <t>c. Información referida a la deuda de la empresa</t>
  </si>
  <si>
    <t>V. Información complementaria</t>
  </si>
  <si>
    <t>a. Flujo DOM-DOM</t>
  </si>
  <si>
    <t>b. Flujo INT-INT</t>
  </si>
  <si>
    <t>ÍNDICE</t>
  </si>
  <si>
    <t>Unidad de cobro</t>
  </si>
  <si>
    <t>Propuesta</t>
  </si>
  <si>
    <t>LAP</t>
  </si>
  <si>
    <t>Ositrán</t>
  </si>
  <si>
    <t>-</t>
  </si>
  <si>
    <t>USD/Pasajero</t>
  </si>
  <si>
    <t>TUUA</t>
  </si>
  <si>
    <t>Propuesta: TUUA de Transferencia en el AIJC</t>
  </si>
  <si>
    <t>0. Flujo de Caja: TUUA de Transferencia DOM-DOM en el AIJC</t>
  </si>
  <si>
    <t>Montos expresados en USD</t>
  </si>
  <si>
    <t>TUUA de Transferencia DOM-DOM</t>
  </si>
  <si>
    <t>N° de pasajeros de transferencia DOM-DOM</t>
  </si>
  <si>
    <t>0. Flujo de Caja: TUUA de Transferencia INT-INT en el AIJC</t>
  </si>
  <si>
    <t>N° de pasajeros de transferencia INT-INT</t>
  </si>
  <si>
    <t>TUUA de Transferencia INT-INT</t>
  </si>
  <si>
    <t>4. Tasa de descuento (WACC)</t>
  </si>
  <si>
    <t>1. Cálculo del WACC del año base (2024)</t>
  </si>
  <si>
    <t>Parámetro</t>
  </si>
  <si>
    <t>Valor</t>
  </si>
  <si>
    <t>Notas</t>
  </si>
  <si>
    <t>Fuente</t>
  </si>
  <si>
    <t>Tasa libre de riesgo</t>
  </si>
  <si>
    <t>T-bonds EE.UU., promedio 1928-2024</t>
  </si>
  <si>
    <t>Damodaran</t>
  </si>
  <si>
    <t>Prima de riesgo (ERP)</t>
  </si>
  <si>
    <t>Rendimiento S&amp;P 500, promedio 1928-2024</t>
  </si>
  <si>
    <t>Beta Desapalancada</t>
  </si>
  <si>
    <t>Benchmarking de operadores aeroportuarios</t>
  </si>
  <si>
    <t>Bloomberg</t>
  </si>
  <si>
    <t>Ratio D/E</t>
  </si>
  <si>
    <t>Información financiera de LAP, 2024</t>
  </si>
  <si>
    <t>Beta apalancado</t>
  </si>
  <si>
    <t>Cálculo</t>
  </si>
  <si>
    <t>Riesgo país</t>
  </si>
  <si>
    <t>Índice EMBIG-Perú. Promedio ene/23 - dic/24</t>
  </si>
  <si>
    <t>BCRP</t>
  </si>
  <si>
    <t>Costo de capital propio (USD)</t>
  </si>
  <si>
    <t>% Capital propio</t>
  </si>
  <si>
    <t>Impuesto (Tasa efectiva)</t>
  </si>
  <si>
    <t>Costo de deuda</t>
  </si>
  <si>
    <t>Estimado a partir de la deuda vigente de LAP</t>
  </si>
  <si>
    <t>% Deuda</t>
  </si>
  <si>
    <t>WACC (USD)</t>
  </si>
  <si>
    <t>4.1. Estimación del beta de la empresa</t>
  </si>
  <si>
    <t>1. Caracteristicas de la muestra</t>
  </si>
  <si>
    <t>Rango de muestra:</t>
  </si>
  <si>
    <t>Inicio</t>
  </si>
  <si>
    <t>Final</t>
  </si>
  <si>
    <t>Bolsa:</t>
  </si>
  <si>
    <t>Local</t>
  </si>
  <si>
    <t>Moneda:</t>
  </si>
  <si>
    <t>Periodicidad:</t>
  </si>
  <si>
    <t>Semanal</t>
  </si>
  <si>
    <t>2. Muestra de betas</t>
  </si>
  <si>
    <t>Operador aeroportuario</t>
  </si>
  <si>
    <t>País</t>
  </si>
  <si>
    <t>Símbolo</t>
  </si>
  <si>
    <t>Bolsa de referencia</t>
  </si>
  <si>
    <t>Impuesto efectivo</t>
  </si>
  <si>
    <t>Beta desapalancado</t>
  </si>
  <si>
    <t>Flughafen Wien AG</t>
  </si>
  <si>
    <t>Austria</t>
  </si>
  <si>
    <t>FLU AV</t>
  </si>
  <si>
    <t>ATX Index</t>
  </si>
  <si>
    <t>Grupo Aeroportuario del Pacifico</t>
  </si>
  <si>
    <t>México</t>
  </si>
  <si>
    <t>GAPB MM</t>
  </si>
  <si>
    <t>MEXBOL Index</t>
  </si>
  <si>
    <t>Kobenhavns Lufthavne</t>
  </si>
  <si>
    <t>Dinamarca</t>
  </si>
  <si>
    <t>KBHL DC</t>
  </si>
  <si>
    <t>OMXC25 Index</t>
  </si>
  <si>
    <t>Grupo aeroportuario del Sureste</t>
  </si>
  <si>
    <t>ASURB MM</t>
  </si>
  <si>
    <t>Grupo Aeroportuario del Centro Norte SAB</t>
  </si>
  <si>
    <t>OMAB MM</t>
  </si>
  <si>
    <t>Malta Internacional Airport</t>
  </si>
  <si>
    <t>Malta</t>
  </si>
  <si>
    <t>MIA MV</t>
  </si>
  <si>
    <t>MALTEX Index</t>
  </si>
  <si>
    <t>Aeroporto di Bologna</t>
  </si>
  <si>
    <t>Italia</t>
  </si>
  <si>
    <t>ADB IM</t>
  </si>
  <si>
    <t>FTSEMIB Index</t>
  </si>
  <si>
    <t>Auckland Internacional</t>
  </si>
  <si>
    <t>Nueva Zelanda</t>
  </si>
  <si>
    <t>AIA NZ</t>
  </si>
  <si>
    <t>NZSE Index</t>
  </si>
  <si>
    <t>Promedio aritmético</t>
  </si>
  <si>
    <t>4.2 Información referida a la deuda de la empresa</t>
  </si>
  <si>
    <t>1. Determinación del apalancamiento</t>
  </si>
  <si>
    <t>Concepto</t>
  </si>
  <si>
    <t>Descripción</t>
  </si>
  <si>
    <t>Monto</t>
  </si>
  <si>
    <t>D/(D+E)</t>
  </si>
  <si>
    <t>E/(D+E)</t>
  </si>
  <si>
    <t>2. Determinación del costo de deuda</t>
  </si>
  <si>
    <t>a) Flujos trimestrales de la deuda contraída por LAP (millones de USD):</t>
  </si>
  <si>
    <t>Fecha</t>
  </si>
  <si>
    <t>Miniperm</t>
  </si>
  <si>
    <t>Bridge Loan</t>
  </si>
  <si>
    <t>Desembolsos</t>
  </si>
  <si>
    <t>Amortización</t>
  </si>
  <si>
    <t>Intereses</t>
  </si>
  <si>
    <t>Comisión de compromiso</t>
  </si>
  <si>
    <t>Costo de emisión de la deuda</t>
  </si>
  <si>
    <t>b) Flujo neto de la deuda vigente de LAP (millones de USD):</t>
  </si>
  <si>
    <t>Desembolso de deuda (principal)</t>
  </si>
  <si>
    <t>Pago de intereses</t>
  </si>
  <si>
    <t>Costo de emision de deuda</t>
  </si>
  <si>
    <t>Flujo neto de la deuda</t>
  </si>
  <si>
    <t>Valor Presente Neto</t>
  </si>
  <si>
    <t>c) Cálculo del costo de deuda de LAP:</t>
  </si>
  <si>
    <t xml:space="preserve">Costo de deuda </t>
  </si>
  <si>
    <t>Trimestral</t>
  </si>
  <si>
    <t>Anual</t>
  </si>
  <si>
    <t>5. BD Índices y variables macroeconómicas empleadas</t>
  </si>
  <si>
    <t>A. Índices bursátiles y financieros</t>
  </si>
  <si>
    <t>a) Tasa libre de riesgo y rendimiento de mercado - Fuente: Damodaran</t>
  </si>
  <si>
    <t>Tasa Libre de Riesgo</t>
  </si>
  <si>
    <t>S&amp;P 500</t>
  </si>
  <si>
    <t>Prom. 1928-2024</t>
  </si>
  <si>
    <t>Tomado de: https://pages.stern.nyu.edu/~adamodar/pc/datasets/histretSP.xls</t>
  </si>
  <si>
    <t>b) Riesgo País, Perú - Fuente: BCRP</t>
  </si>
  <si>
    <t>Mes/Año</t>
  </si>
  <si>
    <t>EMBIG-Perú</t>
  </si>
  <si>
    <t>Prom. 01/23 - 12/24</t>
  </si>
  <si>
    <t>Tomado de: https://estadisticas.bcrp.gob.pe/estadisticas/series/excelmensuales/index/codigos/%27PN01129XM%27/grupos/0/anio1/2023/anio2/2025/mes1/1/mes2/1/dia1/0/dia2/0</t>
  </si>
  <si>
    <t>1. PROYECCIÓN DE DEMANDA</t>
  </si>
  <si>
    <t>TOTAL</t>
  </si>
  <si>
    <t>Tipo de tráfico</t>
  </si>
  <si>
    <t>A. Proyección de tráfico total de pasjeros en el AIJC, por tipo</t>
  </si>
  <si>
    <t>2. COSTOS DE OPERACIÓN Y MANTENIMIENTO</t>
  </si>
  <si>
    <t>Días de Operación - Nuevo Terminal</t>
  </si>
  <si>
    <t>Días del Año Calendario</t>
  </si>
  <si>
    <t>B. Proyección de tráfico de pasjeros de Transferencia en el AIJC, ajustado por días de operación</t>
  </si>
  <si>
    <t>OPEX</t>
  </si>
  <si>
    <t>B. Proyección del OPEX según partida de gasto, 2025-2030</t>
  </si>
  <si>
    <t>A. Proyección de OPEX Total, 2025 - 2030</t>
  </si>
  <si>
    <t>B. Proyección de OPEX Total, 2025 - 2030, ajustado por días de operación</t>
  </si>
  <si>
    <t>5.3. Variación del OPEX 2023 vs. 2025</t>
  </si>
  <si>
    <t>Ratio de Asignación de áreas</t>
  </si>
  <si>
    <t>A. Elasticidad pasajeros-OPEX proyectada en el AIJC</t>
  </si>
  <si>
    <t>OPEX INT-INT</t>
  </si>
  <si>
    <t>OPEX DOM-DOM</t>
  </si>
  <si>
    <t>A. Ratios: Part% de pasajeros y Asignación de áreas en el AIJC, por tipo de transferencia</t>
  </si>
  <si>
    <t>2.1. Proyección de OPEX TUUA de Transferencia, por partida de costo</t>
  </si>
  <si>
    <t>2.2. Proyección de OPEX Total del AIJC, por partida de costo</t>
  </si>
  <si>
    <t>Ratio de asignación de áreas</t>
  </si>
  <si>
    <t>Participación de pasajeros</t>
  </si>
  <si>
    <t>B. Proyección del OPEX por tipo de Transferencia, según partida de gasto, 2025-2030</t>
  </si>
  <si>
    <t>Tipo de Transferencia</t>
  </si>
  <si>
    <t>Proyección de OPEX Total del AIJC, 2025-2030</t>
  </si>
  <si>
    <t>Proyección de OPEX TUUA de Transferencia</t>
  </si>
  <si>
    <t>Asignación de áreas, por tipo de transferencia</t>
  </si>
  <si>
    <t>Variación del OPEX 2023 vs. 2025</t>
  </si>
  <si>
    <t>3. BASE DE CAPITAL E INVERSIONES</t>
  </si>
  <si>
    <t>A. Plan de Inversiones de LAP</t>
  </si>
  <si>
    <t>1. Inversiones, Valor de activos</t>
  </si>
  <si>
    <t>Tipo de Activo</t>
  </si>
  <si>
    <t>Total Activo, Inversiones</t>
  </si>
  <si>
    <t>Total Activo Acumulado, Inversiones</t>
  </si>
  <si>
    <t>2. Inversiones, Depreciaciones</t>
  </si>
  <si>
    <t>Vida Útil</t>
  </si>
  <si>
    <t>Inversión Inicial</t>
  </si>
  <si>
    <t>Total Depreciación, Inversiones INT-INT</t>
  </si>
  <si>
    <t>Total Depreciación Acumulada, Inversiones INT-INT</t>
  </si>
  <si>
    <t>Total Depreciación, Inversiones DOM-DOM</t>
  </si>
  <si>
    <t>Total Depreciación Acumulada, Inversiones DOM-DOM</t>
  </si>
  <si>
    <t>C. Proyección de CAPEX, en USD</t>
  </si>
  <si>
    <t>Valor de activos, Base de capital</t>
  </si>
  <si>
    <t>Valor de activos, Inversiones</t>
  </si>
  <si>
    <t>Depreciación, Base de capital</t>
  </si>
  <si>
    <t>Depreciación, Inversiones</t>
  </si>
  <si>
    <t>CAPEX Acumulado</t>
  </si>
  <si>
    <t>Depreciación Acumulada</t>
  </si>
  <si>
    <t>Base de capital</t>
  </si>
  <si>
    <t>Valor de recupero</t>
  </si>
  <si>
    <t>CAPEX Total INT-INT</t>
  </si>
  <si>
    <t>CAPEX Neto INT-INT</t>
  </si>
  <si>
    <t>B. Incidencia del CAPEX directo</t>
  </si>
  <si>
    <t>A. CAPEX Indirecto Total</t>
  </si>
  <si>
    <t>Capex Indirecto Total (USD)</t>
  </si>
  <si>
    <t>C. CAPEX Indirecto asignado a TUUA de Transferencia</t>
  </si>
  <si>
    <t>CAPEX Indirecto asignado a TUUA de Transferencia (USD)</t>
  </si>
  <si>
    <t>% Avance del proyecto</t>
  </si>
  <si>
    <t>3.3. CAPEX INDIRECTO ASIGNADO A TUUA DE TRANSFERENCIA</t>
  </si>
  <si>
    <t>CAPEX Indirecto asignado a Terminal (USD)</t>
  </si>
  <si>
    <t>5.2. Asignación de áreas del Terminal, por tipo de transferencia</t>
  </si>
  <si>
    <t>Cantidad</t>
  </si>
  <si>
    <t>c. CAPEX - Exclusivas</t>
  </si>
  <si>
    <t>d. CAPEX - Comunes</t>
  </si>
  <si>
    <t>e. CAPEX - Indirecto</t>
  </si>
  <si>
    <t>Índices empleados para el WACC</t>
  </si>
  <si>
    <t>(USD/m2)</t>
  </si>
  <si>
    <t>3.1.2. CAPEX - Exclusivas</t>
  </si>
  <si>
    <t>3.1.1. CAPEX - Exclusivas</t>
  </si>
  <si>
    <t>A.2 Ratio General Áreas Exclusivas</t>
  </si>
  <si>
    <t>B.1. Exclusiones</t>
  </si>
  <si>
    <t>C.1. Ratio Terminal Àreas Exclusivas</t>
  </si>
  <si>
    <t>A.3. Ratio Transversal Áreas Exclusivas</t>
  </si>
  <si>
    <t>A.1. Ratio Terminal Áreas Exclusivas</t>
  </si>
  <si>
    <t>Inversiones Transversales</t>
  </si>
  <si>
    <t>B.3. Factor de Incidencia Áreas Exclusivas - Inversión Transversal</t>
  </si>
  <si>
    <t>C.3. Ratio Transversal Áreas Exclusivas - INT-INT</t>
  </si>
  <si>
    <t>D.3. Ratio Transversal Áreas Exclusivas - DOM-DOM</t>
  </si>
  <si>
    <t>A.1. Resumen Ratio Terminal Áreas Exclusivas</t>
  </si>
  <si>
    <t>B.1 Inversiones Totales Áreas Exclusivas INT-INT</t>
  </si>
  <si>
    <t>C.1 Inversiones Totales Áreas Exclusivas DOM-DOM</t>
  </si>
  <si>
    <t>Inversiones exclusivas DOM-DOM</t>
  </si>
  <si>
    <t>D.1. CAPEX Áreas Exclusivas asignado a TUUA de Transferencia</t>
  </si>
  <si>
    <t>Inversión Infraestructura (USD)</t>
  </si>
  <si>
    <t>Inversión Equipos (USD)</t>
  </si>
  <si>
    <t>Inversión Infraestructura %</t>
  </si>
  <si>
    <t>Inversión Equipos %</t>
  </si>
  <si>
    <t>E.1. CAPEX Áreas Exclusivas asignado a TUUA de Transferencia INT-INT</t>
  </si>
  <si>
    <t>F.1. CAPEX Áreas Exclusivas asignado a TUUA de Transferencia DOM-DOM</t>
  </si>
  <si>
    <t>A.1 Áreas Comunes (m2)</t>
  </si>
  <si>
    <t>A.2 Nivel de Asignación Pasajeros %</t>
  </si>
  <si>
    <t>A.3 Áreas Comunes INT-INT y DOM-DOM</t>
  </si>
  <si>
    <t>3.2.1. CAPEX - Comunes</t>
  </si>
  <si>
    <t>3.2.2. CAPEX - Comunes</t>
  </si>
  <si>
    <t>A.1. Ratio Terminal Áreas Comunes</t>
  </si>
  <si>
    <t>C.1. Ratio Terminal Àreas Comunes</t>
  </si>
  <si>
    <t>Ratio Terminal áreas comunes</t>
  </si>
  <si>
    <t>A.2 Ratio General Áreas Comunes</t>
  </si>
  <si>
    <t>A.3. Ratio Transversal Áreas Comunes</t>
  </si>
  <si>
    <t>B.3. Factor de Incidencia Áreas Comunes - Inversión Transversal</t>
  </si>
  <si>
    <t>Factor de Incidencia áreas comunes - inversión transversal</t>
  </si>
  <si>
    <t>C.3. Ratio Transversal Áreas Comunes - INT-INT</t>
  </si>
  <si>
    <t>D.3. Ratio Transversal Áreas Comunes - DOM-DOM</t>
  </si>
  <si>
    <t>A.1. Resumen Ratio Terminal Áreas Comunes</t>
  </si>
  <si>
    <t>3.2.3. CAPEX - Comunes</t>
  </si>
  <si>
    <t>B.1 Inversiones Totales Áreas Comunes</t>
  </si>
  <si>
    <t>Áreas Comunes INT-INT</t>
  </si>
  <si>
    <t>Áreas Comunes DOM-DOM</t>
  </si>
  <si>
    <t>Área Comun</t>
  </si>
  <si>
    <t>Inversiones Comunes</t>
  </si>
  <si>
    <t>C.1. CAPEX Áreas Comunes asignado a TUUA de Transferencia</t>
  </si>
  <si>
    <t>D.1. CAPEX Áreas Comunes asignado a TUUA de Transferencia INT-INT</t>
  </si>
  <si>
    <t>E.1. CAPEX Áreas Comunes asignado a TUUA de Transferencia DOM-DOM</t>
  </si>
  <si>
    <t>c) Inflación Estados Unidos. Fuente: World Economic Outlook, Octubre 2024 - International Monetary Fund</t>
  </si>
  <si>
    <t>2030*</t>
  </si>
  <si>
    <t>CPI</t>
  </si>
  <si>
    <t>Var. %</t>
  </si>
  <si>
    <t>Tomado de: https://www.imf.org/en/Publications/WEO/weo-database/2024/October/weo-report?c=111,&amp;s=PCPI,&amp;sy=2022&amp;ey=2029&amp;ssm=0&amp;scsm=1&amp;scc=0&amp;ssd=1&amp;ssc=0&amp;sic=0&amp;sort=country&amp;ds=.&amp;br=1</t>
  </si>
  <si>
    <t>*Dado que las proyecciones son solo hasta el 2029, en el 2030 se considera la misma inflación que en el 2029.</t>
  </si>
  <si>
    <t>Inflación</t>
  </si>
  <si>
    <t>Inflación proyectada de USA - Promedio 2025-2030 (FMI)</t>
  </si>
  <si>
    <t>WACC real (USD)</t>
  </si>
  <si>
    <t>Deflactor opex 2025</t>
  </si>
  <si>
    <t>Deflactor capex</t>
  </si>
  <si>
    <t xml:space="preserve">Inflación </t>
  </si>
  <si>
    <t>Índice de precios febrero 2024</t>
  </si>
  <si>
    <t>Índice de precios febrero 2025</t>
  </si>
  <si>
    <t xml:space="preserve">d) Inflación de los Estadios Unidos a febrero de 2025 </t>
  </si>
  <si>
    <t>Tomado del U.S. Bureau of Labor Statistics</t>
  </si>
  <si>
    <t>Porcentaje reconocimiento</t>
  </si>
  <si>
    <t>MODELO ECONÓMICO DE LA TUUA DE TRANSFERENCIA EN EL AIJC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</si>
</sst>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%"/>
    <numFmt numFmtId="167" formatCode="0.000"/>
    <numFmt numFmtId="168" formatCode="0.000%"/>
    <numFmt numFmtId="169" formatCode="#,##0.000"/>
    <numFmt numFmtId="170" formatCode="d/m/yy;@"/>
    <numFmt numFmtId="171" formatCode="#,##0;\-#,##0;\-"/>
    <numFmt numFmtId="172" formatCode="#,##0.0"/>
    <numFmt numFmtId="173" formatCode="0.0"/>
    <numFmt numFmtId="174" formatCode="0.0000"/>
  </numFmts>
  <fonts count="37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theme="0"/>
      <name val="Arial"/>
      <family val="2"/>
    </font>
    <font>
      <b/>
      <sz val="10"/>
      <color theme="1" tint="0.249977111117893"/>
      <name val="Arial"/>
      <family val="2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b/>
      <u/>
      <sz val="10"/>
      <color rgb="FF00B0F0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theme="1" tint="0.249977111117893"/>
      <name val="Arial"/>
      <family val="2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b/>
      <sz val="8"/>
      <color theme="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u/>
      <sz val="10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0"/>
      <color rgb="FFFF0000"/>
      <name val="Arial"/>
      <family val="2"/>
    </font>
    <font>
      <i/>
      <sz val="10"/>
      <color theme="0" tint="-4.9989318521683403E-2"/>
      <name val="Arial"/>
      <family val="2"/>
    </font>
    <font>
      <sz val="10"/>
      <color theme="2" tint="-9.9978637043366805E-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/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dashed">
        <color rgb="FF00B0F0"/>
      </left>
      <right style="dashed">
        <color rgb="FF00B0F0"/>
      </right>
      <top/>
      <bottom/>
      <diagonal/>
    </border>
    <border>
      <left style="dashed">
        <color rgb="FF00B0F0"/>
      </left>
      <right/>
      <top/>
      <bottom style="dashed">
        <color rgb="FF00B0F0"/>
      </bottom>
      <diagonal/>
    </border>
    <border>
      <left/>
      <right/>
      <top/>
      <bottom style="dashed">
        <color rgb="FF00B0F0"/>
      </bottom>
      <diagonal/>
    </border>
    <border>
      <left/>
      <right style="dashed">
        <color rgb="FF00B0F0"/>
      </right>
      <top/>
      <bottom style="dashed">
        <color rgb="FF00B0F0"/>
      </bottom>
      <diagonal/>
    </border>
    <border>
      <left style="dashed">
        <color rgb="FF00B0F0"/>
      </left>
      <right/>
      <top/>
      <bottom/>
      <diagonal/>
    </border>
    <border>
      <left/>
      <right style="dashed">
        <color rgb="FF00B0F0"/>
      </right>
      <top/>
      <bottom/>
      <diagonal/>
    </border>
    <border>
      <left/>
      <right/>
      <top/>
      <bottom style="thin">
        <color rgb="FF00B0F0"/>
      </bottom>
      <diagonal/>
    </border>
    <border>
      <left style="dashed">
        <color rgb="FF00B0F0"/>
      </left>
      <right style="dashed">
        <color rgb="FF00B0F0"/>
      </right>
      <top/>
      <bottom style="thin">
        <color rgb="FF00B0F0"/>
      </bottom>
      <diagonal/>
    </border>
    <border>
      <left style="dashed">
        <color rgb="FF00B0F0"/>
      </left>
      <right/>
      <top/>
      <bottom style="thin">
        <color rgb="FF00B0F0"/>
      </bottom>
      <diagonal/>
    </border>
    <border>
      <left/>
      <right style="dashed">
        <color rgb="FF00B0F0"/>
      </right>
      <top/>
      <bottom style="thin">
        <color rgb="FF00B0F0"/>
      </bottom>
      <diagonal/>
    </border>
    <border>
      <left/>
      <right/>
      <top style="dashed">
        <color rgb="FF00B0F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dashed">
        <color rgb="FF00B0F0"/>
      </top>
      <bottom style="dashed">
        <color rgb="FF00B0F0"/>
      </bottom>
      <diagonal/>
    </border>
    <border>
      <left/>
      <right/>
      <top style="dashed">
        <color rgb="FF00B0F0"/>
      </top>
      <bottom style="thin">
        <color rgb="FF00B0F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dashed">
        <color rgb="FF00B0F0"/>
      </right>
      <top style="thin">
        <color theme="0"/>
      </top>
      <bottom/>
      <diagonal/>
    </border>
    <border>
      <left style="dashed">
        <color rgb="FF00B0F0"/>
      </left>
      <right/>
      <top style="dashed">
        <color rgb="FF00B0F0"/>
      </top>
      <bottom style="thin">
        <color rgb="FF00B0F0"/>
      </bottom>
      <diagonal/>
    </border>
    <border>
      <left/>
      <right style="dashed">
        <color rgb="FF00B0F0"/>
      </right>
      <top style="dashed">
        <color rgb="FF00B0F0"/>
      </top>
      <bottom style="thin">
        <color rgb="FF00B0F0"/>
      </bottom>
      <diagonal/>
    </border>
    <border>
      <left style="dashed">
        <color rgb="FF00B0F0"/>
      </left>
      <right style="dashed">
        <color rgb="FF00B0F0"/>
      </right>
      <top/>
      <bottom style="dashed">
        <color rgb="FF00B0F0"/>
      </bottom>
      <diagonal/>
    </border>
    <border>
      <left style="dashed">
        <color rgb="FF00B0F0"/>
      </left>
      <right style="dashed">
        <color rgb="FF00B0F0"/>
      </right>
      <top/>
      <bottom style="thin">
        <color theme="0"/>
      </bottom>
      <diagonal/>
    </border>
    <border>
      <left style="dashed">
        <color rgb="FF00B0F0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40">
    <xf numFmtId="0" fontId="0" fillId="0" borderId="0" xfId="0"/>
    <xf numFmtId="0" fontId="3" fillId="0" borderId="0" xfId="0" applyFont="1"/>
    <xf numFmtId="43" fontId="3" fillId="0" borderId="0" xfId="1" applyFont="1"/>
    <xf numFmtId="165" fontId="3" fillId="0" borderId="0" xfId="1" applyNumberFormat="1" applyFont="1"/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/>
    <xf numFmtId="165" fontId="3" fillId="0" borderId="0" xfId="0" applyNumberFormat="1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1" applyNumberFormat="1" applyFont="1" applyFill="1" applyBorder="1"/>
    <xf numFmtId="164" fontId="3" fillId="0" borderId="0" xfId="1" applyNumberFormat="1" applyFont="1" applyBorder="1"/>
    <xf numFmtId="0" fontId="3" fillId="0" borderId="0" xfId="0" applyFont="1" applyAlignment="1">
      <alignment wrapText="1"/>
    </xf>
    <xf numFmtId="10" fontId="3" fillId="0" borderId="0" xfId="0" applyNumberFormat="1" applyFont="1"/>
    <xf numFmtId="0" fontId="4" fillId="0" borderId="0" xfId="0" applyFont="1" applyAlignment="1">
      <alignment horizontal="center" vertical="center" wrapText="1"/>
    </xf>
    <xf numFmtId="166" fontId="3" fillId="0" borderId="0" xfId="2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9" fillId="0" borderId="0" xfId="4" applyFont="1"/>
    <xf numFmtId="0" fontId="9" fillId="0" borderId="2" xfId="4" applyFont="1" applyBorder="1"/>
    <xf numFmtId="0" fontId="9" fillId="0" borderId="3" xfId="4" applyFont="1" applyBorder="1"/>
    <xf numFmtId="0" fontId="9" fillId="0" borderId="4" xfId="4" applyFont="1" applyBorder="1"/>
    <xf numFmtId="0" fontId="9" fillId="0" borderId="5" xfId="4" applyFont="1" applyBorder="1"/>
    <xf numFmtId="0" fontId="9" fillId="0" borderId="6" xfId="4" applyFont="1" applyBorder="1"/>
    <xf numFmtId="0" fontId="10" fillId="0" borderId="5" xfId="4" applyFont="1" applyBorder="1" applyAlignment="1">
      <alignment horizontal="center"/>
    </xf>
    <xf numFmtId="0" fontId="10" fillId="0" borderId="0" xfId="4" applyFont="1" applyAlignment="1">
      <alignment horizontal="center"/>
    </xf>
    <xf numFmtId="0" fontId="10" fillId="0" borderId="6" xfId="4" applyFont="1" applyBorder="1" applyAlignment="1">
      <alignment horizontal="center"/>
    </xf>
    <xf numFmtId="0" fontId="9" fillId="0" borderId="7" xfId="4" applyFont="1" applyBorder="1"/>
    <xf numFmtId="0" fontId="9" fillId="0" borderId="8" xfId="4" applyFont="1" applyBorder="1"/>
    <xf numFmtId="0" fontId="9" fillId="0" borderId="9" xfId="4" applyFont="1" applyBorder="1"/>
    <xf numFmtId="0" fontId="13" fillId="2" borderId="0" xfId="0" applyFont="1" applyFill="1" applyAlignment="1">
      <alignment horizontal="center" vertical="center"/>
    </xf>
    <xf numFmtId="0" fontId="1" fillId="3" borderId="0" xfId="0" applyFont="1" applyFill="1"/>
    <xf numFmtId="0" fontId="4" fillId="3" borderId="0" xfId="5" applyFont="1" applyFill="1"/>
    <xf numFmtId="0" fontId="1" fillId="3" borderId="0" xfId="5" applyFont="1" applyFill="1"/>
    <xf numFmtId="0" fontId="1" fillId="3" borderId="0" xfId="5" applyFont="1" applyFill="1" applyAlignment="1">
      <alignment horizontal="left" indent="1"/>
    </xf>
    <xf numFmtId="0" fontId="14" fillId="3" borderId="0" xfId="5" applyFont="1" applyFill="1"/>
    <xf numFmtId="0" fontId="16" fillId="0" borderId="0" xfId="0" applyFont="1"/>
    <xf numFmtId="0" fontId="1" fillId="0" borderId="0" xfId="0" applyFont="1"/>
    <xf numFmtId="0" fontId="17" fillId="0" borderId="10" xfId="5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8" fillId="0" borderId="0" xfId="0" applyFont="1"/>
    <xf numFmtId="166" fontId="1" fillId="0" borderId="0" xfId="2" applyNumberFormat="1" applyFont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17" xfId="0" applyFont="1" applyBorder="1" applyAlignment="1">
      <alignment horizontal="left" vertical="center" wrapText="1" indent="1"/>
    </xf>
    <xf numFmtId="0" fontId="19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4" fontId="3" fillId="0" borderId="0" xfId="1" applyNumberFormat="1" applyFont="1" applyBorder="1" applyAlignment="1"/>
    <xf numFmtId="3" fontId="3" fillId="0" borderId="0" xfId="1" applyNumberFormat="1" applyFont="1" applyBorder="1" applyAlignment="1"/>
    <xf numFmtId="10" fontId="3" fillId="0" borderId="0" xfId="2" applyNumberFormat="1" applyFont="1" applyAlignment="1">
      <alignment vertical="center"/>
    </xf>
    <xf numFmtId="168" fontId="3" fillId="0" borderId="0" xfId="2" applyNumberFormat="1" applyFont="1" applyAlignment="1">
      <alignment vertical="center"/>
    </xf>
    <xf numFmtId="165" fontId="7" fillId="2" borderId="0" xfId="1" applyNumberFormat="1" applyFont="1" applyFill="1" applyBorder="1"/>
    <xf numFmtId="3" fontId="7" fillId="2" borderId="0" xfId="1" applyNumberFormat="1" applyFont="1" applyFill="1" applyBorder="1" applyAlignment="1"/>
    <xf numFmtId="10" fontId="7" fillId="2" borderId="0" xfId="2" applyNumberFormat="1" applyFont="1" applyFill="1" applyBorder="1"/>
    <xf numFmtId="4" fontId="3" fillId="0" borderId="0" xfId="0" applyNumberFormat="1" applyFont="1"/>
    <xf numFmtId="0" fontId="20" fillId="0" borderId="0" xfId="0" applyFont="1" applyAlignment="1">
      <alignment horizontal="left" indent="1"/>
    </xf>
    <xf numFmtId="0" fontId="20" fillId="3" borderId="0" xfId="0" applyFont="1" applyFill="1" applyAlignment="1">
      <alignment horizontal="left" indent="1"/>
    </xf>
    <xf numFmtId="0" fontId="7" fillId="2" borderId="21" xfId="0" applyFont="1" applyFill="1" applyBorder="1"/>
    <xf numFmtId="10" fontId="7" fillId="2" borderId="0" xfId="0" applyNumberFormat="1" applyFont="1" applyFill="1" applyAlignment="1">
      <alignment horizontal="center"/>
    </xf>
    <xf numFmtId="0" fontId="20" fillId="0" borderId="0" xfId="0" applyFont="1"/>
    <xf numFmtId="0" fontId="20" fillId="3" borderId="0" xfId="0" applyFont="1" applyFill="1"/>
    <xf numFmtId="4" fontId="1" fillId="0" borderId="0" xfId="0" applyNumberFormat="1" applyFont="1"/>
    <xf numFmtId="3" fontId="7" fillId="2" borderId="0" xfId="0" applyNumberFormat="1" applyFont="1" applyFill="1"/>
    <xf numFmtId="3" fontId="1" fillId="0" borderId="0" xfId="0" applyNumberFormat="1" applyFont="1"/>
    <xf numFmtId="3" fontId="20" fillId="0" borderId="0" xfId="0" applyNumberFormat="1" applyFont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1" fillId="3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3" fontId="7" fillId="2" borderId="21" xfId="0" applyNumberFormat="1" applyFont="1" applyFill="1" applyBorder="1" applyAlignment="1">
      <alignment horizontal="right"/>
    </xf>
    <xf numFmtId="0" fontId="21" fillId="3" borderId="0" xfId="0" applyFont="1" applyFill="1" applyAlignment="1">
      <alignment horizontal="left" indent="1"/>
    </xf>
    <xf numFmtId="10" fontId="21" fillId="3" borderId="0" xfId="0" applyNumberFormat="1" applyFont="1" applyFill="1" applyAlignment="1">
      <alignment horizontal="right" indent="1"/>
    </xf>
    <xf numFmtId="0" fontId="21" fillId="3" borderId="0" xfId="0" applyFont="1" applyFill="1" applyAlignment="1">
      <alignment horizontal="center"/>
    </xf>
    <xf numFmtId="169" fontId="21" fillId="3" borderId="0" xfId="0" applyNumberFormat="1" applyFont="1" applyFill="1" applyAlignment="1">
      <alignment horizontal="right" indent="1"/>
    </xf>
    <xf numFmtId="10" fontId="21" fillId="3" borderId="0" xfId="2" applyNumberFormat="1" applyFont="1" applyFill="1" applyAlignment="1">
      <alignment horizontal="right" indent="1"/>
    </xf>
    <xf numFmtId="0" fontId="14" fillId="3" borderId="0" xfId="0" applyFont="1" applyFill="1" applyAlignment="1">
      <alignment horizontal="left" indent="1"/>
    </xf>
    <xf numFmtId="10" fontId="14" fillId="3" borderId="0" xfId="0" applyNumberFormat="1" applyFont="1" applyFill="1" applyAlignment="1">
      <alignment horizontal="right" indent="1"/>
    </xf>
    <xf numFmtId="0" fontId="14" fillId="3" borderId="0" xfId="0" applyFont="1" applyFill="1" applyAlignment="1">
      <alignment horizontal="center"/>
    </xf>
    <xf numFmtId="0" fontId="7" fillId="2" borderId="0" xfId="0" applyFont="1" applyFill="1" applyAlignment="1">
      <alignment horizontal="left" indent="1"/>
    </xf>
    <xf numFmtId="10" fontId="7" fillId="2" borderId="0" xfId="0" applyNumberFormat="1" applyFont="1" applyFill="1" applyAlignment="1">
      <alignment horizontal="right" vertical="center" indent="1"/>
    </xf>
    <xf numFmtId="0" fontId="8" fillId="2" borderId="0" xfId="0" applyFont="1" applyFill="1"/>
    <xf numFmtId="0" fontId="1" fillId="3" borderId="0" xfId="0" applyFont="1" applyFill="1" applyAlignment="1">
      <alignment horizontal="left" indent="1"/>
    </xf>
    <xf numFmtId="14" fontId="22" fillId="3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center" vertical="center"/>
    </xf>
    <xf numFmtId="167" fontId="1" fillId="4" borderId="0" xfId="0" applyNumberFormat="1" applyFont="1" applyFill="1" applyAlignment="1">
      <alignment horizontal="center" vertical="center"/>
    </xf>
    <xf numFmtId="167" fontId="7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7" fillId="2" borderId="0" xfId="0" applyNumberFormat="1" applyFont="1" applyFill="1" applyAlignment="1">
      <alignment vertical="center"/>
    </xf>
    <xf numFmtId="3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166" fontId="20" fillId="0" borderId="0" xfId="2" applyNumberFormat="1" applyFont="1" applyFill="1" applyAlignment="1">
      <alignment horizontal="center"/>
    </xf>
    <xf numFmtId="166" fontId="20" fillId="0" borderId="0" xfId="2" applyNumberFormat="1" applyFont="1" applyFill="1" applyBorder="1" applyAlignment="1">
      <alignment horizontal="center"/>
    </xf>
    <xf numFmtId="167" fontId="7" fillId="2" borderId="0" xfId="2" applyNumberFormat="1" applyFont="1" applyFill="1" applyBorder="1" applyAlignment="1">
      <alignment horizontal="center" vertical="center"/>
    </xf>
    <xf numFmtId="0" fontId="24" fillId="2" borderId="29" xfId="6" applyFont="1" applyFill="1" applyBorder="1" applyAlignment="1">
      <alignment horizontal="center" vertical="center" wrapText="1"/>
    </xf>
    <xf numFmtId="0" fontId="24" fillId="2" borderId="30" xfId="6" applyFont="1" applyFill="1" applyBorder="1" applyAlignment="1">
      <alignment horizontal="center" vertical="center" wrapText="1"/>
    </xf>
    <xf numFmtId="0" fontId="24" fillId="2" borderId="31" xfId="6" applyFont="1" applyFill="1" applyBorder="1" applyAlignment="1">
      <alignment horizontal="center" vertical="center" wrapText="1"/>
    </xf>
    <xf numFmtId="170" fontId="25" fillId="5" borderId="32" xfId="6" applyNumberFormat="1" applyFont="1" applyFill="1" applyBorder="1" applyAlignment="1">
      <alignment horizontal="center"/>
    </xf>
    <xf numFmtId="2" fontId="26" fillId="5" borderId="0" xfId="7" applyNumberFormat="1" applyFont="1" applyFill="1" applyBorder="1" applyAlignment="1">
      <alignment horizontal="center"/>
    </xf>
    <xf numFmtId="2" fontId="26" fillId="5" borderId="33" xfId="7" applyNumberFormat="1" applyFont="1" applyFill="1" applyBorder="1" applyAlignment="1">
      <alignment horizontal="center"/>
    </xf>
    <xf numFmtId="170" fontId="25" fillId="0" borderId="32" xfId="6" applyNumberFormat="1" applyFont="1" applyBorder="1" applyAlignment="1">
      <alignment horizontal="center"/>
    </xf>
    <xf numFmtId="2" fontId="26" fillId="0" borderId="0" xfId="7" applyNumberFormat="1" applyFont="1" applyFill="1" applyBorder="1" applyAlignment="1">
      <alignment horizontal="center"/>
    </xf>
    <xf numFmtId="2" fontId="26" fillId="0" borderId="33" xfId="7" applyNumberFormat="1" applyFont="1" applyFill="1" applyBorder="1" applyAlignment="1">
      <alignment horizontal="center"/>
    </xf>
    <xf numFmtId="0" fontId="27" fillId="0" borderId="0" xfId="0" applyFont="1"/>
    <xf numFmtId="3" fontId="24" fillId="2" borderId="0" xfId="0" applyNumberFormat="1" applyFont="1" applyFill="1" applyAlignment="1">
      <alignment horizontal="center" vertical="center" wrapText="1"/>
    </xf>
    <xf numFmtId="3" fontId="24" fillId="2" borderId="15" xfId="0" applyNumberFormat="1" applyFont="1" applyFill="1" applyBorder="1" applyAlignment="1">
      <alignment horizontal="center" vertical="center" wrapText="1"/>
    </xf>
    <xf numFmtId="3" fontId="24" fillId="2" borderId="16" xfId="0" applyNumberFormat="1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/>
    </xf>
    <xf numFmtId="4" fontId="10" fillId="0" borderId="15" xfId="0" applyNumberFormat="1" applyFont="1" applyBorder="1" applyAlignment="1">
      <alignment horizontal="right" indent="1"/>
    </xf>
    <xf numFmtId="4" fontId="10" fillId="0" borderId="0" xfId="0" applyNumberFormat="1" applyFont="1" applyAlignment="1">
      <alignment horizontal="right" indent="1"/>
    </xf>
    <xf numFmtId="4" fontId="10" fillId="0" borderId="16" xfId="0" applyNumberFormat="1" applyFont="1" applyBorder="1" applyAlignment="1">
      <alignment horizontal="right" indent="1"/>
    </xf>
    <xf numFmtId="14" fontId="24" fillId="2" borderId="23" xfId="0" applyNumberFormat="1" applyFont="1" applyFill="1" applyBorder="1" applyAlignment="1">
      <alignment horizontal="centerContinuous" vertical="center"/>
    </xf>
    <xf numFmtId="3" fontId="24" fillId="2" borderId="23" xfId="0" applyNumberFormat="1" applyFont="1" applyFill="1" applyBorder="1" applyAlignment="1">
      <alignment horizontal="centerContinuous" vertical="center"/>
    </xf>
    <xf numFmtId="3" fontId="24" fillId="2" borderId="34" xfId="0" applyNumberFormat="1" applyFont="1" applyFill="1" applyBorder="1" applyAlignment="1">
      <alignment horizontal="centerContinuous" vertical="center"/>
    </xf>
    <xf numFmtId="4" fontId="24" fillId="2" borderId="23" xfId="1" applyNumberFormat="1" applyFont="1" applyFill="1" applyBorder="1" applyAlignment="1">
      <alignment horizontal="right" vertical="center" indent="1"/>
    </xf>
    <xf numFmtId="14" fontId="1" fillId="0" borderId="0" xfId="0" applyNumberFormat="1" applyFont="1" applyAlignment="1">
      <alignment horizontal="center"/>
    </xf>
    <xf numFmtId="10" fontId="20" fillId="0" borderId="0" xfId="0" applyNumberFormat="1" applyFont="1" applyAlignment="1">
      <alignment horizontal="right" indent="1"/>
    </xf>
    <xf numFmtId="0" fontId="6" fillId="3" borderId="1" xfId="0" applyFont="1" applyFill="1" applyBorder="1" applyAlignment="1">
      <alignment horizontal="left" indent="1"/>
    </xf>
    <xf numFmtId="10" fontId="6" fillId="3" borderId="1" xfId="2" applyNumberFormat="1" applyFont="1" applyFill="1" applyBorder="1" applyAlignment="1">
      <alignment horizontal="right" indent="1"/>
    </xf>
    <xf numFmtId="0" fontId="28" fillId="0" borderId="0" xfId="0" applyFont="1"/>
    <xf numFmtId="0" fontId="9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7" fillId="2" borderId="22" xfId="0" applyFont="1" applyFill="1" applyBorder="1" applyAlignment="1">
      <alignment horizontal="center" vertical="center" wrapText="1"/>
    </xf>
    <xf numFmtId="9" fontId="21" fillId="3" borderId="0" xfId="2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center"/>
    </xf>
    <xf numFmtId="0" fontId="32" fillId="0" borderId="0" xfId="0" applyFont="1"/>
    <xf numFmtId="0" fontId="21" fillId="0" borderId="0" xfId="0" applyFont="1"/>
    <xf numFmtId="0" fontId="7" fillId="2" borderId="22" xfId="0" applyFont="1" applyFill="1" applyBorder="1" applyAlignment="1">
      <alignment horizontal="center"/>
    </xf>
    <xf numFmtId="17" fontId="21" fillId="3" borderId="0" xfId="0" applyNumberFormat="1" applyFont="1" applyFill="1" applyAlignment="1">
      <alignment horizontal="center" vertical="center" wrapText="1"/>
    </xf>
    <xf numFmtId="2" fontId="21" fillId="3" borderId="0" xfId="0" applyNumberFormat="1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0" fontId="14" fillId="0" borderId="0" xfId="0" applyFont="1"/>
    <xf numFmtId="0" fontId="6" fillId="0" borderId="0" xfId="0" applyFont="1"/>
    <xf numFmtId="0" fontId="3" fillId="0" borderId="21" xfId="0" applyFont="1" applyBorder="1"/>
    <xf numFmtId="165" fontId="3" fillId="0" borderId="21" xfId="1" applyNumberFormat="1" applyFont="1" applyBorder="1"/>
    <xf numFmtId="0" fontId="3" fillId="0" borderId="13" xfId="0" applyFont="1" applyBorder="1"/>
    <xf numFmtId="165" fontId="3" fillId="0" borderId="13" xfId="1" applyNumberFormat="1" applyFont="1" applyBorder="1"/>
    <xf numFmtId="0" fontId="3" fillId="0" borderId="17" xfId="0" applyFont="1" applyBorder="1"/>
    <xf numFmtId="165" fontId="3" fillId="0" borderId="17" xfId="1" applyNumberFormat="1" applyFont="1" applyBorder="1"/>
    <xf numFmtId="0" fontId="20" fillId="6" borderId="0" xfId="0" applyFont="1" applyFill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165" fontId="3" fillId="0" borderId="0" xfId="1" applyNumberFormat="1" applyFont="1" applyBorder="1" applyAlignment="1">
      <alignment vertical="center"/>
    </xf>
    <xf numFmtId="165" fontId="3" fillId="0" borderId="0" xfId="1" applyNumberFormat="1" applyFont="1" applyAlignment="1">
      <alignment vertical="center"/>
    </xf>
    <xf numFmtId="0" fontId="3" fillId="0" borderId="17" xfId="0" applyFont="1" applyBorder="1" applyAlignment="1">
      <alignment vertical="center"/>
    </xf>
    <xf numFmtId="10" fontId="3" fillId="0" borderId="17" xfId="2" applyNumberFormat="1" applyFont="1" applyBorder="1" applyAlignment="1">
      <alignment vertical="center"/>
    </xf>
    <xf numFmtId="171" fontId="3" fillId="0" borderId="0" xfId="1" applyNumberFormat="1" applyFont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0" fontId="3" fillId="0" borderId="11" xfId="2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166" fontId="3" fillId="0" borderId="13" xfId="2" applyNumberFormat="1" applyFont="1" applyBorder="1" applyAlignment="1">
      <alignment horizontal="right" vertical="center"/>
    </xf>
    <xf numFmtId="0" fontId="3" fillId="0" borderId="25" xfId="0" applyFont="1" applyBorder="1"/>
    <xf numFmtId="0" fontId="3" fillId="0" borderId="25" xfId="0" applyFont="1" applyBorder="1" applyAlignment="1">
      <alignment vertical="center"/>
    </xf>
    <xf numFmtId="0" fontId="3" fillId="0" borderId="25" xfId="0" applyFont="1" applyBorder="1" applyAlignment="1">
      <alignment horizontal="right" vertical="center"/>
    </xf>
    <xf numFmtId="0" fontId="33" fillId="7" borderId="0" xfId="0" applyFont="1" applyFill="1" applyAlignment="1">
      <alignment horizontal="center" vertical="center"/>
    </xf>
    <xf numFmtId="10" fontId="3" fillId="0" borderId="15" xfId="2" applyNumberFormat="1" applyFont="1" applyFill="1" applyBorder="1"/>
    <xf numFmtId="165" fontId="3" fillId="0" borderId="16" xfId="1" applyNumberFormat="1" applyFont="1" applyFill="1" applyBorder="1"/>
    <xf numFmtId="165" fontId="3" fillId="0" borderId="17" xfId="1" applyNumberFormat="1" applyFont="1" applyFill="1" applyBorder="1"/>
    <xf numFmtId="165" fontId="3" fillId="0" borderId="20" xfId="1" applyNumberFormat="1" applyFont="1" applyFill="1" applyBorder="1"/>
    <xf numFmtId="10" fontId="3" fillId="0" borderId="19" xfId="2" applyNumberFormat="1" applyFont="1" applyFill="1" applyBorder="1"/>
    <xf numFmtId="0" fontId="17" fillId="0" borderId="0" xfId="5" applyFont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7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10" fontId="3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/>
    </xf>
    <xf numFmtId="0" fontId="3" fillId="0" borderId="11" xfId="0" applyFont="1" applyBorder="1"/>
    <xf numFmtId="0" fontId="3" fillId="0" borderId="18" xfId="0" applyFont="1" applyBorder="1"/>
    <xf numFmtId="166" fontId="3" fillId="0" borderId="13" xfId="0" applyNumberFormat="1" applyFont="1" applyBorder="1" applyAlignment="1">
      <alignment vertical="center"/>
    </xf>
    <xf numFmtId="166" fontId="3" fillId="0" borderId="14" xfId="0" applyNumberFormat="1" applyFont="1" applyBorder="1" applyAlignment="1">
      <alignment vertical="center"/>
    </xf>
    <xf numFmtId="166" fontId="3" fillId="0" borderId="12" xfId="0" applyNumberFormat="1" applyFont="1" applyBorder="1" applyAlignment="1">
      <alignment vertical="center"/>
    </xf>
    <xf numFmtId="166" fontId="3" fillId="0" borderId="25" xfId="0" applyNumberFormat="1" applyFont="1" applyBorder="1" applyAlignment="1">
      <alignment vertical="center"/>
    </xf>
    <xf numFmtId="166" fontId="3" fillId="0" borderId="36" xfId="0" applyNumberFormat="1" applyFont="1" applyBorder="1" applyAlignment="1">
      <alignment vertical="center"/>
    </xf>
    <xf numFmtId="166" fontId="3" fillId="0" borderId="35" xfId="0" applyNumberFormat="1" applyFont="1" applyBorder="1" applyAlignment="1">
      <alignment vertical="center"/>
    </xf>
    <xf numFmtId="3" fontId="35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4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3" fontId="35" fillId="0" borderId="0" xfId="0" applyNumberFormat="1" applyFont="1" applyAlignment="1">
      <alignment horizontal="right" vertical="center"/>
    </xf>
    <xf numFmtId="3" fontId="35" fillId="0" borderId="0" xfId="0" applyNumberFormat="1" applyFont="1" applyAlignment="1">
      <alignment horizontal="center" vertical="center"/>
    </xf>
    <xf numFmtId="3" fontId="6" fillId="3" borderId="0" xfId="0" applyNumberFormat="1" applyFont="1" applyFill="1" applyAlignment="1">
      <alignment horizontal="left" vertical="center"/>
    </xf>
    <xf numFmtId="3" fontId="6" fillId="3" borderId="0" xfId="0" applyNumberFormat="1" applyFont="1" applyFill="1" applyAlignment="1">
      <alignment vertical="center"/>
    </xf>
    <xf numFmtId="3" fontId="6" fillId="3" borderId="0" xfId="0" applyNumberFormat="1" applyFont="1" applyFill="1" applyAlignment="1">
      <alignment horizontal="right" vertical="center"/>
    </xf>
    <xf numFmtId="4" fontId="20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1" fillId="3" borderId="0" xfId="0" applyNumberFormat="1" applyFont="1" applyFill="1"/>
    <xf numFmtId="3" fontId="3" fillId="0" borderId="0" xfId="1" applyNumberFormat="1" applyFont="1" applyBorder="1" applyAlignment="1">
      <alignment vertical="center"/>
    </xf>
    <xf numFmtId="3" fontId="7" fillId="2" borderId="0" xfId="1" applyNumberFormat="1" applyFont="1" applyFill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7" fillId="2" borderId="0" xfId="1" applyNumberFormat="1" applyFont="1" applyFill="1" applyBorder="1" applyAlignment="1">
      <alignment vertical="center"/>
    </xf>
    <xf numFmtId="166" fontId="7" fillId="2" borderId="0" xfId="2" applyNumberFormat="1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9" fontId="3" fillId="0" borderId="13" xfId="0" applyNumberFormat="1" applyFont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9" fontId="3" fillId="0" borderId="12" xfId="0" applyNumberFormat="1" applyFont="1" applyBorder="1" applyAlignment="1">
      <alignment vertical="center"/>
    </xf>
    <xf numFmtId="0" fontId="3" fillId="8" borderId="15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3" fillId="0" borderId="15" xfId="0" applyFont="1" applyBorder="1" applyAlignment="1">
      <alignment vertical="center"/>
    </xf>
    <xf numFmtId="165" fontId="7" fillId="2" borderId="15" xfId="1" applyNumberFormat="1" applyFont="1" applyFill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3" fontId="3" fillId="0" borderId="19" xfId="1" applyNumberFormat="1" applyFont="1" applyBorder="1" applyAlignment="1">
      <alignment vertical="center"/>
    </xf>
    <xf numFmtId="166" fontId="3" fillId="0" borderId="37" xfId="2" applyNumberFormat="1" applyFont="1" applyBorder="1" applyAlignment="1">
      <alignment vertical="center"/>
    </xf>
    <xf numFmtId="165" fontId="3" fillId="0" borderId="11" xfId="1" applyNumberFormat="1" applyFont="1" applyBorder="1" applyAlignment="1">
      <alignment vertical="center"/>
    </xf>
    <xf numFmtId="166" fontId="3" fillId="0" borderId="11" xfId="2" applyNumberFormat="1" applyFont="1" applyBorder="1" applyAlignment="1">
      <alignment vertical="center"/>
    </xf>
    <xf numFmtId="165" fontId="7" fillId="2" borderId="11" xfId="1" applyNumberFormat="1" applyFont="1" applyFill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165" fontId="7" fillId="2" borderId="15" xfId="0" applyNumberFormat="1" applyFont="1" applyFill="1" applyBorder="1" applyAlignment="1">
      <alignment vertical="center"/>
    </xf>
    <xf numFmtId="165" fontId="7" fillId="2" borderId="0" xfId="0" applyNumberFormat="1" applyFont="1" applyFill="1" applyAlignment="1">
      <alignment vertical="center"/>
    </xf>
    <xf numFmtId="3" fontId="3" fillId="0" borderId="0" xfId="1" applyNumberFormat="1" applyFont="1" applyAlignment="1">
      <alignment vertical="center"/>
    </xf>
    <xf numFmtId="165" fontId="7" fillId="2" borderId="0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0" fontId="3" fillId="0" borderId="0" xfId="2" applyNumberFormat="1" applyFont="1" applyBorder="1" applyAlignment="1">
      <alignment horizontal="center" vertical="center"/>
    </xf>
    <xf numFmtId="43" fontId="7" fillId="2" borderId="0" xfId="1" applyFont="1" applyFill="1" applyBorder="1" applyAlignment="1"/>
    <xf numFmtId="10" fontId="3" fillId="0" borderId="0" xfId="2" applyNumberFormat="1" applyFont="1"/>
    <xf numFmtId="0" fontId="34" fillId="0" borderId="0" xfId="0" applyFont="1"/>
    <xf numFmtId="165" fontId="3" fillId="0" borderId="0" xfId="1" applyNumberFormat="1" applyFont="1" applyFill="1" applyBorder="1" applyAlignment="1">
      <alignment vertical="center"/>
    </xf>
    <xf numFmtId="165" fontId="1" fillId="0" borderId="0" xfId="1" applyNumberFormat="1" applyFont="1" applyBorder="1"/>
    <xf numFmtId="172" fontId="7" fillId="2" borderId="0" xfId="1" applyNumberFormat="1" applyFont="1" applyFill="1" applyBorder="1" applyAlignment="1">
      <alignment vertical="center"/>
    </xf>
    <xf numFmtId="166" fontId="3" fillId="0" borderId="11" xfId="2" applyNumberFormat="1" applyFont="1" applyFill="1" applyBorder="1"/>
    <xf numFmtId="0" fontId="3" fillId="0" borderId="24" xfId="0" applyFont="1" applyBorder="1"/>
    <xf numFmtId="9" fontId="3" fillId="0" borderId="24" xfId="2" applyFont="1" applyBorder="1" applyAlignment="1">
      <alignment horizontal="center" vertical="center"/>
    </xf>
    <xf numFmtId="10" fontId="7" fillId="2" borderId="0" xfId="2" applyNumberFormat="1" applyFont="1" applyFill="1" applyBorder="1" applyAlignment="1">
      <alignment horizontal="center" vertical="center"/>
    </xf>
    <xf numFmtId="0" fontId="4" fillId="0" borderId="24" xfId="0" applyFont="1" applyBorder="1"/>
    <xf numFmtId="165" fontId="4" fillId="0" borderId="24" xfId="0" applyNumberFormat="1" applyFont="1" applyBorder="1"/>
    <xf numFmtId="0" fontId="4" fillId="0" borderId="0" xfId="0" applyFont="1" applyAlignment="1">
      <alignment horizontal="center" vertical="center"/>
    </xf>
    <xf numFmtId="43" fontId="4" fillId="0" borderId="0" xfId="0" applyNumberFormat="1" applyFont="1"/>
    <xf numFmtId="43" fontId="7" fillId="2" borderId="0" xfId="1" applyFont="1" applyFill="1" applyAlignment="1">
      <alignment vertical="center"/>
    </xf>
    <xf numFmtId="0" fontId="1" fillId="0" borderId="17" xfId="0" applyFont="1" applyBorder="1"/>
    <xf numFmtId="165" fontId="1" fillId="0" borderId="17" xfId="1" applyNumberFormat="1" applyFont="1" applyBorder="1"/>
    <xf numFmtId="0" fontId="7" fillId="0" borderId="0" xfId="0" applyFont="1" applyAlignment="1">
      <alignment horizontal="center" vertical="center"/>
    </xf>
    <xf numFmtId="165" fontId="7" fillId="2" borderId="0" xfId="1" applyNumberFormat="1" applyFont="1" applyFill="1" applyAlignment="1">
      <alignment vertical="center"/>
    </xf>
    <xf numFmtId="0" fontId="4" fillId="0" borderId="16" xfId="0" applyFont="1" applyBorder="1" applyAlignment="1">
      <alignment vertical="center"/>
    </xf>
    <xf numFmtId="10" fontId="4" fillId="0" borderId="0" xfId="2" applyNumberFormat="1" applyFont="1"/>
    <xf numFmtId="0" fontId="4" fillId="0" borderId="14" xfId="0" applyFont="1" applyBorder="1" applyAlignment="1">
      <alignment vertical="center"/>
    </xf>
    <xf numFmtId="10" fontId="4" fillId="0" borderId="13" xfId="2" applyNumberFormat="1" applyFont="1" applyBorder="1"/>
    <xf numFmtId="0" fontId="3" fillId="8" borderId="12" xfId="0" applyFont="1" applyFill="1" applyBorder="1" applyAlignment="1">
      <alignment vertical="center"/>
    </xf>
    <xf numFmtId="0" fontId="3" fillId="8" borderId="13" xfId="0" applyFont="1" applyFill="1" applyBorder="1" applyAlignment="1">
      <alignment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10" fontId="3" fillId="0" borderId="13" xfId="2" applyNumberFormat="1" applyFont="1" applyBorder="1" applyAlignment="1">
      <alignment horizontal="center" vertical="center"/>
    </xf>
    <xf numFmtId="166" fontId="3" fillId="0" borderId="13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0" fontId="3" fillId="0" borderId="15" xfId="2" applyNumberFormat="1" applyFont="1" applyBorder="1" applyAlignment="1">
      <alignment horizontal="center" vertical="center"/>
    </xf>
    <xf numFmtId="10" fontId="3" fillId="0" borderId="12" xfId="2" applyNumberFormat="1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0" fontId="3" fillId="3" borderId="11" xfId="0" applyNumberFormat="1" applyFont="1" applyFill="1" applyBorder="1" applyAlignment="1">
      <alignment horizontal="center" vertical="center"/>
    </xf>
    <xf numFmtId="10" fontId="3" fillId="3" borderId="37" xfId="0" applyNumberFormat="1" applyFont="1" applyFill="1" applyBorder="1" applyAlignment="1">
      <alignment horizontal="center" vertical="center"/>
    </xf>
    <xf numFmtId="166" fontId="3" fillId="3" borderId="11" xfId="0" applyNumberFormat="1" applyFont="1" applyFill="1" applyBorder="1" applyAlignment="1">
      <alignment horizontal="center" vertical="center"/>
    </xf>
    <xf numFmtId="166" fontId="3" fillId="3" borderId="37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wrapText="1"/>
    </xf>
    <xf numFmtId="165" fontId="3" fillId="0" borderId="0" xfId="1" applyNumberFormat="1" applyFont="1" applyAlignment="1">
      <alignment horizontal="center" vertical="center"/>
    </xf>
    <xf numFmtId="10" fontId="3" fillId="0" borderId="16" xfId="2" applyNumberFormat="1" applyFont="1" applyBorder="1" applyAlignment="1">
      <alignment horizontal="center" vertical="center"/>
    </xf>
    <xf numFmtId="0" fontId="7" fillId="2" borderId="13" xfId="0" applyFont="1" applyFill="1" applyBorder="1" applyAlignment="1">
      <alignment vertical="center"/>
    </xf>
    <xf numFmtId="0" fontId="7" fillId="2" borderId="38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173" fontId="6" fillId="3" borderId="11" xfId="0" applyNumberFormat="1" applyFont="1" applyFill="1" applyBorder="1" applyAlignment="1">
      <alignment horizontal="center"/>
    </xf>
    <xf numFmtId="173" fontId="6" fillId="3" borderId="15" xfId="0" applyNumberFormat="1" applyFont="1" applyFill="1" applyBorder="1" applyAlignment="1">
      <alignment horizontal="center"/>
    </xf>
    <xf numFmtId="173" fontId="6" fillId="3" borderId="0" xfId="0" applyNumberFormat="1" applyFont="1" applyFill="1" applyAlignment="1">
      <alignment horizontal="center"/>
    </xf>
    <xf numFmtId="0" fontId="20" fillId="3" borderId="17" xfId="0" applyFont="1" applyFill="1" applyBorder="1" applyAlignment="1">
      <alignment horizontal="center"/>
    </xf>
    <xf numFmtId="10" fontId="31" fillId="3" borderId="18" xfId="2" applyNumberFormat="1" applyFont="1" applyFill="1" applyBorder="1" applyAlignment="1">
      <alignment horizontal="center"/>
    </xf>
    <xf numFmtId="10" fontId="31" fillId="3" borderId="19" xfId="2" applyNumberFormat="1" applyFont="1" applyFill="1" applyBorder="1" applyAlignment="1">
      <alignment horizontal="center"/>
    </xf>
    <xf numFmtId="10" fontId="31" fillId="3" borderId="17" xfId="2" applyNumberFormat="1" applyFont="1" applyFill="1" applyBorder="1" applyAlignment="1">
      <alignment horizontal="center"/>
    </xf>
    <xf numFmtId="10" fontId="7" fillId="2" borderId="0" xfId="2" applyNumberFormat="1" applyFont="1" applyFill="1" applyAlignment="1">
      <alignment horizontal="right"/>
    </xf>
    <xf numFmtId="174" fontId="3" fillId="0" borderId="25" xfId="0" applyNumberFormat="1" applyFont="1" applyBorder="1" applyAlignment="1">
      <alignment horizontal="right" vertical="center"/>
    </xf>
    <xf numFmtId="171" fontId="1" fillId="0" borderId="0" xfId="1" applyNumberFormat="1" applyFont="1" applyAlignment="1">
      <alignment vertical="center"/>
    </xf>
    <xf numFmtId="0" fontId="1" fillId="0" borderId="25" xfId="0" applyFont="1" applyBorder="1" applyAlignment="1">
      <alignment vertical="center" wrapText="1"/>
    </xf>
    <xf numFmtId="0" fontId="1" fillId="0" borderId="25" xfId="0" applyFont="1" applyBorder="1"/>
    <xf numFmtId="174" fontId="1" fillId="0" borderId="25" xfId="0" applyNumberFormat="1" applyFont="1" applyBorder="1"/>
    <xf numFmtId="2" fontId="1" fillId="0" borderId="25" xfId="0" applyNumberFormat="1" applyFont="1" applyBorder="1"/>
    <xf numFmtId="17" fontId="1" fillId="0" borderId="0" xfId="0" applyNumberFormat="1" applyFont="1"/>
    <xf numFmtId="10" fontId="7" fillId="2" borderId="22" xfId="2" applyNumberFormat="1" applyFont="1" applyFill="1" applyBorder="1" applyAlignment="1">
      <alignment horizontal="center"/>
    </xf>
    <xf numFmtId="17" fontId="1" fillId="0" borderId="40" xfId="0" applyNumberFormat="1" applyFont="1" applyBorder="1"/>
    <xf numFmtId="0" fontId="9" fillId="0" borderId="40" xfId="0" applyFont="1" applyBorder="1"/>
    <xf numFmtId="166" fontId="1" fillId="0" borderId="0" xfId="2" applyNumberFormat="1" applyFont="1"/>
    <xf numFmtId="1" fontId="3" fillId="0" borderId="15" xfId="0" applyNumberFormat="1" applyFont="1" applyBorder="1" applyAlignment="1">
      <alignment horizontal="right"/>
    </xf>
    <xf numFmtId="1" fontId="3" fillId="0" borderId="19" xfId="0" applyNumberFormat="1" applyFont="1" applyBorder="1" applyAlignment="1">
      <alignment horizontal="right"/>
    </xf>
    <xf numFmtId="165" fontId="1" fillId="0" borderId="0" xfId="1" applyNumberFormat="1" applyFont="1" applyFill="1" applyBorder="1"/>
    <xf numFmtId="165" fontId="1" fillId="0" borderId="1" xfId="1" applyNumberFormat="1" applyFont="1" applyFill="1" applyBorder="1"/>
    <xf numFmtId="172" fontId="3" fillId="0" borderId="0" xfId="0" applyNumberFormat="1" applyFont="1"/>
    <xf numFmtId="0" fontId="36" fillId="0" borderId="0" xfId="0" applyFont="1" applyAlignment="1">
      <alignment vertical="center"/>
    </xf>
    <xf numFmtId="10" fontId="36" fillId="0" borderId="0" xfId="0" applyNumberFormat="1" applyFont="1" applyAlignment="1">
      <alignment vertical="center"/>
    </xf>
    <xf numFmtId="0" fontId="10" fillId="0" borderId="5" xfId="4" applyFont="1" applyBorder="1" applyAlignment="1">
      <alignment horizontal="center"/>
    </xf>
    <xf numFmtId="0" fontId="10" fillId="0" borderId="0" xfId="4" applyFont="1" applyAlignment="1">
      <alignment horizontal="center"/>
    </xf>
    <xf numFmtId="0" fontId="10" fillId="0" borderId="6" xfId="4" applyFont="1" applyBorder="1" applyAlignment="1">
      <alignment horizontal="center"/>
    </xf>
    <xf numFmtId="0" fontId="4" fillId="0" borderId="5" xfId="4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11" fillId="0" borderId="5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24" fillId="2" borderId="27" xfId="6" applyFont="1" applyFill="1" applyBorder="1" applyAlignment="1">
      <alignment horizontal="center" vertical="center"/>
    </xf>
    <xf numFmtId="0" fontId="24" fillId="2" borderId="28" xfId="6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24" fillId="2" borderId="26" xfId="6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9" fontId="3" fillId="0" borderId="0" xfId="2" applyFont="1"/>
  </cellXfs>
  <cellStyles count="8">
    <cellStyle name="Comma 2 4 3 2 2" xfId="7" xr:uid="{1C8C0FE7-4FDB-43BE-A076-7AD9B95BF679}"/>
    <cellStyle name="Hipervínculo" xfId="5" builtinId="8"/>
    <cellStyle name="Millares" xfId="1" builtinId="3"/>
    <cellStyle name="Normal" xfId="0" builtinId="0"/>
    <cellStyle name="Normal 4 4 4 2" xfId="6" xr:uid="{BEEEB93D-1C24-444C-8700-450CE0A38A0B}"/>
    <cellStyle name="Normal 5" xfId="4" xr:uid="{CBDB575C-2FB4-43C7-B9E2-E074450C21B2}"/>
    <cellStyle name="Percent" xfId="3" xr:uid="{AA5DE968-EA00-44E8-8686-1020DB986567}"/>
    <cellStyle name="Porcentaje" xfId="2" builtinId="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71" formatCode="#,##0;\-#,##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71" formatCode="#,##0;\-#,##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71" formatCode="#,##0;\-#,##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71" formatCode="#,##0;\-#,##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71" formatCode="#,##0;\-#,##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71" formatCode="#,##0;\-#,##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dashed">
          <color rgb="FF00B0F0"/>
        </left>
        <right style="dashed">
          <color rgb="FF00B0F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alignment horizontal="general" vertical="center" textRotation="0" wrapText="0" indent="0" justifyLastLine="0" shrinkToFit="0" readingOrder="0"/>
      <border diagonalUp="0" diagonalDown="0">
        <left style="dashed">
          <color rgb="FF00B0F0"/>
        </left>
        <right style="dashed">
          <color rgb="FF00B0F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* #,##0_-;\-* #,##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dashed">
          <color rgb="FF00B0F0"/>
        </left>
        <right style="dashed">
          <color rgb="FF00B0F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dashed">
          <color rgb="FF00B0F0"/>
        </left>
        <right style="dashed">
          <color rgb="FF00B0F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dashed">
          <color rgb="FF00B0F0"/>
        </left>
        <right style="dashed">
          <color rgb="FF00B0F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rgb="FF00B0F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600076</xdr:colOff>
      <xdr:row>1</xdr:row>
      <xdr:rowOff>9526</xdr:rowOff>
    </xdr:from>
    <xdr:to>
      <xdr:col>1</xdr:col>
      <xdr:colOff>600076</xdr:colOff>
      <xdr:row>5</xdr:row>
      <xdr:rowOff>47626</xdr:rowOff>
    </xdr:to>
    <xdr:pic>
      <xdr:nvPicPr>
        <xdr:cNvPr id="2" name="Imagen 1" descr="Flecha&#10;&#10;Descripción generada automáticamente">
          <a:extLst>
            <a:ext uri="{FF2B5EF4-FFF2-40B4-BE49-F238E27FC236}">
              <a16:creationId xmlns:a16="http://schemas.microsoft.com/office/drawing/2014/main" id="{068FBCE7-6086-4BAF-91E9-BF9B096BF3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84" b="14365"/>
        <a:stretch/>
      </xdr:blipFill>
      <xdr:spPr bwMode="auto">
        <a:xfrm>
          <a:off x="885826" y="209551"/>
          <a:ext cx="1871526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590550</xdr:colOff>
      <xdr:row>1</xdr:row>
      <xdr:rowOff>0</xdr:rowOff>
    </xdr:from>
    <xdr:to>
      <xdr:col>4</xdr:col>
      <xdr:colOff>176076</xdr:colOff>
      <xdr:row>5</xdr:row>
      <xdr:rowOff>38100</xdr:rowOff>
    </xdr:to>
    <xdr:pic>
      <xdr:nvPicPr>
        <xdr:cNvPr id="3" name="Imagen 2" descr="Flecha&#10;&#10;Descripción generada automáticamente">
          <a:extLst>
            <a:ext uri="{FF2B5EF4-FFF2-40B4-BE49-F238E27FC236}">
              <a16:creationId xmlns:a16="http://schemas.microsoft.com/office/drawing/2014/main" id="{919020F2-F23F-4D84-8C79-F7DD501EBB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84" b="14365"/>
        <a:stretch/>
      </xdr:blipFill>
      <xdr:spPr bwMode="auto">
        <a:xfrm>
          <a:off x="876300" y="200025"/>
          <a:ext cx="1871526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220980</xdr:colOff>
          <xdr:row>4</xdr:row>
          <xdr:rowOff>152400</xdr:rowOff>
        </xdr:from>
        <xdr:to>
          <xdr:col>5</xdr:col>
          <xdr:colOff>335280</xdr:colOff>
          <xdr:row>6</xdr:row>
          <xdr:rowOff>160020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s-P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Tarifas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Backup_Ositran%20(280322)\4.%20Estudios%20Economicos\EE%20-%202025\3.%20Procedimientos\Cargos%20de%20acceso\Modelos%20OSITRAN%20(propuesta)\Finales\Modelos%20limpios\Modelo_CheckIn%20Counter%20Propuesta%20VF.xlsm" TargetMode="External"/><Relationship Id="rId1" Type="http://schemas.openxmlformats.org/officeDocument/2006/relationships/externalLinkPath" Target="file:///E:\Backup_Ositran%20(280322)\4.%20Estudios%20Economicos\EE%20-%202025\3.%20Procedimientos\Cargos%20de%20acceso\Modelos%20OSITRAN%20(propuesta)\Finales\Modelos%20limpios\Modelo_CheckIn%20Counter%20Propuesta%20V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itranperu-my.sharepoint.com/personal/mmendezv_ositran_gob_pe/Documents/TUUA%20Transferencia/Tarifa%20post%20comentarios/Modelo_TUUA_Transferencia.xlsm" TargetMode="External"/><Relationship Id="rId1" Type="http://schemas.openxmlformats.org/officeDocument/2006/relationships/externalLinkPath" Target="Modelo_TUUA_Transferencia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itranperu-my.sharepoint.com/personal/mmendezv_ositran_gob_pe/Documents/0.%20TUUA%20Transferencia/0.3%20New%20comentarios/5.%20Modelo_TUUA_Transferencia%20new%20probando.xlsm" TargetMode="External"/><Relationship Id="rId1" Type="http://schemas.openxmlformats.org/officeDocument/2006/relationships/externalLinkPath" Target="5.%20Modelo_TUUA_Transferencia%20new%20proband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"/>
      <sheetName val="Índice"/>
      <sheetName val="Propuesta"/>
      <sheetName val="0. FC-Counter"/>
      <sheetName val="1. Demanda"/>
      <sheetName val="2. OPEX"/>
      <sheetName val="2.1 CR-LAP_COUNTER"/>
      <sheetName val="3. CAPEX"/>
      <sheetName val="3.1 Inversion Nuevo Terminal"/>
      <sheetName val="4. WACC"/>
      <sheetName val="4.1 Betas"/>
      <sheetName val="4.2 Deuda"/>
      <sheetName val="5. Var-Macro"/>
    </sheetNames>
    <sheetDataSet>
      <sheetData sheetId="0" refreshError="1"/>
      <sheetData sheetId="1" refreshError="1"/>
      <sheetData sheetId="2">
        <row r="4">
          <cell r="D4" t="str">
            <v>LAP</v>
          </cell>
        </row>
      </sheetData>
      <sheetData sheetId="3">
        <row r="5">
          <cell r="F5">
            <v>0.75890410958904109</v>
          </cell>
          <cell r="K5">
            <v>0.24109589041095891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"/>
      <sheetName val="Índice"/>
      <sheetName val="0. Flujo DOM-DOM"/>
      <sheetName val="0. Flujo INT-INT"/>
      <sheetName val="1. Demanda"/>
      <sheetName val="Propuesta"/>
      <sheetName val="2. OPEX"/>
      <sheetName val="2.1 OPEX TUUA"/>
      <sheetName val="2.2 OPEX LAP 2023"/>
      <sheetName val="3. CAPEX"/>
      <sheetName val="3.1.1 CAPEX-Exclusivas"/>
      <sheetName val="3.1.2 CAPEX-Exclusivas"/>
      <sheetName val="3.2.1 CAPEX-Comunes"/>
      <sheetName val="3.2.2 CAPEX-Comunes"/>
      <sheetName val="3.2.3 CAPEX-Comunes"/>
      <sheetName val="3.3 CAPEX Indirecto"/>
      <sheetName val="4. WACC"/>
      <sheetName val="4.1 Betas"/>
      <sheetName val="4.2 Deuda"/>
      <sheetName val="5.1 Var-Macro"/>
      <sheetName val="5.2 Asignación de Áreas"/>
      <sheetName val="5.3 Var OPEX 2023-25"/>
    </sheetNames>
    <sheetDataSet>
      <sheetData sheetId="0"/>
      <sheetData sheetId="1"/>
      <sheetData sheetId="2"/>
      <sheetData sheetId="3"/>
      <sheetData sheetId="4"/>
      <sheetData sheetId="5">
        <row r="36">
          <cell r="D36">
            <v>1</v>
          </cell>
        </row>
        <row r="38">
          <cell r="C3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"/>
      <sheetName val="Índice"/>
      <sheetName val="prueba_demanda"/>
      <sheetName val="0. Flujo DOM-DOM"/>
      <sheetName val="0. Flujo INT-INT"/>
      <sheetName val="1. Demanda"/>
      <sheetName val="2. OPEX"/>
      <sheetName val="2.1 OPEX TUUA"/>
      <sheetName val="2.2 OPEX LAP 2023"/>
      <sheetName val="3. CAPEX"/>
      <sheetName val="3.1.1 CAPEX-Exclusivas"/>
      <sheetName val="Tarifa"/>
      <sheetName val="3.1.2 CAPEX-Exclusivas"/>
      <sheetName val="3.2.1 CAPEX-Comunes"/>
      <sheetName val="3.2.2 CAPEX-Comunes"/>
      <sheetName val="3.2.3 CAPEX-Comunes"/>
      <sheetName val="3.3 CAPEX Indirecto"/>
      <sheetName val="4. WACC"/>
      <sheetName val="4.1 Betas"/>
      <sheetName val="4.2 Deuda"/>
      <sheetName val="5.1 Var-Macro"/>
      <sheetName val="5.2 Asignación de Áreas"/>
      <sheetName val="5.3 Var OPEX 2023-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7">
          <cell r="L47">
            <v>1</v>
          </cell>
        </row>
        <row r="48">
          <cell r="I48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9DABA1-F175-401D-A6CA-83E4539CCB1F}" name="Tabla2" displayName="Tabla2" ref="B14:N485" totalsRowShown="0" headerRowDxfId="15" dataDxfId="14" tableBorderDxfId="13" dataCellStyle="Millares">
  <autoFilter ref="B14:N485" xr:uid="{B49DABA1-F175-401D-A6CA-83E4539CCB1F}"/>
  <tableColumns count="13">
    <tableColumn id="1" xr3:uid="{734DB3B1-B8A3-40F5-BFB3-64F7360D6C69}" name="Cuenta" dataDxfId="12"/>
    <tableColumn id="2" xr3:uid="{2FF80180-96D2-4C6A-8264-FB9C4347F08C}" name="Tipo" dataDxfId="11"/>
    <tableColumn id="3" xr3:uid="{2E358757-3664-454D-8726-7F7111598071}" name="Item" dataDxfId="10"/>
    <tableColumn id="4" xr3:uid="{BA458338-9674-436B-9025-EDE7BF475C7B}" name="Nombre de la cuenta" dataDxfId="9"/>
    <tableColumn id="5" xr3:uid="{ED42D3D6-32EA-49FB-8BA9-1D3F161C34CC}" name="CR 2023" dataDxfId="8" dataCellStyle="Millares"/>
    <tableColumn id="6" xr3:uid="{4E4B394C-2378-45FA-B41C-C73B93625E94}" name="Var OPEX 2023-2025" dataDxfId="7" dataCellStyle="Porcentaje">
      <calculatedColumnFormula>+VLOOKUP(B15,'5.3 Var OPEX 2023-25'!$B$4:$D$160,3,0)</calculatedColumnFormula>
    </tableColumn>
    <tableColumn id="7" xr3:uid="{196FB219-2838-43E0-A5E5-2A27FFDE7D10}" name="Driver Asignación" dataDxfId="6"/>
    <tableColumn id="8" xr3:uid="{9F9EA719-717E-450A-BF06-F52E2423F9B4}" name="OPEX 2025" dataDxfId="5" dataCellStyle="Millares">
      <calculatedColumnFormula>+F15*(1+G15)/$I$8</calculatedColumnFormula>
    </tableColumn>
    <tableColumn id="9" xr3:uid="{1C7D60DA-20D4-4A97-8290-CD6F05F370EB}" name="OPEX 2026" dataDxfId="4" dataCellStyle="Millares">
      <calculatedColumnFormula>+IF(OR($C15="No Imputables",$H15="m2 fijo"),I15,I15*(1+J$6*J$7))</calculatedColumnFormula>
    </tableColumn>
    <tableColumn id="10" xr3:uid="{DA78957F-A874-4F7A-8913-3C62FF1F32B7}" name="OPEX 2027" dataDxfId="3" dataCellStyle="Millares">
      <calculatedColumnFormula>+IF(OR(C15="No Imputables",H15="m2 fijo"),J15,J15*(1+$K$6*$K$7))</calculatedColumnFormula>
    </tableColumn>
    <tableColumn id="11" xr3:uid="{207DCF1E-CA2A-4907-B83F-734A86C2E0D9}" name="OPEX 2028" dataDxfId="2" dataCellStyle="Millares">
      <calculatedColumnFormula>+IF(OR(C15="No Imputables",H15="m2 fijo"),K15,K15*(1+$L$6*$L$7))</calculatedColumnFormula>
    </tableColumn>
    <tableColumn id="12" xr3:uid="{B2C63C22-F285-4A37-A5A3-9CB7357DB09D}" name="OPEX 2029" dataDxfId="1" dataCellStyle="Millares">
      <calculatedColumnFormula>+IF(OR(C15="No Imputables",H15="m2 fijo"),L15,L15*(1+$M$6*$M$7))</calculatedColumnFormula>
    </tableColumn>
    <tableColumn id="13" xr3:uid="{1E7C27B0-6366-4C92-AC06-F5DD0955E285}" name="OPEX 2030" dataDxfId="0" dataCellStyle="Millares">
      <calculatedColumnFormula>+IF(OR(C15="No Imputables",H15="m2 fijo"),M15,M15*(1+$N$6*$N$7))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FCB11-4D14-4FFA-9D05-374992C210AD}">
  <sheetPr codeName="Hoja1"/>
  <dimension ref="A1:F15"/>
  <sheetViews>
    <sheetView showGridLines="0" tabSelected="1" workbookViewId="0">
      <selection activeCell="B9" sqref="B9:E9"/>
    </sheetView>
  </sheetViews>
  <sheetFormatPr baseColWidth="10" defaultColWidth="0" defaultRowHeight="15" customHeight="1" zeroHeight="1" x14ac:dyDescent="0.3"/>
  <cols>
    <col min="1" max="1" width="4.33203125" customWidth="1"/>
    <col min="2" max="5" width="11.44140625" customWidth="1"/>
    <col min="6" max="6" width="4.33203125" customWidth="1"/>
    <col min="7" max="16384" width="11.44140625" hidden="1"/>
  </cols>
  <sheetData>
    <row r="1" spans="1:6" thickBot="1" x14ac:dyDescent="0.35">
      <c r="A1" s="18"/>
      <c r="B1" s="18"/>
      <c r="C1" s="18"/>
      <c r="D1" s="18"/>
      <c r="E1" s="18"/>
      <c r="F1" s="18"/>
    </row>
    <row r="2" spans="1:6" ht="14.4" x14ac:dyDescent="0.3">
      <c r="A2" s="18"/>
      <c r="B2" s="19"/>
      <c r="C2" s="20"/>
      <c r="D2" s="20"/>
      <c r="E2" s="21"/>
      <c r="F2" s="18"/>
    </row>
    <row r="3" spans="1:6" ht="14.4" x14ac:dyDescent="0.3">
      <c r="A3" s="18"/>
      <c r="B3" s="22"/>
      <c r="C3" s="18"/>
      <c r="D3" s="18"/>
      <c r="E3" s="23"/>
      <c r="F3" s="18"/>
    </row>
    <row r="4" spans="1:6" ht="14.4" x14ac:dyDescent="0.3">
      <c r="A4" s="18"/>
      <c r="B4" s="22"/>
      <c r="C4" s="18"/>
      <c r="D4" s="18"/>
      <c r="E4" s="23"/>
      <c r="F4" s="18"/>
    </row>
    <row r="5" spans="1:6" ht="14.4" x14ac:dyDescent="0.3">
      <c r="A5" s="18"/>
      <c r="B5" s="22"/>
      <c r="C5" s="18"/>
      <c r="D5" s="18"/>
      <c r="E5" s="23"/>
      <c r="F5" s="18"/>
    </row>
    <row r="6" spans="1:6" ht="19.5" customHeight="1" x14ac:dyDescent="0.3">
      <c r="A6" s="18"/>
      <c r="B6" s="314" t="s">
        <v>373</v>
      </c>
      <c r="C6" s="315"/>
      <c r="D6" s="315"/>
      <c r="E6" s="316"/>
      <c r="F6" s="18"/>
    </row>
    <row r="7" spans="1:6" ht="14.4" x14ac:dyDescent="0.3">
      <c r="A7" s="18"/>
      <c r="B7" s="24"/>
      <c r="C7" s="25"/>
      <c r="D7" s="25"/>
      <c r="E7" s="26"/>
      <c r="F7" s="18"/>
    </row>
    <row r="8" spans="1:6" ht="14.4" x14ac:dyDescent="0.3">
      <c r="A8" s="18"/>
      <c r="B8" s="22"/>
      <c r="C8" s="18"/>
      <c r="D8" s="18"/>
      <c r="E8" s="23"/>
      <c r="F8" s="18"/>
    </row>
    <row r="9" spans="1:6" ht="39.75" customHeight="1" x14ac:dyDescent="0.3">
      <c r="A9" s="18"/>
      <c r="B9" s="317" t="s">
        <v>648</v>
      </c>
      <c r="C9" s="318"/>
      <c r="D9" s="318"/>
      <c r="E9" s="319"/>
      <c r="F9" s="18"/>
    </row>
    <row r="10" spans="1:6" ht="14.4" x14ac:dyDescent="0.3">
      <c r="A10" s="18"/>
      <c r="B10" s="22"/>
      <c r="C10" s="18"/>
      <c r="D10" s="18"/>
      <c r="E10" s="23"/>
      <c r="F10" s="18"/>
    </row>
    <row r="11" spans="1:6" ht="14.4" x14ac:dyDescent="0.3">
      <c r="A11" s="18"/>
      <c r="B11" s="22"/>
      <c r="C11" s="18"/>
      <c r="D11" s="18"/>
      <c r="E11" s="23"/>
      <c r="F11" s="18"/>
    </row>
    <row r="12" spans="1:6" ht="14.4" x14ac:dyDescent="0.3">
      <c r="A12" s="18"/>
      <c r="B12" s="22"/>
      <c r="C12" s="18"/>
      <c r="D12" s="18"/>
      <c r="E12" s="23"/>
      <c r="F12" s="18"/>
    </row>
    <row r="13" spans="1:6" ht="14.4" x14ac:dyDescent="0.3">
      <c r="A13" s="18"/>
      <c r="B13" s="320">
        <v>2025</v>
      </c>
      <c r="C13" s="321"/>
      <c r="D13" s="321"/>
      <c r="E13" s="322"/>
      <c r="F13" s="18"/>
    </row>
    <row r="14" spans="1:6" thickBot="1" x14ac:dyDescent="0.35">
      <c r="A14" s="18"/>
      <c r="B14" s="27"/>
      <c r="C14" s="28"/>
      <c r="D14" s="28"/>
      <c r="E14" s="29"/>
      <c r="F14" s="18"/>
    </row>
    <row r="15" spans="1:6" ht="14.4" x14ac:dyDescent="0.3">
      <c r="A15" s="18"/>
      <c r="B15" s="18"/>
      <c r="C15" s="18"/>
      <c r="D15" s="18"/>
      <c r="E15" s="18"/>
      <c r="F15" s="18"/>
    </row>
  </sheetData>
  <mergeCells count="3">
    <mergeCell ref="B6:E6"/>
    <mergeCell ref="B9:E9"/>
    <mergeCell ref="B13:E1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E65F9-FDD2-4A98-9BC6-2BE88AF60CEE}">
  <sheetPr codeName="Hoja18"/>
  <dimension ref="B1:V109"/>
  <sheetViews>
    <sheetView showGridLines="0" zoomScaleNormal="100" workbookViewId="0">
      <pane ySplit="2" topLeftCell="A79" activePane="bottomLeft" state="frozen"/>
      <selection pane="bottomLeft" activeCell="G9" sqref="G9"/>
    </sheetView>
  </sheetViews>
  <sheetFormatPr baseColWidth="10" defaultColWidth="11.5546875" defaultRowHeight="13.2" outlineLevelRow="1" x14ac:dyDescent="0.25"/>
  <cols>
    <col min="1" max="1" width="2.6640625" style="1" customWidth="1"/>
    <col min="2" max="2" width="25.6640625" style="1" bestFit="1" customWidth="1"/>
    <col min="3" max="3" width="14" style="1" bestFit="1" customWidth="1"/>
    <col min="4" max="4" width="13" style="1" bestFit="1" customWidth="1"/>
    <col min="5" max="5" width="11.6640625" style="1" bestFit="1" customWidth="1"/>
    <col min="6" max="7" width="11.5546875" style="1"/>
    <col min="8" max="8" width="10.88671875" style="1" customWidth="1"/>
    <col min="9" max="9" width="12.44140625" style="1" customWidth="1"/>
    <col min="10" max="14" width="10.88671875" style="1" customWidth="1"/>
    <col min="15" max="15" width="2.6640625" style="1" customWidth="1"/>
    <col min="16" max="19" width="11.5546875" style="1"/>
    <col min="20" max="22" width="5.77734375" style="1" customWidth="1"/>
    <col min="23" max="16384" width="11.5546875" style="1"/>
  </cols>
  <sheetData>
    <row r="1" spans="2:22" s="37" customFormat="1" ht="16.2" thickBot="1" x14ac:dyDescent="0.35">
      <c r="B1" s="36" t="s">
        <v>546</v>
      </c>
      <c r="N1" s="38" t="s">
        <v>389</v>
      </c>
    </row>
    <row r="2" spans="2:22" ht="12.6" customHeight="1" x14ac:dyDescent="0.25"/>
    <row r="3" spans="2:22" ht="12.6" customHeight="1" x14ac:dyDescent="0.25">
      <c r="B3" s="52"/>
      <c r="C3" s="52"/>
      <c r="D3" s="52"/>
      <c r="E3" s="52"/>
      <c r="F3" s="52"/>
      <c r="G3" s="52"/>
      <c r="H3" s="52"/>
      <c r="I3" s="52">
        <v>2025</v>
      </c>
      <c r="J3" s="52">
        <v>2026</v>
      </c>
      <c r="K3" s="52">
        <v>2027</v>
      </c>
      <c r="L3" s="52">
        <v>2028</v>
      </c>
      <c r="M3" s="52">
        <v>2029</v>
      </c>
      <c r="N3" s="52">
        <v>2030</v>
      </c>
    </row>
    <row r="4" spans="2:22" ht="12.6" customHeight="1" x14ac:dyDescent="0.25">
      <c r="B4" s="182" t="s">
        <v>637</v>
      </c>
      <c r="C4" s="298"/>
      <c r="D4" s="299"/>
      <c r="E4" s="299"/>
      <c r="F4" s="299"/>
      <c r="G4" s="182"/>
      <c r="H4" s="299"/>
      <c r="I4" s="300">
        <f>+'5.1 Var-Macro'!D140</f>
        <v>1.8895051518675876E-2</v>
      </c>
      <c r="J4" s="300">
        <f>+'5.1 Var-Macro'!E140</f>
        <v>2.0524629555466634E-2</v>
      </c>
      <c r="K4" s="300">
        <f>+'5.1 Var-Macro'!F140</f>
        <v>2.1043853625036801E-2</v>
      </c>
      <c r="L4" s="300">
        <f>+'5.1 Var-Macro'!G140</f>
        <v>2.1231683881815844E-2</v>
      </c>
      <c r="M4" s="300">
        <f>+'5.1 Var-Macro'!H140</f>
        <v>2.1428298408460833E-2</v>
      </c>
      <c r="N4" s="300">
        <f>+'5.1 Var-Macro'!I140</f>
        <v>2.1428298408460833E-2</v>
      </c>
    </row>
    <row r="5" spans="2:22" ht="12.6" customHeight="1" x14ac:dyDescent="0.25">
      <c r="B5" s="182" t="s">
        <v>641</v>
      </c>
      <c r="C5" s="298"/>
      <c r="D5" s="299"/>
      <c r="E5" s="299"/>
      <c r="F5" s="299"/>
      <c r="G5" s="182"/>
      <c r="H5" s="299"/>
      <c r="I5" s="301">
        <f>1+I4</f>
        <v>1.0188950515186759</v>
      </c>
      <c r="J5" s="301">
        <f>+IF([2]Propuesta!D36=[2]Propuesta!C38,1,(1+J4)*I5)</f>
        <v>1.0398074950069949</v>
      </c>
      <c r="K5" s="301">
        <f>+IF([2]Propuesta!D36=[2]Propuesta!C38,1,(1+K4)*J5)</f>
        <v>1.0616890517301383</v>
      </c>
      <c r="L5" s="301">
        <f>+IF([2]Propuesta!D36=[2]Propuesta!C38,1,(1+L4)*K5)</f>
        <v>1.0842304980572575</v>
      </c>
      <c r="M5" s="301">
        <f>+IF([2]Propuesta!D36=[2]Propuesta!C38,1,(1+M4)*L5)</f>
        <v>1.1074637127131826</v>
      </c>
      <c r="N5" s="301">
        <f>+IF([2]Propuesta!D36=[2]Propuesta!C38,1,(1+N4)*M5)</f>
        <v>1.1311947756257426</v>
      </c>
    </row>
    <row r="6" spans="2:22" ht="12.6" customHeight="1" x14ac:dyDescent="0.25"/>
    <row r="7" spans="2:22" ht="12.6" customHeight="1" x14ac:dyDescent="0.25">
      <c r="B7" s="199" t="s">
        <v>547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2:22" ht="5.0999999999999996" customHeight="1" x14ac:dyDescent="0.25">
      <c r="B8" s="19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2:22" x14ac:dyDescent="0.25">
      <c r="B9" s="199" t="s">
        <v>548</v>
      </c>
      <c r="C9" s="9"/>
      <c r="D9" s="9"/>
      <c r="E9" s="312" t="s">
        <v>647</v>
      </c>
      <c r="F9" s="312"/>
      <c r="G9" s="313">
        <v>0.90749999999999997</v>
      </c>
      <c r="H9" s="9"/>
      <c r="I9" s="9"/>
      <c r="J9" s="9"/>
      <c r="K9" s="9"/>
      <c r="L9" s="9"/>
      <c r="M9" s="9"/>
      <c r="N9" s="9"/>
    </row>
    <row r="10" spans="2:22" ht="5.0999999999999996" customHeight="1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22" x14ac:dyDescent="0.25">
      <c r="B11" s="53" t="s">
        <v>549</v>
      </c>
      <c r="C11" s="53" t="s">
        <v>482</v>
      </c>
      <c r="D11" s="53"/>
      <c r="E11" s="53"/>
      <c r="F11" s="53"/>
      <c r="G11" s="53"/>
      <c r="H11" s="52">
        <v>2024</v>
      </c>
      <c r="I11" s="52">
        <v>2025</v>
      </c>
      <c r="J11" s="52">
        <f t="shared" ref="J11:N11" si="0">+I11+1</f>
        <v>2026</v>
      </c>
      <c r="K11" s="52">
        <f t="shared" si="0"/>
        <v>2027</v>
      </c>
      <c r="L11" s="52">
        <f t="shared" si="0"/>
        <v>2028</v>
      </c>
      <c r="M11" s="52">
        <f t="shared" si="0"/>
        <v>2029</v>
      </c>
      <c r="N11" s="52">
        <f t="shared" si="0"/>
        <v>2030</v>
      </c>
    </row>
    <row r="12" spans="2:22" x14ac:dyDescent="0.25">
      <c r="B12" s="200" t="s">
        <v>0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</row>
    <row r="13" spans="2:22" x14ac:dyDescent="0.25">
      <c r="B13" s="9" t="s">
        <v>262</v>
      </c>
      <c r="C13" s="9" t="s">
        <v>262</v>
      </c>
      <c r="D13" s="9"/>
      <c r="E13" s="9"/>
      <c r="F13" s="9"/>
      <c r="G13" s="9"/>
      <c r="H13" s="202">
        <f>(+'3.1.2 CAPEX-Exclusivas'!C44+'3.1.2 CAPEX-Exclusivas'!C46+'3.2.3 CAPEX-Comunes'!C32+'3.3 CAPEX Indirecto'!D34)*G9</f>
        <v>31911962.572358724</v>
      </c>
      <c r="I13" s="202">
        <f>(+('3.1.2 CAPEX-Exclusivas'!D44+'3.1.2 CAPEX-Exclusivas'!D46+'3.2.3 CAPEX-Comunes'!D32+'3.3 CAPEX Indirecto'!E34)/I5)*G9</f>
        <v>3189555.768245609</v>
      </c>
      <c r="J13" s="202">
        <f>(('3.1.2 CAPEX-Exclusivas'!E44+'3.1.2 CAPEX-Exclusivas'!E46+'3.2.3 CAPEX-Comunes'!E32+'3.3 CAPEX Indirecto'!F34)/J5)*G9</f>
        <v>519131.67043471988</v>
      </c>
      <c r="K13" s="9"/>
      <c r="L13" s="9"/>
      <c r="M13" s="9"/>
      <c r="N13" s="9"/>
      <c r="T13" s="311"/>
      <c r="U13" s="311"/>
      <c r="V13" s="311"/>
    </row>
    <row r="14" spans="2:22" x14ac:dyDescent="0.25">
      <c r="B14" s="9" t="s">
        <v>329</v>
      </c>
      <c r="C14" s="9" t="s">
        <v>263</v>
      </c>
      <c r="D14" s="9"/>
      <c r="E14" s="9"/>
      <c r="F14" s="9"/>
      <c r="G14" s="9"/>
      <c r="H14" s="202">
        <f>('3.1.2 CAPEX-Exclusivas'!C45+'3.1.2 CAPEX-Exclusivas'!C48+'3.1.2 CAPEX-Exclusivas'!C49+'3.2.3 CAPEX-Comunes'!C33)*G9</f>
        <v>12174222.766394179</v>
      </c>
      <c r="I14" s="202">
        <f>(('3.1.2 CAPEX-Exclusivas'!D45+'3.1.2 CAPEX-Exclusivas'!D48+'3.1.2 CAPEX-Exclusivas'!D49+'3.2.3 CAPEX-Comunes'!D33)/I5)*G9</f>
        <v>1216796.4399059988</v>
      </c>
      <c r="J14" s="202">
        <f>(('3.1.2 CAPEX-Exclusivas'!E45+'3.1.2 CAPEX-Exclusivas'!E48+'3.1.2 CAPEX-Exclusivas'!E49+'3.2.3 CAPEX-Comunes'!E33)/J5)*G9</f>
        <v>198045.62588816899</v>
      </c>
      <c r="K14" s="9"/>
      <c r="L14" s="9"/>
      <c r="M14" s="9"/>
      <c r="N14" s="9"/>
      <c r="T14" s="311"/>
      <c r="U14" s="311"/>
      <c r="V14" s="311"/>
    </row>
    <row r="15" spans="2:22" x14ac:dyDescent="0.25">
      <c r="B15" s="9" t="s">
        <v>258</v>
      </c>
      <c r="C15" s="9" t="s">
        <v>258</v>
      </c>
      <c r="D15" s="9"/>
      <c r="E15" s="9"/>
      <c r="F15" s="9"/>
      <c r="G15" s="9"/>
      <c r="H15" s="202">
        <f>+'3.1.2 CAPEX-Exclusivas'!C47*G9</f>
        <v>336520.41711474088</v>
      </c>
      <c r="I15" s="202">
        <f>((+'3.1.2 CAPEX-Exclusivas'!D47)/I5)*G9</f>
        <v>33634.742304142943</v>
      </c>
      <c r="J15" s="202">
        <f>(('3.1.2 CAPEX-Exclusivas'!E47)/J5)*G9</f>
        <v>5474.3861608650532</v>
      </c>
      <c r="K15" s="9"/>
      <c r="L15" s="9"/>
      <c r="M15" s="9"/>
      <c r="N15" s="9"/>
      <c r="T15" s="311"/>
      <c r="U15" s="311"/>
      <c r="V15" s="311"/>
    </row>
    <row r="16" spans="2:22" ht="5.0999999999999996" customHeight="1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T16" s="311"/>
      <c r="U16" s="311"/>
      <c r="V16" s="311"/>
    </row>
    <row r="17" spans="2:14" x14ac:dyDescent="0.25">
      <c r="B17" s="200" t="s">
        <v>1</v>
      </c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</row>
    <row r="18" spans="2:14" x14ac:dyDescent="0.25">
      <c r="B18" s="9" t="s">
        <v>262</v>
      </c>
      <c r="C18" s="9" t="s">
        <v>262</v>
      </c>
      <c r="D18" s="9"/>
      <c r="E18" s="9"/>
      <c r="F18" s="9"/>
      <c r="G18" s="9"/>
      <c r="H18" s="202">
        <f>(+'3.1.2 CAPEX-Exclusivas'!C56+'3.1.2 CAPEX-Exclusivas'!C58+'3.2.3 CAPEX-Comunes'!C40+'3.3 CAPEX Indirecto'!D35)*G9</f>
        <v>6346363.4240604918</v>
      </c>
      <c r="I18" s="202">
        <f>(('3.1.2 CAPEX-Exclusivas'!D56+'3.1.2 CAPEX-Exclusivas'!D58+'3.2.3 CAPEX-Comunes'!D40+'3.3 CAPEX Indirecto'!E35)/I5)*G9</f>
        <v>634310.09674498171</v>
      </c>
      <c r="J18" s="202">
        <f>(('3.1.2 CAPEX-Exclusivas'!E56+'3.1.2 CAPEX-Exclusivas'!E58+'3.2.3 CAPEX-Comunes'!E40+'3.3 CAPEX Indirecto'!F35)/J5)*G9</f>
        <v>103240.22654664378</v>
      </c>
      <c r="K18" s="9"/>
      <c r="L18" s="9"/>
      <c r="M18" s="9"/>
      <c r="N18" s="9"/>
    </row>
    <row r="19" spans="2:14" x14ac:dyDescent="0.25">
      <c r="B19" s="9" t="s">
        <v>329</v>
      </c>
      <c r="C19" s="9" t="s">
        <v>263</v>
      </c>
      <c r="D19" s="9"/>
      <c r="E19" s="9"/>
      <c r="F19" s="9"/>
      <c r="G19" s="9"/>
      <c r="H19" s="202">
        <f>(+'3.1.2 CAPEX-Exclusivas'!C57+'3.1.2 CAPEX-Exclusivas'!C60+'3.2.3 CAPEX-Comunes'!C41)*G9</f>
        <v>1205263.3074851274</v>
      </c>
      <c r="I19" s="202">
        <f>(('3.1.2 CAPEX-Exclusivas'!D57+'3.1.2 CAPEX-Exclusivas'!D60+'3.2.3 CAPEX-Comunes'!D41)/I5)*G9</f>
        <v>120464.37212776623</v>
      </c>
      <c r="J19" s="202">
        <f>(('3.1.2 CAPEX-Exclusivas'!E57+'3.1.2 CAPEX-Exclusivas'!E60+'3.2.3 CAPEX-Comunes'!E41)/J5)*G9</f>
        <v>19606.765102889211</v>
      </c>
      <c r="K19" s="9"/>
      <c r="L19" s="9"/>
      <c r="M19" s="9"/>
      <c r="N19" s="9"/>
    </row>
    <row r="20" spans="2:14" x14ac:dyDescent="0.25">
      <c r="B20" s="9" t="s">
        <v>258</v>
      </c>
      <c r="C20" s="9" t="s">
        <v>258</v>
      </c>
      <c r="D20" s="9"/>
      <c r="E20" s="9"/>
      <c r="F20" s="9"/>
      <c r="G20" s="9"/>
      <c r="H20" s="202">
        <f>('3.1.2 CAPEX-Exclusivas'!C59)*G9</f>
        <v>336520.41711474088</v>
      </c>
      <c r="I20" s="202">
        <f>(('3.1.2 CAPEX-Exclusivas'!D59)/I5)*G9</f>
        <v>33634.742304142943</v>
      </c>
      <c r="J20" s="202">
        <f>(('3.1.2 CAPEX-Exclusivas'!E59)/J5)*G9</f>
        <v>5474.3861608650532</v>
      </c>
      <c r="K20" s="9"/>
      <c r="L20" s="9"/>
      <c r="M20" s="9"/>
      <c r="N20" s="9"/>
    </row>
    <row r="21" spans="2:14" ht="5.0999999999999996" customHeight="1" x14ac:dyDescent="0.25">
      <c r="B21" s="9"/>
      <c r="C21" s="9"/>
      <c r="D21" s="9"/>
      <c r="E21" s="9"/>
      <c r="F21" s="9"/>
      <c r="G21" s="9"/>
      <c r="H21" s="202"/>
      <c r="I21" s="202"/>
      <c r="J21" s="202"/>
      <c r="K21" s="9"/>
      <c r="L21" s="9"/>
      <c r="M21" s="9"/>
      <c r="N21" s="9"/>
    </row>
    <row r="22" spans="2:14" x14ac:dyDescent="0.25">
      <c r="B22" s="53" t="s">
        <v>550</v>
      </c>
      <c r="C22" s="53"/>
      <c r="D22" s="53"/>
      <c r="E22" s="53"/>
      <c r="F22" s="53"/>
      <c r="G22" s="53"/>
      <c r="H22" s="98">
        <f>SUM(H12:H20)</f>
        <v>52310852.904528007</v>
      </c>
      <c r="I22" s="98">
        <f t="shared" ref="I22:N22" si="1">SUM(I12:I20)</f>
        <v>5228396.1616326403</v>
      </c>
      <c r="J22" s="98">
        <f t="shared" si="1"/>
        <v>850973.060294152</v>
      </c>
      <c r="K22" s="98">
        <f t="shared" si="1"/>
        <v>0</v>
      </c>
      <c r="L22" s="98">
        <f t="shared" si="1"/>
        <v>0</v>
      </c>
      <c r="M22" s="98">
        <f t="shared" si="1"/>
        <v>0</v>
      </c>
      <c r="N22" s="98">
        <f t="shared" si="1"/>
        <v>0</v>
      </c>
    </row>
    <row r="23" spans="2:14" ht="5.0999999999999996" customHeight="1" x14ac:dyDescent="0.25"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</row>
    <row r="24" spans="2:14" x14ac:dyDescent="0.25">
      <c r="B24" s="53" t="s">
        <v>551</v>
      </c>
      <c r="C24" s="53"/>
      <c r="D24" s="53"/>
      <c r="E24" s="53"/>
      <c r="F24" s="53"/>
      <c r="G24" s="53"/>
      <c r="H24" s="98">
        <f>+H22</f>
        <v>52310852.904528007</v>
      </c>
      <c r="I24" s="98">
        <f>+H24+I22</f>
        <v>57539249.066160649</v>
      </c>
      <c r="J24" s="98">
        <f t="shared" ref="J24:N24" si="2">+I24+J22</f>
        <v>58390222.1264548</v>
      </c>
      <c r="K24" s="98">
        <f t="shared" si="2"/>
        <v>58390222.1264548</v>
      </c>
      <c r="L24" s="98">
        <f t="shared" si="2"/>
        <v>58390222.1264548</v>
      </c>
      <c r="M24" s="98">
        <f t="shared" si="2"/>
        <v>58390222.1264548</v>
      </c>
      <c r="N24" s="98">
        <f t="shared" si="2"/>
        <v>58390222.1264548</v>
      </c>
    </row>
    <row r="25" spans="2:14" x14ac:dyDescent="0.2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2:14" x14ac:dyDescent="0.25">
      <c r="B26" s="203" t="s">
        <v>552</v>
      </c>
      <c r="C26" s="204"/>
      <c r="D26" s="204"/>
      <c r="E26" s="204"/>
      <c r="F26" s="204"/>
      <c r="G26" s="204"/>
      <c r="H26" s="96"/>
      <c r="I26" s="96"/>
      <c r="J26" s="96"/>
      <c r="K26" s="96"/>
      <c r="L26" s="96"/>
      <c r="M26" s="96"/>
      <c r="N26" s="96"/>
    </row>
    <row r="27" spans="2:14" x14ac:dyDescent="0.25">
      <c r="B27" s="52" t="s">
        <v>549</v>
      </c>
      <c r="C27" s="52" t="s">
        <v>553</v>
      </c>
      <c r="D27" s="52"/>
      <c r="E27" s="52" t="s">
        <v>554</v>
      </c>
      <c r="F27" s="52"/>
      <c r="G27" s="52"/>
      <c r="H27" s="52">
        <v>2024</v>
      </c>
      <c r="I27" s="52">
        <v>2025</v>
      </c>
      <c r="J27" s="52">
        <f t="shared" ref="J27:N28" si="3">+I27+1</f>
        <v>2026</v>
      </c>
      <c r="K27" s="52">
        <f t="shared" si="3"/>
        <v>2027</v>
      </c>
      <c r="L27" s="52">
        <f t="shared" si="3"/>
        <v>2028</v>
      </c>
      <c r="M27" s="52">
        <f t="shared" si="3"/>
        <v>2029</v>
      </c>
      <c r="N27" s="52">
        <f t="shared" si="3"/>
        <v>2030</v>
      </c>
    </row>
    <row r="28" spans="2:14" ht="5.0999999999999996" customHeight="1" x14ac:dyDescent="0.25">
      <c r="B28" s="205"/>
      <c r="C28" s="205"/>
      <c r="D28" s="205"/>
      <c r="E28" s="205"/>
      <c r="F28" s="205"/>
      <c r="G28" s="205"/>
      <c r="H28" s="198">
        <v>1</v>
      </c>
      <c r="I28" s="198">
        <f t="shared" ref="I28:L28" si="4">+H28+1</f>
        <v>2</v>
      </c>
      <c r="J28" s="198">
        <f t="shared" si="4"/>
        <v>3</v>
      </c>
      <c r="K28" s="198">
        <f t="shared" si="4"/>
        <v>4</v>
      </c>
      <c r="L28" s="198">
        <f t="shared" si="4"/>
        <v>5</v>
      </c>
      <c r="M28" s="198">
        <f t="shared" si="3"/>
        <v>6</v>
      </c>
      <c r="N28" s="198">
        <f t="shared" si="3"/>
        <v>7</v>
      </c>
    </row>
    <row r="29" spans="2:14" x14ac:dyDescent="0.25">
      <c r="B29" s="200" t="s">
        <v>0</v>
      </c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</row>
    <row r="30" spans="2:14" ht="5.0999999999999996" customHeight="1" x14ac:dyDescent="0.25">
      <c r="B30" s="205"/>
      <c r="C30" s="205"/>
      <c r="D30" s="205"/>
      <c r="E30" s="205"/>
      <c r="F30" s="205"/>
      <c r="G30" s="205"/>
      <c r="H30" s="206"/>
      <c r="I30" s="9"/>
      <c r="J30" s="9"/>
      <c r="K30" s="9"/>
      <c r="L30" s="9"/>
      <c r="M30" s="9"/>
      <c r="N30" s="9"/>
    </row>
    <row r="31" spans="2:14" hidden="1" outlineLevel="1" x14ac:dyDescent="0.25">
      <c r="B31" s="207" t="s">
        <v>262</v>
      </c>
      <c r="C31" s="208"/>
      <c r="D31" s="208"/>
      <c r="E31" s="208">
        <f>SUM(E32:E35)</f>
        <v>35620650.011039056</v>
      </c>
      <c r="F31" s="208"/>
      <c r="G31" s="209"/>
      <c r="H31" s="208">
        <f t="shared" ref="H31:N31" si="5">SUM(H32:H35)</f>
        <v>0</v>
      </c>
      <c r="I31" s="208">
        <f t="shared" si="5"/>
        <v>1525123.125007482</v>
      </c>
      <c r="J31" s="208">
        <f t="shared" si="5"/>
        <v>2220580.585920067</v>
      </c>
      <c r="K31" s="208">
        <f t="shared" si="5"/>
        <v>2257344.8582733213</v>
      </c>
      <c r="L31" s="208">
        <f t="shared" si="5"/>
        <v>2257344.8582733213</v>
      </c>
      <c r="M31" s="208">
        <f t="shared" si="5"/>
        <v>2257344.8582733213</v>
      </c>
      <c r="N31" s="208">
        <f t="shared" si="5"/>
        <v>2257344.8582733213</v>
      </c>
    </row>
    <row r="32" spans="2:14" hidden="1" outlineLevel="1" x14ac:dyDescent="0.25">
      <c r="B32" s="99">
        <v>1</v>
      </c>
      <c r="C32" s="210">
        <f>+(365-31-28-29)/365+15+(31+13)/365</f>
        <v>15.879452054794521</v>
      </c>
      <c r="D32" s="211"/>
      <c r="E32" s="211">
        <f>SUMIF($B$12:$B$16,$B$31,$H$12:$H$16)</f>
        <v>31911962.572358724</v>
      </c>
      <c r="F32" s="211"/>
      <c r="G32" s="212"/>
      <c r="H32" s="212"/>
      <c r="I32" s="72">
        <f>IF($C32&lt;I$28-$B32,0,$E32/$C32)*'1. Demanda'!$C$19/'1. Demanda'!$C$20</f>
        <v>1525123.125007482</v>
      </c>
      <c r="J32" s="72">
        <f t="shared" ref="J32:N33" si="6">IF($C32&lt;J$28-$B32,0,$E32/$C32)</f>
        <v>2009638.7748293537</v>
      </c>
      <c r="K32" s="72">
        <f t="shared" si="6"/>
        <v>2009638.7748293537</v>
      </c>
      <c r="L32" s="72">
        <f t="shared" si="6"/>
        <v>2009638.7748293537</v>
      </c>
      <c r="M32" s="72">
        <f t="shared" si="6"/>
        <v>2009638.7748293537</v>
      </c>
      <c r="N32" s="72">
        <f t="shared" si="6"/>
        <v>2009638.7748293537</v>
      </c>
    </row>
    <row r="33" spans="2:14" hidden="1" outlineLevel="1" x14ac:dyDescent="0.25">
      <c r="B33" s="99">
        <v>2</v>
      </c>
      <c r="C33" s="210">
        <f>15+(31+13)/365</f>
        <v>15.12054794520548</v>
      </c>
      <c r="D33" s="211"/>
      <c r="E33" s="211">
        <f>SUMIF($B$12:$B$16,$B$31,$I$12:$I$16)</f>
        <v>3189555.768245609</v>
      </c>
      <c r="F33" s="211"/>
      <c r="G33" s="212"/>
      <c r="H33" s="212"/>
      <c r="I33" s="212"/>
      <c r="J33" s="72">
        <f t="shared" si="6"/>
        <v>210941.8110907134</v>
      </c>
      <c r="K33" s="72">
        <f t="shared" si="6"/>
        <v>210941.8110907134</v>
      </c>
      <c r="L33" s="72">
        <f t="shared" si="6"/>
        <v>210941.8110907134</v>
      </c>
      <c r="M33" s="72">
        <f t="shared" si="6"/>
        <v>210941.8110907134</v>
      </c>
      <c r="N33" s="72">
        <f t="shared" si="6"/>
        <v>210941.8110907134</v>
      </c>
    </row>
    <row r="34" spans="2:14" hidden="1" outlineLevel="1" x14ac:dyDescent="0.25">
      <c r="B34" s="99">
        <v>3</v>
      </c>
      <c r="C34" s="210">
        <f>14+(31+13)/365</f>
        <v>14.12054794520548</v>
      </c>
      <c r="D34" s="211"/>
      <c r="E34" s="211">
        <f>SUMIF($B$12:$B$16,$B$31,$J$12:$J$16)</f>
        <v>519131.67043471988</v>
      </c>
      <c r="F34" s="211"/>
      <c r="G34" s="212"/>
      <c r="H34" s="212"/>
      <c r="I34" s="212"/>
      <c r="J34" s="212"/>
      <c r="K34" s="72">
        <f>IF($C34&lt;K$28-$B34,0,$E34/$C34)</f>
        <v>36764.272353254317</v>
      </c>
      <c r="L34" s="72">
        <f>IF($C34&lt;L$28-$B34,0,$E34/$C34)</f>
        <v>36764.272353254317</v>
      </c>
      <c r="M34" s="72">
        <f>IF($C34&lt;M$28-$B34,0,$E34/$C34)</f>
        <v>36764.272353254317</v>
      </c>
      <c r="N34" s="72">
        <f>IF($C34&lt;N$28-$B34,0,$E34/$C34)</f>
        <v>36764.272353254317</v>
      </c>
    </row>
    <row r="35" spans="2:14" ht="5.0999999999999996" hidden="1" customHeight="1" outlineLevel="1" x14ac:dyDescent="0.25">
      <c r="B35" s="99"/>
      <c r="C35" s="99"/>
      <c r="D35" s="211"/>
      <c r="E35" s="211"/>
      <c r="F35" s="211"/>
      <c r="G35" s="212"/>
      <c r="H35" s="212"/>
      <c r="I35" s="212"/>
      <c r="J35" s="212"/>
      <c r="K35" s="212"/>
      <c r="L35" s="212"/>
      <c r="M35" s="212"/>
      <c r="N35" s="212"/>
    </row>
    <row r="36" spans="2:14" hidden="1" outlineLevel="1" x14ac:dyDescent="0.25">
      <c r="B36" s="207" t="s">
        <v>329</v>
      </c>
      <c r="C36" s="208"/>
      <c r="D36" s="208"/>
      <c r="E36" s="208">
        <f>SUM(E37:E40)</f>
        <v>13589064.832188347</v>
      </c>
      <c r="F36" s="208"/>
      <c r="G36" s="209"/>
      <c r="H36" s="208">
        <f t="shared" ref="H36:N36" si="7">SUM(H37:H40)</f>
        <v>0</v>
      </c>
      <c r="I36" s="208">
        <f t="shared" si="7"/>
        <v>923906.76884690078</v>
      </c>
      <c r="J36" s="208">
        <f t="shared" si="7"/>
        <v>1339101.9206300178</v>
      </c>
      <c r="K36" s="208">
        <f t="shared" si="7"/>
        <v>1358906.4832188347</v>
      </c>
      <c r="L36" s="208">
        <f t="shared" si="7"/>
        <v>1358906.4832188347</v>
      </c>
      <c r="M36" s="208">
        <f t="shared" si="7"/>
        <v>1358906.4832188347</v>
      </c>
      <c r="N36" s="208">
        <f t="shared" si="7"/>
        <v>1358906.4832188347</v>
      </c>
    </row>
    <row r="37" spans="2:14" hidden="1" outlineLevel="1" x14ac:dyDescent="0.25">
      <c r="B37" s="99">
        <v>1</v>
      </c>
      <c r="C37" s="99">
        <v>10</v>
      </c>
      <c r="D37" s="211"/>
      <c r="E37" s="211">
        <f>SUMIF($B$12:$B$16,$B$36,$H$12:$H$16)</f>
        <v>12174222.766394179</v>
      </c>
      <c r="F37" s="211"/>
      <c r="G37" s="212"/>
      <c r="H37" s="212"/>
      <c r="I37" s="72">
        <f>IF($C37&lt;I$28-$B37,0,$E37/$C37)*'1. Demanda'!$C$19/'1. Demanda'!$C$20</f>
        <v>923906.76884690078</v>
      </c>
      <c r="J37" s="72">
        <f>IF($C37&lt;J$28-$B37,0,$E37/$C37)</f>
        <v>1217422.276639418</v>
      </c>
      <c r="K37" s="72">
        <f t="shared" ref="K37:N39" si="8">IF($C37&lt;K$28-$B37,0,$E37/$C37)</f>
        <v>1217422.276639418</v>
      </c>
      <c r="L37" s="72">
        <f t="shared" si="8"/>
        <v>1217422.276639418</v>
      </c>
      <c r="M37" s="72">
        <f t="shared" si="8"/>
        <v>1217422.276639418</v>
      </c>
      <c r="N37" s="72">
        <f t="shared" si="8"/>
        <v>1217422.276639418</v>
      </c>
    </row>
    <row r="38" spans="2:14" hidden="1" outlineLevel="1" x14ac:dyDescent="0.25">
      <c r="B38" s="99">
        <v>2</v>
      </c>
      <c r="C38" s="99">
        <v>10</v>
      </c>
      <c r="D38" s="211"/>
      <c r="E38" s="211">
        <f>SUMIF($B$12:$B$16,$B$36,$I$12:$I$16)</f>
        <v>1216796.4399059988</v>
      </c>
      <c r="F38" s="211"/>
      <c r="G38" s="212"/>
      <c r="H38" s="212"/>
      <c r="I38" s="212"/>
      <c r="J38" s="72">
        <f>IF($C38&lt;J$28-$B38,0,$E38/$C38)</f>
        <v>121679.64399059987</v>
      </c>
      <c r="K38" s="72">
        <f t="shared" si="8"/>
        <v>121679.64399059987</v>
      </c>
      <c r="L38" s="72">
        <f t="shared" si="8"/>
        <v>121679.64399059987</v>
      </c>
      <c r="M38" s="72">
        <f t="shared" si="8"/>
        <v>121679.64399059987</v>
      </c>
      <c r="N38" s="72">
        <f t="shared" si="8"/>
        <v>121679.64399059987</v>
      </c>
    </row>
    <row r="39" spans="2:14" hidden="1" outlineLevel="1" x14ac:dyDescent="0.25">
      <c r="B39" s="99">
        <v>3</v>
      </c>
      <c r="C39" s="99">
        <v>10</v>
      </c>
      <c r="D39" s="211"/>
      <c r="E39" s="211">
        <f>SUMIF($B$12:$B$16,$B$36,$J$12:$J$16)</f>
        <v>198045.62588816899</v>
      </c>
      <c r="F39" s="211"/>
      <c r="G39" s="212"/>
      <c r="H39" s="212"/>
      <c r="I39" s="212"/>
      <c r="J39" s="212"/>
      <c r="K39" s="72">
        <f>IF($C39&lt;K$28-$B39,0,$E39/$C39)</f>
        <v>19804.562588816898</v>
      </c>
      <c r="L39" s="72">
        <f t="shared" si="8"/>
        <v>19804.562588816898</v>
      </c>
      <c r="M39" s="72">
        <f t="shared" si="8"/>
        <v>19804.562588816898</v>
      </c>
      <c r="N39" s="72">
        <f t="shared" si="8"/>
        <v>19804.562588816898</v>
      </c>
    </row>
    <row r="40" spans="2:14" ht="5.0999999999999996" hidden="1" customHeight="1" outlineLevel="1" x14ac:dyDescent="0.25">
      <c r="B40" s="99"/>
      <c r="C40" s="99"/>
      <c r="D40" s="211"/>
      <c r="E40" s="211"/>
      <c r="F40" s="211"/>
      <c r="G40" s="212"/>
      <c r="H40" s="212"/>
      <c r="I40" s="212"/>
      <c r="J40" s="212"/>
      <c r="K40" s="212"/>
      <c r="L40" s="212"/>
      <c r="M40" s="212"/>
      <c r="N40" s="212"/>
    </row>
    <row r="41" spans="2:14" hidden="1" outlineLevel="1" x14ac:dyDescent="0.25">
      <c r="B41" s="207" t="s">
        <v>258</v>
      </c>
      <c r="C41" s="208"/>
      <c r="D41" s="208"/>
      <c r="E41" s="208">
        <f>SUM(E42:E45)</f>
        <v>375629.54557974893</v>
      </c>
      <c r="F41" s="208"/>
      <c r="G41" s="209"/>
      <c r="H41" s="208">
        <f t="shared" ref="H41:N41" si="9">SUM(H42:H45)</f>
        <v>0</v>
      </c>
      <c r="I41" s="208">
        <f t="shared" si="9"/>
        <v>17025.781833933012</v>
      </c>
      <c r="J41" s="208">
        <f t="shared" si="9"/>
        <v>24677.010627925589</v>
      </c>
      <c r="K41" s="208">
        <f t="shared" si="9"/>
        <v>25064.699985456777</v>
      </c>
      <c r="L41" s="208">
        <f t="shared" si="9"/>
        <v>25064.699985456777</v>
      </c>
      <c r="M41" s="208">
        <f t="shared" si="9"/>
        <v>25064.699985456777</v>
      </c>
      <c r="N41" s="208">
        <f t="shared" si="9"/>
        <v>25064.699985456777</v>
      </c>
    </row>
    <row r="42" spans="2:14" hidden="1" outlineLevel="1" x14ac:dyDescent="0.25">
      <c r="B42" s="99">
        <v>1</v>
      </c>
      <c r="C42" s="210">
        <v>15</v>
      </c>
      <c r="D42" s="211"/>
      <c r="E42" s="211">
        <f>SUMIF($B$12:$B$16,$B$41,$H$12:$H$16)</f>
        <v>336520.41711474088</v>
      </c>
      <c r="F42" s="211"/>
      <c r="G42" s="212"/>
      <c r="H42" s="212"/>
      <c r="I42" s="72">
        <f>IF($C42&lt;I$28-$B42,0,$E42/$C42)*'1. Demanda'!$C$19/'1. Demanda'!$C$20</f>
        <v>17025.781833933012</v>
      </c>
      <c r="J42" s="72">
        <f>IF($C42&lt;J$28-$B42,0,$E42/$C42)</f>
        <v>22434.69447431606</v>
      </c>
      <c r="K42" s="72">
        <f t="shared" ref="K42:N44" si="10">IF($C42&lt;K$28-$B42,0,$E42/$C42)</f>
        <v>22434.69447431606</v>
      </c>
      <c r="L42" s="72">
        <f t="shared" si="10"/>
        <v>22434.69447431606</v>
      </c>
      <c r="M42" s="72">
        <f t="shared" si="10"/>
        <v>22434.69447431606</v>
      </c>
      <c r="N42" s="72">
        <f t="shared" si="10"/>
        <v>22434.69447431606</v>
      </c>
    </row>
    <row r="43" spans="2:14" hidden="1" outlineLevel="1" x14ac:dyDescent="0.25">
      <c r="B43" s="99">
        <v>2</v>
      </c>
      <c r="C43" s="210">
        <v>15</v>
      </c>
      <c r="D43" s="211"/>
      <c r="E43" s="211">
        <f>SUMIF($B$12:$B$16,$B$41,$I$12:$I$16)</f>
        <v>33634.742304142943</v>
      </c>
      <c r="F43" s="211"/>
      <c r="G43" s="212"/>
      <c r="H43" s="212"/>
      <c r="I43" s="212"/>
      <c r="J43" s="72">
        <f>IF($C43&lt;J$28-$B43,0,$E43/$C43)</f>
        <v>2242.3161536095295</v>
      </c>
      <c r="K43" s="72">
        <f t="shared" si="10"/>
        <v>2242.3161536095295</v>
      </c>
      <c r="L43" s="72">
        <f t="shared" si="10"/>
        <v>2242.3161536095295</v>
      </c>
      <c r="M43" s="72">
        <f t="shared" si="10"/>
        <v>2242.3161536095295</v>
      </c>
      <c r="N43" s="72">
        <f t="shared" si="10"/>
        <v>2242.3161536095295</v>
      </c>
    </row>
    <row r="44" spans="2:14" hidden="1" outlineLevel="1" x14ac:dyDescent="0.25">
      <c r="B44" s="99">
        <v>3</v>
      </c>
      <c r="C44" s="210">
        <f>14+(31+13)/365</f>
        <v>14.12054794520548</v>
      </c>
      <c r="D44" s="211"/>
      <c r="E44" s="211">
        <f>SUMIF($B$12:$B$16,$B$41,$J$12:$J$16)</f>
        <v>5474.3861608650532</v>
      </c>
      <c r="F44" s="211"/>
      <c r="G44" s="212"/>
      <c r="H44" s="212"/>
      <c r="I44" s="212"/>
      <c r="J44" s="212"/>
      <c r="K44" s="72">
        <f>IF($C44&lt;K$28-$B44,0,$E44/$C44)</f>
        <v>387.68935753118825</v>
      </c>
      <c r="L44" s="72">
        <f t="shared" si="10"/>
        <v>387.68935753118825</v>
      </c>
      <c r="M44" s="72">
        <f t="shared" si="10"/>
        <v>387.68935753118825</v>
      </c>
      <c r="N44" s="72">
        <f t="shared" si="10"/>
        <v>387.68935753118825</v>
      </c>
    </row>
    <row r="45" spans="2:14" ht="5.0999999999999996" hidden="1" customHeight="1" outlineLevel="1" x14ac:dyDescent="0.25">
      <c r="B45" s="99"/>
      <c r="C45" s="99"/>
      <c r="D45" s="211"/>
      <c r="E45" s="211"/>
      <c r="F45" s="211"/>
      <c r="G45" s="212"/>
      <c r="H45" s="212"/>
      <c r="I45" s="212"/>
      <c r="J45" s="212"/>
      <c r="K45" s="212"/>
      <c r="L45" s="212"/>
      <c r="M45" s="212"/>
      <c r="N45" s="212"/>
    </row>
    <row r="46" spans="2:14" collapsed="1" x14ac:dyDescent="0.25">
      <c r="B46" s="53" t="s">
        <v>555</v>
      </c>
      <c r="C46" s="53"/>
      <c r="D46" s="53"/>
      <c r="E46" s="53"/>
      <c r="F46" s="98"/>
      <c r="G46" s="98"/>
      <c r="H46" s="98">
        <f t="shared" ref="H46:N46" si="11">+H31+H36+H41</f>
        <v>0</v>
      </c>
      <c r="I46" s="98">
        <f t="shared" si="11"/>
        <v>2466055.6756883161</v>
      </c>
      <c r="J46" s="98">
        <f t="shared" si="11"/>
        <v>3584359.5171780102</v>
      </c>
      <c r="K46" s="98">
        <f t="shared" si="11"/>
        <v>3641316.0414776127</v>
      </c>
      <c r="L46" s="98">
        <f t="shared" si="11"/>
        <v>3641316.0414776127</v>
      </c>
      <c r="M46" s="98">
        <f t="shared" si="11"/>
        <v>3641316.0414776127</v>
      </c>
      <c r="N46" s="98">
        <f t="shared" si="11"/>
        <v>3641316.0414776127</v>
      </c>
    </row>
    <row r="47" spans="2:14" ht="5.0999999999999996" customHeight="1" x14ac:dyDescent="0.25">
      <c r="B47" s="199"/>
      <c r="C47" s="199"/>
      <c r="D47" s="199"/>
      <c r="E47" s="199"/>
      <c r="F47" s="213"/>
      <c r="G47" s="213"/>
      <c r="H47" s="199"/>
      <c r="I47" s="199"/>
      <c r="J47" s="199"/>
      <c r="K47" s="199"/>
      <c r="L47" s="199"/>
      <c r="M47" s="199"/>
      <c r="N47" s="199"/>
    </row>
    <row r="48" spans="2:14" x14ac:dyDescent="0.25">
      <c r="B48" s="53" t="s">
        <v>556</v>
      </c>
      <c r="C48" s="53"/>
      <c r="D48" s="53"/>
      <c r="E48" s="53"/>
      <c r="F48" s="98"/>
      <c r="G48" s="98"/>
      <c r="H48" s="98">
        <f>+H46</f>
        <v>0</v>
      </c>
      <c r="I48" s="98">
        <f>+H48+I46</f>
        <v>2466055.6756883161</v>
      </c>
      <c r="J48" s="98">
        <f t="shared" ref="J48:N48" si="12">+I48+J46</f>
        <v>6050415.1928663263</v>
      </c>
      <c r="K48" s="98">
        <f t="shared" si="12"/>
        <v>9691731.2343439385</v>
      </c>
      <c r="L48" s="98">
        <f t="shared" si="12"/>
        <v>13333047.275821552</v>
      </c>
      <c r="M48" s="98">
        <f t="shared" si="12"/>
        <v>16974363.317299165</v>
      </c>
      <c r="N48" s="98">
        <f t="shared" si="12"/>
        <v>20615679.358776778</v>
      </c>
    </row>
    <row r="49" spans="2:14" ht="5.0999999999999996" customHeight="1" x14ac:dyDescent="0.25">
      <c r="B49" s="205"/>
      <c r="C49" s="205"/>
      <c r="D49" s="205"/>
      <c r="E49" s="205"/>
      <c r="F49" s="205"/>
      <c r="G49" s="205"/>
      <c r="H49" s="198">
        <v>1</v>
      </c>
      <c r="I49" s="198">
        <f t="shared" ref="I49" si="13">+H49+1</f>
        <v>2</v>
      </c>
      <c r="J49" s="198">
        <f t="shared" ref="J49" si="14">+I49+1</f>
        <v>3</v>
      </c>
      <c r="K49" s="198">
        <f t="shared" ref="K49" si="15">+J49+1</f>
        <v>4</v>
      </c>
      <c r="L49" s="198">
        <f t="shared" ref="L49" si="16">+K49+1</f>
        <v>5</v>
      </c>
      <c r="M49" s="198">
        <f t="shared" ref="M49" si="17">+L49+1</f>
        <v>6</v>
      </c>
      <c r="N49" s="198">
        <f t="shared" ref="N49" si="18">+M49+1</f>
        <v>7</v>
      </c>
    </row>
    <row r="50" spans="2:14" x14ac:dyDescent="0.25">
      <c r="B50" s="200" t="s">
        <v>1</v>
      </c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</row>
    <row r="51" spans="2:14" ht="5.0999999999999996" customHeight="1" x14ac:dyDescent="0.25">
      <c r="B51" s="205"/>
      <c r="C51" s="205"/>
      <c r="D51" s="205"/>
      <c r="E51" s="205"/>
      <c r="F51" s="205"/>
      <c r="G51" s="205"/>
      <c r="H51" s="206"/>
      <c r="I51" s="9"/>
      <c r="J51" s="9"/>
      <c r="K51" s="9"/>
      <c r="L51" s="9"/>
      <c r="M51" s="9"/>
      <c r="N51" s="9"/>
    </row>
    <row r="52" spans="2:14" hidden="1" outlineLevel="1" x14ac:dyDescent="0.25">
      <c r="B52" s="207" t="s">
        <v>262</v>
      </c>
      <c r="C52" s="208"/>
      <c r="D52" s="208"/>
      <c r="E52" s="208">
        <f>SUM(E53:E56)</f>
        <v>7083913.7473521177</v>
      </c>
      <c r="F52" s="208"/>
      <c r="G52" s="209"/>
      <c r="H52" s="208">
        <f t="shared" ref="H52" si="19">SUM(H53:H56)</f>
        <v>0</v>
      </c>
      <c r="I52" s="208">
        <f t="shared" ref="I52" si="20">SUM(I53:I56)</f>
        <v>303302.73783035821</v>
      </c>
      <c r="J52" s="208">
        <f t="shared" ref="J52" si="21">SUM(J53:J56)</f>
        <v>441609.04797715473</v>
      </c>
      <c r="K52" s="208">
        <f t="shared" ref="K52" si="22">SUM(K53:K56)</f>
        <v>448920.39502595662</v>
      </c>
      <c r="L52" s="208">
        <f t="shared" ref="L52" si="23">SUM(L53:L56)</f>
        <v>448920.39502595662</v>
      </c>
      <c r="M52" s="208">
        <f t="shared" ref="M52" si="24">SUM(M53:M56)</f>
        <v>448920.39502595662</v>
      </c>
      <c r="N52" s="208">
        <f t="shared" ref="N52" si="25">SUM(N53:N56)</f>
        <v>448920.39502595662</v>
      </c>
    </row>
    <row r="53" spans="2:14" hidden="1" outlineLevel="1" x14ac:dyDescent="0.25">
      <c r="B53" s="99">
        <v>1</v>
      </c>
      <c r="C53" s="210">
        <f>+(365-31-28-29)/365+15+(31+13)/365</f>
        <v>15.879452054794521</v>
      </c>
      <c r="D53" s="211"/>
      <c r="E53" s="211">
        <f>SUMIF($B$17:$B$21,$B$52,$H$17:$H$21)</f>
        <v>6346363.4240604918</v>
      </c>
      <c r="F53" s="211"/>
      <c r="G53" s="212"/>
      <c r="H53" s="212"/>
      <c r="I53" s="72">
        <f>IF($C53&lt;I$28-$B53,0,$E53/$C53)*'1. Demanda'!$C$19/'1. Demanda'!$C$20</f>
        <v>303302.73783035821</v>
      </c>
      <c r="J53" s="72">
        <f>IF($C53&lt;J$28-$B53,0,$E53/$C53)</f>
        <v>399658.84226743953</v>
      </c>
      <c r="K53" s="72">
        <f t="shared" ref="K53:N55" si="26">IF($C53&lt;K$28-$B53,0,$E53/$C53)</f>
        <v>399658.84226743953</v>
      </c>
      <c r="L53" s="72">
        <f t="shared" si="26"/>
        <v>399658.84226743953</v>
      </c>
      <c r="M53" s="72">
        <f t="shared" si="26"/>
        <v>399658.84226743953</v>
      </c>
      <c r="N53" s="72">
        <f t="shared" si="26"/>
        <v>399658.84226743953</v>
      </c>
    </row>
    <row r="54" spans="2:14" hidden="1" outlineLevel="1" x14ac:dyDescent="0.25">
      <c r="B54" s="99">
        <v>2</v>
      </c>
      <c r="C54" s="210">
        <f>15+(31+13)/365</f>
        <v>15.12054794520548</v>
      </c>
      <c r="D54" s="211"/>
      <c r="E54" s="211">
        <f>SUMIF($B$17:$B$21,$B$52,$I$17:$I$21)</f>
        <v>634310.09674498171</v>
      </c>
      <c r="F54" s="211"/>
      <c r="G54" s="212"/>
      <c r="H54" s="212"/>
      <c r="I54" s="212"/>
      <c r="J54" s="72">
        <f>IF($C54&lt;J$28-$B54,0,$E54/$C54)</f>
        <v>41950.205709715221</v>
      </c>
      <c r="K54" s="72">
        <f t="shared" si="26"/>
        <v>41950.205709715221</v>
      </c>
      <c r="L54" s="72">
        <f t="shared" si="26"/>
        <v>41950.205709715221</v>
      </c>
      <c r="M54" s="72">
        <f t="shared" si="26"/>
        <v>41950.205709715221</v>
      </c>
      <c r="N54" s="72">
        <f t="shared" si="26"/>
        <v>41950.205709715221</v>
      </c>
    </row>
    <row r="55" spans="2:14" hidden="1" outlineLevel="1" x14ac:dyDescent="0.25">
      <c r="B55" s="99">
        <v>3</v>
      </c>
      <c r="C55" s="210">
        <f>14+(31+13)/365</f>
        <v>14.12054794520548</v>
      </c>
      <c r="D55" s="211"/>
      <c r="E55" s="211">
        <f>SUMIF($B$17:$B$21,$B$52,$J$17:$J$21)</f>
        <v>103240.22654664378</v>
      </c>
      <c r="F55" s="211"/>
      <c r="G55" s="212"/>
      <c r="H55" s="212"/>
      <c r="I55" s="212"/>
      <c r="J55" s="212"/>
      <c r="K55" s="72">
        <f>IF($C55&lt;K$28-$B55,0,$E55/$C55)</f>
        <v>7311.3470488018975</v>
      </c>
      <c r="L55" s="72">
        <f t="shared" si="26"/>
        <v>7311.3470488018975</v>
      </c>
      <c r="M55" s="72">
        <f t="shared" si="26"/>
        <v>7311.3470488018975</v>
      </c>
      <c r="N55" s="72">
        <f t="shared" si="26"/>
        <v>7311.3470488018975</v>
      </c>
    </row>
    <row r="56" spans="2:14" ht="5.0999999999999996" hidden="1" customHeight="1" outlineLevel="1" x14ac:dyDescent="0.25">
      <c r="B56" s="99"/>
      <c r="C56" s="99"/>
      <c r="D56" s="211"/>
      <c r="E56" s="211"/>
      <c r="F56" s="211"/>
      <c r="G56" s="212"/>
      <c r="H56" s="212"/>
      <c r="I56" s="212"/>
      <c r="J56" s="212"/>
      <c r="K56" s="212"/>
      <c r="L56" s="212"/>
      <c r="M56" s="212"/>
      <c r="N56" s="212"/>
    </row>
    <row r="57" spans="2:14" hidden="1" outlineLevel="1" x14ac:dyDescent="0.25">
      <c r="B57" s="207" t="s">
        <v>329</v>
      </c>
      <c r="C57" s="208"/>
      <c r="D57" s="208"/>
      <c r="E57" s="208">
        <f>SUM(E58:E61)</f>
        <v>1345334.4447157828</v>
      </c>
      <c r="F57" s="208"/>
      <c r="G57" s="209"/>
      <c r="H57" s="208">
        <f t="shared" ref="H57" si="27">SUM(H58:H61)</f>
        <v>0</v>
      </c>
      <c r="I57" s="208">
        <f t="shared" ref="I57" si="28">SUM(I58:I61)</f>
        <v>91467.927718734325</v>
      </c>
      <c r="J57" s="208">
        <f t="shared" ref="J57" si="29">SUM(J58:J61)</f>
        <v>132572.76796128936</v>
      </c>
      <c r="K57" s="208">
        <f t="shared" ref="K57" si="30">SUM(K58:K61)</f>
        <v>134533.44447157829</v>
      </c>
      <c r="L57" s="208">
        <f t="shared" ref="L57" si="31">SUM(L58:L61)</f>
        <v>134533.44447157829</v>
      </c>
      <c r="M57" s="208">
        <f t="shared" ref="M57" si="32">SUM(M58:M61)</f>
        <v>134533.44447157829</v>
      </c>
      <c r="N57" s="208">
        <f t="shared" ref="N57" si="33">SUM(N58:N61)</f>
        <v>134533.44447157829</v>
      </c>
    </row>
    <row r="58" spans="2:14" hidden="1" outlineLevel="1" x14ac:dyDescent="0.25">
      <c r="B58" s="99">
        <v>1</v>
      </c>
      <c r="C58" s="99">
        <v>10</v>
      </c>
      <c r="D58" s="211"/>
      <c r="E58" s="211">
        <f>SUMIF($B$17:$B$21,$B$57,$H$17:$H$21)</f>
        <v>1205263.3074851274</v>
      </c>
      <c r="F58" s="211"/>
      <c r="G58" s="212"/>
      <c r="H58" s="212"/>
      <c r="I58" s="72">
        <f>IF($C58&lt;I$28-$B58,0,$E58/$C58)*'1. Demanda'!$C$19/'1. Demanda'!$C$20</f>
        <v>91467.927718734325</v>
      </c>
      <c r="J58" s="72">
        <f>IF($C58&lt;J$28-$B58,0,$E58/$C58)</f>
        <v>120526.33074851273</v>
      </c>
      <c r="K58" s="72">
        <f t="shared" ref="K58:N60" si="34">IF($C58&lt;K$28-$B58,0,$E58/$C58)</f>
        <v>120526.33074851273</v>
      </c>
      <c r="L58" s="72">
        <f t="shared" si="34"/>
        <v>120526.33074851273</v>
      </c>
      <c r="M58" s="72">
        <f t="shared" si="34"/>
        <v>120526.33074851273</v>
      </c>
      <c r="N58" s="72">
        <f t="shared" si="34"/>
        <v>120526.33074851273</v>
      </c>
    </row>
    <row r="59" spans="2:14" hidden="1" outlineLevel="1" x14ac:dyDescent="0.25">
      <c r="B59" s="99">
        <v>2</v>
      </c>
      <c r="C59" s="99">
        <v>10</v>
      </c>
      <c r="D59" s="211"/>
      <c r="E59" s="211">
        <f>SUMIF($B$17:$B$21,$B$57,$I$17:$I$21)</f>
        <v>120464.37212776623</v>
      </c>
      <c r="F59" s="211"/>
      <c r="G59" s="212"/>
      <c r="H59" s="212"/>
      <c r="I59" s="212"/>
      <c r="J59" s="72">
        <f>IF($C59&lt;J$28-$B59,0,$E59/$C59)</f>
        <v>12046.437212776622</v>
      </c>
      <c r="K59" s="72">
        <f t="shared" si="34"/>
        <v>12046.437212776622</v>
      </c>
      <c r="L59" s="72">
        <f t="shared" si="34"/>
        <v>12046.437212776622</v>
      </c>
      <c r="M59" s="72">
        <f t="shared" si="34"/>
        <v>12046.437212776622</v>
      </c>
      <c r="N59" s="72">
        <f t="shared" si="34"/>
        <v>12046.437212776622</v>
      </c>
    </row>
    <row r="60" spans="2:14" hidden="1" outlineLevel="1" x14ac:dyDescent="0.25">
      <c r="B60" s="99">
        <v>3</v>
      </c>
      <c r="C60" s="99">
        <v>10</v>
      </c>
      <c r="D60" s="211"/>
      <c r="E60" s="211">
        <f>SUMIF($B$17:$B$21,$B$57,$J$17:$J$21)</f>
        <v>19606.765102889211</v>
      </c>
      <c r="F60" s="211"/>
      <c r="G60" s="212"/>
      <c r="H60" s="212"/>
      <c r="I60" s="212"/>
      <c r="J60" s="212"/>
      <c r="K60" s="72">
        <f>IF($C60&lt;K$28-$B60,0,$E60/$C60)</f>
        <v>1960.676510288921</v>
      </c>
      <c r="L60" s="72">
        <f t="shared" si="34"/>
        <v>1960.676510288921</v>
      </c>
      <c r="M60" s="72">
        <f t="shared" si="34"/>
        <v>1960.676510288921</v>
      </c>
      <c r="N60" s="72">
        <f t="shared" si="34"/>
        <v>1960.676510288921</v>
      </c>
    </row>
    <row r="61" spans="2:14" ht="5.0999999999999996" hidden="1" customHeight="1" outlineLevel="1" x14ac:dyDescent="0.25">
      <c r="B61" s="99"/>
      <c r="C61" s="99"/>
      <c r="D61" s="211"/>
      <c r="E61" s="211"/>
      <c r="F61" s="211"/>
      <c r="G61" s="212"/>
      <c r="H61" s="212"/>
      <c r="I61" s="212"/>
      <c r="J61" s="212"/>
      <c r="K61" s="212"/>
      <c r="L61" s="212"/>
      <c r="M61" s="212"/>
      <c r="N61" s="212"/>
    </row>
    <row r="62" spans="2:14" hidden="1" outlineLevel="1" x14ac:dyDescent="0.25">
      <c r="B62" s="207" t="s">
        <v>258</v>
      </c>
      <c r="C62" s="208"/>
      <c r="D62" s="208"/>
      <c r="E62" s="208">
        <f>SUM(E63:E66)</f>
        <v>375629.54557974893</v>
      </c>
      <c r="F62" s="208"/>
      <c r="G62" s="209"/>
      <c r="H62" s="208">
        <f t="shared" ref="H62" si="35">SUM(H63:H66)</f>
        <v>0</v>
      </c>
      <c r="I62" s="208">
        <f t="shared" ref="I62" si="36">SUM(I63:I66)</f>
        <v>17025.781833933012</v>
      </c>
      <c r="J62" s="208">
        <f t="shared" ref="J62" si="37">SUM(J63:J66)</f>
        <v>24677.010627925589</v>
      </c>
      <c r="K62" s="208">
        <f t="shared" ref="K62" si="38">SUM(K63:K66)</f>
        <v>25064.699985456777</v>
      </c>
      <c r="L62" s="208">
        <f t="shared" ref="L62" si="39">SUM(L63:L66)</f>
        <v>25064.699985456777</v>
      </c>
      <c r="M62" s="208">
        <f t="shared" ref="M62" si="40">SUM(M63:M66)</f>
        <v>25064.699985456777</v>
      </c>
      <c r="N62" s="208">
        <f t="shared" ref="N62" si="41">SUM(N63:N66)</f>
        <v>25064.699985456777</v>
      </c>
    </row>
    <row r="63" spans="2:14" hidden="1" outlineLevel="1" x14ac:dyDescent="0.25">
      <c r="B63" s="99">
        <v>1</v>
      </c>
      <c r="C63" s="210">
        <v>15</v>
      </c>
      <c r="D63" s="211"/>
      <c r="E63" s="211">
        <f>SUMIF($B$17:$B$21,$B$62,$H$17:$H$21)</f>
        <v>336520.41711474088</v>
      </c>
      <c r="F63" s="211"/>
      <c r="G63" s="212"/>
      <c r="H63" s="212"/>
      <c r="I63" s="72">
        <f>IF($C63&lt;I$28-$B63,0,$E63/$C63)*'1. Demanda'!$C$19/'1. Demanda'!$C$20</f>
        <v>17025.781833933012</v>
      </c>
      <c r="J63" s="72">
        <f>IF($C63&lt;J$28-$B63,0,$E63/$C63)</f>
        <v>22434.69447431606</v>
      </c>
      <c r="K63" s="72">
        <f t="shared" ref="K63:N65" si="42">IF($C63&lt;K$28-$B63,0,$E63/$C63)</f>
        <v>22434.69447431606</v>
      </c>
      <c r="L63" s="72">
        <f t="shared" si="42"/>
        <v>22434.69447431606</v>
      </c>
      <c r="M63" s="72">
        <f t="shared" si="42"/>
        <v>22434.69447431606</v>
      </c>
      <c r="N63" s="72">
        <f t="shared" si="42"/>
        <v>22434.69447431606</v>
      </c>
    </row>
    <row r="64" spans="2:14" hidden="1" outlineLevel="1" x14ac:dyDescent="0.25">
      <c r="B64" s="99">
        <v>2</v>
      </c>
      <c r="C64" s="210">
        <v>15</v>
      </c>
      <c r="D64" s="211"/>
      <c r="E64" s="211">
        <f>SUMIF($B$17:$B$21,$B$62,$I$17:$I$21)</f>
        <v>33634.742304142943</v>
      </c>
      <c r="F64" s="211"/>
      <c r="G64" s="212"/>
      <c r="H64" s="212"/>
      <c r="I64" s="212"/>
      <c r="J64" s="72">
        <f>IF($C64&lt;J$28-$B64,0,$E64/$C64)</f>
        <v>2242.3161536095295</v>
      </c>
      <c r="K64" s="72">
        <f t="shared" si="42"/>
        <v>2242.3161536095295</v>
      </c>
      <c r="L64" s="72">
        <f t="shared" si="42"/>
        <v>2242.3161536095295</v>
      </c>
      <c r="M64" s="72">
        <f t="shared" si="42"/>
        <v>2242.3161536095295</v>
      </c>
      <c r="N64" s="72">
        <f t="shared" si="42"/>
        <v>2242.3161536095295</v>
      </c>
    </row>
    <row r="65" spans="2:14" hidden="1" outlineLevel="1" x14ac:dyDescent="0.25">
      <c r="B65" s="99">
        <v>3</v>
      </c>
      <c r="C65" s="210">
        <f>14+(31+13)/365</f>
        <v>14.12054794520548</v>
      </c>
      <c r="D65" s="211"/>
      <c r="E65" s="211">
        <f>SUMIF($B$17:$B$21,$B$62,$J$17:$J$21)</f>
        <v>5474.3861608650532</v>
      </c>
      <c r="F65" s="211"/>
      <c r="G65" s="212"/>
      <c r="H65" s="212"/>
      <c r="I65" s="212"/>
      <c r="J65" s="212"/>
      <c r="K65" s="72">
        <f>IF($C65&lt;K$28-$B65,0,$E65/$C65)</f>
        <v>387.68935753118825</v>
      </c>
      <c r="L65" s="72">
        <f t="shared" si="42"/>
        <v>387.68935753118825</v>
      </c>
      <c r="M65" s="72">
        <f t="shared" si="42"/>
        <v>387.68935753118825</v>
      </c>
      <c r="N65" s="72">
        <f t="shared" si="42"/>
        <v>387.68935753118825</v>
      </c>
    </row>
    <row r="66" spans="2:14" ht="5.0999999999999996" hidden="1" customHeight="1" outlineLevel="1" x14ac:dyDescent="0.25">
      <c r="B66" s="99"/>
      <c r="C66" s="99"/>
      <c r="D66" s="211"/>
      <c r="E66" s="211"/>
      <c r="F66" s="211"/>
      <c r="G66" s="212"/>
      <c r="H66" s="212"/>
      <c r="I66" s="212"/>
      <c r="J66" s="212"/>
      <c r="K66" s="212"/>
      <c r="L66" s="212"/>
      <c r="M66" s="212"/>
      <c r="N66" s="212"/>
    </row>
    <row r="67" spans="2:14" collapsed="1" x14ac:dyDescent="0.25">
      <c r="B67" s="53" t="s">
        <v>557</v>
      </c>
      <c r="C67" s="53"/>
      <c r="D67" s="53"/>
      <c r="E67" s="53"/>
      <c r="F67" s="98"/>
      <c r="G67" s="98"/>
      <c r="H67" s="98">
        <f t="shared" ref="H67:N67" si="43">+H52+H57+H62</f>
        <v>0</v>
      </c>
      <c r="I67" s="98">
        <f t="shared" si="43"/>
        <v>411796.44738302554</v>
      </c>
      <c r="J67" s="98">
        <f t="shared" si="43"/>
        <v>598858.82656636974</v>
      </c>
      <c r="K67" s="98">
        <f t="shared" si="43"/>
        <v>608518.53948299168</v>
      </c>
      <c r="L67" s="98">
        <f t="shared" si="43"/>
        <v>608518.53948299168</v>
      </c>
      <c r="M67" s="98">
        <f t="shared" si="43"/>
        <v>608518.53948299168</v>
      </c>
      <c r="N67" s="98">
        <f t="shared" si="43"/>
        <v>608518.53948299168</v>
      </c>
    </row>
    <row r="68" spans="2:14" ht="5.0999999999999996" customHeight="1" x14ac:dyDescent="0.25">
      <c r="B68" s="199"/>
      <c r="C68" s="199"/>
      <c r="D68" s="199"/>
      <c r="E68" s="199"/>
      <c r="F68" s="213"/>
      <c r="G68" s="213"/>
      <c r="H68" s="199"/>
      <c r="I68" s="199"/>
      <c r="J68" s="199"/>
      <c r="K68" s="199"/>
      <c r="L68" s="199"/>
      <c r="M68" s="199"/>
      <c r="N68" s="199"/>
    </row>
    <row r="69" spans="2:14" x14ac:dyDescent="0.25">
      <c r="B69" s="53" t="s">
        <v>558</v>
      </c>
      <c r="C69" s="53"/>
      <c r="D69" s="53"/>
      <c r="E69" s="53"/>
      <c r="F69" s="98"/>
      <c r="G69" s="98"/>
      <c r="H69" s="98">
        <f>+H67</f>
        <v>0</v>
      </c>
      <c r="I69" s="98">
        <f>+H69+I67</f>
        <v>411796.44738302554</v>
      </c>
      <c r="J69" s="98">
        <f t="shared" ref="J69" si="44">+I69+J67</f>
        <v>1010655.2739493953</v>
      </c>
      <c r="K69" s="98">
        <f t="shared" ref="K69" si="45">+J69+K67</f>
        <v>1619173.8134323871</v>
      </c>
      <c r="L69" s="98">
        <f t="shared" ref="L69" si="46">+K69+L67</f>
        <v>2227692.3529153788</v>
      </c>
      <c r="M69" s="98">
        <f t="shared" ref="M69" si="47">+L69+M67</f>
        <v>2836210.8923983704</v>
      </c>
      <c r="N69" s="98">
        <f t="shared" ref="N69" si="48">+M69+N67</f>
        <v>3444729.4318813621</v>
      </c>
    </row>
    <row r="71" spans="2:14" x14ac:dyDescent="0.25">
      <c r="B71" s="7" t="s">
        <v>559</v>
      </c>
      <c r="C71" s="37"/>
    </row>
    <row r="72" spans="2:14" x14ac:dyDescent="0.25">
      <c r="B72" s="7"/>
      <c r="C72" s="37"/>
    </row>
    <row r="73" spans="2:14" x14ac:dyDescent="0.25">
      <c r="B73" s="51" t="s">
        <v>343</v>
      </c>
      <c r="C73" s="51"/>
      <c r="D73" s="52">
        <v>2024</v>
      </c>
      <c r="E73" s="52">
        <v>2025</v>
      </c>
      <c r="F73" s="52">
        <f t="shared" ref="F73" si="49">+E73+1</f>
        <v>2026</v>
      </c>
      <c r="G73" s="52">
        <f t="shared" ref="G73" si="50">+F73+1</f>
        <v>2027</v>
      </c>
      <c r="H73" s="52">
        <f t="shared" ref="H73" si="51">+G73+1</f>
        <v>2028</v>
      </c>
      <c r="I73" s="52">
        <f t="shared" ref="I73" si="52">+H73+1</f>
        <v>2029</v>
      </c>
      <c r="J73" s="52">
        <f t="shared" ref="J73" si="53">+I73+1</f>
        <v>2030</v>
      </c>
    </row>
    <row r="74" spans="2:14" ht="5.0999999999999996" customHeight="1" x14ac:dyDescent="0.25"/>
    <row r="75" spans="2:14" x14ac:dyDescent="0.25">
      <c r="B75" s="200" t="s">
        <v>0</v>
      </c>
      <c r="C75" s="201"/>
      <c r="D75" s="201"/>
      <c r="E75" s="201"/>
      <c r="F75" s="201"/>
      <c r="G75" s="201"/>
      <c r="H75" s="201"/>
      <c r="I75" s="201"/>
      <c r="J75" s="201"/>
    </row>
    <row r="76" spans="2:14" ht="5.0999999999999996" customHeight="1" x14ac:dyDescent="0.25">
      <c r="B76" s="37"/>
      <c r="C76" s="37"/>
    </row>
    <row r="77" spans="2:14" x14ac:dyDescent="0.25">
      <c r="B77" s="31" t="s">
        <v>560</v>
      </c>
      <c r="C77" s="31"/>
      <c r="D77" s="214"/>
      <c r="E77" s="214"/>
      <c r="F77" s="214"/>
      <c r="G77" s="214"/>
      <c r="H77" s="214"/>
      <c r="I77" s="214"/>
      <c r="J77" s="214"/>
    </row>
    <row r="78" spans="2:14" x14ac:dyDescent="0.25">
      <c r="B78" s="31" t="s">
        <v>561</v>
      </c>
      <c r="C78" s="31"/>
      <c r="D78" s="214">
        <f>SUM(H12:H16)</f>
        <v>44422705.755867645</v>
      </c>
      <c r="E78" s="214">
        <f t="shared" ref="E78:J78" si="54">SUM(I12:I16)</f>
        <v>4439986.9504557503</v>
      </c>
      <c r="F78" s="214">
        <f t="shared" si="54"/>
        <v>722651.682483754</v>
      </c>
      <c r="G78" s="214">
        <f t="shared" si="54"/>
        <v>0</v>
      </c>
      <c r="H78" s="214">
        <f t="shared" si="54"/>
        <v>0</v>
      </c>
      <c r="I78" s="214">
        <f t="shared" si="54"/>
        <v>0</v>
      </c>
      <c r="J78" s="214">
        <f t="shared" si="54"/>
        <v>0</v>
      </c>
    </row>
    <row r="79" spans="2:14" x14ac:dyDescent="0.25">
      <c r="B79" s="51" t="s">
        <v>568</v>
      </c>
      <c r="C79" s="87"/>
      <c r="D79" s="70">
        <f>SUM(D77:D78)</f>
        <v>44422705.755867645</v>
      </c>
      <c r="E79" s="70">
        <f t="shared" ref="E79:J79" si="55">SUM(E77:E78)</f>
        <v>4439986.9504557503</v>
      </c>
      <c r="F79" s="70">
        <f t="shared" si="55"/>
        <v>722651.682483754</v>
      </c>
      <c r="G79" s="70">
        <f t="shared" si="55"/>
        <v>0</v>
      </c>
      <c r="H79" s="70">
        <f t="shared" si="55"/>
        <v>0</v>
      </c>
      <c r="I79" s="70">
        <f t="shared" si="55"/>
        <v>0</v>
      </c>
      <c r="J79" s="70">
        <f t="shared" si="55"/>
        <v>0</v>
      </c>
    </row>
    <row r="80" spans="2:14" ht="5.0999999999999996" customHeight="1" x14ac:dyDescent="0.25">
      <c r="B80" s="37"/>
      <c r="C80" s="37"/>
    </row>
    <row r="81" spans="2:10" x14ac:dyDescent="0.25">
      <c r="B81" s="31" t="s">
        <v>562</v>
      </c>
      <c r="C81" s="31"/>
      <c r="D81" s="214"/>
      <c r="E81" s="214"/>
      <c r="F81" s="214"/>
      <c r="G81" s="214"/>
      <c r="H81" s="214"/>
      <c r="I81" s="214"/>
      <c r="J81" s="214"/>
    </row>
    <row r="82" spans="2:10" x14ac:dyDescent="0.25">
      <c r="B82" s="31" t="s">
        <v>563</v>
      </c>
      <c r="C82" s="31"/>
      <c r="D82" s="214">
        <f>+H46</f>
        <v>0</v>
      </c>
      <c r="E82" s="214">
        <f t="shared" ref="E82:J82" si="56">+I46</f>
        <v>2466055.6756883161</v>
      </c>
      <c r="F82" s="214">
        <f t="shared" si="56"/>
        <v>3584359.5171780102</v>
      </c>
      <c r="G82" s="214">
        <f t="shared" si="56"/>
        <v>3641316.0414776127</v>
      </c>
      <c r="H82" s="214">
        <f t="shared" si="56"/>
        <v>3641316.0414776127</v>
      </c>
      <c r="I82" s="214">
        <f t="shared" si="56"/>
        <v>3641316.0414776127</v>
      </c>
      <c r="J82" s="214">
        <f t="shared" si="56"/>
        <v>3641316.0414776127</v>
      </c>
    </row>
    <row r="83" spans="2:10" x14ac:dyDescent="0.25">
      <c r="B83" s="51" t="s">
        <v>341</v>
      </c>
      <c r="C83" s="87"/>
      <c r="D83" s="70">
        <f>SUM(D81:D82)</f>
        <v>0</v>
      </c>
      <c r="E83" s="70">
        <f t="shared" ref="E83:J83" si="57">SUM(E81:E82)</f>
        <v>2466055.6756883161</v>
      </c>
      <c r="F83" s="70">
        <f t="shared" si="57"/>
        <v>3584359.5171780102</v>
      </c>
      <c r="G83" s="70">
        <f t="shared" si="57"/>
        <v>3641316.0414776127</v>
      </c>
      <c r="H83" s="70">
        <f t="shared" si="57"/>
        <v>3641316.0414776127</v>
      </c>
      <c r="I83" s="70">
        <f t="shared" si="57"/>
        <v>3641316.0414776127</v>
      </c>
      <c r="J83" s="70">
        <f t="shared" si="57"/>
        <v>3641316.0414776127</v>
      </c>
    </row>
    <row r="84" spans="2:10" ht="5.0999999999999996" customHeight="1" x14ac:dyDescent="0.25">
      <c r="B84" s="37"/>
      <c r="C84" s="37"/>
    </row>
    <row r="85" spans="2:10" x14ac:dyDescent="0.25">
      <c r="B85" s="31" t="s">
        <v>564</v>
      </c>
      <c r="C85" s="31"/>
      <c r="D85" s="214">
        <f>+D79</f>
        <v>44422705.755867645</v>
      </c>
      <c r="E85" s="214">
        <f>+D85+E79</f>
        <v>48862692.706323393</v>
      </c>
      <c r="F85" s="214">
        <f t="shared" ref="F85:J85" si="58">+E85+F79</f>
        <v>49585344.388807148</v>
      </c>
      <c r="G85" s="214">
        <f t="shared" si="58"/>
        <v>49585344.388807148</v>
      </c>
      <c r="H85" s="214">
        <f t="shared" si="58"/>
        <v>49585344.388807148</v>
      </c>
      <c r="I85" s="214">
        <f t="shared" si="58"/>
        <v>49585344.388807148</v>
      </c>
      <c r="J85" s="214">
        <f t="shared" si="58"/>
        <v>49585344.388807148</v>
      </c>
    </row>
    <row r="86" spans="2:10" x14ac:dyDescent="0.25">
      <c r="B86" s="31" t="s">
        <v>565</v>
      </c>
      <c r="C86" s="31"/>
      <c r="D86" s="214">
        <f>+D83</f>
        <v>0</v>
      </c>
      <c r="E86" s="214">
        <f>+D86+E83</f>
        <v>2466055.6756883161</v>
      </c>
      <c r="F86" s="214">
        <f t="shared" ref="F86:J86" si="59">+E86+F83</f>
        <v>6050415.1928663263</v>
      </c>
      <c r="G86" s="214">
        <f t="shared" si="59"/>
        <v>9691731.2343439385</v>
      </c>
      <c r="H86" s="214">
        <f t="shared" si="59"/>
        <v>13333047.275821552</v>
      </c>
      <c r="I86" s="214">
        <f t="shared" si="59"/>
        <v>16974363.317299165</v>
      </c>
      <c r="J86" s="214">
        <f t="shared" si="59"/>
        <v>20615679.358776778</v>
      </c>
    </row>
    <row r="87" spans="2:10" x14ac:dyDescent="0.25">
      <c r="B87" s="51" t="s">
        <v>569</v>
      </c>
      <c r="C87" s="87"/>
      <c r="D87" s="70">
        <f>+D85-D86</f>
        <v>44422705.755867645</v>
      </c>
      <c r="E87" s="70">
        <f t="shared" ref="E87:J87" si="60">+E85-E86</f>
        <v>46396637.030635074</v>
      </c>
      <c r="F87" s="70">
        <f t="shared" si="60"/>
        <v>43534929.195940822</v>
      </c>
      <c r="G87" s="70">
        <f t="shared" si="60"/>
        <v>39893613.154463209</v>
      </c>
      <c r="H87" s="70">
        <f t="shared" si="60"/>
        <v>36252297.112985596</v>
      </c>
      <c r="I87" s="70">
        <f t="shared" si="60"/>
        <v>32610981.071507983</v>
      </c>
      <c r="J87" s="70">
        <f t="shared" si="60"/>
        <v>28969665.03003037</v>
      </c>
    </row>
    <row r="88" spans="2:10" ht="5.0999999999999996" customHeight="1" x14ac:dyDescent="0.25">
      <c r="B88" s="37"/>
      <c r="C88" s="37"/>
    </row>
    <row r="89" spans="2:10" x14ac:dyDescent="0.25">
      <c r="B89" s="31" t="s">
        <v>566</v>
      </c>
      <c r="C89" s="31"/>
      <c r="D89" s="214">
        <f>+D87-D78</f>
        <v>0</v>
      </c>
      <c r="E89" s="214"/>
      <c r="F89" s="214"/>
      <c r="G89" s="214"/>
      <c r="H89" s="214"/>
      <c r="I89" s="214"/>
      <c r="J89" s="214"/>
    </row>
    <row r="90" spans="2:10" x14ac:dyDescent="0.25">
      <c r="B90" s="31" t="s">
        <v>342</v>
      </c>
      <c r="C90" s="31"/>
      <c r="D90" s="214">
        <f>+D78</f>
        <v>44422705.755867645</v>
      </c>
      <c r="E90" s="214">
        <f t="shared" ref="E90:J90" si="61">+E78</f>
        <v>4439986.9504557503</v>
      </c>
      <c r="F90" s="214">
        <f t="shared" si="61"/>
        <v>722651.682483754</v>
      </c>
      <c r="G90" s="214">
        <f t="shared" si="61"/>
        <v>0</v>
      </c>
      <c r="H90" s="214">
        <f t="shared" si="61"/>
        <v>0</v>
      </c>
      <c r="I90" s="214">
        <f t="shared" si="61"/>
        <v>0</v>
      </c>
      <c r="J90" s="214">
        <f t="shared" si="61"/>
        <v>0</v>
      </c>
    </row>
    <row r="91" spans="2:10" x14ac:dyDescent="0.25">
      <c r="B91" s="51" t="s">
        <v>567</v>
      </c>
      <c r="C91" s="87"/>
      <c r="D91" s="70"/>
      <c r="E91" s="70"/>
      <c r="F91" s="70"/>
      <c r="G91" s="70"/>
      <c r="H91" s="70"/>
      <c r="I91" s="70"/>
      <c r="J91" s="70">
        <f>+J87</f>
        <v>28969665.03003037</v>
      </c>
    </row>
    <row r="92" spans="2:10" ht="5.0999999999999996" customHeight="1" x14ac:dyDescent="0.25"/>
    <row r="93" spans="2:10" x14ac:dyDescent="0.25">
      <c r="B93" s="200" t="s">
        <v>1</v>
      </c>
      <c r="C93" s="201"/>
      <c r="D93" s="201"/>
      <c r="E93" s="201"/>
      <c r="F93" s="201"/>
      <c r="G93" s="201"/>
      <c r="H93" s="201"/>
      <c r="I93" s="201"/>
      <c r="J93" s="201"/>
    </row>
    <row r="94" spans="2:10" ht="5.0999999999999996" customHeight="1" x14ac:dyDescent="0.25">
      <c r="B94" s="37"/>
      <c r="C94" s="37"/>
    </row>
    <row r="95" spans="2:10" x14ac:dyDescent="0.25">
      <c r="B95" s="31" t="s">
        <v>560</v>
      </c>
      <c r="C95" s="31"/>
      <c r="D95" s="214"/>
      <c r="E95" s="214"/>
      <c r="F95" s="214"/>
      <c r="G95" s="214"/>
      <c r="H95" s="214"/>
      <c r="I95" s="214"/>
      <c r="J95" s="214"/>
    </row>
    <row r="96" spans="2:10" x14ac:dyDescent="0.25">
      <c r="B96" s="31" t="s">
        <v>561</v>
      </c>
      <c r="C96" s="31"/>
      <c r="D96" s="214">
        <f>SUM(H17:H21)</f>
        <v>7888147.1486603608</v>
      </c>
      <c r="E96" s="214">
        <f t="shared" ref="E96:J96" si="62">SUM(I17:I21)</f>
        <v>788409.21117689088</v>
      </c>
      <c r="F96" s="214">
        <f t="shared" si="62"/>
        <v>128321.37781039804</v>
      </c>
      <c r="G96" s="214">
        <f t="shared" si="62"/>
        <v>0</v>
      </c>
      <c r="H96" s="214">
        <f t="shared" si="62"/>
        <v>0</v>
      </c>
      <c r="I96" s="214">
        <f t="shared" si="62"/>
        <v>0</v>
      </c>
      <c r="J96" s="214">
        <f t="shared" si="62"/>
        <v>0</v>
      </c>
    </row>
    <row r="97" spans="2:10" x14ac:dyDescent="0.25">
      <c r="B97" s="51" t="s">
        <v>568</v>
      </c>
      <c r="C97" s="87"/>
      <c r="D97" s="70">
        <f>SUM(D95:D96)</f>
        <v>7888147.1486603608</v>
      </c>
      <c r="E97" s="70">
        <f t="shared" ref="E97:J97" si="63">SUM(E95:E96)</f>
        <v>788409.21117689088</v>
      </c>
      <c r="F97" s="70">
        <f t="shared" si="63"/>
        <v>128321.37781039804</v>
      </c>
      <c r="G97" s="70">
        <f t="shared" si="63"/>
        <v>0</v>
      </c>
      <c r="H97" s="70">
        <f t="shared" si="63"/>
        <v>0</v>
      </c>
      <c r="I97" s="70">
        <f t="shared" si="63"/>
        <v>0</v>
      </c>
      <c r="J97" s="70">
        <f t="shared" si="63"/>
        <v>0</v>
      </c>
    </row>
    <row r="98" spans="2:10" ht="5.0999999999999996" customHeight="1" x14ac:dyDescent="0.25">
      <c r="B98" s="37"/>
      <c r="C98" s="37"/>
    </row>
    <row r="99" spans="2:10" x14ac:dyDescent="0.25">
      <c r="B99" s="31" t="s">
        <v>562</v>
      </c>
      <c r="C99" s="31"/>
      <c r="D99" s="214"/>
      <c r="E99" s="214"/>
      <c r="F99" s="214"/>
      <c r="G99" s="214"/>
      <c r="H99" s="214"/>
      <c r="I99" s="214"/>
      <c r="J99" s="214"/>
    </row>
    <row r="100" spans="2:10" x14ac:dyDescent="0.25">
      <c r="B100" s="31" t="s">
        <v>563</v>
      </c>
      <c r="C100" s="31"/>
      <c r="D100" s="214">
        <f>+H67</f>
        <v>0</v>
      </c>
      <c r="E100" s="214">
        <f t="shared" ref="E100:J100" si="64">+I67</f>
        <v>411796.44738302554</v>
      </c>
      <c r="F100" s="214">
        <f t="shared" si="64"/>
        <v>598858.82656636974</v>
      </c>
      <c r="G100" s="214">
        <f t="shared" si="64"/>
        <v>608518.53948299168</v>
      </c>
      <c r="H100" s="214">
        <f t="shared" si="64"/>
        <v>608518.53948299168</v>
      </c>
      <c r="I100" s="214">
        <f t="shared" si="64"/>
        <v>608518.53948299168</v>
      </c>
      <c r="J100" s="214">
        <f t="shared" si="64"/>
        <v>608518.53948299168</v>
      </c>
    </row>
    <row r="101" spans="2:10" x14ac:dyDescent="0.25">
      <c r="B101" s="51" t="s">
        <v>341</v>
      </c>
      <c r="C101" s="87"/>
      <c r="D101" s="70">
        <f>SUM(D99:D100)</f>
        <v>0</v>
      </c>
      <c r="E101" s="70">
        <f t="shared" ref="E101:J101" si="65">SUM(E99:E100)</f>
        <v>411796.44738302554</v>
      </c>
      <c r="F101" s="70">
        <f t="shared" si="65"/>
        <v>598858.82656636974</v>
      </c>
      <c r="G101" s="70">
        <f t="shared" si="65"/>
        <v>608518.53948299168</v>
      </c>
      <c r="H101" s="70">
        <f t="shared" si="65"/>
        <v>608518.53948299168</v>
      </c>
      <c r="I101" s="70">
        <f t="shared" si="65"/>
        <v>608518.53948299168</v>
      </c>
      <c r="J101" s="70">
        <f t="shared" si="65"/>
        <v>608518.53948299168</v>
      </c>
    </row>
    <row r="102" spans="2:10" ht="5.0999999999999996" customHeight="1" x14ac:dyDescent="0.25">
      <c r="B102" s="37"/>
      <c r="C102" s="37"/>
    </row>
    <row r="103" spans="2:10" x14ac:dyDescent="0.25">
      <c r="B103" s="31" t="s">
        <v>564</v>
      </c>
      <c r="C103" s="31"/>
      <c r="D103" s="214">
        <f>+D97</f>
        <v>7888147.1486603608</v>
      </c>
      <c r="E103" s="214">
        <f>+D103+E97</f>
        <v>8676556.3598372526</v>
      </c>
      <c r="F103" s="214">
        <f t="shared" ref="F103:J103" si="66">+E103+F97</f>
        <v>8804877.7376476508</v>
      </c>
      <c r="G103" s="214">
        <f t="shared" si="66"/>
        <v>8804877.7376476508</v>
      </c>
      <c r="H103" s="214">
        <f t="shared" si="66"/>
        <v>8804877.7376476508</v>
      </c>
      <c r="I103" s="214">
        <f t="shared" si="66"/>
        <v>8804877.7376476508</v>
      </c>
      <c r="J103" s="214">
        <f t="shared" si="66"/>
        <v>8804877.7376476508</v>
      </c>
    </row>
    <row r="104" spans="2:10" x14ac:dyDescent="0.25">
      <c r="B104" s="31" t="s">
        <v>565</v>
      </c>
      <c r="C104" s="31"/>
      <c r="D104" s="214">
        <f>+D101</f>
        <v>0</v>
      </c>
      <c r="E104" s="214">
        <f>+D104+E101</f>
        <v>411796.44738302554</v>
      </c>
      <c r="F104" s="214">
        <f t="shared" ref="F104:J104" si="67">+E104+F101</f>
        <v>1010655.2739493953</v>
      </c>
      <c r="G104" s="214">
        <f t="shared" si="67"/>
        <v>1619173.8134323871</v>
      </c>
      <c r="H104" s="214">
        <f t="shared" si="67"/>
        <v>2227692.3529153788</v>
      </c>
      <c r="I104" s="214">
        <f t="shared" si="67"/>
        <v>2836210.8923983704</v>
      </c>
      <c r="J104" s="214">
        <f t="shared" si="67"/>
        <v>3444729.4318813621</v>
      </c>
    </row>
    <row r="105" spans="2:10" x14ac:dyDescent="0.25">
      <c r="B105" s="51" t="s">
        <v>569</v>
      </c>
      <c r="C105" s="87"/>
      <c r="D105" s="70">
        <f>+D103-D104</f>
        <v>7888147.1486603608</v>
      </c>
      <c r="E105" s="70">
        <f t="shared" ref="E105" si="68">+E103-E104</f>
        <v>8264759.912454227</v>
      </c>
      <c r="F105" s="70">
        <f t="shared" ref="F105" si="69">+F103-F104</f>
        <v>7794222.4636982558</v>
      </c>
      <c r="G105" s="70">
        <f t="shared" ref="G105" si="70">+G103-G104</f>
        <v>7185703.9242152637</v>
      </c>
      <c r="H105" s="70">
        <f t="shared" ref="H105" si="71">+H103-H104</f>
        <v>6577185.3847322725</v>
      </c>
      <c r="I105" s="70">
        <f t="shared" ref="I105" si="72">+I103-I104</f>
        <v>5968666.8452492803</v>
      </c>
      <c r="J105" s="70">
        <f t="shared" ref="J105" si="73">+J103-J104</f>
        <v>5360148.3057662882</v>
      </c>
    </row>
    <row r="106" spans="2:10" ht="5.0999999999999996" customHeight="1" x14ac:dyDescent="0.25">
      <c r="B106" s="37"/>
      <c r="C106" s="37"/>
    </row>
    <row r="107" spans="2:10" x14ac:dyDescent="0.25">
      <c r="B107" s="31" t="s">
        <v>566</v>
      </c>
      <c r="C107" s="31"/>
      <c r="D107" s="214">
        <f>+D105-D96</f>
        <v>0</v>
      </c>
      <c r="E107" s="214"/>
      <c r="F107" s="214"/>
      <c r="G107" s="214"/>
      <c r="H107" s="214"/>
      <c r="I107" s="214"/>
      <c r="J107" s="214"/>
    </row>
    <row r="108" spans="2:10" x14ac:dyDescent="0.25">
      <c r="B108" s="31" t="s">
        <v>342</v>
      </c>
      <c r="C108" s="31"/>
      <c r="D108" s="214">
        <f>+D96</f>
        <v>7888147.1486603608</v>
      </c>
      <c r="E108" s="214">
        <f t="shared" ref="E108:J108" si="74">+E96</f>
        <v>788409.21117689088</v>
      </c>
      <c r="F108" s="214">
        <f t="shared" si="74"/>
        <v>128321.37781039804</v>
      </c>
      <c r="G108" s="214">
        <f t="shared" si="74"/>
        <v>0</v>
      </c>
      <c r="H108" s="214">
        <f t="shared" si="74"/>
        <v>0</v>
      </c>
      <c r="I108" s="214">
        <f t="shared" si="74"/>
        <v>0</v>
      </c>
      <c r="J108" s="214">
        <f t="shared" si="74"/>
        <v>0</v>
      </c>
    </row>
    <row r="109" spans="2:10" x14ac:dyDescent="0.25">
      <c r="B109" s="51" t="s">
        <v>567</v>
      </c>
      <c r="C109" s="87"/>
      <c r="D109" s="70"/>
      <c r="E109" s="70"/>
      <c r="F109" s="70"/>
      <c r="G109" s="70"/>
      <c r="H109" s="70"/>
      <c r="I109" s="70"/>
      <c r="J109" s="70">
        <f>+J105</f>
        <v>5360148.3057662882</v>
      </c>
    </row>
  </sheetData>
  <phoneticPr fontId="5" type="noConversion"/>
  <hyperlinks>
    <hyperlink ref="N1" location="Índice!A1" display="ÍNDICE" xr:uid="{3D00898B-D754-437E-A20C-3DB351852D71}"/>
  </hyperlink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4167E-B380-45C9-AA75-5332C063BAF5}">
  <sheetPr codeName="Hoja15"/>
  <dimension ref="B1:I84"/>
  <sheetViews>
    <sheetView showGridLines="0" zoomScaleNormal="100" workbookViewId="0">
      <pane ySplit="2" topLeftCell="A61" activePane="bottomLeft" state="frozen"/>
      <selection pane="bottomLeft" activeCell="D73" sqref="D73"/>
    </sheetView>
  </sheetViews>
  <sheetFormatPr baseColWidth="10" defaultColWidth="11.5546875" defaultRowHeight="13.2" x14ac:dyDescent="0.25"/>
  <cols>
    <col min="1" max="1" width="2.6640625" style="1" customWidth="1"/>
    <col min="2" max="2" width="40" style="1" bestFit="1" customWidth="1"/>
    <col min="3" max="3" width="14.5546875" style="1" bestFit="1" customWidth="1"/>
    <col min="4" max="4" width="14.77734375" style="1" customWidth="1"/>
    <col min="5" max="5" width="14.5546875" style="1" customWidth="1"/>
    <col min="6" max="6" width="13.5546875" style="1" customWidth="1"/>
    <col min="7" max="7" width="11.5546875" style="1"/>
    <col min="8" max="8" width="32.33203125" style="1" bestFit="1" customWidth="1"/>
    <col min="9" max="9" width="17" style="1" bestFit="1" customWidth="1"/>
    <col min="10" max="10" width="15.33203125" style="1" bestFit="1" customWidth="1"/>
    <col min="11" max="16384" width="11.5546875" style="1"/>
  </cols>
  <sheetData>
    <row r="1" spans="2:9" s="37" customFormat="1" ht="16.2" thickBot="1" x14ac:dyDescent="0.35">
      <c r="B1" s="36" t="s">
        <v>586</v>
      </c>
      <c r="I1" s="38" t="s">
        <v>389</v>
      </c>
    </row>
    <row r="2" spans="2:9" s="37" customFormat="1" ht="5.0999999999999996" customHeight="1" x14ac:dyDescent="0.3">
      <c r="B2" s="36"/>
      <c r="F2" s="175"/>
    </row>
    <row r="3" spans="2:9" x14ac:dyDescent="0.25">
      <c r="B3" s="199" t="s">
        <v>591</v>
      </c>
      <c r="C3" s="199"/>
      <c r="D3" s="199"/>
      <c r="E3" s="7"/>
      <c r="G3" s="7"/>
    </row>
    <row r="5" spans="2:9" x14ac:dyDescent="0.25">
      <c r="B5" s="52" t="s">
        <v>205</v>
      </c>
      <c r="C5" s="52" t="s">
        <v>254</v>
      </c>
    </row>
    <row r="6" spans="2:9" x14ac:dyDescent="0.25">
      <c r="B6" s="37" t="s">
        <v>199</v>
      </c>
      <c r="C6" s="246">
        <v>285232634.15206164</v>
      </c>
    </row>
    <row r="7" spans="2:9" x14ac:dyDescent="0.25">
      <c r="B7" s="37" t="s">
        <v>200</v>
      </c>
      <c r="C7" s="246">
        <v>151168902.07981539</v>
      </c>
    </row>
    <row r="8" spans="2:9" x14ac:dyDescent="0.25">
      <c r="B8" s="37" t="s">
        <v>201</v>
      </c>
      <c r="C8" s="246">
        <v>77109746.988864839</v>
      </c>
    </row>
    <row r="9" spans="2:9" x14ac:dyDescent="0.25">
      <c r="B9" s="37" t="s">
        <v>202</v>
      </c>
      <c r="C9" s="246">
        <v>53653099.887594394</v>
      </c>
    </row>
    <row r="10" spans="2:9" x14ac:dyDescent="0.25">
      <c r="B10" s="37" t="s">
        <v>203</v>
      </c>
      <c r="C10" s="246">
        <v>4362737.8723125961</v>
      </c>
    </row>
    <row r="11" spans="2:9" x14ac:dyDescent="0.25">
      <c r="B11" s="37" t="s">
        <v>204</v>
      </c>
      <c r="C11" s="246">
        <v>70855617.10872975</v>
      </c>
    </row>
    <row r="12" spans="2:9" x14ac:dyDescent="0.25">
      <c r="B12" s="53" t="s">
        <v>8</v>
      </c>
      <c r="C12" s="216">
        <f>SUM(C6:C11)+33583269.9106215</f>
        <v>675966008</v>
      </c>
    </row>
    <row r="14" spans="2:9" x14ac:dyDescent="0.25">
      <c r="B14" s="199" t="s">
        <v>588</v>
      </c>
    </row>
    <row r="15" spans="2:9" ht="13.2" customHeight="1" x14ac:dyDescent="0.25"/>
    <row r="16" spans="2:9" ht="13.2" customHeight="1" x14ac:dyDescent="0.25">
      <c r="B16" s="52" t="s">
        <v>214</v>
      </c>
      <c r="C16" s="52" t="s">
        <v>0</v>
      </c>
      <c r="D16" s="52" t="s">
        <v>1</v>
      </c>
    </row>
    <row r="17" spans="2:4" x14ac:dyDescent="0.25">
      <c r="B17" s="1" t="s">
        <v>206</v>
      </c>
      <c r="C17" s="3">
        <v>1247850.18815515</v>
      </c>
      <c r="D17" s="3">
        <v>1247850.18815515</v>
      </c>
    </row>
    <row r="18" spans="2:4" x14ac:dyDescent="0.25">
      <c r="B18" s="1" t="s">
        <v>206</v>
      </c>
      <c r="C18" s="3">
        <v>151250.52558199901</v>
      </c>
      <c r="D18" s="3">
        <v>151250.52558199901</v>
      </c>
    </row>
    <row r="19" spans="2:4" x14ac:dyDescent="0.25">
      <c r="B19" s="1" t="s">
        <v>207</v>
      </c>
      <c r="C19" s="3">
        <v>7714492.5686160699</v>
      </c>
      <c r="D19" s="3">
        <v>0</v>
      </c>
    </row>
    <row r="20" spans="2:4" x14ac:dyDescent="0.25">
      <c r="B20" s="1" t="s">
        <v>208</v>
      </c>
      <c r="C20" s="3">
        <v>4264717.4901850503</v>
      </c>
      <c r="D20" s="3">
        <v>4264717.4901850503</v>
      </c>
    </row>
    <row r="21" spans="2:4" x14ac:dyDescent="0.25">
      <c r="B21" s="1" t="s">
        <v>209</v>
      </c>
      <c r="C21" s="3">
        <v>1550844.48602901</v>
      </c>
      <c r="D21" s="3">
        <v>1550844.48602901</v>
      </c>
    </row>
    <row r="22" spans="2:4" x14ac:dyDescent="0.25">
      <c r="B22" s="1" t="s">
        <v>210</v>
      </c>
      <c r="C22" s="3">
        <v>1288897.3181757501</v>
      </c>
      <c r="D22" s="3">
        <v>1288897.3181757501</v>
      </c>
    </row>
    <row r="23" spans="2:4" x14ac:dyDescent="0.25">
      <c r="B23" s="1" t="s">
        <v>211</v>
      </c>
      <c r="C23" s="3">
        <v>1407139.35424215</v>
      </c>
      <c r="D23" s="3">
        <v>1407139.35424215</v>
      </c>
    </row>
    <row r="24" spans="2:4" x14ac:dyDescent="0.25">
      <c r="B24" s="1" t="s">
        <v>212</v>
      </c>
      <c r="C24" s="3">
        <v>321543.57918416598</v>
      </c>
      <c r="D24" s="3">
        <v>321543.57918416598</v>
      </c>
    </row>
    <row r="25" spans="2:4" x14ac:dyDescent="0.25">
      <c r="B25" s="1" t="s">
        <v>213</v>
      </c>
      <c r="C25" s="3">
        <v>250763.83140281</v>
      </c>
      <c r="D25" s="3">
        <v>250763.83140281</v>
      </c>
    </row>
    <row r="26" spans="2:4" x14ac:dyDescent="0.25">
      <c r="B26" s="53" t="s">
        <v>8</v>
      </c>
      <c r="C26" s="216">
        <f>+SUM(C17:C25)</f>
        <v>18197499.341572154</v>
      </c>
      <c r="D26" s="216">
        <f>+SUM(D17:D25)</f>
        <v>10483006.772956084</v>
      </c>
    </row>
    <row r="28" spans="2:4" x14ac:dyDescent="0.25">
      <c r="B28" s="199" t="s">
        <v>589</v>
      </c>
    </row>
    <row r="30" spans="2:4" ht="13.2" customHeight="1" x14ac:dyDescent="0.25">
      <c r="B30" s="52" t="s">
        <v>216</v>
      </c>
      <c r="C30" s="52" t="s">
        <v>584</v>
      </c>
    </row>
    <row r="31" spans="2:4" x14ac:dyDescent="0.25">
      <c r="B31" s="37" t="s">
        <v>0</v>
      </c>
      <c r="C31" s="246">
        <f>+(C12-C26)/'5.2 Asignación de Áreas'!E4</f>
        <v>2564.7897119106801</v>
      </c>
    </row>
    <row r="32" spans="2:4" x14ac:dyDescent="0.25">
      <c r="B32" s="257" t="s">
        <v>1</v>
      </c>
      <c r="C32" s="258">
        <f>+(C12-D26)/'5.2 Asignación de Áreas'!E5</f>
        <v>2594.8702811567714</v>
      </c>
    </row>
    <row r="35" spans="2:5" ht="13.2" customHeight="1" x14ac:dyDescent="0.25">
      <c r="B35" s="199" t="s">
        <v>587</v>
      </c>
      <c r="C35" s="7"/>
      <c r="D35" s="7"/>
      <c r="E35" s="7"/>
    </row>
    <row r="37" spans="2:5" ht="26.4" x14ac:dyDescent="0.25">
      <c r="B37" s="52" t="s">
        <v>218</v>
      </c>
      <c r="C37" s="39" t="s">
        <v>227</v>
      </c>
      <c r="D37" s="39" t="s">
        <v>228</v>
      </c>
      <c r="E37" s="39" t="s">
        <v>217</v>
      </c>
    </row>
    <row r="38" spans="2:5" x14ac:dyDescent="0.25">
      <c r="B38" s="1" t="s">
        <v>219</v>
      </c>
      <c r="C38" s="5">
        <v>30847781.189682554</v>
      </c>
      <c r="D38" s="248">
        <v>1</v>
      </c>
      <c r="E38" s="11">
        <f>+C38*D38/'5.2 Asignación de Áreas'!$E$4</f>
        <v>120.28254741464795</v>
      </c>
    </row>
    <row r="39" spans="2:5" x14ac:dyDescent="0.25">
      <c r="B39" s="1" t="s">
        <v>220</v>
      </c>
      <c r="C39" s="5">
        <v>3201386.9032425387</v>
      </c>
      <c r="D39" s="248">
        <v>0.94598317667470033</v>
      </c>
      <c r="E39" s="11">
        <f>+C39*D39/'5.2 Asignación de Áreas'!$E$4</f>
        <v>11.808650323365585</v>
      </c>
    </row>
    <row r="40" spans="2:5" x14ac:dyDescent="0.25">
      <c r="B40" s="1" t="s">
        <v>221</v>
      </c>
      <c r="C40" s="5">
        <v>4024635.6013967604</v>
      </c>
      <c r="D40" s="248">
        <v>0.94598317667470033</v>
      </c>
      <c r="E40" s="11">
        <f>+C40*D40/'5.2 Asignación de Áreas'!$E$4</f>
        <v>14.845289223781757</v>
      </c>
    </row>
    <row r="41" spans="2:5" x14ac:dyDescent="0.25">
      <c r="B41" s="1" t="s">
        <v>222</v>
      </c>
      <c r="C41" s="5">
        <v>8724560.3967785928</v>
      </c>
      <c r="D41" s="248">
        <v>0.94598317667470033</v>
      </c>
      <c r="E41" s="11">
        <f>+C41*D41/'5.2 Asignación de Áreas'!$E$4</f>
        <v>32.181453246495295</v>
      </c>
    </row>
    <row r="42" spans="2:5" x14ac:dyDescent="0.25">
      <c r="B42" s="1" t="s">
        <v>223</v>
      </c>
      <c r="C42" s="5">
        <v>19190604.167385109</v>
      </c>
      <c r="D42" s="248">
        <v>0.70980553459599194</v>
      </c>
      <c r="E42" s="11">
        <f>+C42*D42/'5.2 Asignación de Áreas'!$E$4</f>
        <v>53.113719362351596</v>
      </c>
    </row>
    <row r="43" spans="2:5" x14ac:dyDescent="0.25">
      <c r="B43" s="1" t="s">
        <v>224</v>
      </c>
      <c r="C43" s="5">
        <v>19734789.882669199</v>
      </c>
      <c r="D43" s="248">
        <v>0.70980553459599194</v>
      </c>
      <c r="E43" s="11">
        <f>+C43*D43/'5.2 Asignación de Áreas'!$E$4</f>
        <v>54.619858883051123</v>
      </c>
    </row>
    <row r="44" spans="2:5" x14ac:dyDescent="0.25">
      <c r="B44" s="1" t="s">
        <v>225</v>
      </c>
      <c r="C44" s="5">
        <v>16989388.527332935</v>
      </c>
      <c r="D44" s="248">
        <v>0.94210000000000005</v>
      </c>
      <c r="E44" s="11">
        <f>+C44*D44/'5.2 Asignación de Áreas'!$E$4</f>
        <v>62.409892949412544</v>
      </c>
    </row>
    <row r="45" spans="2:5" x14ac:dyDescent="0.25">
      <c r="B45" s="1" t="s">
        <v>226</v>
      </c>
      <c r="C45" s="5">
        <v>2695167.9316587094</v>
      </c>
      <c r="D45" s="248">
        <v>0.70980553459599194</v>
      </c>
      <c r="E45" s="11">
        <f>+C45*D45/'5.2 Asignación de Áreas'!$E$4</f>
        <v>7.4594000224244015</v>
      </c>
    </row>
    <row r="46" spans="2:5" x14ac:dyDescent="0.25">
      <c r="B46" s="53" t="s">
        <v>8</v>
      </c>
      <c r="C46" s="216"/>
      <c r="D46" s="216"/>
      <c r="E46" s="247">
        <f>+SUM(E38:E45)</f>
        <v>356.72081142553026</v>
      </c>
    </row>
    <row r="49" spans="2:6" x14ac:dyDescent="0.25">
      <c r="B49" s="199" t="s">
        <v>590</v>
      </c>
    </row>
    <row r="51" spans="2:6" x14ac:dyDescent="0.25">
      <c r="B51" s="39" t="s">
        <v>592</v>
      </c>
      <c r="C51" s="39" t="s">
        <v>230</v>
      </c>
      <c r="D51" s="39" t="s">
        <v>231</v>
      </c>
      <c r="E51" s="39" t="s">
        <v>232</v>
      </c>
      <c r="F51" s="39" t="s">
        <v>233</v>
      </c>
    </row>
    <row r="52" spans="2:6" x14ac:dyDescent="0.25">
      <c r="B52" s="1" t="s">
        <v>234</v>
      </c>
      <c r="C52" s="5">
        <f>SUM(D52:F52)</f>
        <v>1539762037</v>
      </c>
      <c r="D52" s="5">
        <v>349927657</v>
      </c>
      <c r="E52" s="5">
        <v>1085867884</v>
      </c>
      <c r="F52" s="5">
        <v>103966496</v>
      </c>
    </row>
    <row r="53" spans="2:6" x14ac:dyDescent="0.25">
      <c r="B53" s="249" t="s">
        <v>235</v>
      </c>
      <c r="C53" s="250">
        <f>+C52/$C$52</f>
        <v>1</v>
      </c>
      <c r="D53" s="250">
        <f>+D52/$C$52</f>
        <v>0.22726086797267883</v>
      </c>
      <c r="E53" s="250">
        <f>+E52/$C$52</f>
        <v>0.70521798687520176</v>
      </c>
      <c r="F53" s="250">
        <f>+F52/$C$52</f>
        <v>6.7521145152119377E-2</v>
      </c>
    </row>
    <row r="54" spans="2:6" x14ac:dyDescent="0.25">
      <c r="B54" s="1" t="s">
        <v>236</v>
      </c>
      <c r="C54" s="5">
        <v>3995414.35</v>
      </c>
      <c r="D54" s="5">
        <f>+C54*$D$53</f>
        <v>908001.33309149649</v>
      </c>
      <c r="E54" s="5">
        <f>+C54*$E$53</f>
        <v>2817638.0646392927</v>
      </c>
      <c r="F54" s="5">
        <f>+C54*$F$53</f>
        <v>269774.95226921071</v>
      </c>
    </row>
    <row r="55" spans="2:6" x14ac:dyDescent="0.25">
      <c r="B55" s="1" t="s">
        <v>237</v>
      </c>
      <c r="C55" s="5">
        <v>103159114.14</v>
      </c>
      <c r="D55" s="5">
        <f>+C55*$D$53</f>
        <v>23444029.818749048</v>
      </c>
      <c r="E55" s="5">
        <f>+C55*$E$53</f>
        <v>72749662.801639959</v>
      </c>
      <c r="F55" s="5">
        <f>+C55*$F$53</f>
        <v>6965421.5196109908</v>
      </c>
    </row>
    <row r="56" spans="2:6" x14ac:dyDescent="0.25">
      <c r="B56" s="1" t="s">
        <v>238</v>
      </c>
      <c r="C56" s="5">
        <v>39570891.579999998</v>
      </c>
      <c r="D56" s="5">
        <f>+C56*$D$53</f>
        <v>8992915.1669235677</v>
      </c>
      <c r="E56" s="5">
        <f>+C56*$E$53</f>
        <v>27906104.49890447</v>
      </c>
      <c r="F56" s="5">
        <f>+C56*$F$53</f>
        <v>2671871.9141719583</v>
      </c>
    </row>
    <row r="57" spans="2:6" x14ac:dyDescent="0.25">
      <c r="B57" s="149" t="s">
        <v>239</v>
      </c>
      <c r="C57" s="150">
        <v>15514764.84</v>
      </c>
      <c r="D57" s="150">
        <f>+C57*$D$53</f>
        <v>3525898.9239303996</v>
      </c>
      <c r="E57" s="150">
        <f>+C57*$E$53</f>
        <v>10941291.227306962</v>
      </c>
      <c r="F57" s="150">
        <f>+C57*$F$53</f>
        <v>1047574.6887626381</v>
      </c>
    </row>
    <row r="59" spans="2:6" x14ac:dyDescent="0.25">
      <c r="B59" s="199" t="s">
        <v>593</v>
      </c>
    </row>
    <row r="61" spans="2:6" ht="26.4" x14ac:dyDescent="0.25">
      <c r="B61" s="39" t="s">
        <v>241</v>
      </c>
      <c r="C61" s="39" t="s">
        <v>0</v>
      </c>
      <c r="D61" s="39" t="s">
        <v>1</v>
      </c>
    </row>
    <row r="62" spans="2:6" ht="26.4" x14ac:dyDescent="0.25">
      <c r="B62" s="12" t="s">
        <v>242</v>
      </c>
      <c r="C62" s="6">
        <f>+C12-C26</f>
        <v>657768508.65842783</v>
      </c>
      <c r="D62" s="6">
        <f>+C12-D26</f>
        <v>665483001.22704387</v>
      </c>
    </row>
    <row r="63" spans="2:6" x14ac:dyDescent="0.25">
      <c r="B63" s="1" t="s">
        <v>243</v>
      </c>
      <c r="C63" s="5">
        <f>+SUMPRODUCT($C$38:$C$45,$D$38:$D$45)</f>
        <v>91484972.451794803</v>
      </c>
      <c r="D63" s="5">
        <f>+SUMPRODUCT($C$38:$C$45,$D$38:$D$45)</f>
        <v>91484972.451794803</v>
      </c>
    </row>
    <row r="64" spans="2:6" x14ac:dyDescent="0.25">
      <c r="B64" s="252" t="s">
        <v>8</v>
      </c>
      <c r="C64" s="253">
        <f>+SUM(C62:C63)</f>
        <v>749253481.11022258</v>
      </c>
      <c r="D64" s="253">
        <f>+SUM(D62:D63)</f>
        <v>756967973.67883873</v>
      </c>
    </row>
    <row r="65" spans="2:7" x14ac:dyDescent="0.25">
      <c r="B65" s="1" t="s">
        <v>244</v>
      </c>
      <c r="C65" s="6">
        <f>+$E$52</f>
        <v>1085867884</v>
      </c>
      <c r="D65" s="6">
        <f>+$E$52</f>
        <v>1085867884</v>
      </c>
    </row>
    <row r="66" spans="2:7" x14ac:dyDescent="0.25">
      <c r="B66" s="53" t="s">
        <v>240</v>
      </c>
      <c r="C66" s="251">
        <f>+C64/C65</f>
        <v>0.6900042741389546</v>
      </c>
      <c r="D66" s="251">
        <f>+D64/D65</f>
        <v>0.69710872273927449</v>
      </c>
    </row>
    <row r="68" spans="2:7" x14ac:dyDescent="0.25">
      <c r="B68" s="199" t="s">
        <v>594</v>
      </c>
    </row>
    <row r="70" spans="2:7" ht="31.8" customHeight="1" x14ac:dyDescent="0.25">
      <c r="B70" s="39" t="s">
        <v>245</v>
      </c>
      <c r="C70" s="39" t="s">
        <v>246</v>
      </c>
      <c r="D70" s="39" t="s">
        <v>247</v>
      </c>
      <c r="E70" s="39" t="s">
        <v>248</v>
      </c>
      <c r="F70" s="39" t="s">
        <v>249</v>
      </c>
      <c r="G70" s="39" t="s">
        <v>215</v>
      </c>
    </row>
    <row r="71" spans="2:7" x14ac:dyDescent="0.25">
      <c r="B71" s="1" t="s">
        <v>236</v>
      </c>
      <c r="C71" s="6">
        <f>+E54</f>
        <v>2817638.0646392927</v>
      </c>
      <c r="D71" s="13">
        <f>+$C$66</f>
        <v>0.6900042741389546</v>
      </c>
      <c r="E71" s="3">
        <f>+C71*D71</f>
        <v>1944182.3075777239</v>
      </c>
      <c r="F71" s="3">
        <f>+'5.2 Asignación de Áreas'!$E$4</f>
        <v>256460.99</v>
      </c>
      <c r="G71" s="2">
        <f>+E71/F71</f>
        <v>7.5808110526974257</v>
      </c>
    </row>
    <row r="72" spans="2:7" x14ac:dyDescent="0.25">
      <c r="B72" s="1" t="s">
        <v>237</v>
      </c>
      <c r="C72" s="6">
        <f>+E55</f>
        <v>72749662.801639959</v>
      </c>
      <c r="D72" s="13">
        <f>+$C$66</f>
        <v>0.6900042741389546</v>
      </c>
      <c r="E72" s="3">
        <f t="shared" ref="E72:E74" si="0">+C72*D72</f>
        <v>50197578.275299288</v>
      </c>
      <c r="F72" s="3">
        <f>+'5.2 Asignación de Áreas'!$E$4</f>
        <v>256460.99</v>
      </c>
      <c r="G72" s="2">
        <f t="shared" ref="G72:G74" si="1">+E72/F72</f>
        <v>195.73182757853073</v>
      </c>
    </row>
    <row r="73" spans="2:7" x14ac:dyDescent="0.25">
      <c r="B73" s="1" t="s">
        <v>238</v>
      </c>
      <c r="C73" s="6">
        <f>+E56</f>
        <v>27906104.49890447</v>
      </c>
      <c r="D73" s="13">
        <f>+$C$66</f>
        <v>0.6900042741389546</v>
      </c>
      <c r="E73" s="3">
        <f t="shared" si="0"/>
        <v>19255331.378812395</v>
      </c>
      <c r="F73" s="3">
        <f>+'5.2 Asignación de Áreas'!$E$4</f>
        <v>256460.99</v>
      </c>
      <c r="G73" s="2">
        <f t="shared" si="1"/>
        <v>75.080936788134508</v>
      </c>
    </row>
    <row r="74" spans="2:7" x14ac:dyDescent="0.25">
      <c r="B74" s="1" t="s">
        <v>239</v>
      </c>
      <c r="C74" s="6">
        <f>+E57</f>
        <v>10941291.227306962</v>
      </c>
      <c r="D74" s="13">
        <f>+$C$66</f>
        <v>0.6900042741389546</v>
      </c>
      <c r="E74" s="3">
        <f t="shared" si="0"/>
        <v>7549537.7114408519</v>
      </c>
      <c r="F74" s="3">
        <f>+'5.2 Asignación de Áreas'!$E$4</f>
        <v>256460.99</v>
      </c>
      <c r="G74" s="2">
        <f t="shared" si="1"/>
        <v>29.437372566645916</v>
      </c>
    </row>
    <row r="75" spans="2:7" x14ac:dyDescent="0.25">
      <c r="B75" s="53" t="s">
        <v>8</v>
      </c>
      <c r="C75" s="53"/>
      <c r="D75" s="53"/>
      <c r="E75" s="53"/>
      <c r="F75" s="53"/>
      <c r="G75" s="256">
        <f>+SUM(G71:G74)</f>
        <v>307.8309479860086</v>
      </c>
    </row>
    <row r="76" spans="2:7" x14ac:dyDescent="0.25">
      <c r="B76" s="254"/>
      <c r="C76" s="7"/>
      <c r="D76" s="7"/>
      <c r="E76" s="7"/>
      <c r="F76" s="7"/>
      <c r="G76" s="255"/>
    </row>
    <row r="77" spans="2:7" x14ac:dyDescent="0.25">
      <c r="B77" s="199" t="s">
        <v>595</v>
      </c>
      <c r="C77" s="7"/>
      <c r="D77" s="7"/>
      <c r="E77" s="7"/>
      <c r="F77" s="7"/>
      <c r="G77" s="255"/>
    </row>
    <row r="79" spans="2:7" ht="33" customHeight="1" x14ac:dyDescent="0.25">
      <c r="B79" s="39" t="s">
        <v>250</v>
      </c>
      <c r="C79" s="39" t="s">
        <v>246</v>
      </c>
      <c r="D79" s="39" t="s">
        <v>247</v>
      </c>
      <c r="E79" s="39" t="s">
        <v>248</v>
      </c>
      <c r="F79" s="39" t="s">
        <v>249</v>
      </c>
      <c r="G79" s="39" t="s">
        <v>215</v>
      </c>
    </row>
    <row r="80" spans="2:7" x14ac:dyDescent="0.25">
      <c r="B80" s="1" t="s">
        <v>236</v>
      </c>
      <c r="C80" s="6">
        <f>+E54</f>
        <v>2817638.0646392927</v>
      </c>
      <c r="D80" s="13">
        <f>+$D$66</f>
        <v>0.69710872273927449</v>
      </c>
      <c r="E80" s="3">
        <f>+C80*D80</f>
        <v>1964200.0723822587</v>
      </c>
      <c r="F80" s="3">
        <f>+'5.2 Asignación de Áreas'!$E$4</f>
        <v>256460.99</v>
      </c>
      <c r="G80" s="2">
        <f>+E80/F80</f>
        <v>7.6588648916244875</v>
      </c>
    </row>
    <row r="81" spans="2:7" x14ac:dyDescent="0.25">
      <c r="B81" s="1" t="s">
        <v>237</v>
      </c>
      <c r="C81" s="6">
        <f>+E55</f>
        <v>72749662.801639959</v>
      </c>
      <c r="D81" s="13">
        <f>+$D$66</f>
        <v>0.69710872273927449</v>
      </c>
      <c r="E81" s="3">
        <f t="shared" ref="E81:E83" si="2">+C81*D81</f>
        <v>50714424.51536414</v>
      </c>
      <c r="F81" s="3">
        <f>+'5.2 Asignación de Áreas'!$E$4</f>
        <v>256460.99</v>
      </c>
      <c r="G81" s="2">
        <f t="shared" ref="G81:G83" si="3">+E81/F81</f>
        <v>197.74712916519641</v>
      </c>
    </row>
    <row r="82" spans="2:7" x14ac:dyDescent="0.25">
      <c r="B82" s="1" t="s">
        <v>238</v>
      </c>
      <c r="C82" s="6">
        <f>+E56</f>
        <v>27906104.49890447</v>
      </c>
      <c r="D82" s="13">
        <f>+$D$66</f>
        <v>0.69710872273927449</v>
      </c>
      <c r="E82" s="3">
        <f t="shared" si="2"/>
        <v>19453588.863860019</v>
      </c>
      <c r="F82" s="3">
        <f>+'5.2 Asignación de Áreas'!$E$4</f>
        <v>256460.99</v>
      </c>
      <c r="G82" s="2">
        <f t="shared" si="3"/>
        <v>75.85398802312983</v>
      </c>
    </row>
    <row r="83" spans="2:7" x14ac:dyDescent="0.25">
      <c r="B83" s="1" t="s">
        <v>239</v>
      </c>
      <c r="C83" s="6">
        <f>+E57</f>
        <v>10941291.227306962</v>
      </c>
      <c r="D83" s="13">
        <f>+$D$66</f>
        <v>0.69710872273927449</v>
      </c>
      <c r="E83" s="3">
        <f t="shared" si="2"/>
        <v>7627269.552586385</v>
      </c>
      <c r="F83" s="3">
        <f>+'5.2 Asignación de Áreas'!$E$4</f>
        <v>256460.99</v>
      </c>
      <c r="G83" s="2">
        <f t="shared" si="3"/>
        <v>29.740466776590019</v>
      </c>
    </row>
    <row r="84" spans="2:7" x14ac:dyDescent="0.25">
      <c r="B84" s="53" t="s">
        <v>8</v>
      </c>
      <c r="C84" s="53"/>
      <c r="D84" s="53"/>
      <c r="E84" s="53"/>
      <c r="F84" s="53"/>
      <c r="G84" s="256">
        <f>+SUM(G80:G83)</f>
        <v>311.0004488565408</v>
      </c>
    </row>
  </sheetData>
  <hyperlinks>
    <hyperlink ref="I1" location="Índice!A1" display="ÍNDICE" xr:uid="{7CDEF252-1636-4091-9F96-C5C8B3E75B39}"/>
  </hyperlink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A2E67-D504-4D91-AC8E-29192075E181}">
  <sheetPr codeName="Hoja20"/>
  <dimension ref="B1:G61"/>
  <sheetViews>
    <sheetView showGridLines="0" zoomScaleNormal="100" workbookViewId="0">
      <pane ySplit="2" topLeftCell="A3" activePane="bottomLeft" state="frozen"/>
      <selection pane="bottomLeft" activeCell="C29" sqref="C29"/>
    </sheetView>
  </sheetViews>
  <sheetFormatPr baseColWidth="10" defaultColWidth="11.5546875" defaultRowHeight="13.2" x14ac:dyDescent="0.25"/>
  <cols>
    <col min="1" max="1" width="2.6640625" style="1" customWidth="1"/>
    <col min="2" max="2" width="32.21875" style="1" customWidth="1"/>
    <col min="3" max="3" width="19.109375" style="1" customWidth="1"/>
    <col min="4" max="4" width="13.5546875" style="1" customWidth="1"/>
    <col min="5" max="5" width="11.5546875" style="1"/>
    <col min="6" max="6" width="13.44140625" style="1" customWidth="1"/>
    <col min="7" max="7" width="17.33203125" style="1" customWidth="1"/>
    <col min="8" max="16384" width="11.5546875" style="1"/>
  </cols>
  <sheetData>
    <row r="1" spans="2:7" s="37" customFormat="1" ht="16.2" thickBot="1" x14ac:dyDescent="0.35">
      <c r="B1" s="36" t="s">
        <v>585</v>
      </c>
      <c r="G1" s="38" t="s">
        <v>389</v>
      </c>
    </row>
    <row r="2" spans="2:7" s="37" customFormat="1" ht="5.0999999999999996" customHeight="1" x14ac:dyDescent="0.3">
      <c r="B2" s="36"/>
      <c r="D2" s="175"/>
    </row>
    <row r="3" spans="2:7" x14ac:dyDescent="0.25">
      <c r="B3" s="199"/>
      <c r="E3" s="7"/>
    </row>
    <row r="4" spans="2:7" x14ac:dyDescent="0.25">
      <c r="B4" s="7" t="s">
        <v>596</v>
      </c>
      <c r="C4" s="7"/>
      <c r="D4" s="7"/>
    </row>
    <row r="6" spans="2:7" x14ac:dyDescent="0.25">
      <c r="B6" s="52" t="s">
        <v>328</v>
      </c>
      <c r="C6" s="52" t="s">
        <v>0</v>
      </c>
      <c r="D6" s="52" t="s">
        <v>1</v>
      </c>
    </row>
    <row r="7" spans="2:7" x14ac:dyDescent="0.25">
      <c r="B7" s="1" t="s">
        <v>251</v>
      </c>
      <c r="C7" s="5">
        <f>+'3.1.1 CAPEX-Exclusivas'!C31</f>
        <v>2564.7897119106801</v>
      </c>
      <c r="D7" s="5">
        <f>+'3.1.1 CAPEX-Exclusivas'!C32</f>
        <v>2594.8702811567714</v>
      </c>
    </row>
    <row r="8" spans="2:7" x14ac:dyDescent="0.25">
      <c r="B8" s="1" t="s">
        <v>217</v>
      </c>
      <c r="C8" s="5">
        <f>+'3.1.1 CAPEX-Exclusivas'!E46</f>
        <v>356.72081142553026</v>
      </c>
      <c r="D8" s="5">
        <f>+'3.1.1 CAPEX-Exclusivas'!E46</f>
        <v>356.72081142553026</v>
      </c>
    </row>
    <row r="9" spans="2:7" x14ac:dyDescent="0.25">
      <c r="B9" s="1" t="s">
        <v>229</v>
      </c>
      <c r="C9" s="5">
        <f>+'3.1.1 CAPEX-Exclusivas'!G75</f>
        <v>307.8309479860086</v>
      </c>
      <c r="D9" s="5">
        <f>+'3.1.1 CAPEX-Exclusivas'!G84</f>
        <v>311.0004488565408</v>
      </c>
    </row>
    <row r="10" spans="2:7" x14ac:dyDescent="0.25">
      <c r="B10" s="53" t="s">
        <v>8</v>
      </c>
      <c r="C10" s="216">
        <f>+SUM(C7:C9)</f>
        <v>3229.3414713222191</v>
      </c>
      <c r="D10" s="216">
        <f>+SUM(D7:D9)</f>
        <v>3262.5915414388428</v>
      </c>
    </row>
    <row r="11" spans="2:7" x14ac:dyDescent="0.25">
      <c r="B11" s="37"/>
    </row>
    <row r="12" spans="2:7" x14ac:dyDescent="0.25">
      <c r="B12" s="7" t="s">
        <v>597</v>
      </c>
      <c r="C12" s="7"/>
      <c r="D12" s="7"/>
      <c r="E12" s="7"/>
      <c r="F12" s="7"/>
    </row>
    <row r="14" spans="2:7" ht="26.4" x14ac:dyDescent="0.25">
      <c r="B14" s="39" t="s">
        <v>0</v>
      </c>
      <c r="C14" s="39" t="s">
        <v>579</v>
      </c>
      <c r="D14" s="39" t="s">
        <v>252</v>
      </c>
      <c r="E14" s="39" t="s">
        <v>253</v>
      </c>
      <c r="F14" s="39" t="s">
        <v>254</v>
      </c>
    </row>
    <row r="15" spans="2:7" ht="13.2" customHeight="1" x14ac:dyDescent="0.25">
      <c r="B15" s="1" t="s">
        <v>255</v>
      </c>
      <c r="C15" s="1">
        <f>+'5.2 Asignación de Áreas'!C4</f>
        <v>1435.16</v>
      </c>
      <c r="D15" s="4" t="s">
        <v>191</v>
      </c>
      <c r="E15" s="5">
        <f>+C10</f>
        <v>3229.3414713222191</v>
      </c>
      <c r="F15" s="5">
        <f>+C15*E15</f>
        <v>4634621.7059827959</v>
      </c>
    </row>
    <row r="16" spans="2:7" ht="13.2" customHeight="1" x14ac:dyDescent="0.25">
      <c r="B16" s="1" t="s">
        <v>256</v>
      </c>
      <c r="C16" s="1">
        <v>2</v>
      </c>
      <c r="D16" s="4" t="s">
        <v>257</v>
      </c>
      <c r="E16" s="5">
        <v>158249.19483811999</v>
      </c>
      <c r="F16" s="5">
        <f>+C16*E16</f>
        <v>316498.38967623998</v>
      </c>
    </row>
    <row r="17" spans="2:6" x14ac:dyDescent="0.25">
      <c r="B17" s="1" t="s">
        <v>258</v>
      </c>
      <c r="C17" s="1">
        <v>2</v>
      </c>
      <c r="D17" s="4" t="s">
        <v>257</v>
      </c>
      <c r="E17" s="5">
        <v>207428.64868769591</v>
      </c>
      <c r="F17" s="5">
        <f>+C17*E17</f>
        <v>414857.29737539182</v>
      </c>
    </row>
    <row r="18" spans="2:6" x14ac:dyDescent="0.25">
      <c r="B18" s="1" t="s">
        <v>259</v>
      </c>
      <c r="C18" s="1">
        <v>8</v>
      </c>
      <c r="D18" s="4" t="s">
        <v>257</v>
      </c>
      <c r="E18" s="5">
        <v>31196.254703878698</v>
      </c>
      <c r="F18" s="5">
        <f>+C18*E18</f>
        <v>249570.03763102958</v>
      </c>
    </row>
    <row r="19" spans="2:6" x14ac:dyDescent="0.25">
      <c r="B19" s="1" t="s">
        <v>260</v>
      </c>
      <c r="C19" s="1">
        <v>1</v>
      </c>
      <c r="D19" s="4" t="s">
        <v>257</v>
      </c>
      <c r="E19" s="5">
        <v>7541159.509703829</v>
      </c>
      <c r="F19" s="5">
        <f>+C19*E19</f>
        <v>7541159.509703829</v>
      </c>
    </row>
    <row r="20" spans="2:6" x14ac:dyDescent="0.25">
      <c r="B20" s="53" t="s">
        <v>261</v>
      </c>
      <c r="C20" s="53"/>
      <c r="D20" s="53"/>
      <c r="E20" s="53"/>
      <c r="F20" s="260">
        <f>+SUM(F15:F19)</f>
        <v>13156706.940369286</v>
      </c>
    </row>
    <row r="22" spans="2:6" x14ac:dyDescent="0.25">
      <c r="B22" s="7" t="s">
        <v>598</v>
      </c>
    </row>
    <row r="24" spans="2:6" ht="26.4" x14ac:dyDescent="0.25">
      <c r="B24" s="39" t="s">
        <v>1</v>
      </c>
      <c r="C24" s="39" t="s">
        <v>579</v>
      </c>
      <c r="D24" s="39" t="s">
        <v>252</v>
      </c>
      <c r="E24" s="39" t="s">
        <v>253</v>
      </c>
      <c r="F24" s="39" t="s">
        <v>254</v>
      </c>
    </row>
    <row r="25" spans="2:6" x14ac:dyDescent="0.25">
      <c r="B25" s="1" t="s">
        <v>255</v>
      </c>
      <c r="C25" s="1">
        <f>+'5.2 Asignación de Áreas'!C5</f>
        <v>477.13</v>
      </c>
      <c r="D25" s="4" t="s">
        <v>191</v>
      </c>
      <c r="E25" s="5">
        <f>+D10</f>
        <v>3262.5915414388428</v>
      </c>
      <c r="F25" s="5">
        <f>+C25*E25</f>
        <v>1556680.302166715</v>
      </c>
    </row>
    <row r="26" spans="2:6" x14ac:dyDescent="0.25">
      <c r="B26" s="1" t="s">
        <v>256</v>
      </c>
      <c r="C26" s="1">
        <v>3</v>
      </c>
      <c r="D26" s="4" t="s">
        <v>257</v>
      </c>
      <c r="E26" s="5">
        <v>158249.19483811973</v>
      </c>
      <c r="F26" s="5">
        <f>+C26*E26</f>
        <v>474747.58451435919</v>
      </c>
    </row>
    <row r="27" spans="2:6" x14ac:dyDescent="0.25">
      <c r="B27" s="1" t="s">
        <v>258</v>
      </c>
      <c r="C27" s="1">
        <v>2</v>
      </c>
      <c r="D27" s="4" t="s">
        <v>257</v>
      </c>
      <c r="E27" s="5">
        <v>207428.64868769591</v>
      </c>
      <c r="F27" s="5">
        <f>+C27*E27</f>
        <v>414857.29737539182</v>
      </c>
    </row>
    <row r="28" spans="2:6" x14ac:dyDescent="0.25">
      <c r="B28" s="1" t="s">
        <v>259</v>
      </c>
      <c r="C28" s="1">
        <v>4</v>
      </c>
      <c r="D28" s="4" t="s">
        <v>257</v>
      </c>
      <c r="E28" s="5">
        <v>31196.254703878698</v>
      </c>
      <c r="F28" s="5">
        <f>+C28*E28</f>
        <v>124785.01881551479</v>
      </c>
    </row>
    <row r="29" spans="2:6" x14ac:dyDescent="0.25">
      <c r="B29" s="53" t="s">
        <v>599</v>
      </c>
      <c r="C29" s="53"/>
      <c r="D29" s="53"/>
      <c r="E29" s="53"/>
      <c r="F29" s="260">
        <f>+SUM(F25:F28)</f>
        <v>2571070.2028719806</v>
      </c>
    </row>
    <row r="30" spans="2:6" ht="13.2" customHeight="1" x14ac:dyDescent="0.25">
      <c r="B30" s="259"/>
    </row>
    <row r="31" spans="2:6" x14ac:dyDescent="0.25">
      <c r="B31" s="7"/>
    </row>
    <row r="32" spans="2:6" x14ac:dyDescent="0.25">
      <c r="B32" s="199" t="s">
        <v>600</v>
      </c>
      <c r="C32" s="9"/>
      <c r="D32" s="9"/>
      <c r="E32" s="9"/>
      <c r="F32" s="9"/>
    </row>
    <row r="33" spans="2:6" x14ac:dyDescent="0.25">
      <c r="B33" s="9"/>
      <c r="C33" s="9"/>
      <c r="D33" s="9"/>
      <c r="E33" s="9"/>
      <c r="F33" s="9"/>
    </row>
    <row r="34" spans="2:6" x14ac:dyDescent="0.25">
      <c r="B34" s="52" t="s">
        <v>481</v>
      </c>
      <c r="C34" s="159" t="s">
        <v>483</v>
      </c>
      <c r="D34" s="187">
        <v>2024</v>
      </c>
      <c r="E34" s="52">
        <f>+D34+1</f>
        <v>2025</v>
      </c>
      <c r="F34" s="52">
        <f>+E34+1</f>
        <v>2026</v>
      </c>
    </row>
    <row r="35" spans="2:6" x14ac:dyDescent="0.25">
      <c r="B35" s="181" t="s">
        <v>575</v>
      </c>
      <c r="C35" s="230">
        <f>SUM(D35:F35)</f>
        <v>1</v>
      </c>
      <c r="D35" s="223">
        <v>0.89385289499714859</v>
      </c>
      <c r="E35" s="221">
        <v>9.1027410885394455E-2</v>
      </c>
      <c r="F35" s="221">
        <v>1.511969411745695E-2</v>
      </c>
    </row>
    <row r="36" spans="2:6" x14ac:dyDescent="0.25">
      <c r="B36" s="97" t="s">
        <v>601</v>
      </c>
      <c r="C36" s="231">
        <v>891483687.67999876</v>
      </c>
      <c r="D36" s="224"/>
      <c r="E36" s="225"/>
      <c r="F36" s="225"/>
    </row>
    <row r="37" spans="2:6" x14ac:dyDescent="0.25">
      <c r="B37" s="97" t="s">
        <v>602</v>
      </c>
      <c r="C37" s="231">
        <v>194384196.67999998</v>
      </c>
      <c r="D37" s="224"/>
      <c r="E37" s="225"/>
      <c r="F37" s="225"/>
    </row>
    <row r="38" spans="2:6" x14ac:dyDescent="0.25">
      <c r="B38" s="261" t="s">
        <v>603</v>
      </c>
      <c r="C38" s="262">
        <f>+C36/SUM(C36:C37)</f>
        <v>0.82098724948056789</v>
      </c>
      <c r="D38" s="224"/>
      <c r="E38" s="225"/>
      <c r="F38" s="225"/>
    </row>
    <row r="39" spans="2:6" x14ac:dyDescent="0.25">
      <c r="B39" s="263" t="s">
        <v>604</v>
      </c>
      <c r="C39" s="264">
        <f>+C37/SUM(C36:C37)</f>
        <v>0.17901275051943208</v>
      </c>
      <c r="D39" s="265"/>
      <c r="E39" s="266"/>
      <c r="F39" s="266"/>
    </row>
    <row r="41" spans="2:6" x14ac:dyDescent="0.25">
      <c r="B41" s="199" t="s">
        <v>605</v>
      </c>
    </row>
    <row r="43" spans="2:6" x14ac:dyDescent="0.25">
      <c r="B43" s="52" t="s">
        <v>0</v>
      </c>
      <c r="C43" s="187">
        <v>2024</v>
      </c>
      <c r="D43" s="52">
        <v>2025</v>
      </c>
      <c r="E43" s="52">
        <v>2026</v>
      </c>
    </row>
    <row r="44" spans="2:6" x14ac:dyDescent="0.25">
      <c r="B44" s="1" t="s">
        <v>265</v>
      </c>
      <c r="C44" s="5">
        <f>+$F$15*D35*$C$38</f>
        <v>3401079.2727040658</v>
      </c>
      <c r="D44" s="5">
        <f t="shared" ref="D44:E44" si="0">+$F$15*E35*$C$38</f>
        <v>346356.14220527769</v>
      </c>
      <c r="E44" s="5">
        <f t="shared" si="0"/>
        <v>57529.911868409246</v>
      </c>
    </row>
    <row r="45" spans="2:6" x14ac:dyDescent="0.25">
      <c r="B45" s="1" t="s">
        <v>266</v>
      </c>
      <c r="C45" s="5">
        <f>+$F$15*D35*$C$39</f>
        <v>741590.75640527974</v>
      </c>
      <c r="D45" s="5">
        <f t="shared" ref="D45:E45" si="1">+$F$15*E35*$C$39</f>
        <v>75521.472123586078</v>
      </c>
      <c r="E45" s="5">
        <f t="shared" si="1"/>
        <v>12544.15067617712</v>
      </c>
    </row>
    <row r="46" spans="2:6" x14ac:dyDescent="0.25">
      <c r="B46" s="1" t="s">
        <v>256</v>
      </c>
      <c r="C46" s="5">
        <f>+$F$16*D35</f>
        <v>282903.00187404273</v>
      </c>
      <c r="D46" s="5">
        <f t="shared" ref="D46:E46" si="2">+$F$16*E35</f>
        <v>28810.028961624783</v>
      </c>
      <c r="E46" s="5">
        <f t="shared" si="2"/>
        <v>4785.3588405724431</v>
      </c>
    </row>
    <row r="47" spans="2:6" x14ac:dyDescent="0.25">
      <c r="B47" s="1" t="s">
        <v>258</v>
      </c>
      <c r="C47" s="5">
        <f>+$F$17*D35</f>
        <v>370821.39626968693</v>
      </c>
      <c r="D47" s="5">
        <f t="shared" ref="D47:E47" si="3">+$F$17*E35</f>
        <v>37763.385666994065</v>
      </c>
      <c r="E47" s="5">
        <f t="shared" si="3"/>
        <v>6272.5154387108005</v>
      </c>
    </row>
    <row r="48" spans="2:6" x14ac:dyDescent="0.25">
      <c r="B48" s="1" t="s">
        <v>259</v>
      </c>
      <c r="C48" s="5">
        <f>+$F$18*D35</f>
        <v>223078.90064104312</v>
      </c>
      <c r="D48" s="5">
        <f t="shared" ref="D48:E48" si="4">+$F$18*E35</f>
        <v>22717.714360123085</v>
      </c>
      <c r="E48" s="5">
        <f t="shared" si="4"/>
        <v>3773.4226298633876</v>
      </c>
    </row>
    <row r="49" spans="2:5" x14ac:dyDescent="0.25">
      <c r="B49" s="1" t="s">
        <v>260</v>
      </c>
      <c r="C49" s="5">
        <f>+$F$19*D35</f>
        <v>6740687.2593840454</v>
      </c>
      <c r="D49" s="5">
        <f t="shared" ref="D49:E49" si="5">+$F$19*E35</f>
        <v>686452.2252421102</v>
      </c>
      <c r="E49" s="5">
        <f t="shared" si="5"/>
        <v>114020.02507767352</v>
      </c>
    </row>
    <row r="50" spans="2:5" x14ac:dyDescent="0.25">
      <c r="B50" s="53" t="s">
        <v>264</v>
      </c>
      <c r="C50" s="260">
        <f>+SUM(C44:C49)</f>
        <v>11760160.587278163</v>
      </c>
      <c r="D50" s="260">
        <f t="shared" ref="D50:E50" si="6">+SUM(D44:D49)</f>
        <v>1197620.9685597159</v>
      </c>
      <c r="E50" s="260">
        <f t="shared" si="6"/>
        <v>198925.38453140651</v>
      </c>
    </row>
    <row r="52" spans="2:5" x14ac:dyDescent="0.25">
      <c r="B52" s="199" t="s">
        <v>606</v>
      </c>
    </row>
    <row r="55" spans="2:5" x14ac:dyDescent="0.25">
      <c r="B55" s="52" t="s">
        <v>1</v>
      </c>
      <c r="C55" s="187">
        <v>2024</v>
      </c>
      <c r="D55" s="52">
        <v>2025</v>
      </c>
      <c r="E55" s="52">
        <v>2026</v>
      </c>
    </row>
    <row r="56" spans="2:5" x14ac:dyDescent="0.25">
      <c r="B56" s="1" t="s">
        <v>265</v>
      </c>
      <c r="C56" s="5">
        <f>+$F$25*D35*$C$38</f>
        <v>1142357.1212061229</v>
      </c>
      <c r="D56" s="5">
        <f>+$F$25*E35*$C$38</f>
        <v>116334.36735719004</v>
      </c>
      <c r="E56" s="5">
        <f>+$F$25*F35*$C$38</f>
        <v>19323.191033117782</v>
      </c>
    </row>
    <row r="57" spans="2:5" x14ac:dyDescent="0.25">
      <c r="B57" s="1" t="s">
        <v>266</v>
      </c>
      <c r="C57" s="5">
        <f>+$F$25*D35*$C$39</f>
        <v>249086.07347063138</v>
      </c>
      <c r="D57" s="5">
        <f t="shared" ref="D57:E57" si="7">+$F$25*E35*$C$39</f>
        <v>25366.210125339519</v>
      </c>
      <c r="E57" s="5">
        <f t="shared" si="7"/>
        <v>4213.3389743134067</v>
      </c>
    </row>
    <row r="58" spans="2:5" x14ac:dyDescent="0.25">
      <c r="B58" s="1" t="s">
        <v>256</v>
      </c>
      <c r="C58" s="5">
        <f>+$F$26*D35</f>
        <v>424354.50281106343</v>
      </c>
      <c r="D58" s="5">
        <f>+$F$26*E35</f>
        <v>43215.043442437105</v>
      </c>
      <c r="E58" s="5">
        <f>+$F$26*F35</f>
        <v>7178.0382608586524</v>
      </c>
    </row>
    <row r="59" spans="2:5" x14ac:dyDescent="0.25">
      <c r="B59" s="1" t="s">
        <v>258</v>
      </c>
      <c r="C59" s="5">
        <f>+$F$27*D35</f>
        <v>370821.39626968693</v>
      </c>
      <c r="D59" s="5">
        <f t="shared" ref="D59:E59" si="8">+$F$27*E35</f>
        <v>37763.385666994065</v>
      </c>
      <c r="E59" s="5">
        <f t="shared" si="8"/>
        <v>6272.5154387108005</v>
      </c>
    </row>
    <row r="60" spans="2:5" x14ac:dyDescent="0.25">
      <c r="B60" s="1" t="s">
        <v>259</v>
      </c>
      <c r="C60" s="5">
        <f>+$F$28*D35</f>
        <v>111539.45032052156</v>
      </c>
      <c r="D60" s="5">
        <f t="shared" ref="D60:E60" si="9">+$F$28*E35</f>
        <v>11358.857180061543</v>
      </c>
      <c r="E60" s="5">
        <f t="shared" si="9"/>
        <v>1886.7113149316938</v>
      </c>
    </row>
    <row r="61" spans="2:5" x14ac:dyDescent="0.25">
      <c r="B61" s="53" t="s">
        <v>340</v>
      </c>
      <c r="C61" s="260">
        <f>+SUM(C56:C60)</f>
        <v>2298158.544078026</v>
      </c>
      <c r="D61" s="260">
        <f t="shared" ref="D61:E61" si="10">+SUM(D56:D60)</f>
        <v>234037.86377202228</v>
      </c>
      <c r="E61" s="260">
        <f t="shared" si="10"/>
        <v>38873.795021932332</v>
      </c>
    </row>
  </sheetData>
  <hyperlinks>
    <hyperlink ref="G1" location="Índice!A1" display="ÍNDICE" xr:uid="{9C2F4101-1B38-47A0-B986-18426A912AC4}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2DFFA-F947-4FF9-AEAF-22B4CD26B8CF}">
  <sheetPr codeName="Hoja16"/>
  <dimension ref="B1:AF153"/>
  <sheetViews>
    <sheetView showGridLines="0" topLeftCell="A130" zoomScaleNormal="100" workbookViewId="0">
      <selection activeCell="I62" sqref="I62:L71"/>
    </sheetView>
  </sheetViews>
  <sheetFormatPr baseColWidth="10" defaultColWidth="11.5546875" defaultRowHeight="13.2" x14ac:dyDescent="0.25"/>
  <cols>
    <col min="1" max="1" width="2.6640625" style="1" customWidth="1"/>
    <col min="2" max="2" width="45.109375" style="1" customWidth="1"/>
    <col min="3" max="9" width="14.88671875" style="1" customWidth="1"/>
    <col min="10" max="16" width="14.33203125" style="1" customWidth="1"/>
    <col min="17" max="21" width="11.5546875" style="1"/>
    <col min="22" max="22" width="12.44140625" style="1" bestFit="1" customWidth="1"/>
    <col min="23" max="16384" width="11.5546875" style="1"/>
  </cols>
  <sheetData>
    <row r="1" spans="2:12" s="37" customFormat="1" ht="16.2" thickBot="1" x14ac:dyDescent="0.35">
      <c r="B1" s="36" t="s">
        <v>610</v>
      </c>
      <c r="I1" s="38" t="s">
        <v>389</v>
      </c>
    </row>
    <row r="2" spans="2:12" s="37" customFormat="1" ht="5.0999999999999996" customHeight="1" x14ac:dyDescent="0.3">
      <c r="B2" s="36"/>
      <c r="I2" s="175"/>
    </row>
    <row r="4" spans="2:12" x14ac:dyDescent="0.25">
      <c r="B4" s="7" t="s">
        <v>607</v>
      </c>
    </row>
    <row r="6" spans="2:12" ht="66" x14ac:dyDescent="0.25">
      <c r="B6" s="267" t="s">
        <v>267</v>
      </c>
      <c r="C6" s="268" t="s">
        <v>268</v>
      </c>
      <c r="D6" s="268" t="s">
        <v>269</v>
      </c>
      <c r="E6" s="268" t="s">
        <v>270</v>
      </c>
      <c r="F6" s="268" t="s">
        <v>271</v>
      </c>
      <c r="G6" s="268" t="s">
        <v>272</v>
      </c>
      <c r="H6" s="268" t="s">
        <v>273</v>
      </c>
      <c r="I6" s="268" t="s">
        <v>274</v>
      </c>
      <c r="J6" s="268" t="s">
        <v>275</v>
      </c>
    </row>
    <row r="7" spans="2:12" x14ac:dyDescent="0.25">
      <c r="B7" s="1" t="s">
        <v>276</v>
      </c>
      <c r="C7" s="5">
        <v>0</v>
      </c>
      <c r="D7" s="5">
        <v>0</v>
      </c>
      <c r="E7" s="5">
        <v>0</v>
      </c>
      <c r="F7" s="5">
        <v>0</v>
      </c>
      <c r="G7" s="5">
        <v>290.67</v>
      </c>
      <c r="H7" s="5">
        <v>223</v>
      </c>
      <c r="I7" s="5">
        <v>273</v>
      </c>
      <c r="J7" s="5">
        <v>400</v>
      </c>
    </row>
    <row r="8" spans="2:12" x14ac:dyDescent="0.25">
      <c r="B8" s="1" t="s">
        <v>277</v>
      </c>
      <c r="C8" s="5">
        <v>0</v>
      </c>
      <c r="D8" s="5">
        <v>0</v>
      </c>
      <c r="E8" s="5">
        <v>0</v>
      </c>
      <c r="F8" s="5">
        <v>1999</v>
      </c>
      <c r="G8" s="5">
        <v>1612</v>
      </c>
      <c r="H8" s="5">
        <v>0</v>
      </c>
      <c r="I8" s="5">
        <v>0</v>
      </c>
      <c r="J8" s="5">
        <v>0</v>
      </c>
    </row>
    <row r="9" spans="2:12" x14ac:dyDescent="0.25">
      <c r="B9" s="1" t="s">
        <v>278</v>
      </c>
      <c r="C9" s="5">
        <v>0</v>
      </c>
      <c r="D9" s="5">
        <v>0</v>
      </c>
      <c r="E9" s="5">
        <v>0</v>
      </c>
      <c r="F9" s="5">
        <v>0</v>
      </c>
      <c r="G9" s="5">
        <v>2159.7399999999998</v>
      </c>
      <c r="H9" s="5">
        <v>0</v>
      </c>
      <c r="I9" s="5">
        <v>0</v>
      </c>
      <c r="J9" s="5">
        <v>397</v>
      </c>
    </row>
    <row r="10" spans="2:12" x14ac:dyDescent="0.25">
      <c r="B10" s="1" t="s">
        <v>279</v>
      </c>
      <c r="C10" s="5">
        <v>2354</v>
      </c>
      <c r="D10" s="5">
        <v>0</v>
      </c>
      <c r="E10" s="5">
        <v>0</v>
      </c>
      <c r="F10" s="5">
        <v>0</v>
      </c>
      <c r="G10" s="5">
        <v>3140</v>
      </c>
      <c r="H10" s="5">
        <v>0</v>
      </c>
      <c r="I10" s="5">
        <v>0</v>
      </c>
      <c r="J10" s="5">
        <v>0</v>
      </c>
    </row>
    <row r="11" spans="2:12" x14ac:dyDescent="0.25">
      <c r="B11" s="1" t="s">
        <v>280</v>
      </c>
      <c r="C11" s="5">
        <v>4989</v>
      </c>
      <c r="D11" s="5">
        <v>820</v>
      </c>
      <c r="E11" s="5">
        <v>0</v>
      </c>
      <c r="F11" s="5">
        <v>0</v>
      </c>
      <c r="G11" s="5">
        <v>4493.8599999999997</v>
      </c>
      <c r="H11" s="5">
        <v>0</v>
      </c>
      <c r="I11" s="5">
        <v>0</v>
      </c>
      <c r="J11" s="5">
        <v>0</v>
      </c>
      <c r="L11" s="6"/>
    </row>
    <row r="12" spans="2:12" x14ac:dyDescent="0.25">
      <c r="B12" s="1" t="s">
        <v>281</v>
      </c>
      <c r="C12" s="5">
        <v>0</v>
      </c>
      <c r="D12" s="5">
        <v>0</v>
      </c>
      <c r="E12" s="5">
        <v>0</v>
      </c>
      <c r="F12" s="5">
        <v>0</v>
      </c>
      <c r="G12" s="5">
        <v>4197</v>
      </c>
      <c r="H12" s="5">
        <v>395</v>
      </c>
      <c r="I12" s="5">
        <v>671</v>
      </c>
      <c r="J12" s="5">
        <v>0</v>
      </c>
    </row>
    <row r="13" spans="2:12" x14ac:dyDescent="0.25">
      <c r="B13" s="1" t="s">
        <v>282</v>
      </c>
      <c r="C13" s="5">
        <v>0</v>
      </c>
      <c r="D13" s="5">
        <v>0</v>
      </c>
      <c r="E13" s="5">
        <v>1986</v>
      </c>
      <c r="F13" s="5">
        <v>3353</v>
      </c>
      <c r="G13" s="5">
        <v>5853</v>
      </c>
      <c r="H13" s="5">
        <v>0</v>
      </c>
      <c r="I13" s="5">
        <v>0</v>
      </c>
      <c r="J13" s="5">
        <v>0</v>
      </c>
    </row>
    <row r="14" spans="2:12" x14ac:dyDescent="0.25">
      <c r="B14" s="1" t="s">
        <v>283</v>
      </c>
      <c r="C14" s="5">
        <v>0</v>
      </c>
      <c r="D14" s="5">
        <v>0</v>
      </c>
      <c r="E14" s="5">
        <v>0</v>
      </c>
      <c r="F14" s="5">
        <v>3117</v>
      </c>
      <c r="G14" s="5">
        <v>2183</v>
      </c>
      <c r="H14" s="5">
        <v>0</v>
      </c>
      <c r="I14" s="5">
        <v>0</v>
      </c>
      <c r="J14" s="5">
        <v>0</v>
      </c>
    </row>
    <row r="15" spans="2:12" x14ac:dyDescent="0.25">
      <c r="B15" s="1" t="s">
        <v>284</v>
      </c>
      <c r="C15" s="5">
        <v>0</v>
      </c>
      <c r="D15" s="5">
        <v>0</v>
      </c>
      <c r="E15" s="5">
        <v>0</v>
      </c>
      <c r="F15" s="5">
        <v>2759</v>
      </c>
      <c r="G15" s="5">
        <v>4260</v>
      </c>
      <c r="H15" s="5">
        <v>1755</v>
      </c>
      <c r="I15" s="5">
        <v>0</v>
      </c>
      <c r="J15" s="5">
        <v>0</v>
      </c>
    </row>
    <row r="16" spans="2:12" x14ac:dyDescent="0.25">
      <c r="B16" s="1" t="s">
        <v>285</v>
      </c>
      <c r="C16" s="5">
        <v>0</v>
      </c>
      <c r="D16" s="5">
        <v>0</v>
      </c>
      <c r="E16" s="5">
        <v>0</v>
      </c>
      <c r="F16" s="5">
        <v>3355</v>
      </c>
      <c r="G16" s="5">
        <v>2965</v>
      </c>
      <c r="H16" s="5">
        <v>1290</v>
      </c>
      <c r="I16" s="5">
        <v>0</v>
      </c>
      <c r="J16" s="5">
        <v>0</v>
      </c>
    </row>
    <row r="17" spans="2:11" x14ac:dyDescent="0.25">
      <c r="B17" s="1" t="s">
        <v>286</v>
      </c>
      <c r="C17" s="5">
        <v>0</v>
      </c>
      <c r="D17" s="5">
        <v>0</v>
      </c>
      <c r="E17" s="5">
        <v>0</v>
      </c>
      <c r="F17" s="5">
        <v>0</v>
      </c>
      <c r="G17" s="5">
        <v>4904</v>
      </c>
      <c r="H17" s="5">
        <v>0</v>
      </c>
      <c r="I17" s="5">
        <v>0</v>
      </c>
      <c r="J17" s="5">
        <v>0</v>
      </c>
    </row>
    <row r="18" spans="2:11" x14ac:dyDescent="0.25">
      <c r="B18" s="147" t="s">
        <v>287</v>
      </c>
      <c r="C18" s="148">
        <v>0</v>
      </c>
      <c r="D18" s="148">
        <v>0</v>
      </c>
      <c r="E18" s="148">
        <v>0</v>
      </c>
      <c r="F18" s="148">
        <v>0</v>
      </c>
      <c r="G18" s="148">
        <v>2899</v>
      </c>
      <c r="H18" s="148">
        <v>0</v>
      </c>
      <c r="I18" s="148">
        <v>0</v>
      </c>
      <c r="J18" s="148">
        <v>0</v>
      </c>
    </row>
    <row r="21" spans="2:11" ht="26.4" x14ac:dyDescent="0.25">
      <c r="B21" s="52" t="s">
        <v>267</v>
      </c>
      <c r="C21" s="39" t="s">
        <v>288</v>
      </c>
      <c r="D21" s="39" t="s">
        <v>289</v>
      </c>
      <c r="E21" s="39" t="s">
        <v>290</v>
      </c>
      <c r="F21" s="39" t="s">
        <v>291</v>
      </c>
      <c r="G21" s="39" t="s">
        <v>292</v>
      </c>
      <c r="H21" s="39" t="s">
        <v>1</v>
      </c>
      <c r="I21" s="39" t="s">
        <v>3</v>
      </c>
      <c r="J21" s="39" t="s">
        <v>2</v>
      </c>
      <c r="K21" s="39" t="s">
        <v>293</v>
      </c>
    </row>
    <row r="22" spans="2:11" x14ac:dyDescent="0.25">
      <c r="B22" s="269" t="s">
        <v>276</v>
      </c>
      <c r="C22" s="4"/>
      <c r="D22" s="4"/>
      <c r="E22" s="4"/>
      <c r="F22" s="4"/>
      <c r="G22" s="4"/>
      <c r="H22" s="4"/>
      <c r="I22" s="4"/>
      <c r="J22" s="4"/>
    </row>
    <row r="23" spans="2:11" x14ac:dyDescent="0.25">
      <c r="B23" s="12" t="s">
        <v>294</v>
      </c>
      <c r="C23" s="240" t="s">
        <v>295</v>
      </c>
      <c r="D23" s="240"/>
      <c r="E23" s="240"/>
      <c r="F23" s="240"/>
      <c r="G23" s="240" t="s">
        <v>295</v>
      </c>
      <c r="H23" s="240"/>
      <c r="I23" s="240"/>
      <c r="J23" s="240" t="s">
        <v>295</v>
      </c>
      <c r="K23" s="309">
        <f>+G7</f>
        <v>290.67</v>
      </c>
    </row>
    <row r="24" spans="2:11" x14ac:dyDescent="0.25">
      <c r="B24" s="12" t="s">
        <v>296</v>
      </c>
      <c r="C24" s="240" t="s">
        <v>295</v>
      </c>
      <c r="D24" s="240"/>
      <c r="E24" s="240"/>
      <c r="F24" s="240"/>
      <c r="G24" s="240" t="s">
        <v>295</v>
      </c>
      <c r="H24" s="240"/>
      <c r="I24" s="240"/>
      <c r="J24" s="240" t="s">
        <v>295</v>
      </c>
      <c r="K24" s="309">
        <f>+H7</f>
        <v>223</v>
      </c>
    </row>
    <row r="25" spans="2:11" x14ac:dyDescent="0.25">
      <c r="B25" s="12" t="s">
        <v>297</v>
      </c>
      <c r="C25" s="4"/>
      <c r="D25" s="4"/>
      <c r="E25" s="4"/>
      <c r="F25" s="4"/>
      <c r="G25" s="4"/>
      <c r="H25" s="4" t="s">
        <v>295</v>
      </c>
      <c r="I25" s="4"/>
      <c r="J25" s="4"/>
      <c r="K25" s="309">
        <f>+I7</f>
        <v>273</v>
      </c>
    </row>
    <row r="26" spans="2:11" x14ac:dyDescent="0.25">
      <c r="B26" s="12" t="s">
        <v>298</v>
      </c>
      <c r="C26" s="4"/>
      <c r="D26" s="4" t="s">
        <v>295</v>
      </c>
      <c r="E26" s="4"/>
      <c r="F26" s="4"/>
      <c r="G26" s="4"/>
      <c r="H26" s="4" t="s">
        <v>295</v>
      </c>
      <c r="I26" s="4"/>
      <c r="J26" s="4"/>
      <c r="K26" s="309">
        <f>IF([3]Tarifa!L47=[3]Tarifa!I48,J7,J7+J9)</f>
        <v>797</v>
      </c>
    </row>
    <row r="27" spans="2:11" x14ac:dyDescent="0.25">
      <c r="B27" s="269" t="s">
        <v>277</v>
      </c>
      <c r="C27" s="4"/>
      <c r="D27" s="4"/>
      <c r="E27" s="4"/>
      <c r="F27" s="4"/>
      <c r="G27" s="4"/>
      <c r="H27" s="4"/>
      <c r="I27" s="4"/>
      <c r="J27" s="4"/>
      <c r="K27" s="309"/>
    </row>
    <row r="28" spans="2:11" x14ac:dyDescent="0.25">
      <c r="B28" s="12" t="s">
        <v>299</v>
      </c>
      <c r="C28" s="4"/>
      <c r="D28" s="4"/>
      <c r="E28" s="4" t="s">
        <v>295</v>
      </c>
      <c r="F28" s="4" t="s">
        <v>295</v>
      </c>
      <c r="G28" s="4" t="s">
        <v>295</v>
      </c>
      <c r="H28" s="4" t="s">
        <v>295</v>
      </c>
      <c r="I28" s="4" t="s">
        <v>295</v>
      </c>
      <c r="J28" s="4" t="s">
        <v>295</v>
      </c>
      <c r="K28" s="309">
        <f>+F8</f>
        <v>1999</v>
      </c>
    </row>
    <row r="29" spans="2:11" x14ac:dyDescent="0.25">
      <c r="B29" s="12" t="s">
        <v>300</v>
      </c>
      <c r="C29" s="4"/>
      <c r="D29" s="4"/>
      <c r="E29" s="4" t="s">
        <v>295</v>
      </c>
      <c r="F29" s="4" t="s">
        <v>295</v>
      </c>
      <c r="G29" s="4" t="s">
        <v>295</v>
      </c>
      <c r="H29" s="4" t="s">
        <v>295</v>
      </c>
      <c r="I29" s="4" t="s">
        <v>295</v>
      </c>
      <c r="J29" s="4" t="s">
        <v>295</v>
      </c>
      <c r="K29" s="309">
        <f>+G8</f>
        <v>1612</v>
      </c>
    </row>
    <row r="30" spans="2:11" x14ac:dyDescent="0.25">
      <c r="B30" s="269" t="s">
        <v>278</v>
      </c>
      <c r="C30" s="4"/>
      <c r="D30" s="4"/>
      <c r="E30" s="4"/>
      <c r="F30" s="4"/>
      <c r="G30" s="4"/>
      <c r="H30" s="4"/>
      <c r="I30" s="4"/>
      <c r="J30" s="4"/>
      <c r="K30" s="309"/>
    </row>
    <row r="31" spans="2:11" x14ac:dyDescent="0.25">
      <c r="B31" s="12" t="s">
        <v>301</v>
      </c>
      <c r="C31" s="240" t="s">
        <v>295</v>
      </c>
      <c r="D31" s="240"/>
      <c r="E31" s="240"/>
      <c r="F31" s="240"/>
      <c r="G31" s="240" t="s">
        <v>295</v>
      </c>
      <c r="H31" s="240"/>
      <c r="I31" s="240"/>
      <c r="J31" s="240" t="s">
        <v>295</v>
      </c>
      <c r="K31" s="309">
        <f>+G9</f>
        <v>2159.7399999999998</v>
      </c>
    </row>
    <row r="32" spans="2:11" x14ac:dyDescent="0.25">
      <c r="B32" s="12" t="s">
        <v>302</v>
      </c>
      <c r="C32" s="4"/>
      <c r="D32" s="4"/>
      <c r="E32" s="4"/>
      <c r="F32" s="4"/>
      <c r="G32" s="4"/>
      <c r="H32" s="4" t="s">
        <v>295</v>
      </c>
      <c r="I32" s="4" t="s">
        <v>295</v>
      </c>
      <c r="J32" s="4"/>
      <c r="K32" s="309">
        <f>+H9</f>
        <v>0</v>
      </c>
    </row>
    <row r="33" spans="2:11" x14ac:dyDescent="0.25">
      <c r="B33" s="269" t="s">
        <v>279</v>
      </c>
      <c r="C33" s="4"/>
      <c r="D33" s="4"/>
      <c r="E33" s="4"/>
      <c r="F33" s="4"/>
      <c r="G33" s="4"/>
      <c r="H33" s="4"/>
      <c r="I33" s="4"/>
      <c r="J33" s="4"/>
      <c r="K33" s="309"/>
    </row>
    <row r="34" spans="2:11" x14ac:dyDescent="0.25">
      <c r="B34" s="12" t="s">
        <v>303</v>
      </c>
      <c r="C34" s="240" t="s">
        <v>295</v>
      </c>
      <c r="D34" s="240"/>
      <c r="E34" s="240"/>
      <c r="F34" s="240"/>
      <c r="G34" s="240" t="s">
        <v>295</v>
      </c>
      <c r="H34" s="240"/>
      <c r="I34" s="240"/>
      <c r="J34" s="240" t="s">
        <v>295</v>
      </c>
      <c r="K34" s="309">
        <f>+G10</f>
        <v>3140</v>
      </c>
    </row>
    <row r="35" spans="2:11" ht="26.4" x14ac:dyDescent="0.25">
      <c r="B35" s="12" t="s">
        <v>304</v>
      </c>
      <c r="C35" s="4"/>
      <c r="D35" s="4"/>
      <c r="E35" s="4" t="s">
        <v>295</v>
      </c>
      <c r="F35" s="4"/>
      <c r="G35" s="4" t="s">
        <v>295</v>
      </c>
      <c r="H35" s="4"/>
      <c r="I35" s="4" t="s">
        <v>295</v>
      </c>
      <c r="J35" s="4"/>
      <c r="K35" s="309">
        <f>+C10</f>
        <v>2354</v>
      </c>
    </row>
    <row r="36" spans="2:11" ht="26.4" x14ac:dyDescent="0.25">
      <c r="B36" s="12" t="s">
        <v>305</v>
      </c>
      <c r="C36" s="240" t="s">
        <v>295</v>
      </c>
      <c r="D36" s="240"/>
      <c r="E36" s="240"/>
      <c r="F36" s="240"/>
      <c r="G36" s="240" t="s">
        <v>295</v>
      </c>
      <c r="H36" s="240"/>
      <c r="I36" s="240"/>
      <c r="J36" s="240" t="s">
        <v>295</v>
      </c>
      <c r="K36" s="309">
        <f>+D10</f>
        <v>0</v>
      </c>
    </row>
    <row r="37" spans="2:11" x14ac:dyDescent="0.25">
      <c r="B37" s="269" t="s">
        <v>306</v>
      </c>
      <c r="C37" s="4"/>
      <c r="D37" s="4"/>
      <c r="E37" s="4"/>
      <c r="F37" s="4"/>
      <c r="G37" s="4"/>
      <c r="H37" s="4"/>
      <c r="I37" s="4"/>
      <c r="J37" s="4"/>
      <c r="K37" s="309"/>
    </row>
    <row r="38" spans="2:11" x14ac:dyDescent="0.25">
      <c r="B38" s="12" t="s">
        <v>307</v>
      </c>
      <c r="C38" s="240" t="s">
        <v>295</v>
      </c>
      <c r="D38" s="240"/>
      <c r="E38" s="240"/>
      <c r="F38" s="240"/>
      <c r="G38" s="240" t="s">
        <v>295</v>
      </c>
      <c r="H38" s="240"/>
      <c r="I38" s="240"/>
      <c r="J38" s="240" t="s">
        <v>295</v>
      </c>
      <c r="K38" s="309">
        <f>+G11</f>
        <v>4493.8599999999997</v>
      </c>
    </row>
    <row r="39" spans="2:11" ht="26.4" x14ac:dyDescent="0.25">
      <c r="B39" s="12" t="s">
        <v>308</v>
      </c>
      <c r="C39" s="4"/>
      <c r="D39" s="4" t="s">
        <v>295</v>
      </c>
      <c r="E39" s="4" t="s">
        <v>295</v>
      </c>
      <c r="F39" s="4" t="s">
        <v>295</v>
      </c>
      <c r="G39" s="4"/>
      <c r="H39" s="4" t="s">
        <v>295</v>
      </c>
      <c r="I39" s="4" t="s">
        <v>295</v>
      </c>
      <c r="J39" s="4" t="s">
        <v>295</v>
      </c>
      <c r="K39" s="309">
        <f>+C11</f>
        <v>4989</v>
      </c>
    </row>
    <row r="40" spans="2:11" ht="26.4" x14ac:dyDescent="0.25">
      <c r="B40" s="12" t="s">
        <v>309</v>
      </c>
      <c r="C40" s="240" t="s">
        <v>295</v>
      </c>
      <c r="D40" s="240"/>
      <c r="E40" s="240"/>
      <c r="F40" s="240"/>
      <c r="G40" s="240" t="s">
        <v>295</v>
      </c>
      <c r="H40" s="240"/>
      <c r="I40" s="240"/>
      <c r="J40" s="240" t="s">
        <v>295</v>
      </c>
      <c r="K40" s="309">
        <f>+D11</f>
        <v>820</v>
      </c>
    </row>
    <row r="41" spans="2:11" x14ac:dyDescent="0.25">
      <c r="B41" s="269" t="s">
        <v>281</v>
      </c>
      <c r="C41" s="4"/>
      <c r="D41" s="4"/>
      <c r="E41" s="4"/>
      <c r="F41" s="4"/>
      <c r="G41" s="4"/>
      <c r="H41" s="4"/>
      <c r="I41" s="4"/>
      <c r="J41" s="4"/>
      <c r="K41" s="309"/>
    </row>
    <row r="42" spans="2:11" x14ac:dyDescent="0.25">
      <c r="B42" s="12" t="s">
        <v>310</v>
      </c>
      <c r="C42" s="4"/>
      <c r="D42" s="4"/>
      <c r="E42" s="4" t="s">
        <v>295</v>
      </c>
      <c r="F42" s="4"/>
      <c r="G42" s="4" t="s">
        <v>295</v>
      </c>
      <c r="H42" s="4"/>
      <c r="I42" s="4" t="s">
        <v>295</v>
      </c>
      <c r="J42" s="4"/>
      <c r="K42" s="309">
        <f>+G12</f>
        <v>4197</v>
      </c>
    </row>
    <row r="43" spans="2:11" x14ac:dyDescent="0.25">
      <c r="B43" s="12" t="s">
        <v>311</v>
      </c>
      <c r="C43" s="4"/>
      <c r="D43" s="4"/>
      <c r="E43" s="4" t="s">
        <v>295</v>
      </c>
      <c r="F43" s="4"/>
      <c r="G43" s="4"/>
      <c r="H43" s="4"/>
      <c r="I43" s="4" t="s">
        <v>295</v>
      </c>
      <c r="J43" s="4"/>
      <c r="K43" s="309">
        <f>+H12</f>
        <v>395</v>
      </c>
    </row>
    <row r="44" spans="2:11" x14ac:dyDescent="0.25">
      <c r="B44" s="12" t="s">
        <v>312</v>
      </c>
      <c r="C44" s="4"/>
      <c r="D44" s="4"/>
      <c r="E44" s="4"/>
      <c r="F44" s="4" t="s">
        <v>295</v>
      </c>
      <c r="G44" s="4"/>
      <c r="H44" s="4" t="s">
        <v>295</v>
      </c>
      <c r="I44" s="4"/>
      <c r="J44" s="4" t="s">
        <v>295</v>
      </c>
      <c r="K44" s="309">
        <f>+I12</f>
        <v>671</v>
      </c>
    </row>
    <row r="45" spans="2:11" x14ac:dyDescent="0.25">
      <c r="B45" s="269" t="s">
        <v>282</v>
      </c>
      <c r="C45" s="4"/>
      <c r="D45" s="4"/>
      <c r="E45" s="4"/>
      <c r="F45" s="4"/>
      <c r="G45" s="4"/>
      <c r="H45" s="4"/>
      <c r="I45" s="4"/>
      <c r="J45" s="4"/>
      <c r="K45" s="309"/>
    </row>
    <row r="46" spans="2:11" x14ac:dyDescent="0.25">
      <c r="B46" s="12" t="s">
        <v>313</v>
      </c>
      <c r="C46" s="4"/>
      <c r="D46" s="4" t="s">
        <v>295</v>
      </c>
      <c r="E46" s="4"/>
      <c r="F46" s="4" t="s">
        <v>295</v>
      </c>
      <c r="G46" s="4"/>
      <c r="H46" s="4" t="s">
        <v>295</v>
      </c>
      <c r="I46" s="4" t="s">
        <v>295</v>
      </c>
      <c r="J46" s="4" t="s">
        <v>295</v>
      </c>
      <c r="K46" s="309">
        <f>+F13</f>
        <v>3353</v>
      </c>
    </row>
    <row r="47" spans="2:11" x14ac:dyDescent="0.25">
      <c r="B47" s="12" t="s">
        <v>314</v>
      </c>
      <c r="C47" s="4"/>
      <c r="D47" s="4" t="s">
        <v>295</v>
      </c>
      <c r="E47" s="4"/>
      <c r="F47" s="4" t="s">
        <v>295</v>
      </c>
      <c r="G47" s="4"/>
      <c r="H47" s="4" t="s">
        <v>295</v>
      </c>
      <c r="I47" s="4" t="s">
        <v>295</v>
      </c>
      <c r="J47" s="4" t="s">
        <v>295</v>
      </c>
      <c r="K47" s="309">
        <f>+G13</f>
        <v>5853</v>
      </c>
    </row>
    <row r="48" spans="2:11" ht="26.4" x14ac:dyDescent="0.25">
      <c r="B48" s="12" t="s">
        <v>315</v>
      </c>
      <c r="C48" s="4"/>
      <c r="D48" s="4" t="s">
        <v>295</v>
      </c>
      <c r="E48" s="4"/>
      <c r="F48" s="4" t="s">
        <v>295</v>
      </c>
      <c r="G48" s="4"/>
      <c r="H48" s="4" t="s">
        <v>295</v>
      </c>
      <c r="I48" s="4" t="s">
        <v>295</v>
      </c>
      <c r="J48" s="4" t="s">
        <v>295</v>
      </c>
      <c r="K48" s="309">
        <f>+E13</f>
        <v>1986</v>
      </c>
    </row>
    <row r="49" spans="2:12" x14ac:dyDescent="0.25">
      <c r="B49" s="269" t="s">
        <v>283</v>
      </c>
      <c r="C49" s="4"/>
      <c r="D49" s="4"/>
      <c r="E49" s="4"/>
      <c r="F49" s="4"/>
      <c r="G49" s="4"/>
      <c r="H49" s="4"/>
      <c r="I49" s="4"/>
      <c r="J49" s="4"/>
      <c r="K49" s="309"/>
    </row>
    <row r="50" spans="2:12" x14ac:dyDescent="0.25">
      <c r="B50" s="12" t="s">
        <v>316</v>
      </c>
      <c r="C50" s="4"/>
      <c r="D50" s="4"/>
      <c r="E50" s="4" t="s">
        <v>295</v>
      </c>
      <c r="F50" s="4"/>
      <c r="G50" s="4" t="s">
        <v>295</v>
      </c>
      <c r="H50" s="4"/>
      <c r="I50" s="4" t="s">
        <v>295</v>
      </c>
      <c r="J50" s="4"/>
      <c r="K50" s="309">
        <f>+F14</f>
        <v>3117</v>
      </c>
    </row>
    <row r="51" spans="2:12" x14ac:dyDescent="0.25">
      <c r="B51" s="12" t="s">
        <v>317</v>
      </c>
      <c r="C51" s="4"/>
      <c r="D51" s="4"/>
      <c r="E51" s="4" t="s">
        <v>295</v>
      </c>
      <c r="F51" s="4"/>
      <c r="G51" s="4" t="s">
        <v>295</v>
      </c>
      <c r="H51" s="4"/>
      <c r="I51" s="4" t="s">
        <v>295</v>
      </c>
      <c r="J51" s="4"/>
      <c r="K51" s="309">
        <f>+G14</f>
        <v>2183</v>
      </c>
    </row>
    <row r="52" spans="2:12" x14ac:dyDescent="0.25">
      <c r="B52" s="269" t="s">
        <v>318</v>
      </c>
      <c r="C52" s="4"/>
      <c r="D52" s="4"/>
      <c r="E52" s="4"/>
      <c r="F52" s="4"/>
      <c r="G52" s="4"/>
      <c r="H52" s="4"/>
      <c r="I52" s="4"/>
      <c r="J52" s="4"/>
      <c r="K52" s="309"/>
    </row>
    <row r="53" spans="2:12" x14ac:dyDescent="0.25">
      <c r="B53" s="12" t="s">
        <v>319</v>
      </c>
      <c r="C53" s="4"/>
      <c r="D53" s="4" t="s">
        <v>295</v>
      </c>
      <c r="E53" s="4" t="s">
        <v>295</v>
      </c>
      <c r="F53" s="4" t="s">
        <v>295</v>
      </c>
      <c r="G53" s="4" t="s">
        <v>295</v>
      </c>
      <c r="H53" s="4" t="s">
        <v>295</v>
      </c>
      <c r="I53" s="4" t="s">
        <v>295</v>
      </c>
      <c r="J53" s="4" t="s">
        <v>295</v>
      </c>
      <c r="K53" s="309">
        <f>+F15+F16</f>
        <v>6114</v>
      </c>
    </row>
    <row r="54" spans="2:12" x14ac:dyDescent="0.25">
      <c r="B54" s="12" t="s">
        <v>320</v>
      </c>
      <c r="C54" s="4"/>
      <c r="D54" s="4" t="s">
        <v>295</v>
      </c>
      <c r="E54" s="4"/>
      <c r="F54" s="4" t="s">
        <v>295</v>
      </c>
      <c r="G54" s="4"/>
      <c r="H54" s="4" t="s">
        <v>295</v>
      </c>
      <c r="I54" s="4" t="s">
        <v>295</v>
      </c>
      <c r="J54" s="4" t="s">
        <v>295</v>
      </c>
      <c r="K54" s="309">
        <f>+G15+G16</f>
        <v>7225</v>
      </c>
    </row>
    <row r="55" spans="2:12" x14ac:dyDescent="0.25">
      <c r="B55" s="12" t="s">
        <v>321</v>
      </c>
      <c r="C55" s="4"/>
      <c r="D55" s="4"/>
      <c r="E55" s="4" t="s">
        <v>295</v>
      </c>
      <c r="F55" s="4"/>
      <c r="G55" s="4" t="s">
        <v>295</v>
      </c>
      <c r="H55" s="4"/>
      <c r="I55" s="4" t="s">
        <v>295</v>
      </c>
      <c r="J55" s="4"/>
      <c r="K55" s="309">
        <f>+H15+H16</f>
        <v>3045</v>
      </c>
    </row>
    <row r="56" spans="2:12" x14ac:dyDescent="0.25">
      <c r="B56" s="269" t="s">
        <v>322</v>
      </c>
      <c r="C56" s="4"/>
      <c r="D56" s="4"/>
      <c r="E56" s="4"/>
      <c r="F56" s="4"/>
      <c r="G56" s="4"/>
      <c r="H56" s="4"/>
      <c r="I56" s="4"/>
      <c r="J56" s="4"/>
      <c r="K56" s="309"/>
    </row>
    <row r="57" spans="2:12" x14ac:dyDescent="0.25">
      <c r="B57" s="270" t="s">
        <v>323</v>
      </c>
      <c r="C57" s="8"/>
      <c r="D57" s="8"/>
      <c r="E57" s="8" t="s">
        <v>295</v>
      </c>
      <c r="F57" s="8"/>
      <c r="G57" s="8" t="s">
        <v>295</v>
      </c>
      <c r="H57" s="8"/>
      <c r="I57" s="8" t="s">
        <v>295</v>
      </c>
      <c r="J57" s="8"/>
      <c r="K57" s="310">
        <f>+G17+G18</f>
        <v>7803</v>
      </c>
    </row>
    <row r="59" spans="2:12" x14ac:dyDescent="0.25">
      <c r="B59" s="7" t="s">
        <v>608</v>
      </c>
    </row>
    <row r="60" spans="2:12" x14ac:dyDescent="0.25">
      <c r="B60" s="7"/>
    </row>
    <row r="61" spans="2:12" x14ac:dyDescent="0.25">
      <c r="B61" s="52" t="s">
        <v>520</v>
      </c>
      <c r="C61" s="52">
        <v>2025</v>
      </c>
      <c r="D61" s="52">
        <v>2026</v>
      </c>
      <c r="E61" s="52">
        <v>2027</v>
      </c>
      <c r="F61" s="52">
        <v>2028</v>
      </c>
      <c r="G61" s="52">
        <v>2029</v>
      </c>
      <c r="H61" s="52">
        <v>2030</v>
      </c>
    </row>
    <row r="62" spans="2:12" x14ac:dyDescent="0.25">
      <c r="B62" s="1" t="s">
        <v>0</v>
      </c>
      <c r="C62" s="5">
        <f>+'1. Demanda'!C6</f>
        <v>1689007.6957109317</v>
      </c>
      <c r="D62" s="5">
        <f>+'1. Demanda'!D6</f>
        <v>2077792.7271740844</v>
      </c>
      <c r="E62" s="5">
        <f>+'1. Demanda'!E6</f>
        <v>2418772.9870262672</v>
      </c>
      <c r="F62" s="5">
        <f>+'1. Demanda'!F6</f>
        <v>2653728.9503603666</v>
      </c>
      <c r="G62" s="5">
        <f>+'1. Demanda'!G6</f>
        <v>2863807.5290358285</v>
      </c>
      <c r="H62" s="5">
        <f>+'1. Demanda'!H6</f>
        <v>3091316.7841338501</v>
      </c>
      <c r="I62" s="339"/>
      <c r="J62" s="339"/>
      <c r="K62" s="339"/>
      <c r="L62" s="339"/>
    </row>
    <row r="63" spans="2:12" x14ac:dyDescent="0.25">
      <c r="B63" s="1" t="s">
        <v>1</v>
      </c>
      <c r="C63" s="5">
        <f>+'1. Demanda'!C7</f>
        <v>833047.68687193515</v>
      </c>
      <c r="D63" s="5">
        <f>+'1. Demanda'!D7</f>
        <v>860545.33848201297</v>
      </c>
      <c r="E63" s="5">
        <f>+'1. Demanda'!E7</f>
        <v>885582.1520514664</v>
      </c>
      <c r="F63" s="5">
        <f>+'1. Demanda'!F7</f>
        <v>911054.07582776831</v>
      </c>
      <c r="G63" s="5">
        <f>+'1. Demanda'!G7</f>
        <v>949482.69513160584</v>
      </c>
      <c r="H63" s="5">
        <f>+'1. Demanda'!H7</f>
        <v>982530.64951376303</v>
      </c>
      <c r="I63" s="339"/>
      <c r="J63" s="339"/>
      <c r="K63" s="339"/>
      <c r="L63" s="339"/>
    </row>
    <row r="64" spans="2:12" x14ac:dyDescent="0.25">
      <c r="B64" s="145" t="s">
        <v>2</v>
      </c>
      <c r="C64" s="146">
        <f>+'1. Demanda'!C8</f>
        <v>1193203.9345909571</v>
      </c>
      <c r="D64" s="146">
        <f>+'1. Demanda'!D8</f>
        <v>1381517.3133643528</v>
      </c>
      <c r="E64" s="146">
        <f>+'1. Demanda'!E8</f>
        <v>1518886.8917999624</v>
      </c>
      <c r="F64" s="146">
        <f>+'1. Demanda'!F8</f>
        <v>1671728.8015543413</v>
      </c>
      <c r="G64" s="146">
        <f>+'1. Demanda'!G8</f>
        <v>1809806.5532380103</v>
      </c>
      <c r="H64" s="146">
        <f>+'1. Demanda'!H8</f>
        <v>1959796.0699798681</v>
      </c>
      <c r="I64" s="339"/>
      <c r="J64" s="339"/>
      <c r="K64" s="339"/>
      <c r="L64" s="339"/>
    </row>
    <row r="65" spans="2:21" x14ac:dyDescent="0.25">
      <c r="B65" s="147" t="s">
        <v>3</v>
      </c>
      <c r="C65" s="148">
        <f>+'1. Demanda'!C9</f>
        <v>1193203.9345909571</v>
      </c>
      <c r="D65" s="148">
        <f>+'1. Demanda'!D9</f>
        <v>1381517.3133643528</v>
      </c>
      <c r="E65" s="148">
        <f>+'1. Demanda'!E9</f>
        <v>1518886.8917999624</v>
      </c>
      <c r="F65" s="148">
        <f>+'1. Demanda'!F9</f>
        <v>1671728.8015543413</v>
      </c>
      <c r="G65" s="148">
        <f>+'1. Demanda'!G9</f>
        <v>1809806.5532380103</v>
      </c>
      <c r="H65" s="148">
        <f>+'1. Demanda'!H9</f>
        <v>1959796.0699798681</v>
      </c>
      <c r="I65" s="339"/>
      <c r="J65" s="339"/>
      <c r="K65" s="339"/>
      <c r="L65" s="339"/>
    </row>
    <row r="66" spans="2:21" x14ac:dyDescent="0.25">
      <c r="B66" s="145" t="s">
        <v>4</v>
      </c>
      <c r="C66" s="146">
        <f>+'1. Demanda'!C10</f>
        <v>3362666.236442015</v>
      </c>
      <c r="D66" s="146">
        <f>+'1. Demanda'!D10</f>
        <v>3830569.4727529585</v>
      </c>
      <c r="E66" s="146">
        <f>+'1. Demanda'!E10</f>
        <v>4142419.7794477842</v>
      </c>
      <c r="F66" s="146">
        <f>+'1. Demanda'!F10</f>
        <v>4539508.7242337223</v>
      </c>
      <c r="G66" s="146">
        <f>+'1. Demanda'!G10</f>
        <v>4893136.2879667114</v>
      </c>
      <c r="H66" s="146">
        <f>+'1. Demanda'!H10</f>
        <v>5275647.1475756392</v>
      </c>
      <c r="I66" s="339"/>
      <c r="J66" s="339"/>
      <c r="K66" s="339"/>
      <c r="L66" s="339"/>
    </row>
    <row r="67" spans="2:21" x14ac:dyDescent="0.25">
      <c r="B67" s="147" t="s">
        <v>5</v>
      </c>
      <c r="C67" s="148">
        <f>+'1. Demanda'!C11</f>
        <v>3362666.236442015</v>
      </c>
      <c r="D67" s="148">
        <f>+'1. Demanda'!D11</f>
        <v>3830569.4727529585</v>
      </c>
      <c r="E67" s="148">
        <f>+'1. Demanda'!E11</f>
        <v>4142419.7794477842</v>
      </c>
      <c r="F67" s="148">
        <f>+'1. Demanda'!F11</f>
        <v>4539508.7242337223</v>
      </c>
      <c r="G67" s="148">
        <f>+'1. Demanda'!G11</f>
        <v>4893136.2879667114</v>
      </c>
      <c r="H67" s="148">
        <f>+'1. Demanda'!H11</f>
        <v>5275647.1475756392</v>
      </c>
      <c r="I67" s="339"/>
      <c r="J67" s="339"/>
      <c r="K67" s="339"/>
      <c r="L67" s="339"/>
    </row>
    <row r="68" spans="2:21" x14ac:dyDescent="0.25">
      <c r="B68" s="145" t="s">
        <v>6</v>
      </c>
      <c r="C68" s="146">
        <f>+'1. Demanda'!C12</f>
        <v>7471401.4449075321</v>
      </c>
      <c r="D68" s="146">
        <f>+'1. Demanda'!D12</f>
        <v>7569090.3464895403</v>
      </c>
      <c r="E68" s="146">
        <f>+'1. Demanda'!E12</f>
        <v>7692130.6691106446</v>
      </c>
      <c r="F68" s="146">
        <f>+'1. Demanda'!F12</f>
        <v>7804224.2782575842</v>
      </c>
      <c r="G68" s="146">
        <f>+'1. Demanda'!G12</f>
        <v>8065849.4372547725</v>
      </c>
      <c r="H68" s="146">
        <f>+'1. Demanda'!H12</f>
        <v>8259596.8499487853</v>
      </c>
      <c r="I68" s="339"/>
      <c r="J68" s="339"/>
      <c r="K68" s="339"/>
      <c r="L68" s="339"/>
    </row>
    <row r="69" spans="2:21" x14ac:dyDescent="0.25">
      <c r="B69" s="1" t="s">
        <v>7</v>
      </c>
      <c r="C69" s="5">
        <f>+'1. Demanda'!C13</f>
        <v>7471401.4449075321</v>
      </c>
      <c r="D69" s="5">
        <f>+'1. Demanda'!D13</f>
        <v>7569090.3464895403</v>
      </c>
      <c r="E69" s="5">
        <f>+'1. Demanda'!E13</f>
        <v>7692130.6691106446</v>
      </c>
      <c r="F69" s="5">
        <f>+'1. Demanda'!F13</f>
        <v>7804224.2782575842</v>
      </c>
      <c r="G69" s="5">
        <f>+'1. Demanda'!G13</f>
        <v>8065849.4372547725</v>
      </c>
      <c r="H69" s="5">
        <f>+'1. Demanda'!H13</f>
        <v>8259596.8499487853</v>
      </c>
      <c r="I69" s="339"/>
      <c r="J69" s="339"/>
      <c r="K69" s="339"/>
      <c r="L69" s="339"/>
    </row>
    <row r="70" spans="2:21" x14ac:dyDescent="0.25">
      <c r="B70" s="54" t="s">
        <v>519</v>
      </c>
      <c r="C70" s="59">
        <f>+SUM(C62:C69)</f>
        <v>26576598.614463873</v>
      </c>
      <c r="D70" s="59">
        <f t="shared" ref="D70:H70" si="0">+SUM(D62:D69)</f>
        <v>28500692.330869801</v>
      </c>
      <c r="E70" s="59">
        <f t="shared" si="0"/>
        <v>30011229.819794517</v>
      </c>
      <c r="F70" s="59">
        <f t="shared" si="0"/>
        <v>31595706.63427943</v>
      </c>
      <c r="G70" s="59">
        <f t="shared" si="0"/>
        <v>33350874.781086423</v>
      </c>
      <c r="H70" s="59">
        <f t="shared" si="0"/>
        <v>35063927.568656199</v>
      </c>
      <c r="I70" s="339"/>
      <c r="J70" s="339"/>
      <c r="K70" s="339"/>
      <c r="L70" s="339"/>
    </row>
    <row r="71" spans="2:21" x14ac:dyDescent="0.25">
      <c r="B71" s="7"/>
    </row>
    <row r="72" spans="2:21" x14ac:dyDescent="0.25">
      <c r="B72" s="52"/>
      <c r="C72" s="331" t="s">
        <v>324</v>
      </c>
      <c r="D72" s="328"/>
      <c r="E72" s="328"/>
      <c r="F72" s="328"/>
      <c r="G72" s="328"/>
      <c r="H72" s="328"/>
      <c r="I72" s="332"/>
      <c r="J72" s="328" t="s">
        <v>326</v>
      </c>
      <c r="K72" s="328"/>
      <c r="L72" s="328"/>
      <c r="M72" s="328"/>
      <c r="N72" s="328"/>
      <c r="O72" s="328"/>
      <c r="P72" s="328"/>
    </row>
    <row r="73" spans="2:21" x14ac:dyDescent="0.25">
      <c r="B73" s="52"/>
      <c r="C73" s="40">
        <v>2025</v>
      </c>
      <c r="D73" s="39">
        <v>2026</v>
      </c>
      <c r="E73" s="39">
        <v>2027</v>
      </c>
      <c r="F73" s="39">
        <v>2028</v>
      </c>
      <c r="G73" s="39">
        <v>2029</v>
      </c>
      <c r="H73" s="39">
        <v>2030</v>
      </c>
      <c r="I73" s="39" t="s">
        <v>325</v>
      </c>
      <c r="J73" s="39">
        <v>2025</v>
      </c>
      <c r="K73" s="39">
        <v>2026</v>
      </c>
      <c r="L73" s="39">
        <v>2027</v>
      </c>
      <c r="M73" s="39">
        <v>2028</v>
      </c>
      <c r="N73" s="39">
        <v>2029</v>
      </c>
      <c r="O73" s="39">
        <v>2030</v>
      </c>
      <c r="P73" s="39" t="s">
        <v>325</v>
      </c>
      <c r="T73" s="14"/>
    </row>
    <row r="74" spans="2:21" x14ac:dyDescent="0.25">
      <c r="B74" s="269" t="s">
        <v>276</v>
      </c>
      <c r="C74" s="273"/>
      <c r="D74" s="4"/>
      <c r="E74" s="4"/>
      <c r="F74" s="4"/>
      <c r="G74" s="4"/>
      <c r="H74" s="4"/>
      <c r="I74" s="276"/>
      <c r="J74" s="4"/>
      <c r="K74" s="4"/>
      <c r="L74" s="4"/>
      <c r="M74" s="4"/>
      <c r="N74" s="4"/>
      <c r="O74" s="4"/>
      <c r="P74" s="276"/>
      <c r="T74" s="4"/>
    </row>
    <row r="75" spans="2:21" x14ac:dyDescent="0.25">
      <c r="B75" s="12" t="s">
        <v>294</v>
      </c>
      <c r="C75" s="274">
        <f>+C62/(C62+C67+C64)</f>
        <v>0.27046288682529268</v>
      </c>
      <c r="D75" s="241">
        <f t="shared" ref="D75:H75" si="1">+D62/(D62+D67+D64)</f>
        <v>0.28502428927470114</v>
      </c>
      <c r="E75" s="241">
        <f t="shared" si="1"/>
        <v>0.29935014125132298</v>
      </c>
      <c r="F75" s="241">
        <f t="shared" si="1"/>
        <v>0.29935013939424782</v>
      </c>
      <c r="G75" s="241">
        <f t="shared" si="1"/>
        <v>0.29935008421922688</v>
      </c>
      <c r="H75" s="241">
        <f t="shared" si="1"/>
        <v>0.29935011403655559</v>
      </c>
      <c r="I75" s="277">
        <f>+AVERAGE(C75:H75)</f>
        <v>0.29214794250022452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279">
        <f>+AVERAGE(J75:O75)</f>
        <v>0</v>
      </c>
      <c r="T75" s="4"/>
      <c r="U75" s="5"/>
    </row>
    <row r="76" spans="2:21" x14ac:dyDescent="0.25">
      <c r="B76" s="12" t="s">
        <v>296</v>
      </c>
      <c r="C76" s="274">
        <f>+C62/(C62+C67+C64)</f>
        <v>0.27046288682529268</v>
      </c>
      <c r="D76" s="241">
        <f t="shared" ref="D76:H76" si="2">+D62/(D62+D67+D64)</f>
        <v>0.28502428927470114</v>
      </c>
      <c r="E76" s="241">
        <f t="shared" si="2"/>
        <v>0.29935014125132298</v>
      </c>
      <c r="F76" s="241">
        <f t="shared" si="2"/>
        <v>0.29935013939424782</v>
      </c>
      <c r="G76" s="241">
        <f t="shared" si="2"/>
        <v>0.29935008421922688</v>
      </c>
      <c r="H76" s="241">
        <f t="shared" si="2"/>
        <v>0.29935011403655559</v>
      </c>
      <c r="I76" s="277">
        <f t="shared" ref="I76:I109" si="3">+AVERAGE(C76:H76)</f>
        <v>0.29214794250022452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79">
        <f>+AVERAGE(J76:O76)</f>
        <v>0</v>
      </c>
      <c r="T76" s="4"/>
      <c r="U76" s="5"/>
    </row>
    <row r="77" spans="2:21" x14ac:dyDescent="0.25">
      <c r="B77" s="12" t="s">
        <v>297</v>
      </c>
      <c r="C77" s="274">
        <v>0</v>
      </c>
      <c r="D77" s="241">
        <v>0</v>
      </c>
      <c r="E77" s="241">
        <v>0</v>
      </c>
      <c r="F77" s="241">
        <v>0</v>
      </c>
      <c r="G77" s="241">
        <v>0</v>
      </c>
      <c r="H77" s="241">
        <v>0</v>
      </c>
      <c r="I77" s="277">
        <f t="shared" si="3"/>
        <v>0</v>
      </c>
      <c r="J77" s="15">
        <f>+C63/C63</f>
        <v>1</v>
      </c>
      <c r="K77" s="15">
        <f t="shared" ref="K77:O77" si="4">+D63/D63</f>
        <v>1</v>
      </c>
      <c r="L77" s="15">
        <f t="shared" si="4"/>
        <v>1</v>
      </c>
      <c r="M77" s="15">
        <f t="shared" si="4"/>
        <v>1</v>
      </c>
      <c r="N77" s="15">
        <f t="shared" si="4"/>
        <v>1</v>
      </c>
      <c r="O77" s="15">
        <f t="shared" si="4"/>
        <v>1</v>
      </c>
      <c r="P77" s="279">
        <f>+AVERAGE(J77:O77)</f>
        <v>1</v>
      </c>
      <c r="T77" s="4"/>
      <c r="U77" s="5"/>
    </row>
    <row r="78" spans="2:21" x14ac:dyDescent="0.25">
      <c r="B78" s="12" t="s">
        <v>298</v>
      </c>
      <c r="C78" s="274">
        <v>0</v>
      </c>
      <c r="D78" s="241">
        <v>0</v>
      </c>
      <c r="E78" s="241">
        <v>0</v>
      </c>
      <c r="F78" s="241">
        <v>0</v>
      </c>
      <c r="G78" s="241">
        <v>0</v>
      </c>
      <c r="H78" s="241">
        <v>0</v>
      </c>
      <c r="I78" s="277">
        <f t="shared" si="3"/>
        <v>0</v>
      </c>
      <c r="J78" s="15">
        <f>+C63/(C63+C69)</f>
        <v>0.10031341918683422</v>
      </c>
      <c r="K78" s="15">
        <f t="shared" ref="K78:O78" si="5">+D63/(D63+D69)</f>
        <v>0.10208570935232737</v>
      </c>
      <c r="L78" s="15">
        <f t="shared" si="5"/>
        <v>0.10324222441518945</v>
      </c>
      <c r="M78" s="15">
        <f t="shared" si="5"/>
        <v>0.10453528146931818</v>
      </c>
      <c r="N78" s="15">
        <f t="shared" si="5"/>
        <v>0.10531865950015483</v>
      </c>
      <c r="O78" s="15">
        <f t="shared" si="5"/>
        <v>0.10631000811998098</v>
      </c>
      <c r="P78" s="279">
        <f>+AVERAGE(J78:O78)</f>
        <v>0.10363421700730084</v>
      </c>
      <c r="T78" s="4"/>
      <c r="U78" s="5"/>
    </row>
    <row r="79" spans="2:21" x14ac:dyDescent="0.25">
      <c r="B79" s="269" t="s">
        <v>277</v>
      </c>
      <c r="C79" s="274"/>
      <c r="D79" s="241"/>
      <c r="E79" s="241"/>
      <c r="F79" s="241"/>
      <c r="G79" s="241"/>
      <c r="H79" s="241"/>
      <c r="I79" s="277"/>
      <c r="J79" s="15"/>
      <c r="K79" s="15"/>
      <c r="L79" s="15"/>
      <c r="M79" s="15"/>
      <c r="N79" s="15"/>
      <c r="O79" s="15"/>
      <c r="P79" s="279"/>
      <c r="T79" s="4"/>
      <c r="U79" s="5"/>
    </row>
    <row r="80" spans="2:21" x14ac:dyDescent="0.25">
      <c r="B80" s="12" t="s">
        <v>299</v>
      </c>
      <c r="C80" s="274">
        <f>+C62/(C62+C66+C68+C63+C64+C65)</f>
        <v>0.10728946335802417</v>
      </c>
      <c r="D80" s="241">
        <f t="shared" ref="D80:H80" si="6">+D62/(D62+D66+D68+D63+D64+D65)</f>
        <v>0.12150101029053979</v>
      </c>
      <c r="E80" s="241">
        <f t="shared" si="6"/>
        <v>0.13307012450546302</v>
      </c>
      <c r="F80" s="241">
        <f t="shared" si="6"/>
        <v>0.13784191694396625</v>
      </c>
      <c r="G80" s="241">
        <f t="shared" si="6"/>
        <v>0.1404385597229485</v>
      </c>
      <c r="H80" s="241">
        <f t="shared" si="6"/>
        <v>0.14359060896222453</v>
      </c>
      <c r="I80" s="277">
        <f t="shared" si="3"/>
        <v>0.13062194729719437</v>
      </c>
      <c r="J80" s="15">
        <f>+C63/(C63+C66+C68+C62+C64+C65)</f>
        <v>5.2917011274192509E-2</v>
      </c>
      <c r="K80" s="15">
        <f t="shared" ref="K80:O80" si="7">+D63/(D63+D66+D68+D62+D64+D65)</f>
        <v>5.032125036291888E-2</v>
      </c>
      <c r="L80" s="15">
        <f t="shared" si="7"/>
        <v>4.872078854253583E-2</v>
      </c>
      <c r="M80" s="15">
        <f t="shared" si="7"/>
        <v>4.7322632642892812E-2</v>
      </c>
      <c r="N80" s="15">
        <f t="shared" si="7"/>
        <v>4.6561782114959267E-2</v>
      </c>
      <c r="O80" s="15">
        <f t="shared" si="7"/>
        <v>4.5638213143290245E-2</v>
      </c>
      <c r="P80" s="279">
        <f>+AVERAGE(J80:O80)</f>
        <v>4.8580279680131594E-2</v>
      </c>
      <c r="T80" s="4"/>
      <c r="U80" s="5"/>
    </row>
    <row r="81" spans="2:21" x14ac:dyDescent="0.25">
      <c r="B81" s="12" t="s">
        <v>300</v>
      </c>
      <c r="C81" s="274">
        <f>+C62/(C62+C63+C64+C65+C66+C68)</f>
        <v>0.10728946335802417</v>
      </c>
      <c r="D81" s="241">
        <f t="shared" ref="D81:H81" si="8">+D62/(D62+D63+D64+D65+D66+D68)</f>
        <v>0.12150101029053979</v>
      </c>
      <c r="E81" s="241">
        <f t="shared" si="8"/>
        <v>0.13307012450546302</v>
      </c>
      <c r="F81" s="241">
        <f t="shared" si="8"/>
        <v>0.13784191694396625</v>
      </c>
      <c r="G81" s="241">
        <f t="shared" si="8"/>
        <v>0.14043855972294852</v>
      </c>
      <c r="H81" s="241">
        <f t="shared" si="8"/>
        <v>0.14359060896222453</v>
      </c>
      <c r="I81" s="277">
        <f t="shared" si="3"/>
        <v>0.13062194729719437</v>
      </c>
      <c r="J81" s="15">
        <f>+C63/(C63+C62+C64+C65+C66+C68)</f>
        <v>5.2917011274192509E-2</v>
      </c>
      <c r="K81" s="15">
        <f t="shared" ref="K81:O81" si="9">+D63/(D63+D62+D64+D65+D66+D68)</f>
        <v>5.032125036291888E-2</v>
      </c>
      <c r="L81" s="15">
        <f t="shared" si="9"/>
        <v>4.872078854253583E-2</v>
      </c>
      <c r="M81" s="15">
        <f t="shared" si="9"/>
        <v>4.7322632642892812E-2</v>
      </c>
      <c r="N81" s="15">
        <f t="shared" si="9"/>
        <v>4.6561782114959274E-2</v>
      </c>
      <c r="O81" s="15">
        <f t="shared" si="9"/>
        <v>4.5638213143290252E-2</v>
      </c>
      <c r="P81" s="279">
        <f>+AVERAGE(J81:O81)</f>
        <v>4.8580279680131594E-2</v>
      </c>
      <c r="T81" s="4"/>
      <c r="U81" s="5"/>
    </row>
    <row r="82" spans="2:21" x14ac:dyDescent="0.25">
      <c r="B82" s="269" t="s">
        <v>278</v>
      </c>
      <c r="C82" s="274"/>
      <c r="D82" s="241"/>
      <c r="E82" s="241"/>
      <c r="F82" s="241"/>
      <c r="G82" s="241"/>
      <c r="H82" s="241"/>
      <c r="I82" s="277"/>
      <c r="J82" s="15"/>
      <c r="K82" s="15"/>
      <c r="L82" s="15"/>
      <c r="M82" s="15"/>
      <c r="N82" s="15"/>
      <c r="O82" s="15"/>
      <c r="P82" s="279"/>
      <c r="T82" s="4"/>
      <c r="U82" s="5"/>
    </row>
    <row r="83" spans="2:21" x14ac:dyDescent="0.25">
      <c r="B83" s="12" t="s">
        <v>301</v>
      </c>
      <c r="C83" s="274">
        <f>+C62/(C62+C67+C64)</f>
        <v>0.27046288682529268</v>
      </c>
      <c r="D83" s="241">
        <f t="shared" ref="D83:H83" si="10">+D62/(D62+D67+D64)</f>
        <v>0.28502428927470114</v>
      </c>
      <c r="E83" s="241">
        <f t="shared" si="10"/>
        <v>0.29935014125132298</v>
      </c>
      <c r="F83" s="241">
        <f t="shared" si="10"/>
        <v>0.29935013939424782</v>
      </c>
      <c r="G83" s="241">
        <f t="shared" si="10"/>
        <v>0.29935008421922688</v>
      </c>
      <c r="H83" s="241">
        <f t="shared" si="10"/>
        <v>0.29935011403655559</v>
      </c>
      <c r="I83" s="277">
        <f t="shared" si="3"/>
        <v>0.29214794250022452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279">
        <f>+AVERAGE(J83:O83)</f>
        <v>0</v>
      </c>
      <c r="T83" s="4"/>
      <c r="U83" s="5"/>
    </row>
    <row r="84" spans="2:21" x14ac:dyDescent="0.25">
      <c r="B84" s="12" t="s">
        <v>302</v>
      </c>
      <c r="C84" s="274">
        <v>0</v>
      </c>
      <c r="D84" s="241">
        <v>0</v>
      </c>
      <c r="E84" s="241">
        <v>0</v>
      </c>
      <c r="F84" s="241">
        <v>0</v>
      </c>
      <c r="G84" s="241">
        <v>0</v>
      </c>
      <c r="H84" s="283">
        <v>0</v>
      </c>
      <c r="I84" s="277">
        <f t="shared" si="3"/>
        <v>0</v>
      </c>
      <c r="J84" s="15">
        <f>+C63/(C63+C65)</f>
        <v>0.41112746218088153</v>
      </c>
      <c r="K84" s="15">
        <f t="shared" ref="K84:O84" si="11">+D63/(D63+D65)</f>
        <v>0.38381859569059917</v>
      </c>
      <c r="L84" s="15">
        <f t="shared" si="11"/>
        <v>0.36830673878544068</v>
      </c>
      <c r="M84" s="15">
        <f t="shared" si="11"/>
        <v>0.35274125587792582</v>
      </c>
      <c r="N84" s="15">
        <f t="shared" si="11"/>
        <v>0.3441040824888611</v>
      </c>
      <c r="O84" s="15">
        <f t="shared" si="11"/>
        <v>0.33392982601295029</v>
      </c>
      <c r="P84" s="279">
        <f>+AVERAGE(J84:O84)</f>
        <v>0.36567132683944309</v>
      </c>
      <c r="T84" s="4"/>
      <c r="U84" s="5"/>
    </row>
    <row r="85" spans="2:21" x14ac:dyDescent="0.25">
      <c r="B85" s="269" t="s">
        <v>279</v>
      </c>
      <c r="C85" s="274"/>
      <c r="D85" s="241"/>
      <c r="E85" s="241"/>
      <c r="F85" s="241"/>
      <c r="G85" s="241"/>
      <c r="H85" s="241"/>
      <c r="I85" s="277"/>
      <c r="J85" s="15"/>
      <c r="K85" s="15"/>
      <c r="L85" s="15"/>
      <c r="M85" s="15"/>
      <c r="N85" s="15"/>
      <c r="O85" s="15"/>
      <c r="P85" s="279"/>
      <c r="T85" s="4"/>
      <c r="U85" s="5"/>
    </row>
    <row r="86" spans="2:21" x14ac:dyDescent="0.25">
      <c r="B86" s="12" t="s">
        <v>303</v>
      </c>
      <c r="C86" s="274">
        <f>+C62/(C62+C67+C64)</f>
        <v>0.27046288682529268</v>
      </c>
      <c r="D86" s="241">
        <f t="shared" ref="D86:H86" si="12">+D62/(D62+D67+D64)</f>
        <v>0.28502428927470114</v>
      </c>
      <c r="E86" s="241">
        <f t="shared" si="12"/>
        <v>0.29935014125132298</v>
      </c>
      <c r="F86" s="241">
        <f t="shared" si="12"/>
        <v>0.29935013939424782</v>
      </c>
      <c r="G86" s="241">
        <f t="shared" si="12"/>
        <v>0.29935008421922688</v>
      </c>
      <c r="H86" s="241">
        <f t="shared" si="12"/>
        <v>0.29935011403655559</v>
      </c>
      <c r="I86" s="277">
        <f t="shared" si="3"/>
        <v>0.29214794250022452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279">
        <f>+AVERAGE(J86:O86)</f>
        <v>0</v>
      </c>
      <c r="T86" s="4"/>
      <c r="U86" s="5"/>
    </row>
    <row r="87" spans="2:21" ht="26.4" x14ac:dyDescent="0.25">
      <c r="B87" s="12" t="s">
        <v>304</v>
      </c>
      <c r="C87" s="274">
        <f>+C62/(C62+C66+C65)</f>
        <v>0.27046288682529268</v>
      </c>
      <c r="D87" s="241">
        <f t="shared" ref="D87:H87" si="13">+D62/(D62+D66+D65)</f>
        <v>0.28502428927470114</v>
      </c>
      <c r="E87" s="241">
        <f t="shared" si="13"/>
        <v>0.29935014125132298</v>
      </c>
      <c r="F87" s="241">
        <f t="shared" si="13"/>
        <v>0.29935013939424782</v>
      </c>
      <c r="G87" s="241">
        <f t="shared" si="13"/>
        <v>0.29935008421922688</v>
      </c>
      <c r="H87" s="241">
        <f t="shared" si="13"/>
        <v>0.29935011403655559</v>
      </c>
      <c r="I87" s="277">
        <f t="shared" si="3"/>
        <v>0.29214794250022452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79">
        <f>+AVERAGE(J87:O87)</f>
        <v>0</v>
      </c>
      <c r="T87" s="4"/>
      <c r="U87" s="5"/>
    </row>
    <row r="88" spans="2:21" ht="26.4" x14ac:dyDescent="0.25">
      <c r="B88" s="12" t="s">
        <v>305</v>
      </c>
      <c r="C88" s="274">
        <f>+C62/(C62+C67+C64)</f>
        <v>0.27046288682529268</v>
      </c>
      <c r="D88" s="241">
        <f t="shared" ref="D88:H88" si="14">+D62/(D62+D67+D64)</f>
        <v>0.28502428927470114</v>
      </c>
      <c r="E88" s="241">
        <f t="shared" si="14"/>
        <v>0.29935014125132298</v>
      </c>
      <c r="F88" s="241">
        <f t="shared" si="14"/>
        <v>0.29935013939424782</v>
      </c>
      <c r="G88" s="241">
        <f t="shared" si="14"/>
        <v>0.29935008421922688</v>
      </c>
      <c r="H88" s="241">
        <f t="shared" si="14"/>
        <v>0.29935011403655559</v>
      </c>
      <c r="I88" s="277">
        <f t="shared" si="3"/>
        <v>0.29214794250022452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79">
        <f>+AVERAGE(J88:O88)</f>
        <v>0</v>
      </c>
      <c r="T88" s="4"/>
      <c r="U88" s="5"/>
    </row>
    <row r="89" spans="2:21" x14ac:dyDescent="0.25">
      <c r="B89" s="269" t="s">
        <v>306</v>
      </c>
      <c r="C89" s="274"/>
      <c r="D89" s="241"/>
      <c r="E89" s="241"/>
      <c r="F89" s="241"/>
      <c r="G89" s="241"/>
      <c r="H89" s="241"/>
      <c r="I89" s="277"/>
      <c r="J89" s="15"/>
      <c r="K89" s="15"/>
      <c r="L89" s="15"/>
      <c r="M89" s="15"/>
      <c r="N89" s="15"/>
      <c r="O89" s="15"/>
      <c r="P89" s="279"/>
      <c r="T89" s="4"/>
      <c r="U89" s="5"/>
    </row>
    <row r="90" spans="2:21" x14ac:dyDescent="0.25">
      <c r="B90" s="12" t="s">
        <v>307</v>
      </c>
      <c r="C90" s="274">
        <f>+C62/(C62+C64+C67)</f>
        <v>0.27046288682529268</v>
      </c>
      <c r="D90" s="241">
        <f t="shared" ref="D90:H90" si="15">+D62/(D62+D64+D67)</f>
        <v>0.28502428927470114</v>
      </c>
      <c r="E90" s="241">
        <f t="shared" si="15"/>
        <v>0.29935014125132298</v>
      </c>
      <c r="F90" s="241">
        <f t="shared" si="15"/>
        <v>0.29935013939424782</v>
      </c>
      <c r="G90" s="241">
        <f t="shared" si="15"/>
        <v>0.29935008421922688</v>
      </c>
      <c r="H90" s="241">
        <f t="shared" si="15"/>
        <v>0.29935011403655559</v>
      </c>
      <c r="I90" s="277">
        <f t="shared" si="3"/>
        <v>0.29214794250022452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79">
        <f>+AVERAGE(J90:O90)</f>
        <v>0</v>
      </c>
      <c r="T90" s="4"/>
      <c r="U90" s="5"/>
    </row>
    <row r="91" spans="2:21" ht="26.4" x14ac:dyDescent="0.25">
      <c r="B91" s="12" t="s">
        <v>308</v>
      </c>
      <c r="C91" s="274">
        <v>0</v>
      </c>
      <c r="D91" s="241">
        <v>0</v>
      </c>
      <c r="E91" s="241">
        <v>0</v>
      </c>
      <c r="F91" s="241">
        <v>0</v>
      </c>
      <c r="G91" s="241">
        <v>0</v>
      </c>
      <c r="H91" s="283">
        <v>0</v>
      </c>
      <c r="I91" s="277">
        <f t="shared" si="3"/>
        <v>0</v>
      </c>
      <c r="J91" s="15">
        <f>+C63/(C63+C69+C66+C68+C64+C65)</f>
        <v>3.870153782960873E-2</v>
      </c>
      <c r="K91" s="15">
        <f t="shared" ref="K91:O91" si="16">+D63/(D63+D69+D66+D68+D64+D65)</f>
        <v>3.8090154202527281E-2</v>
      </c>
      <c r="L91" s="15">
        <f t="shared" si="16"/>
        <v>3.776463764376313E-2</v>
      </c>
      <c r="M91" s="15">
        <f t="shared" si="16"/>
        <v>3.7334504034526018E-2</v>
      </c>
      <c r="N91" s="15">
        <f t="shared" si="16"/>
        <v>3.7097962656225822E-2</v>
      </c>
      <c r="O91" s="15">
        <f t="shared" si="16"/>
        <v>3.6803086031626832E-2</v>
      </c>
      <c r="P91" s="279">
        <f>+AVERAGE(J91:O91)</f>
        <v>3.7631980399712973E-2</v>
      </c>
      <c r="T91" s="4"/>
      <c r="U91" s="5"/>
    </row>
    <row r="92" spans="2:21" ht="26.4" x14ac:dyDescent="0.25">
      <c r="B92" s="12" t="s">
        <v>309</v>
      </c>
      <c r="C92" s="274">
        <f>+C62/(C62+C64+C67)</f>
        <v>0.27046288682529268</v>
      </c>
      <c r="D92" s="241">
        <f t="shared" ref="D92:H92" si="17">+D62/(D62+D64+D67)</f>
        <v>0.28502428927470114</v>
      </c>
      <c r="E92" s="241">
        <f t="shared" si="17"/>
        <v>0.29935014125132298</v>
      </c>
      <c r="F92" s="241">
        <f t="shared" si="17"/>
        <v>0.29935013939424782</v>
      </c>
      <c r="G92" s="241">
        <f t="shared" si="17"/>
        <v>0.29935008421922688</v>
      </c>
      <c r="H92" s="241">
        <f t="shared" si="17"/>
        <v>0.29935011403655559</v>
      </c>
      <c r="I92" s="277">
        <f t="shared" si="3"/>
        <v>0.29214794250022452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79">
        <f>+AVERAGE(J92:O92)</f>
        <v>0</v>
      </c>
      <c r="T92" s="4"/>
      <c r="U92" s="5"/>
    </row>
    <row r="93" spans="2:21" x14ac:dyDescent="0.25">
      <c r="B93" s="269" t="s">
        <v>281</v>
      </c>
      <c r="C93" s="274"/>
      <c r="D93" s="241"/>
      <c r="E93" s="241"/>
      <c r="F93" s="241"/>
      <c r="G93" s="241"/>
      <c r="H93" s="241"/>
      <c r="I93" s="277"/>
      <c r="J93" s="15"/>
      <c r="K93" s="15"/>
      <c r="L93" s="15"/>
      <c r="M93" s="15"/>
      <c r="N93" s="15"/>
      <c r="O93" s="15"/>
      <c r="P93" s="279"/>
      <c r="T93" s="4"/>
      <c r="U93" s="5"/>
    </row>
    <row r="94" spans="2:21" x14ac:dyDescent="0.25">
      <c r="B94" s="12" t="s">
        <v>310</v>
      </c>
      <c r="C94" s="274">
        <f>+C62/(C62+C65+C66)</f>
        <v>0.27046288682529268</v>
      </c>
      <c r="D94" s="241">
        <f t="shared" ref="D94:H94" si="18">+D62/(D62+D65+D66)</f>
        <v>0.28502428927470114</v>
      </c>
      <c r="E94" s="241">
        <f t="shared" si="18"/>
        <v>0.29935014125132298</v>
      </c>
      <c r="F94" s="241">
        <f t="shared" si="18"/>
        <v>0.29935013939424782</v>
      </c>
      <c r="G94" s="241">
        <f t="shared" si="18"/>
        <v>0.29935008421922688</v>
      </c>
      <c r="H94" s="241">
        <f t="shared" si="18"/>
        <v>0.29935011403655559</v>
      </c>
      <c r="I94" s="277">
        <f t="shared" si="3"/>
        <v>0.29214794250022452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79">
        <f>+AVERAGE(J94:O94)</f>
        <v>0</v>
      </c>
      <c r="T94" s="4"/>
      <c r="U94" s="5"/>
    </row>
    <row r="95" spans="2:21" x14ac:dyDescent="0.25">
      <c r="B95" s="12" t="s">
        <v>311</v>
      </c>
      <c r="C95" s="274">
        <v>0</v>
      </c>
      <c r="D95" s="241">
        <v>0</v>
      </c>
      <c r="E95" s="241">
        <v>0</v>
      </c>
      <c r="F95" s="241">
        <v>0</v>
      </c>
      <c r="G95" s="241">
        <v>0</v>
      </c>
      <c r="H95" s="241">
        <v>0</v>
      </c>
      <c r="I95" s="277">
        <f t="shared" si="3"/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79">
        <f>+AVERAGE(J95:O95)</f>
        <v>0</v>
      </c>
      <c r="T95" s="4"/>
      <c r="U95" s="5"/>
    </row>
    <row r="96" spans="2:21" x14ac:dyDescent="0.25">
      <c r="B96" s="12" t="s">
        <v>312</v>
      </c>
      <c r="C96" s="274">
        <v>0</v>
      </c>
      <c r="D96" s="241">
        <v>0</v>
      </c>
      <c r="E96" s="241">
        <v>0</v>
      </c>
      <c r="F96" s="241">
        <v>0</v>
      </c>
      <c r="G96" s="241">
        <v>0</v>
      </c>
      <c r="H96" s="241">
        <v>0</v>
      </c>
      <c r="I96" s="277">
        <f t="shared" si="3"/>
        <v>0</v>
      </c>
      <c r="J96" s="15">
        <f>+C63/(C63+C64+C68)</f>
        <v>8.7710898792630734E-2</v>
      </c>
      <c r="K96" s="15">
        <f t="shared" ref="K96:O96" si="19">+D63/(D63+D64+D68)</f>
        <v>8.7710928432975441E-2</v>
      </c>
      <c r="L96" s="15">
        <f t="shared" si="19"/>
        <v>8.771093013765327E-2</v>
      </c>
      <c r="M96" s="15">
        <f t="shared" si="19"/>
        <v>8.7710931760849473E-2</v>
      </c>
      <c r="N96" s="15">
        <f t="shared" si="19"/>
        <v>8.7710903546437111E-2</v>
      </c>
      <c r="O96" s="15">
        <f t="shared" si="19"/>
        <v>8.7710886743951347E-2</v>
      </c>
      <c r="P96" s="279">
        <f>+AVERAGE(J96:O96)</f>
        <v>8.7710913235749574E-2</v>
      </c>
      <c r="T96" s="4"/>
      <c r="U96" s="5"/>
    </row>
    <row r="97" spans="2:32" x14ac:dyDescent="0.25">
      <c r="B97" s="269" t="s">
        <v>282</v>
      </c>
      <c r="C97" s="274"/>
      <c r="D97" s="241"/>
      <c r="E97" s="241"/>
      <c r="F97" s="241"/>
      <c r="G97" s="241"/>
      <c r="H97" s="241"/>
      <c r="I97" s="277"/>
      <c r="J97" s="15"/>
      <c r="K97" s="15"/>
      <c r="L97" s="15"/>
      <c r="M97" s="15"/>
      <c r="N97" s="15"/>
      <c r="O97" s="15"/>
      <c r="P97" s="279"/>
      <c r="T97" s="4"/>
      <c r="U97" s="5"/>
    </row>
    <row r="98" spans="2:32" x14ac:dyDescent="0.25">
      <c r="B98" s="12" t="s">
        <v>313</v>
      </c>
      <c r="C98" s="274">
        <v>0</v>
      </c>
      <c r="D98" s="241">
        <v>0</v>
      </c>
      <c r="E98" s="241">
        <v>0</v>
      </c>
      <c r="F98" s="241">
        <v>0</v>
      </c>
      <c r="G98" s="241">
        <v>0</v>
      </c>
      <c r="H98" s="241">
        <v>0</v>
      </c>
      <c r="I98" s="277">
        <f t="shared" si="3"/>
        <v>0</v>
      </c>
      <c r="J98" s="15">
        <f>+C63/(C63+C68+C69+C65+C64)</f>
        <v>4.5866965793640899E-2</v>
      </c>
      <c r="K98" s="15">
        <f t="shared" ref="K98:O98" si="20">+D63/(D63+D68+D69+D65+D64)</f>
        <v>4.586698200450455E-2</v>
      </c>
      <c r="L98" s="15">
        <f t="shared" si="20"/>
        <v>4.5866982936825028E-2</v>
      </c>
      <c r="M98" s="15">
        <f t="shared" si="20"/>
        <v>4.5866983824581667E-2</v>
      </c>
      <c r="N98" s="15">
        <f t="shared" si="20"/>
        <v>4.5866968393587261E-2</v>
      </c>
      <c r="O98" s="15">
        <f t="shared" si="20"/>
        <v>4.5866959203991017E-2</v>
      </c>
      <c r="P98" s="279">
        <f>+AVERAGE(J98:O98)</f>
        <v>4.5866973692855063E-2</v>
      </c>
      <c r="T98" s="4"/>
      <c r="U98" s="5"/>
    </row>
    <row r="99" spans="2:32" x14ac:dyDescent="0.25">
      <c r="B99" s="12" t="s">
        <v>314</v>
      </c>
      <c r="C99" s="274">
        <v>0</v>
      </c>
      <c r="D99" s="241">
        <v>0</v>
      </c>
      <c r="E99" s="241">
        <v>0</v>
      </c>
      <c r="F99" s="241">
        <v>0</v>
      </c>
      <c r="G99" s="241">
        <v>0</v>
      </c>
      <c r="H99" s="241">
        <v>0</v>
      </c>
      <c r="I99" s="277">
        <f t="shared" si="3"/>
        <v>0</v>
      </c>
      <c r="J99" s="15">
        <f>+C63/(C63+C64+C65+C68+C69)</f>
        <v>4.5866965793640913E-2</v>
      </c>
      <c r="K99" s="15">
        <f t="shared" ref="K99:O99" si="21">+D63/(D63+D64+D65+D68+D69)</f>
        <v>4.586698200450455E-2</v>
      </c>
      <c r="L99" s="15">
        <f t="shared" si="21"/>
        <v>4.5866982936825028E-2</v>
      </c>
      <c r="M99" s="15">
        <f t="shared" si="21"/>
        <v>4.5866983824581667E-2</v>
      </c>
      <c r="N99" s="15">
        <f t="shared" si="21"/>
        <v>4.5866968393587268E-2</v>
      </c>
      <c r="O99" s="15">
        <f t="shared" si="21"/>
        <v>4.5866959203991024E-2</v>
      </c>
      <c r="P99" s="279">
        <f>+AVERAGE(J99:O99)</f>
        <v>4.5866973692855077E-2</v>
      </c>
      <c r="T99" s="4"/>
      <c r="U99" s="5"/>
    </row>
    <row r="100" spans="2:32" ht="26.4" x14ac:dyDescent="0.25">
      <c r="B100" s="12" t="s">
        <v>315</v>
      </c>
      <c r="C100" s="274">
        <v>0</v>
      </c>
      <c r="D100" s="241">
        <v>0</v>
      </c>
      <c r="E100" s="241">
        <v>0</v>
      </c>
      <c r="F100" s="241">
        <v>0</v>
      </c>
      <c r="G100" s="241">
        <v>0</v>
      </c>
      <c r="H100" s="241">
        <v>0</v>
      </c>
      <c r="I100" s="277">
        <f t="shared" si="3"/>
        <v>0</v>
      </c>
      <c r="J100" s="15">
        <f>+C63/(C63+C64+C65+C68+C69)</f>
        <v>4.5866965793640913E-2</v>
      </c>
      <c r="K100" s="15">
        <f t="shared" ref="K100:O100" si="22">+D63/(D63+D64+D65+D68+D69)</f>
        <v>4.586698200450455E-2</v>
      </c>
      <c r="L100" s="15">
        <f t="shared" si="22"/>
        <v>4.5866982936825028E-2</v>
      </c>
      <c r="M100" s="15">
        <f t="shared" si="22"/>
        <v>4.5866983824581667E-2</v>
      </c>
      <c r="N100" s="15">
        <f t="shared" si="22"/>
        <v>4.5866968393587268E-2</v>
      </c>
      <c r="O100" s="15">
        <f t="shared" si="22"/>
        <v>4.5866959203991024E-2</v>
      </c>
      <c r="P100" s="279">
        <f>+AVERAGE(J100:O100)</f>
        <v>4.5866973692855077E-2</v>
      </c>
      <c r="T100" s="4"/>
      <c r="U100" s="5"/>
    </row>
    <row r="101" spans="2:32" x14ac:dyDescent="0.25">
      <c r="B101" s="269" t="s">
        <v>283</v>
      </c>
      <c r="C101" s="274"/>
      <c r="D101" s="241"/>
      <c r="E101" s="241"/>
      <c r="F101" s="241"/>
      <c r="G101" s="241"/>
      <c r="H101" s="241"/>
      <c r="I101" s="277"/>
      <c r="J101" s="15"/>
      <c r="K101" s="15"/>
      <c r="L101" s="15"/>
      <c r="M101" s="15"/>
      <c r="N101" s="15"/>
      <c r="O101" s="15"/>
      <c r="P101" s="279"/>
      <c r="T101" s="4"/>
      <c r="U101" s="5"/>
    </row>
    <row r="102" spans="2:32" x14ac:dyDescent="0.25">
      <c r="B102" s="12" t="s">
        <v>316</v>
      </c>
      <c r="C102" s="274">
        <f>+C62/(C62+C65+C66)</f>
        <v>0.27046288682529268</v>
      </c>
      <c r="D102" s="241">
        <f t="shared" ref="D102:H102" si="23">+D62/(D62+D65+D66)</f>
        <v>0.28502428927470114</v>
      </c>
      <c r="E102" s="241">
        <f t="shared" si="23"/>
        <v>0.29935014125132298</v>
      </c>
      <c r="F102" s="241">
        <f t="shared" si="23"/>
        <v>0.29935013939424782</v>
      </c>
      <c r="G102" s="241">
        <f t="shared" si="23"/>
        <v>0.29935008421922688</v>
      </c>
      <c r="H102" s="241">
        <f t="shared" si="23"/>
        <v>0.29935011403655559</v>
      </c>
      <c r="I102" s="277">
        <f t="shared" si="3"/>
        <v>0.29214794250022452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79">
        <f>+AVERAGE(J102:O102)</f>
        <v>0</v>
      </c>
      <c r="T102" s="4"/>
      <c r="U102" s="5"/>
    </row>
    <row r="103" spans="2:32" x14ac:dyDescent="0.25">
      <c r="B103" s="12" t="s">
        <v>317</v>
      </c>
      <c r="C103" s="274">
        <f>+C62/(C62+C65+C66)</f>
        <v>0.27046288682529268</v>
      </c>
      <c r="D103" s="241">
        <f t="shared" ref="D103:H103" si="24">+D62/(D62+D65+D66)</f>
        <v>0.28502428927470114</v>
      </c>
      <c r="E103" s="241">
        <f t="shared" si="24"/>
        <v>0.29935014125132298</v>
      </c>
      <c r="F103" s="241">
        <f t="shared" si="24"/>
        <v>0.29935013939424782</v>
      </c>
      <c r="G103" s="241">
        <f t="shared" si="24"/>
        <v>0.29935008421922688</v>
      </c>
      <c r="H103" s="241">
        <f t="shared" si="24"/>
        <v>0.29935011403655559</v>
      </c>
      <c r="I103" s="277">
        <f t="shared" si="3"/>
        <v>0.29214794250022452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79">
        <f>+AVERAGE(J103:O103)</f>
        <v>0</v>
      </c>
      <c r="T103" s="4"/>
      <c r="U103" s="5"/>
    </row>
    <row r="104" spans="2:32" x14ac:dyDescent="0.25">
      <c r="B104" s="269" t="s">
        <v>318</v>
      </c>
      <c r="C104" s="274"/>
      <c r="D104" s="241"/>
      <c r="E104" s="241"/>
      <c r="F104" s="241"/>
      <c r="G104" s="241"/>
      <c r="H104" s="241"/>
      <c r="I104" s="277"/>
      <c r="J104" s="15"/>
      <c r="K104" s="15"/>
      <c r="L104" s="15"/>
      <c r="M104" s="15"/>
      <c r="N104" s="15"/>
      <c r="O104" s="15"/>
      <c r="P104" s="279"/>
      <c r="T104" s="4"/>
      <c r="U104" s="5"/>
    </row>
    <row r="105" spans="2:32" x14ac:dyDescent="0.25">
      <c r="B105" s="12" t="s">
        <v>319</v>
      </c>
      <c r="C105" s="274">
        <f>+C62/(C62+C69+C66+C68+C63+C64+C65)</f>
        <v>7.2758362013237571E-2</v>
      </c>
      <c r="D105" s="241">
        <f t="shared" ref="D105:H105" si="25">+D62/(D62+D69+D66+D68+D63+D64+D65)</f>
        <v>8.4223039306448338E-2</v>
      </c>
      <c r="E105" s="241">
        <f t="shared" si="25"/>
        <v>9.3501517203682188E-2</v>
      </c>
      <c r="F105" s="241">
        <f t="shared" si="25"/>
        <v>9.8082108919489472E-2</v>
      </c>
      <c r="G105" s="241">
        <f t="shared" si="25"/>
        <v>0.10063370038094267</v>
      </c>
      <c r="H105" s="241">
        <f t="shared" si="25"/>
        <v>0.10377627511342306</v>
      </c>
      <c r="I105" s="277">
        <f t="shared" si="3"/>
        <v>9.2162500489537225E-2</v>
      </c>
      <c r="J105" s="15">
        <f>+C63/(C63+C68+C69+C66+C62+C64+C65)</f>
        <v>3.5885677329733051E-2</v>
      </c>
      <c r="K105" s="15">
        <f t="shared" ref="K105:O105" si="26">+D63/(D63+D68+D69+D66+D62+D64+D65)</f>
        <v>3.4882085647939147E-2</v>
      </c>
      <c r="L105" s="15">
        <f t="shared" si="26"/>
        <v>3.4233586727423992E-2</v>
      </c>
      <c r="M105" s="15">
        <f t="shared" si="26"/>
        <v>3.3672657143356523E-2</v>
      </c>
      <c r="N105" s="15">
        <f t="shared" si="26"/>
        <v>3.3364657397535795E-2</v>
      </c>
      <c r="O105" s="15">
        <f t="shared" si="26"/>
        <v>3.2983798850585749E-2</v>
      </c>
      <c r="P105" s="279">
        <f>+AVERAGE(J105:O105)</f>
        <v>3.4170410516095713E-2</v>
      </c>
      <c r="T105" s="4"/>
      <c r="U105" s="5"/>
    </row>
    <row r="106" spans="2:32" x14ac:dyDescent="0.25">
      <c r="B106" s="12" t="s">
        <v>320</v>
      </c>
      <c r="C106" s="274">
        <v>0</v>
      </c>
      <c r="D106" s="241">
        <v>0</v>
      </c>
      <c r="E106" s="241">
        <v>0</v>
      </c>
      <c r="F106" s="241">
        <v>0</v>
      </c>
      <c r="G106" s="241">
        <v>0</v>
      </c>
      <c r="H106" s="241">
        <v>0</v>
      </c>
      <c r="I106" s="277">
        <f t="shared" si="3"/>
        <v>0</v>
      </c>
      <c r="J106" s="15">
        <f>+C63/(C63+C68+C69+C64+C65)</f>
        <v>4.5866965793640899E-2</v>
      </c>
      <c r="K106" s="15">
        <f t="shared" ref="K106:O106" si="27">+D63/(D63+D68+D69+D64+D65)</f>
        <v>4.586698200450455E-2</v>
      </c>
      <c r="L106" s="15">
        <f t="shared" si="27"/>
        <v>4.5866982936825028E-2</v>
      </c>
      <c r="M106" s="15">
        <f t="shared" si="27"/>
        <v>4.5866983824581667E-2</v>
      </c>
      <c r="N106" s="15">
        <f t="shared" si="27"/>
        <v>4.5866968393587261E-2</v>
      </c>
      <c r="O106" s="15">
        <f t="shared" si="27"/>
        <v>4.5866959203991017E-2</v>
      </c>
      <c r="P106" s="279">
        <f>+AVERAGE(J106:O106)</f>
        <v>4.5866973692855063E-2</v>
      </c>
      <c r="T106" s="4"/>
      <c r="U106" s="5"/>
    </row>
    <row r="107" spans="2:32" x14ac:dyDescent="0.25">
      <c r="B107" s="12" t="s">
        <v>321</v>
      </c>
      <c r="C107" s="274">
        <f>+C62/(C62+C66+C65)</f>
        <v>0.27046288682529268</v>
      </c>
      <c r="D107" s="241">
        <f t="shared" ref="D107:H107" si="28">+D62/(D62+D66+D65)</f>
        <v>0.28502428927470114</v>
      </c>
      <c r="E107" s="241">
        <f t="shared" si="28"/>
        <v>0.29935014125132298</v>
      </c>
      <c r="F107" s="241">
        <f t="shared" si="28"/>
        <v>0.29935013939424782</v>
      </c>
      <c r="G107" s="241">
        <f t="shared" si="28"/>
        <v>0.29935008421922688</v>
      </c>
      <c r="H107" s="241">
        <f t="shared" si="28"/>
        <v>0.29935011403655559</v>
      </c>
      <c r="I107" s="277">
        <f t="shared" si="3"/>
        <v>0.29214794250022452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79">
        <f>+AVERAGE(J107:O107)</f>
        <v>0</v>
      </c>
      <c r="T107" s="4"/>
      <c r="U107" s="5"/>
    </row>
    <row r="108" spans="2:32" x14ac:dyDescent="0.25">
      <c r="B108" s="269" t="s">
        <v>322</v>
      </c>
      <c r="C108" s="274"/>
      <c r="D108" s="241"/>
      <c r="E108" s="241"/>
      <c r="F108" s="241"/>
      <c r="G108" s="241"/>
      <c r="H108" s="241"/>
      <c r="I108" s="277"/>
      <c r="J108" s="15"/>
      <c r="K108" s="15"/>
      <c r="L108" s="15"/>
      <c r="M108" s="15"/>
      <c r="N108" s="15"/>
      <c r="O108" s="15"/>
      <c r="P108" s="279"/>
      <c r="T108" s="4"/>
      <c r="U108" s="5"/>
    </row>
    <row r="109" spans="2:32" x14ac:dyDescent="0.25">
      <c r="B109" s="281" t="s">
        <v>323</v>
      </c>
      <c r="C109" s="275">
        <f>+C62/(C62+C66+C65)</f>
        <v>0.27046288682529268</v>
      </c>
      <c r="D109" s="271">
        <f t="shared" ref="D109:H109" si="29">+D62/(D62+D66+D65)</f>
        <v>0.28502428927470114</v>
      </c>
      <c r="E109" s="271">
        <f t="shared" si="29"/>
        <v>0.29935014125132298</v>
      </c>
      <c r="F109" s="271">
        <f t="shared" si="29"/>
        <v>0.29935013939424782</v>
      </c>
      <c r="G109" s="271">
        <f t="shared" si="29"/>
        <v>0.29935008421922688</v>
      </c>
      <c r="H109" s="271">
        <f t="shared" si="29"/>
        <v>0.29935011403655559</v>
      </c>
      <c r="I109" s="278">
        <f t="shared" si="3"/>
        <v>0.29214794250022452</v>
      </c>
      <c r="J109" s="272">
        <v>0</v>
      </c>
      <c r="K109" s="272">
        <v>0</v>
      </c>
      <c r="L109" s="272">
        <v>0</v>
      </c>
      <c r="M109" s="272">
        <v>0</v>
      </c>
      <c r="N109" s="272">
        <v>0</v>
      </c>
      <c r="O109" s="272">
        <v>0</v>
      </c>
      <c r="P109" s="280">
        <f>+AVERAGE(J109:O109)</f>
        <v>0</v>
      </c>
      <c r="T109" s="4"/>
      <c r="U109" s="5"/>
    </row>
    <row r="111" spans="2:32" x14ac:dyDescent="0.25">
      <c r="B111" s="7" t="s">
        <v>609</v>
      </c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2:32" x14ac:dyDescent="0.25">
      <c r="L112" s="7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2:32" x14ac:dyDescent="0.25">
      <c r="L113" s="7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2:32" x14ac:dyDescent="0.25">
      <c r="B114" s="52" t="s">
        <v>327</v>
      </c>
      <c r="C114" s="52" t="s">
        <v>0</v>
      </c>
      <c r="D114" s="52" t="s">
        <v>1</v>
      </c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2:32" x14ac:dyDescent="0.25">
      <c r="B115" s="269" t="s">
        <v>276</v>
      </c>
      <c r="C115" s="4"/>
      <c r="D115" s="4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2:32" x14ac:dyDescent="0.25">
      <c r="B116" s="12" t="s">
        <v>294</v>
      </c>
      <c r="C116" s="282">
        <f>+K23*I75</f>
        <v>84.918642446540261</v>
      </c>
      <c r="D116" s="282">
        <f>+K23*P75</f>
        <v>0</v>
      </c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2:32" x14ac:dyDescent="0.25">
      <c r="B117" s="12" t="s">
        <v>296</v>
      </c>
      <c r="C117" s="282">
        <f>+K24*I76</f>
        <v>65.148991177550073</v>
      </c>
      <c r="D117" s="282">
        <f>+K24*P76</f>
        <v>0</v>
      </c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2:32" x14ac:dyDescent="0.25">
      <c r="B118" s="12" t="s">
        <v>297</v>
      </c>
      <c r="C118" s="282">
        <f>+K25*I77</f>
        <v>0</v>
      </c>
      <c r="D118" s="282">
        <f>+K25*P77</f>
        <v>273</v>
      </c>
      <c r="L118" s="7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2:32" x14ac:dyDescent="0.25">
      <c r="B119" s="12" t="s">
        <v>298</v>
      </c>
      <c r="C119" s="282">
        <f>+K26*I78</f>
        <v>0</v>
      </c>
      <c r="D119" s="282">
        <f>+K26*P78</f>
        <v>82.59647095481877</v>
      </c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2:32" x14ac:dyDescent="0.25">
      <c r="B120" s="269" t="s">
        <v>277</v>
      </c>
      <c r="C120" s="282"/>
      <c r="D120" s="28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2:32" x14ac:dyDescent="0.25">
      <c r="B121" s="12" t="s">
        <v>299</v>
      </c>
      <c r="C121" s="282">
        <f>+K28*I80</f>
        <v>261.11327264709155</v>
      </c>
      <c r="D121" s="282">
        <f>+K28*P80</f>
        <v>97.111979080583055</v>
      </c>
      <c r="L121" s="7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2:32" x14ac:dyDescent="0.25">
      <c r="B122" s="12" t="s">
        <v>300</v>
      </c>
      <c r="C122" s="282">
        <f>+K29*I81</f>
        <v>210.56257904307733</v>
      </c>
      <c r="D122" s="282">
        <f>+K29*P81</f>
        <v>78.311410844372134</v>
      </c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2:32" x14ac:dyDescent="0.25">
      <c r="B123" s="269" t="s">
        <v>278</v>
      </c>
      <c r="C123" s="282"/>
      <c r="D123" s="28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2:32" x14ac:dyDescent="0.25">
      <c r="B124" s="12" t="s">
        <v>301</v>
      </c>
      <c r="C124" s="282">
        <f>+K31*I83</f>
        <v>630.96359733543488</v>
      </c>
      <c r="D124" s="282">
        <f>+K31*P83</f>
        <v>0</v>
      </c>
      <c r="L124" s="7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2:32" x14ac:dyDescent="0.25">
      <c r="B125" s="12" t="s">
        <v>302</v>
      </c>
      <c r="C125" s="282">
        <f>+K32*I84</f>
        <v>0</v>
      </c>
      <c r="D125" s="282">
        <f>+K32*P84</f>
        <v>0</v>
      </c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2:32" x14ac:dyDescent="0.25">
      <c r="B126" s="269" t="s">
        <v>279</v>
      </c>
      <c r="C126" s="282"/>
      <c r="D126" s="28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2:32" x14ac:dyDescent="0.25">
      <c r="B127" s="12" t="s">
        <v>303</v>
      </c>
      <c r="C127" s="282">
        <f>+K34*I86</f>
        <v>917.34453945070504</v>
      </c>
      <c r="D127" s="282">
        <f>+K34*P86</f>
        <v>0</v>
      </c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2:32" ht="26.4" x14ac:dyDescent="0.25">
      <c r="B128" s="12" t="s">
        <v>304</v>
      </c>
      <c r="C128" s="282">
        <f>+K35*I87</f>
        <v>687.71625664552857</v>
      </c>
      <c r="D128" s="282">
        <f>+K35*P87</f>
        <v>0</v>
      </c>
      <c r="L128" s="7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2:32" ht="26.4" x14ac:dyDescent="0.25">
      <c r="B129" s="12" t="s">
        <v>305</v>
      </c>
      <c r="C129" s="282">
        <f>+K36*I88</f>
        <v>0</v>
      </c>
      <c r="D129" s="282">
        <f>+K36*P88</f>
        <v>0</v>
      </c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2:32" x14ac:dyDescent="0.25">
      <c r="B130" s="269" t="s">
        <v>306</v>
      </c>
      <c r="C130" s="282"/>
      <c r="D130" s="28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2:32" x14ac:dyDescent="0.25">
      <c r="B131" s="12" t="s">
        <v>307</v>
      </c>
      <c r="C131" s="282">
        <f>+K38*I90</f>
        <v>1312.8719528840588</v>
      </c>
      <c r="D131" s="282">
        <f>+K38*P90</f>
        <v>0</v>
      </c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2:32" ht="26.4" x14ac:dyDescent="0.25">
      <c r="B132" s="12" t="s">
        <v>308</v>
      </c>
      <c r="C132" s="282">
        <f>+K39*I91</f>
        <v>0</v>
      </c>
      <c r="D132" s="282">
        <f>+K39*P91</f>
        <v>187.74595021416803</v>
      </c>
      <c r="L132" s="7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2:32" ht="26.4" x14ac:dyDescent="0.25">
      <c r="B133" s="12" t="s">
        <v>309</v>
      </c>
      <c r="C133" s="282">
        <f>+K40*I92</f>
        <v>239.56131285018409</v>
      </c>
      <c r="D133" s="282">
        <f>+K40*P92</f>
        <v>0</v>
      </c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2:32" x14ac:dyDescent="0.25">
      <c r="B134" s="269" t="s">
        <v>281</v>
      </c>
      <c r="C134" s="282"/>
      <c r="D134" s="28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2:32" x14ac:dyDescent="0.25">
      <c r="B135" s="12" t="s">
        <v>310</v>
      </c>
      <c r="C135" s="282">
        <f>+K42*I94</f>
        <v>1226.1449146734424</v>
      </c>
      <c r="D135" s="282">
        <f>+K42*P94</f>
        <v>0</v>
      </c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2:32" x14ac:dyDescent="0.25">
      <c r="B136" s="12" t="s">
        <v>311</v>
      </c>
      <c r="C136" s="282">
        <f>+K43*I95</f>
        <v>0</v>
      </c>
      <c r="D136" s="282">
        <f>+K43*P95</f>
        <v>0</v>
      </c>
      <c r="L136" s="7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2:32" x14ac:dyDescent="0.25">
      <c r="B137" s="12" t="s">
        <v>312</v>
      </c>
      <c r="C137" s="282">
        <f>+K44*I96</f>
        <v>0</v>
      </c>
      <c r="D137" s="282">
        <f>+K44*P96</f>
        <v>58.854022781187965</v>
      </c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2:32" x14ac:dyDescent="0.25">
      <c r="B138" s="269" t="s">
        <v>282</v>
      </c>
      <c r="C138" s="282"/>
      <c r="D138" s="28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2:32" x14ac:dyDescent="0.25">
      <c r="B139" s="12" t="s">
        <v>313</v>
      </c>
      <c r="C139" s="282">
        <f>+K46*I98</f>
        <v>0</v>
      </c>
      <c r="D139" s="282">
        <f>+K46*P98</f>
        <v>153.79196279214304</v>
      </c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2:32" x14ac:dyDescent="0.25">
      <c r="B140" s="12" t="s">
        <v>314</v>
      </c>
      <c r="C140" s="282">
        <f>+K47*I99</f>
        <v>0</v>
      </c>
      <c r="D140" s="282">
        <f>+K47*P99</f>
        <v>268.45939702428075</v>
      </c>
      <c r="L140" s="7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2:32" ht="26.4" x14ac:dyDescent="0.25">
      <c r="B141" s="12" t="s">
        <v>315</v>
      </c>
      <c r="C141" s="282">
        <f>+K48*I100</f>
        <v>0</v>
      </c>
      <c r="D141" s="282">
        <f>+K48*P100</f>
        <v>91.091809754010185</v>
      </c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2:32" x14ac:dyDescent="0.25">
      <c r="B142" s="269" t="s">
        <v>283</v>
      </c>
      <c r="C142" s="282"/>
      <c r="D142" s="28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2:32" x14ac:dyDescent="0.25">
      <c r="B143" s="12" t="s">
        <v>316</v>
      </c>
      <c r="C143" s="282">
        <f>+K50*I102</f>
        <v>910.62513677319987</v>
      </c>
      <c r="D143" s="282">
        <f>+K50*P102</f>
        <v>0</v>
      </c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2:32" x14ac:dyDescent="0.25">
      <c r="B144" s="12" t="s">
        <v>317</v>
      </c>
      <c r="C144" s="282">
        <f>+K51*I103</f>
        <v>637.75895847799018</v>
      </c>
      <c r="D144" s="282">
        <f>+K51*P103</f>
        <v>0</v>
      </c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2:32" x14ac:dyDescent="0.25">
      <c r="B145" s="269" t="s">
        <v>318</v>
      </c>
      <c r="C145" s="282"/>
      <c r="D145" s="28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2:32" x14ac:dyDescent="0.25">
      <c r="B146" s="12" t="s">
        <v>319</v>
      </c>
      <c r="C146" s="282">
        <f>+K53*I105</f>
        <v>563.48152799303057</v>
      </c>
      <c r="D146" s="282">
        <f>+K53*P105</f>
        <v>208.91788989540919</v>
      </c>
      <c r="S146" s="13"/>
    </row>
    <row r="147" spans="2:32" x14ac:dyDescent="0.25">
      <c r="B147" s="12" t="s">
        <v>320</v>
      </c>
      <c r="C147" s="282">
        <f>+K54*I106</f>
        <v>0</v>
      </c>
      <c r="D147" s="282">
        <f>+K54*P106</f>
        <v>331.38888493087785</v>
      </c>
      <c r="S147" s="13"/>
    </row>
    <row r="148" spans="2:32" x14ac:dyDescent="0.25">
      <c r="B148" s="12" t="s">
        <v>321</v>
      </c>
      <c r="C148" s="282">
        <f>+K55*I107</f>
        <v>889.59048491318367</v>
      </c>
      <c r="D148" s="282">
        <f>+K55*P107</f>
        <v>0</v>
      </c>
      <c r="S148" s="13"/>
    </row>
    <row r="149" spans="2:32" x14ac:dyDescent="0.25">
      <c r="B149" s="269" t="s">
        <v>322</v>
      </c>
      <c r="C149" s="282"/>
      <c r="D149" s="282"/>
      <c r="S149" s="13"/>
    </row>
    <row r="150" spans="2:32" x14ac:dyDescent="0.25">
      <c r="B150" s="12" t="s">
        <v>323</v>
      </c>
      <c r="C150" s="282">
        <f>+K57*I109</f>
        <v>2279.6303953292518</v>
      </c>
      <c r="D150" s="282">
        <f>+K57*P109</f>
        <v>0</v>
      </c>
      <c r="S150" s="13"/>
    </row>
    <row r="151" spans="2:32" x14ac:dyDescent="0.25">
      <c r="B151" s="52" t="s">
        <v>8</v>
      </c>
      <c r="C151" s="239">
        <f>+SUM(C116:C150)</f>
        <v>10917.432562640268</v>
      </c>
      <c r="D151" s="239">
        <f>+SUM(D116:D150)</f>
        <v>1831.269778271851</v>
      </c>
      <c r="S151" s="13"/>
    </row>
    <row r="153" spans="2:32" ht="26.25" customHeight="1" x14ac:dyDescent="0.25"/>
  </sheetData>
  <mergeCells count="2">
    <mergeCell ref="C72:I72"/>
    <mergeCell ref="J72:P72"/>
  </mergeCells>
  <hyperlinks>
    <hyperlink ref="I1" location="Índice!A1" display="ÍNDICE" xr:uid="{A5727A83-1487-454D-943D-AC8641901D56}"/>
  </hyperlinks>
  <pageMargins left="0.7" right="0.7" top="0.75" bottom="0.75" header="0.3" footer="0.3"/>
  <pageSetup paperSize="9" orientation="portrait" horizontalDpi="0" verticalDpi="0" r:id="rId1"/>
  <ignoredErrors>
    <ignoredError sqref="C70:H70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F6975-1C83-4394-9782-4E0A0C8AF5F5}">
  <sheetPr codeName="Hoja22"/>
  <dimension ref="B1:I78"/>
  <sheetViews>
    <sheetView showGridLines="0" zoomScaleNormal="100" workbookViewId="0">
      <pane ySplit="2" topLeftCell="A57" activePane="bottomLeft" state="frozen"/>
      <selection pane="bottomLeft" activeCell="E12" sqref="E12"/>
    </sheetView>
  </sheetViews>
  <sheetFormatPr baseColWidth="10" defaultColWidth="11.5546875" defaultRowHeight="13.2" x14ac:dyDescent="0.25"/>
  <cols>
    <col min="1" max="1" width="2.6640625" style="1" customWidth="1"/>
    <col min="2" max="2" width="40" style="1" bestFit="1" customWidth="1"/>
    <col min="3" max="3" width="14.5546875" style="1" bestFit="1" customWidth="1"/>
    <col min="4" max="4" width="14.77734375" style="1" customWidth="1"/>
    <col min="5" max="5" width="14.5546875" style="1" customWidth="1"/>
    <col min="6" max="6" width="13.5546875" style="1" customWidth="1"/>
    <col min="7" max="7" width="11.5546875" style="1"/>
    <col min="8" max="8" width="32.33203125" style="1" bestFit="1" customWidth="1"/>
    <col min="9" max="9" width="17" style="1" bestFit="1" customWidth="1"/>
    <col min="10" max="10" width="15.33203125" style="1" bestFit="1" customWidth="1"/>
    <col min="11" max="16384" width="11.5546875" style="1"/>
  </cols>
  <sheetData>
    <row r="1" spans="2:9" s="37" customFormat="1" ht="16.2" thickBot="1" x14ac:dyDescent="0.35">
      <c r="B1" s="36" t="s">
        <v>611</v>
      </c>
      <c r="I1" s="38" t="s">
        <v>389</v>
      </c>
    </row>
    <row r="2" spans="2:9" s="37" customFormat="1" ht="5.0999999999999996" customHeight="1" x14ac:dyDescent="0.3">
      <c r="B2" s="36"/>
      <c r="F2" s="175"/>
    </row>
    <row r="3" spans="2:9" x14ac:dyDescent="0.25">
      <c r="B3" s="199" t="s">
        <v>612</v>
      </c>
      <c r="C3" s="199"/>
      <c r="D3" s="199"/>
      <c r="E3" s="7"/>
      <c r="G3" s="7"/>
    </row>
    <row r="5" spans="2:9" x14ac:dyDescent="0.25">
      <c r="B5" s="52" t="s">
        <v>205</v>
      </c>
      <c r="C5" s="52" t="s">
        <v>254</v>
      </c>
    </row>
    <row r="6" spans="2:9" x14ac:dyDescent="0.25">
      <c r="B6" s="37" t="s">
        <v>199</v>
      </c>
      <c r="C6" s="246">
        <v>285232634.15206164</v>
      </c>
    </row>
    <row r="7" spans="2:9" x14ac:dyDescent="0.25">
      <c r="B7" s="37" t="s">
        <v>200</v>
      </c>
      <c r="C7" s="246">
        <v>151168902.07981539</v>
      </c>
    </row>
    <row r="8" spans="2:9" x14ac:dyDescent="0.25">
      <c r="B8" s="37" t="s">
        <v>201</v>
      </c>
      <c r="C8" s="246">
        <v>77109746.988864839</v>
      </c>
    </row>
    <row r="9" spans="2:9" x14ac:dyDescent="0.25">
      <c r="B9" s="37" t="s">
        <v>202</v>
      </c>
      <c r="C9" s="246">
        <v>53653099.887594394</v>
      </c>
    </row>
    <row r="10" spans="2:9" x14ac:dyDescent="0.25">
      <c r="B10" s="37" t="s">
        <v>203</v>
      </c>
      <c r="C10" s="246">
        <v>4362737.8723125961</v>
      </c>
    </row>
    <row r="11" spans="2:9" x14ac:dyDescent="0.25">
      <c r="B11" s="37" t="s">
        <v>204</v>
      </c>
      <c r="C11" s="246">
        <v>70855617.10872975</v>
      </c>
    </row>
    <row r="12" spans="2:9" x14ac:dyDescent="0.25">
      <c r="B12" s="53" t="s">
        <v>8</v>
      </c>
      <c r="C12" s="216">
        <f>SUM(C6:C11)+33583269.9106215</f>
        <v>675966008</v>
      </c>
    </row>
    <row r="14" spans="2:9" x14ac:dyDescent="0.25">
      <c r="B14" s="199" t="s">
        <v>588</v>
      </c>
    </row>
    <row r="15" spans="2:9" ht="13.2" customHeight="1" x14ac:dyDescent="0.25"/>
    <row r="16" spans="2:9" ht="13.2" customHeight="1" x14ac:dyDescent="0.25">
      <c r="B16" s="52" t="s">
        <v>214</v>
      </c>
      <c r="C16" s="52" t="s">
        <v>0</v>
      </c>
      <c r="D16" s="52" t="s">
        <v>1</v>
      </c>
    </row>
    <row r="17" spans="2:5" x14ac:dyDescent="0.25">
      <c r="B17" s="1" t="s">
        <v>206</v>
      </c>
      <c r="C17" s="3">
        <v>1247850.18815515</v>
      </c>
      <c r="D17" s="3">
        <v>1247850.18815515</v>
      </c>
    </row>
    <row r="18" spans="2:5" x14ac:dyDescent="0.25">
      <c r="B18" s="1" t="s">
        <v>206</v>
      </c>
      <c r="C18" s="3">
        <v>151250.52558199901</v>
      </c>
      <c r="D18" s="3">
        <v>151250.52558199901</v>
      </c>
    </row>
    <row r="19" spans="2:5" x14ac:dyDescent="0.25">
      <c r="B19" s="1" t="s">
        <v>207</v>
      </c>
      <c r="C19" s="3">
        <v>7714492.5686160699</v>
      </c>
      <c r="D19" s="3">
        <v>0</v>
      </c>
    </row>
    <row r="20" spans="2:5" x14ac:dyDescent="0.25">
      <c r="B20" s="53" t="s">
        <v>8</v>
      </c>
      <c r="C20" s="216">
        <f>+SUM(C17:C19)</f>
        <v>9113593.2823532186</v>
      </c>
      <c r="D20" s="216">
        <f>+SUM(D17:D19)</f>
        <v>1399100.713737149</v>
      </c>
    </row>
    <row r="22" spans="2:5" x14ac:dyDescent="0.25">
      <c r="B22" s="199" t="s">
        <v>613</v>
      </c>
    </row>
    <row r="24" spans="2:5" ht="13.2" customHeight="1" x14ac:dyDescent="0.25">
      <c r="B24" s="52" t="s">
        <v>614</v>
      </c>
      <c r="C24" s="52" t="s">
        <v>584</v>
      </c>
    </row>
    <row r="25" spans="2:5" x14ac:dyDescent="0.25">
      <c r="B25" s="37" t="s">
        <v>0</v>
      </c>
      <c r="C25" s="246">
        <f>+(C12-C20)/'5.2 Asignación de Áreas'!E4</f>
        <v>2600.2099372604266</v>
      </c>
    </row>
    <row r="26" spans="2:5" x14ac:dyDescent="0.25">
      <c r="B26" s="257" t="s">
        <v>1</v>
      </c>
      <c r="C26" s="258">
        <f>+(C12-D20)/'5.2 Asignación de Áreas'!E5</f>
        <v>2630.2905065065174</v>
      </c>
    </row>
    <row r="29" spans="2:5" ht="13.2" customHeight="1" x14ac:dyDescent="0.25">
      <c r="B29" s="199" t="s">
        <v>615</v>
      </c>
      <c r="C29" s="7"/>
      <c r="D29" s="7"/>
      <c r="E29" s="7"/>
    </row>
    <row r="31" spans="2:5" ht="26.4" x14ac:dyDescent="0.25">
      <c r="B31" s="52" t="s">
        <v>218</v>
      </c>
      <c r="C31" s="39" t="s">
        <v>227</v>
      </c>
      <c r="D31" s="39" t="s">
        <v>228</v>
      </c>
      <c r="E31" s="39" t="s">
        <v>217</v>
      </c>
    </row>
    <row r="32" spans="2:5" x14ac:dyDescent="0.25">
      <c r="B32" s="1" t="s">
        <v>219</v>
      </c>
      <c r="C32" s="5">
        <v>30847781.189682554</v>
      </c>
      <c r="D32" s="248">
        <v>1</v>
      </c>
      <c r="E32" s="11">
        <f>+C32*D32/'5.2 Asignación de Áreas'!$E$4</f>
        <v>120.28254741464795</v>
      </c>
    </row>
    <row r="33" spans="2:6" x14ac:dyDescent="0.25">
      <c r="B33" s="1" t="s">
        <v>220</v>
      </c>
      <c r="C33" s="5">
        <v>3201386.9032425387</v>
      </c>
      <c r="D33" s="248">
        <v>0.94598317667470033</v>
      </c>
      <c r="E33" s="11">
        <f>+C33*D33/'5.2 Asignación de Áreas'!$E$4</f>
        <v>11.808650323365585</v>
      </c>
    </row>
    <row r="34" spans="2:6" x14ac:dyDescent="0.25">
      <c r="B34" s="1" t="s">
        <v>221</v>
      </c>
      <c r="C34" s="5">
        <v>4024635.6013967604</v>
      </c>
      <c r="D34" s="248">
        <v>0.94598317667470033</v>
      </c>
      <c r="E34" s="11">
        <f>+C34*D34/'5.2 Asignación de Áreas'!$E$4</f>
        <v>14.845289223781757</v>
      </c>
    </row>
    <row r="35" spans="2:6" x14ac:dyDescent="0.25">
      <c r="B35" s="1" t="s">
        <v>222</v>
      </c>
      <c r="C35" s="5">
        <v>8724560.3967785928</v>
      </c>
      <c r="D35" s="248">
        <v>0.94598317667470033</v>
      </c>
      <c r="E35" s="11">
        <f>+C35*D35/'5.2 Asignación de Áreas'!$E$4</f>
        <v>32.181453246495295</v>
      </c>
    </row>
    <row r="36" spans="2:6" x14ac:dyDescent="0.25">
      <c r="B36" s="1" t="s">
        <v>223</v>
      </c>
      <c r="C36" s="5">
        <v>19190604.167385109</v>
      </c>
      <c r="D36" s="248">
        <v>0.70980553459599194</v>
      </c>
      <c r="E36" s="11">
        <f>+C36*D36/'5.2 Asignación de Áreas'!$E$4</f>
        <v>53.113719362351596</v>
      </c>
    </row>
    <row r="37" spans="2:6" x14ac:dyDescent="0.25">
      <c r="B37" s="1" t="s">
        <v>224</v>
      </c>
      <c r="C37" s="5">
        <v>19734789.882669199</v>
      </c>
      <c r="D37" s="248">
        <v>0.70980553459599194</v>
      </c>
      <c r="E37" s="11">
        <f>+C37*D37/'5.2 Asignación de Áreas'!$E$4</f>
        <v>54.619858883051123</v>
      </c>
    </row>
    <row r="38" spans="2:6" x14ac:dyDescent="0.25">
      <c r="B38" s="1" t="s">
        <v>225</v>
      </c>
      <c r="C38" s="5">
        <v>16989388.527332935</v>
      </c>
      <c r="D38" s="248">
        <v>0.94210000000000005</v>
      </c>
      <c r="E38" s="11">
        <f>+C38*D38/'5.2 Asignación de Áreas'!$E$4</f>
        <v>62.409892949412544</v>
      </c>
    </row>
    <row r="39" spans="2:6" x14ac:dyDescent="0.25">
      <c r="B39" s="1" t="s">
        <v>226</v>
      </c>
      <c r="C39" s="5">
        <v>2695167.9316587094</v>
      </c>
      <c r="D39" s="248">
        <v>0.70980553459599194</v>
      </c>
      <c r="E39" s="11">
        <f>+C39*D39/'5.2 Asignación de Áreas'!$E$4</f>
        <v>7.4594000224244015</v>
      </c>
    </row>
    <row r="40" spans="2:6" x14ac:dyDescent="0.25">
      <c r="B40" s="53" t="s">
        <v>8</v>
      </c>
      <c r="C40" s="216"/>
      <c r="D40" s="216"/>
      <c r="E40" s="247">
        <f>+SUM(E32:E39)</f>
        <v>356.72081142553026</v>
      </c>
    </row>
    <row r="43" spans="2:6" x14ac:dyDescent="0.25">
      <c r="B43" s="199" t="s">
        <v>616</v>
      </c>
    </row>
    <row r="45" spans="2:6" x14ac:dyDescent="0.25">
      <c r="B45" s="39" t="s">
        <v>592</v>
      </c>
      <c r="C45" s="39" t="s">
        <v>230</v>
      </c>
      <c r="D45" s="39" t="s">
        <v>231</v>
      </c>
      <c r="E45" s="39" t="s">
        <v>232</v>
      </c>
      <c r="F45" s="39" t="s">
        <v>233</v>
      </c>
    </row>
    <row r="46" spans="2:6" x14ac:dyDescent="0.25">
      <c r="B46" s="1" t="s">
        <v>234</v>
      </c>
      <c r="C46" s="5">
        <f>SUM(D46:F46)</f>
        <v>1539762037</v>
      </c>
      <c r="D46" s="5">
        <v>349927657</v>
      </c>
      <c r="E46" s="5">
        <v>1085867884</v>
      </c>
      <c r="F46" s="5">
        <v>103966496</v>
      </c>
    </row>
    <row r="47" spans="2:6" x14ac:dyDescent="0.25">
      <c r="B47" s="249" t="s">
        <v>235</v>
      </c>
      <c r="C47" s="250">
        <f>+C46/$C$46</f>
        <v>1</v>
      </c>
      <c r="D47" s="250">
        <f>+D46/$C$46</f>
        <v>0.22726086797267883</v>
      </c>
      <c r="E47" s="250">
        <f>+E46/$C$46</f>
        <v>0.70521798687520176</v>
      </c>
      <c r="F47" s="250">
        <f>+F46/$C$46</f>
        <v>6.7521145152119377E-2</v>
      </c>
    </row>
    <row r="48" spans="2:6" x14ac:dyDescent="0.25">
      <c r="B48" s="1" t="s">
        <v>236</v>
      </c>
      <c r="C48" s="5">
        <v>3995414.35</v>
      </c>
      <c r="D48" s="5">
        <f>+C48*$D$47</f>
        <v>908001.33309149649</v>
      </c>
      <c r="E48" s="5">
        <f>+C48*$E$47</f>
        <v>2817638.0646392927</v>
      </c>
      <c r="F48" s="5">
        <f>+C48*$F$47</f>
        <v>269774.95226921071</v>
      </c>
    </row>
    <row r="49" spans="2:7" x14ac:dyDescent="0.25">
      <c r="B49" s="1" t="s">
        <v>237</v>
      </c>
      <c r="C49" s="5">
        <v>103159114.14</v>
      </c>
      <c r="D49" s="5">
        <f>+C49*$D$47</f>
        <v>23444029.818749048</v>
      </c>
      <c r="E49" s="5">
        <f>+C49*$E$47</f>
        <v>72749662.801639959</v>
      </c>
      <c r="F49" s="5">
        <f>+C49*$F$47</f>
        <v>6965421.5196109908</v>
      </c>
    </row>
    <row r="50" spans="2:7" x14ac:dyDescent="0.25">
      <c r="B50" s="1" t="s">
        <v>238</v>
      </c>
      <c r="C50" s="5">
        <v>39570891.579999998</v>
      </c>
      <c r="D50" s="5">
        <f>+C50*$D$47</f>
        <v>8992915.1669235677</v>
      </c>
      <c r="E50" s="5">
        <f>+C50*$E$47</f>
        <v>27906104.49890447</v>
      </c>
      <c r="F50" s="5">
        <f>+C50*$F$47</f>
        <v>2671871.9141719583</v>
      </c>
    </row>
    <row r="51" spans="2:7" x14ac:dyDescent="0.25">
      <c r="B51" s="149" t="s">
        <v>239</v>
      </c>
      <c r="C51" s="150">
        <v>15514764.84</v>
      </c>
      <c r="D51" s="150">
        <f>+C51*$D$47</f>
        <v>3525898.9239303996</v>
      </c>
      <c r="E51" s="150">
        <f>+C51*$E$47</f>
        <v>10941291.227306962</v>
      </c>
      <c r="F51" s="150">
        <f>+C51*$F$47</f>
        <v>1047574.6887626381</v>
      </c>
    </row>
    <row r="53" spans="2:7" x14ac:dyDescent="0.25">
      <c r="B53" s="199" t="s">
        <v>617</v>
      </c>
    </row>
    <row r="55" spans="2:7" ht="26.4" x14ac:dyDescent="0.25">
      <c r="B55" s="39" t="s">
        <v>618</v>
      </c>
      <c r="C55" s="39" t="s">
        <v>0</v>
      </c>
      <c r="D55" s="39" t="s">
        <v>1</v>
      </c>
    </row>
    <row r="56" spans="2:7" ht="26.4" x14ac:dyDescent="0.25">
      <c r="B56" s="12" t="s">
        <v>242</v>
      </c>
      <c r="C56" s="6">
        <f>+C12-C20</f>
        <v>666852414.71764684</v>
      </c>
      <c r="D56" s="6">
        <f>+C12-D20</f>
        <v>674566907.28626287</v>
      </c>
    </row>
    <row r="57" spans="2:7" x14ac:dyDescent="0.25">
      <c r="B57" s="1" t="s">
        <v>243</v>
      </c>
      <c r="C57" s="5">
        <f>+SUMPRODUCT($C$32:$C$39,$D$32:$D$39)</f>
        <v>91484972.451794803</v>
      </c>
      <c r="D57" s="5">
        <f>+SUMPRODUCT($C$32:$C$39,$D$32:$D$39)</f>
        <v>91484972.451794803</v>
      </c>
    </row>
    <row r="58" spans="2:7" x14ac:dyDescent="0.25">
      <c r="B58" s="252" t="s">
        <v>8</v>
      </c>
      <c r="C58" s="253">
        <f>+SUM(C56:C57)</f>
        <v>758337387.1694417</v>
      </c>
      <c r="D58" s="253">
        <f>+SUM(D56:D57)</f>
        <v>766051879.73805761</v>
      </c>
    </row>
    <row r="59" spans="2:7" x14ac:dyDescent="0.25">
      <c r="B59" s="1" t="s">
        <v>244</v>
      </c>
      <c r="C59" s="6">
        <f>+$E$46</f>
        <v>1085867884</v>
      </c>
      <c r="D59" s="6">
        <f>+$E$46</f>
        <v>1085867884</v>
      </c>
    </row>
    <row r="60" spans="2:7" x14ac:dyDescent="0.25">
      <c r="B60" s="53" t="s">
        <v>240</v>
      </c>
      <c r="C60" s="251">
        <f>+C58/C59</f>
        <v>0.69836984622471965</v>
      </c>
      <c r="D60" s="251">
        <f>+D58/D59</f>
        <v>0.70547429482503932</v>
      </c>
    </row>
    <row r="62" spans="2:7" x14ac:dyDescent="0.25">
      <c r="B62" s="199" t="s">
        <v>619</v>
      </c>
    </row>
    <row r="64" spans="2:7" ht="31.8" customHeight="1" x14ac:dyDescent="0.25">
      <c r="B64" s="39" t="s">
        <v>245</v>
      </c>
      <c r="C64" s="39" t="s">
        <v>246</v>
      </c>
      <c r="D64" s="39" t="s">
        <v>247</v>
      </c>
      <c r="E64" s="39" t="s">
        <v>248</v>
      </c>
      <c r="F64" s="39" t="s">
        <v>249</v>
      </c>
      <c r="G64" s="39" t="s">
        <v>215</v>
      </c>
    </row>
    <row r="65" spans="2:7" x14ac:dyDescent="0.25">
      <c r="B65" s="1" t="s">
        <v>236</v>
      </c>
      <c r="C65" s="6">
        <f>+E48</f>
        <v>2817638.0646392927</v>
      </c>
      <c r="D65" s="13">
        <f>+$C$60</f>
        <v>0.69836984622471965</v>
      </c>
      <c r="E65" s="3">
        <f>+C65*D65</f>
        <v>1967753.4619190595</v>
      </c>
      <c r="F65" s="3">
        <f>+'5.2 Asignación de Áreas'!$E$4</f>
        <v>256460.99</v>
      </c>
      <c r="G65" s="2">
        <f>+E65/F65</f>
        <v>7.6727203693593307</v>
      </c>
    </row>
    <row r="66" spans="2:7" x14ac:dyDescent="0.25">
      <c r="B66" s="1" t="s">
        <v>237</v>
      </c>
      <c r="C66" s="6">
        <f>+E49</f>
        <v>72749662.801639959</v>
      </c>
      <c r="D66" s="13">
        <f>+$C$60</f>
        <v>0.69836984622471965</v>
      </c>
      <c r="E66" s="3">
        <f t="shared" ref="E66:E68" si="0">+C66*D66</f>
        <v>50806170.823681504</v>
      </c>
      <c r="F66" s="3">
        <f>+'5.2 Asignación de Áreas'!$E$4</f>
        <v>256460.99</v>
      </c>
      <c r="G66" s="2">
        <f t="shared" ref="G66:G68" si="1">+E66/F66</f>
        <v>198.10486898487565</v>
      </c>
    </row>
    <row r="67" spans="2:7" x14ac:dyDescent="0.25">
      <c r="B67" s="1" t="s">
        <v>238</v>
      </c>
      <c r="C67" s="6">
        <f>+E50</f>
        <v>27906104.49890447</v>
      </c>
      <c r="D67" s="13">
        <f>+$C$60</f>
        <v>0.69836984622471965</v>
      </c>
      <c r="E67" s="3">
        <f t="shared" si="0"/>
        <v>19488781.907630872</v>
      </c>
      <c r="F67" s="3">
        <f>+'5.2 Asignación de Áreas'!$E$4</f>
        <v>256460.99</v>
      </c>
      <c r="G67" s="2">
        <f t="shared" si="1"/>
        <v>75.99121374221815</v>
      </c>
    </row>
    <row r="68" spans="2:7" x14ac:dyDescent="0.25">
      <c r="B68" s="1" t="s">
        <v>239</v>
      </c>
      <c r="C68" s="6">
        <f>+E51</f>
        <v>10941291.227306962</v>
      </c>
      <c r="D68" s="13">
        <f>+$C$60</f>
        <v>0.69836984622471965</v>
      </c>
      <c r="E68" s="3">
        <f t="shared" si="0"/>
        <v>7641067.8719142368</v>
      </c>
      <c r="F68" s="3">
        <f>+'5.2 Asignación de Áreas'!$E$4</f>
        <v>256460.99</v>
      </c>
      <c r="G68" s="2">
        <f t="shared" si="1"/>
        <v>29.794269576492852</v>
      </c>
    </row>
    <row r="69" spans="2:7" x14ac:dyDescent="0.25">
      <c r="B69" s="53" t="s">
        <v>8</v>
      </c>
      <c r="C69" s="53"/>
      <c r="D69" s="53"/>
      <c r="E69" s="53"/>
      <c r="F69" s="53"/>
      <c r="G69" s="256">
        <f>+SUM(G65:G68)</f>
        <v>311.56307267294596</v>
      </c>
    </row>
    <row r="70" spans="2:7" x14ac:dyDescent="0.25">
      <c r="B70" s="254"/>
      <c r="C70" s="7"/>
      <c r="D70" s="7"/>
      <c r="E70" s="7"/>
      <c r="F70" s="7"/>
      <c r="G70" s="255"/>
    </row>
    <row r="71" spans="2:7" x14ac:dyDescent="0.25">
      <c r="B71" s="199" t="s">
        <v>620</v>
      </c>
      <c r="C71" s="7"/>
      <c r="D71" s="7"/>
      <c r="E71" s="7"/>
      <c r="F71" s="7"/>
      <c r="G71" s="255"/>
    </row>
    <row r="73" spans="2:7" ht="33" customHeight="1" x14ac:dyDescent="0.25">
      <c r="B73" s="39" t="s">
        <v>250</v>
      </c>
      <c r="C73" s="39" t="s">
        <v>246</v>
      </c>
      <c r="D73" s="39" t="s">
        <v>247</v>
      </c>
      <c r="E73" s="39" t="s">
        <v>248</v>
      </c>
      <c r="F73" s="39" t="s">
        <v>249</v>
      </c>
      <c r="G73" s="39" t="s">
        <v>215</v>
      </c>
    </row>
    <row r="74" spans="2:7" x14ac:dyDescent="0.25">
      <c r="B74" s="1" t="s">
        <v>236</v>
      </c>
      <c r="C74" s="6">
        <f>+E48</f>
        <v>2817638.0646392927</v>
      </c>
      <c r="D74" s="13">
        <f>+$D$60</f>
        <v>0.70547429482503932</v>
      </c>
      <c r="E74" s="3">
        <f>+C74*D74</f>
        <v>1987771.2267235934</v>
      </c>
      <c r="F74" s="3">
        <f>+'5.2 Asignación de Áreas'!$E$4</f>
        <v>256460.99</v>
      </c>
      <c r="G74" s="2">
        <f>+E74/F74</f>
        <v>7.7507742082863889</v>
      </c>
    </row>
    <row r="75" spans="2:7" x14ac:dyDescent="0.25">
      <c r="B75" s="1" t="s">
        <v>237</v>
      </c>
      <c r="C75" s="6">
        <f>+E49</f>
        <v>72749662.801639959</v>
      </c>
      <c r="D75" s="13">
        <f>+$D$60</f>
        <v>0.70547429482503932</v>
      </c>
      <c r="E75" s="3">
        <f t="shared" ref="E75:E77" si="2">+C75*D75</f>
        <v>51323017.063746348</v>
      </c>
      <c r="F75" s="3">
        <f>+'5.2 Asignación de Áreas'!$E$4</f>
        <v>256460.99</v>
      </c>
      <c r="G75" s="2">
        <f t="shared" ref="G75:G77" si="3">+E75/F75</f>
        <v>200.12017057154131</v>
      </c>
    </row>
    <row r="76" spans="2:7" x14ac:dyDescent="0.25">
      <c r="B76" s="1" t="s">
        <v>238</v>
      </c>
      <c r="C76" s="6">
        <f>+E50</f>
        <v>27906104.49890447</v>
      </c>
      <c r="D76" s="13">
        <f>+$D$60</f>
        <v>0.70547429482503932</v>
      </c>
      <c r="E76" s="3">
        <f t="shared" si="2"/>
        <v>19687039.392678488</v>
      </c>
      <c r="F76" s="3">
        <f>+'5.2 Asignación de Áreas'!$E$4</f>
        <v>256460.99</v>
      </c>
      <c r="G76" s="2">
        <f t="shared" si="3"/>
        <v>76.764264977213443</v>
      </c>
    </row>
    <row r="77" spans="2:7" x14ac:dyDescent="0.25">
      <c r="B77" s="1" t="s">
        <v>239</v>
      </c>
      <c r="C77" s="6">
        <f>+E51</f>
        <v>10941291.227306962</v>
      </c>
      <c r="D77" s="13">
        <f>+$D$60</f>
        <v>0.70547429482503932</v>
      </c>
      <c r="E77" s="3">
        <f t="shared" si="2"/>
        <v>7718799.7130597681</v>
      </c>
      <c r="F77" s="3">
        <f>+'5.2 Asignación de Áreas'!$E$4</f>
        <v>256460.99</v>
      </c>
      <c r="G77" s="2">
        <f t="shared" si="3"/>
        <v>30.097363786436947</v>
      </c>
    </row>
    <row r="78" spans="2:7" x14ac:dyDescent="0.25">
      <c r="B78" s="53" t="s">
        <v>8</v>
      </c>
      <c r="C78" s="53"/>
      <c r="D78" s="53"/>
      <c r="E78" s="53"/>
      <c r="F78" s="53"/>
      <c r="G78" s="256">
        <f>+SUM(G74:G77)</f>
        <v>314.73257354347811</v>
      </c>
    </row>
  </sheetData>
  <hyperlinks>
    <hyperlink ref="I1" location="Índice!A1" display="ÍNDICE" xr:uid="{1D17B1EA-8B90-4363-AD7E-C3654227356A}"/>
  </hyperlink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95DB-EAE3-4ECC-B21F-EB4CCC2EDAD3}">
  <sheetPr codeName="Hoja23"/>
  <dimension ref="B1:G42"/>
  <sheetViews>
    <sheetView showGridLines="0" zoomScaleNormal="100" workbookViewId="0">
      <pane ySplit="2" topLeftCell="A18" activePane="bottomLeft" state="frozen"/>
      <selection pane="bottomLeft" activeCell="H35" sqref="H35"/>
    </sheetView>
  </sheetViews>
  <sheetFormatPr baseColWidth="10" defaultColWidth="11.5546875" defaultRowHeight="13.2" x14ac:dyDescent="0.25"/>
  <cols>
    <col min="1" max="1" width="2.6640625" style="1" customWidth="1"/>
    <col min="2" max="2" width="32.21875" style="1" customWidth="1"/>
    <col min="3" max="3" width="19.109375" style="1" customWidth="1"/>
    <col min="4" max="4" width="13.5546875" style="1" customWidth="1"/>
    <col min="5" max="5" width="11.5546875" style="1"/>
    <col min="6" max="6" width="13.44140625" style="1" customWidth="1"/>
    <col min="7" max="7" width="17.33203125" style="1" customWidth="1"/>
    <col min="8" max="16384" width="11.5546875" style="1"/>
  </cols>
  <sheetData>
    <row r="1" spans="2:7" s="37" customFormat="1" ht="16.2" thickBot="1" x14ac:dyDescent="0.35">
      <c r="B1" s="36" t="s">
        <v>622</v>
      </c>
      <c r="G1" s="38" t="s">
        <v>389</v>
      </c>
    </row>
    <row r="2" spans="2:7" s="37" customFormat="1" ht="5.0999999999999996" customHeight="1" x14ac:dyDescent="0.3">
      <c r="B2" s="36"/>
      <c r="D2" s="175"/>
    </row>
    <row r="3" spans="2:7" x14ac:dyDescent="0.25">
      <c r="B3" s="199"/>
      <c r="E3" s="7"/>
    </row>
    <row r="4" spans="2:7" x14ac:dyDescent="0.25">
      <c r="B4" s="7" t="s">
        <v>621</v>
      </c>
      <c r="C4" s="7"/>
      <c r="D4" s="7"/>
    </row>
    <row r="6" spans="2:7" x14ac:dyDescent="0.25">
      <c r="B6" s="52" t="s">
        <v>328</v>
      </c>
      <c r="C6" s="52" t="s">
        <v>0</v>
      </c>
      <c r="D6" s="52" t="s">
        <v>1</v>
      </c>
    </row>
    <row r="7" spans="2:7" x14ac:dyDescent="0.25">
      <c r="B7" s="1" t="s">
        <v>251</v>
      </c>
      <c r="C7" s="5">
        <f>+'3.2.2 CAPEX-Comunes'!C25</f>
        <v>2600.2099372604266</v>
      </c>
      <c r="D7" s="5">
        <f>+'3.2.2 CAPEX-Comunes'!C26</f>
        <v>2630.2905065065174</v>
      </c>
    </row>
    <row r="8" spans="2:7" x14ac:dyDescent="0.25">
      <c r="B8" s="1" t="s">
        <v>217</v>
      </c>
      <c r="C8" s="5">
        <f>+'3.2.2 CAPEX-Comunes'!E40</f>
        <v>356.72081142553026</v>
      </c>
      <c r="D8" s="5">
        <f>+'3.2.2 CAPEX-Comunes'!E40</f>
        <v>356.72081142553026</v>
      </c>
    </row>
    <row r="9" spans="2:7" x14ac:dyDescent="0.25">
      <c r="B9" s="1" t="s">
        <v>229</v>
      </c>
      <c r="C9" s="5">
        <f>+'3.2.2 CAPEX-Comunes'!G69</f>
        <v>311.56307267294596</v>
      </c>
      <c r="D9" s="5">
        <f>+'3.2.2 CAPEX-Comunes'!G78</f>
        <v>314.73257354347811</v>
      </c>
    </row>
    <row r="10" spans="2:7" x14ac:dyDescent="0.25">
      <c r="B10" s="53" t="s">
        <v>8</v>
      </c>
      <c r="C10" s="216">
        <f>+SUM(C7:C9)</f>
        <v>3268.493821358903</v>
      </c>
      <c r="D10" s="216">
        <f>+SUM(D7:D9)</f>
        <v>3301.7438914755257</v>
      </c>
    </row>
    <row r="11" spans="2:7" x14ac:dyDescent="0.25">
      <c r="B11" s="37"/>
    </row>
    <row r="12" spans="2:7" x14ac:dyDescent="0.25">
      <c r="B12" s="7" t="s">
        <v>623</v>
      </c>
      <c r="C12" s="7"/>
      <c r="D12" s="7"/>
      <c r="E12" s="7"/>
      <c r="F12" s="7"/>
    </row>
    <row r="14" spans="2:7" ht="26.4" x14ac:dyDescent="0.25">
      <c r="B14" s="39"/>
      <c r="C14" s="39" t="s">
        <v>626</v>
      </c>
      <c r="D14" s="39" t="s">
        <v>252</v>
      </c>
      <c r="E14" s="39" t="s">
        <v>253</v>
      </c>
      <c r="F14" s="39" t="s">
        <v>254</v>
      </c>
    </row>
    <row r="15" spans="2:7" ht="13.2" customHeight="1" x14ac:dyDescent="0.25">
      <c r="B15" s="37" t="s">
        <v>624</v>
      </c>
      <c r="C15" s="3">
        <f>+'3.2.1 CAPEX-Comunes'!C151</f>
        <v>10917.432562640268</v>
      </c>
      <c r="D15" s="4" t="s">
        <v>191</v>
      </c>
      <c r="E15" s="5">
        <f>+C10</f>
        <v>3268.493821358903</v>
      </c>
      <c r="F15" s="5">
        <f>+C15*E15</f>
        <v>35683560.87609221</v>
      </c>
    </row>
    <row r="16" spans="2:7" ht="13.2" customHeight="1" x14ac:dyDescent="0.25">
      <c r="B16" s="37" t="s">
        <v>625</v>
      </c>
      <c r="C16" s="3">
        <f>+'3.2.1 CAPEX-Comunes'!D151</f>
        <v>1831.269778271851</v>
      </c>
      <c r="D16" s="4" t="s">
        <v>191</v>
      </c>
      <c r="E16" s="5">
        <f>+D10</f>
        <v>3301.7438914755257</v>
      </c>
      <c r="F16" s="5">
        <f>+C16*E16</f>
        <v>6046383.8040528242</v>
      </c>
    </row>
    <row r="17" spans="2:6" x14ac:dyDescent="0.25">
      <c r="B17" s="53" t="s">
        <v>627</v>
      </c>
      <c r="C17" s="53"/>
      <c r="D17" s="53"/>
      <c r="E17" s="53"/>
      <c r="F17" s="260">
        <f>+SUM(F15:F16)</f>
        <v>41729944.680145033</v>
      </c>
    </row>
    <row r="19" spans="2:6" x14ac:dyDescent="0.25">
      <c r="B19" s="7"/>
    </row>
    <row r="20" spans="2:6" x14ac:dyDescent="0.25">
      <c r="B20" s="199" t="s">
        <v>628</v>
      </c>
      <c r="C20" s="9"/>
      <c r="D20" s="9"/>
      <c r="E20" s="9"/>
      <c r="F20" s="9"/>
    </row>
    <row r="21" spans="2:6" x14ac:dyDescent="0.25">
      <c r="B21" s="9"/>
      <c r="C21" s="9"/>
      <c r="D21" s="9"/>
      <c r="E21" s="9"/>
      <c r="F21" s="9"/>
    </row>
    <row r="22" spans="2:6" x14ac:dyDescent="0.25">
      <c r="B22" s="52" t="s">
        <v>481</v>
      </c>
      <c r="C22" s="159" t="s">
        <v>483</v>
      </c>
      <c r="D22" s="187">
        <v>2024</v>
      </c>
      <c r="E22" s="52">
        <f>+D22+1</f>
        <v>2025</v>
      </c>
      <c r="F22" s="52">
        <f>+E22+1</f>
        <v>2026</v>
      </c>
    </row>
    <row r="23" spans="2:6" x14ac:dyDescent="0.25">
      <c r="B23" s="181" t="s">
        <v>575</v>
      </c>
      <c r="C23" s="230">
        <f>SUM(D23:F23)</f>
        <v>1</v>
      </c>
      <c r="D23" s="223">
        <v>0.89385289499714859</v>
      </c>
      <c r="E23" s="221">
        <v>9.1027410885394455E-2</v>
      </c>
      <c r="F23" s="221">
        <v>1.511969411745695E-2</v>
      </c>
    </row>
    <row r="24" spans="2:6" x14ac:dyDescent="0.25">
      <c r="B24" s="97" t="s">
        <v>601</v>
      </c>
      <c r="C24" s="231">
        <v>891483687.67999876</v>
      </c>
      <c r="D24" s="224"/>
      <c r="E24" s="225"/>
      <c r="F24" s="225"/>
    </row>
    <row r="25" spans="2:6" x14ac:dyDescent="0.25">
      <c r="B25" s="97" t="s">
        <v>602</v>
      </c>
      <c r="C25" s="231">
        <v>194384196.67999998</v>
      </c>
      <c r="D25" s="224"/>
      <c r="E25" s="225"/>
      <c r="F25" s="225"/>
    </row>
    <row r="26" spans="2:6" x14ac:dyDescent="0.25">
      <c r="B26" s="261" t="s">
        <v>603</v>
      </c>
      <c r="C26" s="262">
        <f>+C24/SUM(C24:C25)</f>
        <v>0.82098724948056789</v>
      </c>
      <c r="D26" s="224"/>
      <c r="E26" s="225"/>
      <c r="F26" s="225"/>
    </row>
    <row r="27" spans="2:6" x14ac:dyDescent="0.25">
      <c r="B27" s="263" t="s">
        <v>604</v>
      </c>
      <c r="C27" s="264">
        <f>+C25/SUM(C24:C25)</f>
        <v>0.17901275051943208</v>
      </c>
      <c r="D27" s="265"/>
      <c r="E27" s="266"/>
      <c r="F27" s="266"/>
    </row>
    <row r="29" spans="2:6" x14ac:dyDescent="0.25">
      <c r="B29" s="199" t="s">
        <v>629</v>
      </c>
    </row>
    <row r="31" spans="2:6" x14ac:dyDescent="0.25">
      <c r="B31" s="52" t="s">
        <v>0</v>
      </c>
      <c r="C31" s="187">
        <v>2024</v>
      </c>
      <c r="D31" s="52">
        <v>2025</v>
      </c>
      <c r="E31" s="52">
        <v>2026</v>
      </c>
    </row>
    <row r="32" spans="2:6" x14ac:dyDescent="0.25">
      <c r="B32" s="37" t="s">
        <v>262</v>
      </c>
      <c r="C32" s="5">
        <f>+$F$15*D23*$C$26</f>
        <v>26186089.603663862</v>
      </c>
      <c r="D32" s="5">
        <f t="shared" ref="D32:E32" si="0">+$F$15*E23*$C$26</f>
        <v>2666716.1354800668</v>
      </c>
      <c r="E32" s="5">
        <f t="shared" si="0"/>
        <v>442942.75619142008</v>
      </c>
    </row>
    <row r="33" spans="2:5" x14ac:dyDescent="0.25">
      <c r="B33" s="37" t="s">
        <v>263</v>
      </c>
      <c r="C33" s="5">
        <f>+$F$15*D23*$C$27</f>
        <v>5709764.5892381491</v>
      </c>
      <c r="D33" s="5">
        <f>+$F$15*E23*$C$27</f>
        <v>581466.02224196459</v>
      </c>
      <c r="E33" s="5">
        <f>+$F$15*F23*$C$27</f>
        <v>96581.769276748193</v>
      </c>
    </row>
    <row r="34" spans="2:5" x14ac:dyDescent="0.25">
      <c r="B34" s="53" t="s">
        <v>330</v>
      </c>
      <c r="C34" s="260">
        <f>+SUM(C32:C33)</f>
        <v>31895854.19290201</v>
      </c>
      <c r="D34" s="260">
        <f>+SUM(D32:D33)</f>
        <v>3248182.1577220312</v>
      </c>
      <c r="E34" s="260">
        <f>+SUM(E32:E33)</f>
        <v>539524.52546816831</v>
      </c>
    </row>
    <row r="36" spans="2:5" x14ac:dyDescent="0.25">
      <c r="B36" s="199" t="s">
        <v>630</v>
      </c>
    </row>
    <row r="39" spans="2:5" x14ac:dyDescent="0.25">
      <c r="B39" s="52" t="s">
        <v>1</v>
      </c>
      <c r="C39" s="187">
        <v>2024</v>
      </c>
      <c r="D39" s="52">
        <v>2025</v>
      </c>
      <c r="E39" s="52">
        <v>2026</v>
      </c>
    </row>
    <row r="40" spans="2:5" x14ac:dyDescent="0.25">
      <c r="B40" s="37" t="s">
        <v>262</v>
      </c>
      <c r="C40" s="5">
        <f>$F$16*D23*$C$26</f>
        <v>4437089.3538584653</v>
      </c>
      <c r="D40" s="5">
        <f t="shared" ref="D40:E40" si="1">$F$16*E23*$C$26</f>
        <v>451860.4325269566</v>
      </c>
      <c r="E40" s="5">
        <f t="shared" si="1"/>
        <v>75054.222207759041</v>
      </c>
    </row>
    <row r="41" spans="2:5" x14ac:dyDescent="0.25">
      <c r="B41" s="37" t="s">
        <v>263</v>
      </c>
      <c r="C41" s="5">
        <f>$F$16*D23*$C$27</f>
        <v>967488.31365802325</v>
      </c>
      <c r="D41" s="5">
        <f t="shared" ref="D41:E41" si="2">$F$16*E23*$C$27</f>
        <v>98526.230375354105</v>
      </c>
      <c r="E41" s="5">
        <f t="shared" si="2"/>
        <v>16365.251426265419</v>
      </c>
    </row>
    <row r="42" spans="2:5" x14ac:dyDescent="0.25">
      <c r="B42" s="53" t="s">
        <v>331</v>
      </c>
      <c r="C42" s="260">
        <f>+SUM(C40:C41)</f>
        <v>5404577.6675164886</v>
      </c>
      <c r="D42" s="260">
        <f>+SUM(D40:D41)</f>
        <v>550386.66290231072</v>
      </c>
      <c r="E42" s="260">
        <f>+SUM(E40:E41)</f>
        <v>91419.473634024456</v>
      </c>
    </row>
  </sheetData>
  <hyperlinks>
    <hyperlink ref="G1" location="Índice!A1" display="ÍNDICE" xr:uid="{6A1ADC93-6C8D-400E-A7E4-14A029A87428}"/>
  </hyperlink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0442-7FFE-4737-A1FA-0AB7AF614B9A}">
  <sheetPr codeName="Hoja17"/>
  <dimension ref="B1:F35"/>
  <sheetViews>
    <sheetView showGridLines="0" workbookViewId="0">
      <pane ySplit="2" topLeftCell="A3" activePane="bottomLeft" state="frozen"/>
      <selection pane="bottomLeft" activeCell="F23" sqref="F23"/>
    </sheetView>
  </sheetViews>
  <sheetFormatPr baseColWidth="10" defaultColWidth="11.44140625" defaultRowHeight="13.2" x14ac:dyDescent="0.3"/>
  <cols>
    <col min="1" max="1" width="2.6640625" style="9" customWidth="1"/>
    <col min="2" max="2" width="33.44140625" style="9" customWidth="1"/>
    <col min="3" max="6" width="13.88671875" style="9" customWidth="1"/>
    <col min="7" max="7" width="2.6640625" style="9" customWidth="1"/>
    <col min="8" max="9" width="11.5546875" style="9" bestFit="1" customWidth="1"/>
    <col min="10" max="16384" width="11.44140625" style="9"/>
  </cols>
  <sheetData>
    <row r="1" spans="2:6" s="37" customFormat="1" ht="16.2" thickBot="1" x14ac:dyDescent="0.35">
      <c r="B1" s="36" t="s">
        <v>576</v>
      </c>
      <c r="F1" s="38" t="s">
        <v>389</v>
      </c>
    </row>
    <row r="2" spans="2:6" ht="5.0999999999999996" customHeight="1" x14ac:dyDescent="0.3"/>
    <row r="3" spans="2:6" x14ac:dyDescent="0.3">
      <c r="B3" s="199" t="s">
        <v>571</v>
      </c>
    </row>
    <row r="4" spans="2:6" ht="5.0999999999999996" customHeight="1" x14ac:dyDescent="0.3">
      <c r="B4" s="199"/>
    </row>
    <row r="5" spans="2:6" x14ac:dyDescent="0.3">
      <c r="B5" s="52" t="s">
        <v>481</v>
      </c>
      <c r="C5" s="52" t="s">
        <v>254</v>
      </c>
    </row>
    <row r="6" spans="2:6" x14ac:dyDescent="0.3">
      <c r="B6" s="9" t="s">
        <v>332</v>
      </c>
      <c r="C6" s="215">
        <v>151705455</v>
      </c>
    </row>
    <row r="7" spans="2:6" x14ac:dyDescent="0.3">
      <c r="B7" s="9" t="s">
        <v>333</v>
      </c>
      <c r="C7" s="215">
        <v>93956133</v>
      </c>
    </row>
    <row r="8" spans="2:6" x14ac:dyDescent="0.3">
      <c r="B8" s="9" t="s">
        <v>334</v>
      </c>
      <c r="C8" s="215">
        <v>1076008</v>
      </c>
    </row>
    <row r="9" spans="2:6" x14ac:dyDescent="0.3">
      <c r="B9" s="53" t="s">
        <v>8</v>
      </c>
      <c r="C9" s="216">
        <f>+SUM(C6:C8)</f>
        <v>246737596</v>
      </c>
    </row>
    <row r="11" spans="2:6" x14ac:dyDescent="0.3">
      <c r="B11" s="199" t="s">
        <v>570</v>
      </c>
    </row>
    <row r="12" spans="2:6" ht="5.0999999999999996" customHeight="1" x14ac:dyDescent="0.3">
      <c r="B12" s="199"/>
    </row>
    <row r="13" spans="2:6" x14ac:dyDescent="0.3">
      <c r="B13" s="52" t="s">
        <v>481</v>
      </c>
      <c r="C13" s="52" t="s">
        <v>254</v>
      </c>
    </row>
    <row r="14" spans="2:6" x14ac:dyDescent="0.3">
      <c r="B14" s="9" t="s">
        <v>231</v>
      </c>
      <c r="C14" s="238">
        <f>+'3.1.1 CAPEX-Exclusivas'!D52</f>
        <v>349927657</v>
      </c>
    </row>
    <row r="15" spans="2:6" x14ac:dyDescent="0.3">
      <c r="B15" s="9" t="s">
        <v>232</v>
      </c>
      <c r="C15" s="238">
        <f>+'3.1.1 CAPEX-Exclusivas'!E52</f>
        <v>1085867884</v>
      </c>
    </row>
    <row r="16" spans="2:6" x14ac:dyDescent="0.3">
      <c r="B16" s="9" t="s">
        <v>233</v>
      </c>
      <c r="C16" s="238">
        <f>+'3.1.1 CAPEX-Exclusivas'!F52</f>
        <v>103966496</v>
      </c>
    </row>
    <row r="17" spans="2:6" x14ac:dyDescent="0.3">
      <c r="B17" s="53" t="s">
        <v>335</v>
      </c>
      <c r="C17" s="216">
        <f>+SUM(C14:C16)</f>
        <v>1539762037</v>
      </c>
    </row>
    <row r="18" spans="2:6" ht="5.0999999999999996" customHeight="1" x14ac:dyDescent="0.3">
      <c r="B18" s="199"/>
      <c r="C18" s="217"/>
    </row>
    <row r="19" spans="2:6" x14ac:dyDescent="0.3">
      <c r="B19" s="9" t="s">
        <v>336</v>
      </c>
      <c r="C19" s="238">
        <f>+'3.1.1 CAPEX-Exclusivas'!C12</f>
        <v>675966008</v>
      </c>
    </row>
    <row r="20" spans="2:6" x14ac:dyDescent="0.3">
      <c r="B20" s="9" t="s">
        <v>243</v>
      </c>
      <c r="C20" s="238">
        <f>+'3.1.1 CAPEX-Exclusivas'!C63</f>
        <v>91484972.451794803</v>
      </c>
    </row>
    <row r="21" spans="2:6" x14ac:dyDescent="0.3">
      <c r="B21" s="53" t="s">
        <v>337</v>
      </c>
      <c r="C21" s="216">
        <f>+SUM(C19:C20)</f>
        <v>767450980.45179486</v>
      </c>
    </row>
    <row r="22" spans="2:6" ht="5.0999999999999996" customHeight="1" x14ac:dyDescent="0.3">
      <c r="C22" s="155"/>
    </row>
    <row r="23" spans="2:6" x14ac:dyDescent="0.3">
      <c r="B23" s="53" t="s">
        <v>338</v>
      </c>
      <c r="C23" s="219">
        <f>+C21/C17</f>
        <v>0.49842180935117758</v>
      </c>
    </row>
    <row r="25" spans="2:6" x14ac:dyDescent="0.3">
      <c r="B25" s="199" t="s">
        <v>573</v>
      </c>
    </row>
    <row r="26" spans="2:6" ht="5.0999999999999996" customHeight="1" x14ac:dyDescent="0.3"/>
    <row r="27" spans="2:6" x14ac:dyDescent="0.3">
      <c r="B27" s="52" t="s">
        <v>481</v>
      </c>
      <c r="C27" s="159" t="s">
        <v>483</v>
      </c>
      <c r="D27" s="187">
        <v>2024</v>
      </c>
      <c r="E27" s="52">
        <f>+D27+1</f>
        <v>2025</v>
      </c>
      <c r="F27" s="52">
        <f>+E27+1</f>
        <v>2026</v>
      </c>
    </row>
    <row r="28" spans="2:6" x14ac:dyDescent="0.3">
      <c r="B28" s="181" t="s">
        <v>575</v>
      </c>
      <c r="C28" s="230">
        <f>SUM(D28:F28)</f>
        <v>1</v>
      </c>
      <c r="D28" s="223">
        <v>0.89385289499714859</v>
      </c>
      <c r="E28" s="221">
        <v>9.1027410885394455E-2</v>
      </c>
      <c r="F28" s="221">
        <v>1.511969411745695E-2</v>
      </c>
    </row>
    <row r="29" spans="2:6" x14ac:dyDescent="0.3">
      <c r="B29" s="97" t="s">
        <v>572</v>
      </c>
      <c r="C29" s="231">
        <f>+C9</f>
        <v>246737596</v>
      </c>
      <c r="D29" s="224"/>
      <c r="E29" s="225"/>
      <c r="F29" s="225"/>
    </row>
    <row r="30" spans="2:6" x14ac:dyDescent="0.3">
      <c r="B30" s="9" t="s">
        <v>339</v>
      </c>
      <c r="C30" s="232">
        <f>+C23</f>
        <v>0.49842180935117758</v>
      </c>
      <c r="D30" s="224"/>
      <c r="E30" s="225"/>
      <c r="F30" s="225"/>
    </row>
    <row r="31" spans="2:6" ht="26.4" x14ac:dyDescent="0.3">
      <c r="B31" s="153" t="s">
        <v>577</v>
      </c>
      <c r="C31" s="233">
        <f>+C29*C30</f>
        <v>122979399.03327988</v>
      </c>
      <c r="D31" s="236">
        <f>$C31*D28</f>
        <v>109925491.85090676</v>
      </c>
      <c r="E31" s="237">
        <f t="shared" ref="E31:F31" si="0">$C31*E28</f>
        <v>11194496.28624125</v>
      </c>
      <c r="F31" s="237">
        <f t="shared" si="0"/>
        <v>1859410.8961318727</v>
      </c>
    </row>
    <row r="32" spans="2:6" ht="5.0999999999999996" customHeight="1" x14ac:dyDescent="0.3">
      <c r="C32" s="160"/>
      <c r="D32" s="226"/>
    </row>
    <row r="33" spans="2:6" ht="26.4" x14ac:dyDescent="0.3">
      <c r="B33" s="153" t="s">
        <v>574</v>
      </c>
      <c r="C33" s="233">
        <f>SUM(C34:C35)</f>
        <v>7030309.0825504959</v>
      </c>
      <c r="D33" s="227">
        <f>SUM(D34:D35)</f>
        <v>6284062.1261625076</v>
      </c>
      <c r="E33" s="218">
        <f>SUM(E34:E35)</f>
        <v>639950.83350864449</v>
      </c>
      <c r="F33" s="218">
        <f>SUM(F34:F35)</f>
        <v>106296.12287934287</v>
      </c>
    </row>
    <row r="34" spans="2:6" ht="16.5" customHeight="1" x14ac:dyDescent="0.3">
      <c r="B34" s="97" t="s">
        <v>0</v>
      </c>
      <c r="C34" s="234">
        <f>SUM(D34:F34)</f>
        <v>5923374.1936988663</v>
      </c>
      <c r="D34" s="228">
        <f>+D31*'5.2 Asignación de Áreas'!$F$4</f>
        <v>5294625.1711891321</v>
      </c>
      <c r="E34" s="215">
        <f>+E31*'5.2 Asignación de Áreas'!$F$4</f>
        <v>539189.41655776883</v>
      </c>
      <c r="F34" s="215">
        <f>+F31*'5.2 Asignación de Áreas'!$F$4</f>
        <v>89559.605951965044</v>
      </c>
    </row>
    <row r="35" spans="2:6" ht="16.5" customHeight="1" x14ac:dyDescent="0.3">
      <c r="B35" s="220" t="s">
        <v>1</v>
      </c>
      <c r="C35" s="235">
        <f>SUM(D35:F35)</f>
        <v>1106934.8888516291</v>
      </c>
      <c r="D35" s="229">
        <f>+D31*'5.2 Asignación de Áreas'!$F$5</f>
        <v>989436.95497337554</v>
      </c>
      <c r="E35" s="222">
        <f>+E31*'5.2 Asignación de Áreas'!$F$5</f>
        <v>100761.41695087569</v>
      </c>
      <c r="F35" s="222">
        <f>+F31*'5.2 Asignación de Áreas'!$F$5</f>
        <v>16736.516927377837</v>
      </c>
    </row>
  </sheetData>
  <hyperlinks>
    <hyperlink ref="F1" location="Índice!A1" display="ÍNDICE" xr:uid="{9962FF2A-7EFF-4F1F-B4E9-67AFA858B252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40C02-DFA8-4074-B3C1-B546724737DE}">
  <sheetPr codeName="Hoja10"/>
  <dimension ref="A1:I63"/>
  <sheetViews>
    <sheetView showGridLines="0" workbookViewId="0">
      <selection activeCell="E28" sqref="E28"/>
    </sheetView>
  </sheetViews>
  <sheetFormatPr baseColWidth="10" defaultColWidth="0" defaultRowHeight="12.75" customHeight="1" x14ac:dyDescent="0.25"/>
  <cols>
    <col min="1" max="1" width="2.33203125" style="37" customWidth="1"/>
    <col min="2" max="2" width="29.5546875" style="37" customWidth="1"/>
    <col min="3" max="3" width="12.5546875" style="37" customWidth="1"/>
    <col min="4" max="4" width="43.44140625" style="37" customWidth="1"/>
    <col min="5" max="5" width="15.6640625" style="37" customWidth="1"/>
    <col min="6" max="6" width="2.44140625" style="37" customWidth="1"/>
    <col min="7" max="7" width="11.44140625" style="37" hidden="1" customWidth="1"/>
    <col min="8" max="8" width="18.88671875" style="37" hidden="1" customWidth="1"/>
    <col min="9" max="9" width="25.33203125" style="37" hidden="1" customWidth="1"/>
    <col min="10" max="16384" width="11.44140625" style="37" hidden="1"/>
  </cols>
  <sheetData>
    <row r="1" spans="2:5" ht="16.2" thickBot="1" x14ac:dyDescent="0.35">
      <c r="B1" s="36" t="s">
        <v>405</v>
      </c>
      <c r="E1" s="38" t="s">
        <v>389</v>
      </c>
    </row>
    <row r="2" spans="2:5" ht="5.0999999999999996" customHeight="1" x14ac:dyDescent="0.25"/>
    <row r="3" spans="2:5" ht="13.2" x14ac:dyDescent="0.25">
      <c r="B3" s="7" t="s">
        <v>406</v>
      </c>
    </row>
    <row r="4" spans="2:5" ht="5.0999999999999996" customHeight="1" x14ac:dyDescent="0.25"/>
    <row r="5" spans="2:5" ht="13.2" x14ac:dyDescent="0.25">
      <c r="B5" s="39" t="s">
        <v>407</v>
      </c>
      <c r="C5" s="39" t="s">
        <v>408</v>
      </c>
      <c r="D5" s="39" t="s">
        <v>409</v>
      </c>
      <c r="E5" s="39" t="s">
        <v>410</v>
      </c>
    </row>
    <row r="6" spans="2:5" ht="13.2" x14ac:dyDescent="0.25">
      <c r="B6" s="77" t="s">
        <v>411</v>
      </c>
      <c r="C6" s="78">
        <f>+'5.1 Var-Macro'!C104</f>
        <v>4.7917109451754321E-2</v>
      </c>
      <c r="D6" s="77" t="s">
        <v>412</v>
      </c>
      <c r="E6" s="79" t="s">
        <v>413</v>
      </c>
    </row>
    <row r="7" spans="2:5" ht="13.2" x14ac:dyDescent="0.25">
      <c r="B7" s="77" t="s">
        <v>414</v>
      </c>
      <c r="C7" s="78">
        <f>+'5.1 Var-Macro'!E104</f>
        <v>7.0024348860185173E-2</v>
      </c>
      <c r="D7" s="77" t="s">
        <v>415</v>
      </c>
      <c r="E7" s="79" t="s">
        <v>413</v>
      </c>
    </row>
    <row r="8" spans="2:5" ht="13.2" x14ac:dyDescent="0.25">
      <c r="B8" s="77" t="s">
        <v>416</v>
      </c>
      <c r="C8" s="80">
        <f>+'4.1 Betas'!I25</f>
        <v>0.7208002297457099</v>
      </c>
      <c r="D8" s="77" t="s">
        <v>417</v>
      </c>
      <c r="E8" s="79" t="s">
        <v>418</v>
      </c>
    </row>
    <row r="9" spans="2:5" ht="13.2" x14ac:dyDescent="0.25">
      <c r="B9" s="77" t="s">
        <v>419</v>
      </c>
      <c r="C9" s="80">
        <f>+'4.2 Deuda'!C7</f>
        <v>3</v>
      </c>
      <c r="D9" s="77" t="s">
        <v>420</v>
      </c>
      <c r="E9" s="79" t="s">
        <v>392</v>
      </c>
    </row>
    <row r="10" spans="2:5" ht="13.2" x14ac:dyDescent="0.25">
      <c r="B10" s="77" t="s">
        <v>421</v>
      </c>
      <c r="C10" s="80">
        <f>C8*(1+C9*(1-C14))</f>
        <v>2.3231391404704227</v>
      </c>
      <c r="D10" s="77" t="s">
        <v>422</v>
      </c>
      <c r="E10" s="79" t="s">
        <v>394</v>
      </c>
    </row>
    <row r="11" spans="2:5" ht="13.2" x14ac:dyDescent="0.25">
      <c r="B11" s="77" t="s">
        <v>423</v>
      </c>
      <c r="C11" s="81">
        <f>+'5.1 Var-Macro'!C133/10000</f>
        <v>1.7143044376421949E-2</v>
      </c>
      <c r="D11" s="77" t="s">
        <v>424</v>
      </c>
      <c r="E11" s="79" t="s">
        <v>425</v>
      </c>
    </row>
    <row r="12" spans="2:5" ht="13.2" x14ac:dyDescent="0.25">
      <c r="B12" s="82" t="s">
        <v>426</v>
      </c>
      <c r="C12" s="83">
        <f>C6+C7*C10+C11</f>
        <v>0.22773645945122786</v>
      </c>
      <c r="D12" s="82" t="s">
        <v>422</v>
      </c>
      <c r="E12" s="79" t="s">
        <v>394</v>
      </c>
    </row>
    <row r="13" spans="2:5" ht="13.2" x14ac:dyDescent="0.25">
      <c r="B13" s="77" t="s">
        <v>427</v>
      </c>
      <c r="C13" s="78">
        <f>+'4.2 Deuda'!C6</f>
        <v>0.25</v>
      </c>
      <c r="D13" s="77" t="s">
        <v>420</v>
      </c>
      <c r="E13" s="79" t="s">
        <v>392</v>
      </c>
    </row>
    <row r="14" spans="2:5" ht="13.2" x14ac:dyDescent="0.25">
      <c r="B14" s="77" t="s">
        <v>428</v>
      </c>
      <c r="C14" s="78">
        <f>+(22%+5%*(1-0.22))</f>
        <v>0.25900000000000001</v>
      </c>
      <c r="D14" s="77" t="s">
        <v>420</v>
      </c>
      <c r="E14" s="79" t="s">
        <v>392</v>
      </c>
    </row>
    <row r="15" spans="2:5" ht="13.2" x14ac:dyDescent="0.25">
      <c r="B15" s="82" t="s">
        <v>429</v>
      </c>
      <c r="C15" s="83">
        <f>+'4.2 Deuda'!C84</f>
        <v>7.3309419219361072E-2</v>
      </c>
      <c r="D15" s="82" t="s">
        <v>430</v>
      </c>
      <c r="E15" s="84" t="s">
        <v>392</v>
      </c>
    </row>
    <row r="16" spans="2:5" ht="13.2" x14ac:dyDescent="0.25">
      <c r="B16" s="77" t="s">
        <v>431</v>
      </c>
      <c r="C16" s="78">
        <f>+'4.2 Deuda'!C5</f>
        <v>0.75</v>
      </c>
      <c r="D16" s="77" t="s">
        <v>420</v>
      </c>
      <c r="E16" s="79" t="s">
        <v>392</v>
      </c>
    </row>
    <row r="17" spans="2:5" ht="13.2" x14ac:dyDescent="0.25">
      <c r="B17" s="85" t="s">
        <v>432</v>
      </c>
      <c r="C17" s="86">
        <f>(C15*(1-C14)*C16)+(C12*C13)</f>
        <v>9.767582459396687E-2</v>
      </c>
      <c r="D17" s="87"/>
      <c r="E17" s="87"/>
    </row>
    <row r="18" spans="2:5" ht="13.2" x14ac:dyDescent="0.25">
      <c r="B18" s="77" t="s">
        <v>637</v>
      </c>
      <c r="C18" s="78">
        <f>+AVERAGE('5.1 Var-Macro'!D140:I140)</f>
        <v>2.0758635899652805E-2</v>
      </c>
      <c r="D18" s="77" t="s">
        <v>638</v>
      </c>
      <c r="E18" s="79"/>
    </row>
    <row r="19" spans="2:5" ht="12.75" customHeight="1" x14ac:dyDescent="0.25">
      <c r="B19" s="85" t="s">
        <v>639</v>
      </c>
      <c r="C19" s="295">
        <f>+(1+C17)/(1+C18)-1</f>
        <v>7.5352963951681451E-2</v>
      </c>
      <c r="D19" s="85" t="s">
        <v>422</v>
      </c>
      <c r="E19" s="87"/>
    </row>
    <row r="63" ht="15" customHeight="1" x14ac:dyDescent="0.25"/>
  </sheetData>
  <hyperlinks>
    <hyperlink ref="E1" location="Índice!A1" display="ÍNDICE" xr:uid="{4C489808-A775-4E34-A883-6C04B195CC7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E5E74-0D55-47F6-961E-43788742431D}">
  <sheetPr codeName="Hoja11"/>
  <dimension ref="A1:L26"/>
  <sheetViews>
    <sheetView showGridLines="0" workbookViewId="0">
      <selection activeCell="I1" sqref="I1"/>
    </sheetView>
  </sheetViews>
  <sheetFormatPr baseColWidth="10" defaultColWidth="0" defaultRowHeight="12.75" customHeight="1" zeroHeight="1" x14ac:dyDescent="0.25"/>
  <cols>
    <col min="1" max="1" width="2.33203125" style="37" customWidth="1"/>
    <col min="2" max="2" width="40.44140625" style="37" customWidth="1"/>
    <col min="3" max="3" width="16" style="37" customWidth="1"/>
    <col min="4" max="4" width="13.88671875" style="37" customWidth="1"/>
    <col min="5" max="5" width="19.5546875" style="37" customWidth="1"/>
    <col min="6" max="6" width="16" style="37" customWidth="1"/>
    <col min="7" max="8" width="11.44140625" style="37" customWidth="1"/>
    <col min="9" max="9" width="16.33203125" style="37" customWidth="1"/>
    <col min="10" max="10" width="2.5546875" style="37" customWidth="1"/>
    <col min="11" max="12" width="0" style="37" hidden="1" customWidth="1"/>
    <col min="13" max="16384" width="11.44140625" style="37" hidden="1"/>
  </cols>
  <sheetData>
    <row r="1" spans="2:9" ht="16.2" thickBot="1" x14ac:dyDescent="0.35">
      <c r="B1" s="36" t="s">
        <v>433</v>
      </c>
      <c r="I1" s="38" t="s">
        <v>389</v>
      </c>
    </row>
    <row r="2" spans="2:9" ht="5.0999999999999996" customHeight="1" x14ac:dyDescent="0.25"/>
    <row r="3" spans="2:9" ht="13.2" x14ac:dyDescent="0.25">
      <c r="B3" s="7" t="s">
        <v>434</v>
      </c>
    </row>
    <row r="4" spans="2:9" ht="5.0999999999999996" customHeight="1" x14ac:dyDescent="0.25"/>
    <row r="5" spans="2:9" ht="13.2" x14ac:dyDescent="0.25">
      <c r="B5" s="51" t="s">
        <v>435</v>
      </c>
      <c r="C5" s="87"/>
    </row>
    <row r="6" spans="2:9" ht="13.2" x14ac:dyDescent="0.25">
      <c r="B6" s="88" t="s">
        <v>436</v>
      </c>
      <c r="C6" s="89">
        <v>43831</v>
      </c>
    </row>
    <row r="7" spans="2:9" ht="13.2" x14ac:dyDescent="0.25">
      <c r="B7" s="88" t="s">
        <v>437</v>
      </c>
      <c r="C7" s="89">
        <v>45657</v>
      </c>
    </row>
    <row r="8" spans="2:9" ht="13.2" x14ac:dyDescent="0.25">
      <c r="B8" s="51" t="s">
        <v>438</v>
      </c>
      <c r="C8" s="90" t="s">
        <v>439</v>
      </c>
    </row>
    <row r="9" spans="2:9" ht="5.0999999999999996" customHeight="1" x14ac:dyDescent="0.25"/>
    <row r="10" spans="2:9" ht="13.2" x14ac:dyDescent="0.25">
      <c r="B10" s="51" t="s">
        <v>440</v>
      </c>
      <c r="C10" s="90" t="s">
        <v>439</v>
      </c>
    </row>
    <row r="11" spans="2:9" ht="5.0999999999999996" customHeight="1" x14ac:dyDescent="0.25"/>
    <row r="12" spans="2:9" ht="13.2" x14ac:dyDescent="0.25">
      <c r="B12" s="51" t="s">
        <v>441</v>
      </c>
      <c r="C12" s="90" t="s">
        <v>442</v>
      </c>
    </row>
    <row r="13" spans="2:9" ht="13.2" x14ac:dyDescent="0.25"/>
    <row r="14" spans="2:9" ht="13.2" x14ac:dyDescent="0.25">
      <c r="B14" s="7" t="s">
        <v>443</v>
      </c>
    </row>
    <row r="15" spans="2:9" ht="5.0999999999999996" customHeight="1" x14ac:dyDescent="0.25">
      <c r="G15" s="91"/>
      <c r="H15" s="91"/>
    </row>
    <row r="16" spans="2:9" ht="26.4" x14ac:dyDescent="0.25">
      <c r="B16" s="39" t="s">
        <v>444</v>
      </c>
      <c r="C16" s="39" t="s">
        <v>445</v>
      </c>
      <c r="D16" s="39" t="s">
        <v>446</v>
      </c>
      <c r="E16" s="39" t="s">
        <v>447</v>
      </c>
      <c r="F16" s="39" t="s">
        <v>421</v>
      </c>
      <c r="G16" s="39" t="s">
        <v>448</v>
      </c>
      <c r="H16" s="39" t="s">
        <v>419</v>
      </c>
      <c r="I16" s="39" t="s">
        <v>449</v>
      </c>
    </row>
    <row r="17" spans="2:9" ht="13.2" x14ac:dyDescent="0.25">
      <c r="B17" s="92" t="s">
        <v>450</v>
      </c>
      <c r="C17" s="93" t="s">
        <v>451</v>
      </c>
      <c r="D17" s="93" t="s">
        <v>452</v>
      </c>
      <c r="E17" s="93" t="s">
        <v>453</v>
      </c>
      <c r="F17" s="94">
        <v>0.65700000000000003</v>
      </c>
      <c r="G17" s="94">
        <v>0.26109300000000002</v>
      </c>
      <c r="H17" s="94">
        <v>3.3914E-2</v>
      </c>
      <c r="I17" s="94">
        <f t="shared" ref="I17:I24" si="0">F17/(1+H17*(1-G17))</f>
        <v>0.64093853412069934</v>
      </c>
    </row>
    <row r="18" spans="2:9" ht="13.2" x14ac:dyDescent="0.25">
      <c r="B18" s="92" t="s">
        <v>454</v>
      </c>
      <c r="C18" s="93" t="s">
        <v>455</v>
      </c>
      <c r="D18" s="93" t="s">
        <v>456</v>
      </c>
      <c r="E18" s="93" t="s">
        <v>457</v>
      </c>
      <c r="F18" s="94">
        <v>1.377</v>
      </c>
      <c r="G18" s="94">
        <v>0.25467499999999998</v>
      </c>
      <c r="H18" s="94">
        <v>2.2301869999999999</v>
      </c>
      <c r="I18" s="94">
        <f t="shared" si="0"/>
        <v>0.5172386348145982</v>
      </c>
    </row>
    <row r="19" spans="2:9" ht="13.2" x14ac:dyDescent="0.25">
      <c r="B19" s="92" t="s">
        <v>458</v>
      </c>
      <c r="C19" s="93" t="s">
        <v>459</v>
      </c>
      <c r="D19" s="93" t="s">
        <v>460</v>
      </c>
      <c r="E19" s="93" t="s">
        <v>461</v>
      </c>
      <c r="F19" s="94">
        <v>0.52900000000000003</v>
      </c>
      <c r="G19" s="94">
        <v>0.22163099999999999</v>
      </c>
      <c r="H19" s="94">
        <v>2.1983429999999999</v>
      </c>
      <c r="I19" s="94">
        <f t="shared" si="0"/>
        <v>0.19512216406868996</v>
      </c>
    </row>
    <row r="20" spans="2:9" ht="13.2" x14ac:dyDescent="0.25">
      <c r="B20" s="92" t="s">
        <v>462</v>
      </c>
      <c r="C20" s="93" t="s">
        <v>455</v>
      </c>
      <c r="D20" s="93" t="s">
        <v>463</v>
      </c>
      <c r="E20" s="93" t="s">
        <v>457</v>
      </c>
      <c r="F20" s="94">
        <v>1.22</v>
      </c>
      <c r="G20" s="94">
        <v>0.30545899999999998</v>
      </c>
      <c r="H20" s="94">
        <v>0.24582799999999999</v>
      </c>
      <c r="I20" s="94">
        <f t="shared" si="0"/>
        <v>1.0420780660006448</v>
      </c>
    </row>
    <row r="21" spans="2:9" ht="13.2" x14ac:dyDescent="0.25">
      <c r="B21" s="92" t="s">
        <v>464</v>
      </c>
      <c r="C21" s="93" t="s">
        <v>455</v>
      </c>
      <c r="D21" s="93" t="s">
        <v>465</v>
      </c>
      <c r="E21" s="93" t="s">
        <v>457</v>
      </c>
      <c r="F21" s="94">
        <v>1.367</v>
      </c>
      <c r="G21" s="94">
        <v>0.26979700000000001</v>
      </c>
      <c r="H21" s="94">
        <v>1.1587399999999999</v>
      </c>
      <c r="I21" s="94">
        <f t="shared" si="0"/>
        <v>0.74047374398465349</v>
      </c>
    </row>
    <row r="22" spans="2:9" ht="13.2" x14ac:dyDescent="0.25">
      <c r="B22" s="92" t="s">
        <v>466</v>
      </c>
      <c r="C22" s="93" t="s">
        <v>467</v>
      </c>
      <c r="D22" s="93" t="s">
        <v>468</v>
      </c>
      <c r="E22" s="93" t="s">
        <v>469</v>
      </c>
      <c r="F22" s="94">
        <v>1.0149999999999999</v>
      </c>
      <c r="G22" s="94">
        <v>0.35402900000000004</v>
      </c>
      <c r="H22" s="94">
        <v>0.27723999999999999</v>
      </c>
      <c r="I22" s="94">
        <f t="shared" si="0"/>
        <v>0.86083408459036292</v>
      </c>
    </row>
    <row r="23" spans="2:9" ht="13.2" x14ac:dyDescent="0.25">
      <c r="B23" s="92" t="s">
        <v>470</v>
      </c>
      <c r="C23" s="93" t="s">
        <v>471</v>
      </c>
      <c r="D23" s="93" t="s">
        <v>472</v>
      </c>
      <c r="E23" s="93" t="s">
        <v>473</v>
      </c>
      <c r="F23" s="94">
        <v>0.75900000000000001</v>
      </c>
      <c r="G23" s="94">
        <v>0.29048999999999997</v>
      </c>
      <c r="H23" s="94">
        <v>0.16337299999999999</v>
      </c>
      <c r="I23" s="94">
        <f t="shared" si="0"/>
        <v>0.6801594669120179</v>
      </c>
    </row>
    <row r="24" spans="2:9" ht="13.2" x14ac:dyDescent="0.25">
      <c r="B24" s="92" t="s">
        <v>474</v>
      </c>
      <c r="C24" s="93" t="s">
        <v>475</v>
      </c>
      <c r="D24" s="93" t="s">
        <v>476</v>
      </c>
      <c r="E24" s="93" t="s">
        <v>477</v>
      </c>
      <c r="F24" s="94">
        <v>1.095</v>
      </c>
      <c r="G24" s="94">
        <v>0.98397900000000005</v>
      </c>
      <c r="H24" s="94">
        <v>0.31180800000000003</v>
      </c>
      <c r="I24" s="94">
        <f t="shared" si="0"/>
        <v>1.0895571434740128</v>
      </c>
    </row>
    <row r="25" spans="2:9" ht="13.2" x14ac:dyDescent="0.25">
      <c r="B25" s="328" t="s">
        <v>478</v>
      </c>
      <c r="C25" s="328"/>
      <c r="D25" s="328"/>
      <c r="E25" s="328"/>
      <c r="F25" s="328"/>
      <c r="G25" s="328"/>
      <c r="H25" s="328"/>
      <c r="I25" s="95">
        <f>AVERAGE(I17:I24)</f>
        <v>0.7208002297457099</v>
      </c>
    </row>
    <row r="26" spans="2:9" ht="13.2" x14ac:dyDescent="0.25"/>
  </sheetData>
  <mergeCells count="1">
    <mergeCell ref="B25:H25"/>
  </mergeCells>
  <hyperlinks>
    <hyperlink ref="I1" location="Índice!A1" display="ÍNDICE" xr:uid="{1FA52193-A448-4C54-A4FA-2373247A8EBD}"/>
  </hyperlink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51F1F-8E80-419E-89C2-18291480EDDB}">
  <sheetPr codeName="Hoja12"/>
  <dimension ref="A1:M117"/>
  <sheetViews>
    <sheetView showGridLines="0" workbookViewId="0">
      <pane ySplit="2" topLeftCell="A3" activePane="bottomLeft" state="frozen"/>
      <selection activeCell="E1" sqref="E1"/>
      <selection pane="bottomLeft" activeCell="C8" sqref="C8"/>
    </sheetView>
  </sheetViews>
  <sheetFormatPr baseColWidth="10" defaultColWidth="0" defaultRowHeight="13.2" zeroHeight="1" outlineLevelRow="1" x14ac:dyDescent="0.25"/>
  <cols>
    <col min="1" max="1" width="2.88671875" style="37" customWidth="1"/>
    <col min="2" max="2" width="18.33203125" style="37" customWidth="1"/>
    <col min="3" max="3" width="22.33203125" style="37" customWidth="1"/>
    <col min="4" max="5" width="13.5546875" style="37" customWidth="1"/>
    <col min="6" max="6" width="12.88671875" style="37" customWidth="1"/>
    <col min="7" max="7" width="12.6640625" style="37" customWidth="1"/>
    <col min="8" max="11" width="14.5546875" style="37" customWidth="1"/>
    <col min="12" max="12" width="16.5546875" style="37" customWidth="1"/>
    <col min="13" max="13" width="2.6640625" style="37" customWidth="1"/>
    <col min="14" max="16384" width="11.44140625" style="37" hidden="1"/>
  </cols>
  <sheetData>
    <row r="1" spans="2:12" ht="16.2" thickBot="1" x14ac:dyDescent="0.35">
      <c r="B1" s="36" t="s">
        <v>479</v>
      </c>
      <c r="L1" s="38" t="s">
        <v>389</v>
      </c>
    </row>
    <row r="2" spans="2:12" ht="5.0999999999999996" customHeight="1" x14ac:dyDescent="0.25"/>
    <row r="3" spans="2:12" x14ac:dyDescent="0.25">
      <c r="B3" s="7" t="s">
        <v>480</v>
      </c>
    </row>
    <row r="4" spans="2:12" ht="5.0999999999999996" customHeight="1" x14ac:dyDescent="0.25"/>
    <row r="5" spans="2:12" x14ac:dyDescent="0.25">
      <c r="B5" s="100" t="s">
        <v>484</v>
      </c>
      <c r="C5" s="101">
        <v>0.75</v>
      </c>
    </row>
    <row r="6" spans="2:12" x14ac:dyDescent="0.25">
      <c r="B6" s="100" t="s">
        <v>485</v>
      </c>
      <c r="C6" s="102">
        <v>0.25</v>
      </c>
    </row>
    <row r="7" spans="2:12" x14ac:dyDescent="0.25">
      <c r="B7" s="52" t="s">
        <v>419</v>
      </c>
      <c r="C7" s="103">
        <f>+C5/C6</f>
        <v>3</v>
      </c>
    </row>
    <row r="8" spans="2:12" x14ac:dyDescent="0.25"/>
    <row r="9" spans="2:12" x14ac:dyDescent="0.25">
      <c r="B9" s="7" t="s">
        <v>486</v>
      </c>
    </row>
    <row r="10" spans="2:12" ht="5.0999999999999996" customHeight="1" x14ac:dyDescent="0.25"/>
    <row r="11" spans="2:12" x14ac:dyDescent="0.25">
      <c r="B11" s="7" t="s">
        <v>487</v>
      </c>
    </row>
    <row r="12" spans="2:12" customFormat="1" ht="14.4" x14ac:dyDescent="0.3">
      <c r="B12" s="335" t="s">
        <v>488</v>
      </c>
      <c r="C12" s="337" t="s">
        <v>489</v>
      </c>
      <c r="D12" s="333"/>
      <c r="E12" s="333"/>
      <c r="F12" s="333"/>
      <c r="G12" s="333"/>
      <c r="H12" s="333" t="s">
        <v>490</v>
      </c>
      <c r="I12" s="333"/>
      <c r="J12" s="333"/>
      <c r="K12" s="333"/>
      <c r="L12" s="334"/>
    </row>
    <row r="13" spans="2:12" customFormat="1" ht="32.25" customHeight="1" x14ac:dyDescent="0.3">
      <c r="B13" s="336"/>
      <c r="C13" s="104" t="s">
        <v>491</v>
      </c>
      <c r="D13" s="105" t="s">
        <v>492</v>
      </c>
      <c r="E13" s="105" t="s">
        <v>493</v>
      </c>
      <c r="F13" s="105" t="s">
        <v>494</v>
      </c>
      <c r="G13" s="106" t="s">
        <v>495</v>
      </c>
      <c r="H13" s="105" t="s">
        <v>491</v>
      </c>
      <c r="I13" s="105" t="s">
        <v>492</v>
      </c>
      <c r="J13" s="105" t="s">
        <v>493</v>
      </c>
      <c r="K13" s="105" t="s">
        <v>494</v>
      </c>
      <c r="L13" s="106" t="s">
        <v>495</v>
      </c>
    </row>
    <row r="14" spans="2:12" customFormat="1" ht="14.4" hidden="1" outlineLevel="1" x14ac:dyDescent="0.3">
      <c r="B14" s="107">
        <v>44196</v>
      </c>
      <c r="C14" s="108"/>
      <c r="D14" s="108"/>
      <c r="E14" s="108"/>
      <c r="F14" s="108"/>
      <c r="G14" s="108"/>
      <c r="H14" s="109">
        <v>28</v>
      </c>
      <c r="I14" s="108"/>
      <c r="J14" s="108">
        <v>-5.4029033333333323E-2</v>
      </c>
      <c r="K14" s="108">
        <v>-0.51967499999999989</v>
      </c>
      <c r="L14" s="108">
        <v>-3.3079999999999998</v>
      </c>
    </row>
    <row r="15" spans="2:12" customFormat="1" ht="14.4" hidden="1" outlineLevel="1" x14ac:dyDescent="0.3">
      <c r="B15" s="110">
        <v>44286</v>
      </c>
      <c r="C15" s="111"/>
      <c r="D15" s="111"/>
      <c r="E15" s="111"/>
      <c r="F15" s="111"/>
      <c r="G15" s="111"/>
      <c r="H15" s="112">
        <v>0</v>
      </c>
      <c r="I15" s="111"/>
      <c r="J15" s="111">
        <v>-0.120155</v>
      </c>
      <c r="K15" s="111">
        <v>-0.47474999999999995</v>
      </c>
      <c r="L15" s="111"/>
    </row>
    <row r="16" spans="2:12" customFormat="1" ht="14.4" hidden="1" outlineLevel="1" x14ac:dyDescent="0.3">
      <c r="B16" s="107">
        <v>44377</v>
      </c>
      <c r="C16" s="108"/>
      <c r="D16" s="108"/>
      <c r="E16" s="108"/>
      <c r="F16" s="108"/>
      <c r="G16" s="108"/>
      <c r="H16" s="109">
        <v>0</v>
      </c>
      <c r="I16" s="108"/>
      <c r="J16" s="108">
        <v>-0.12049096888888891</v>
      </c>
      <c r="K16" s="108">
        <v>-0.48529999999999995</v>
      </c>
      <c r="L16" s="108"/>
    </row>
    <row r="17" spans="2:12" customFormat="1" ht="14.4" hidden="1" outlineLevel="1" x14ac:dyDescent="0.3">
      <c r="B17" s="110">
        <v>44469</v>
      </c>
      <c r="C17" s="111"/>
      <c r="D17" s="111"/>
      <c r="E17" s="111"/>
      <c r="F17" s="111"/>
      <c r="G17" s="111"/>
      <c r="H17" s="112">
        <v>0</v>
      </c>
      <c r="I17" s="111"/>
      <c r="J17" s="111">
        <v>-0.11583985777777776</v>
      </c>
      <c r="K17" s="111">
        <v>-0.48529999999999995</v>
      </c>
      <c r="L17" s="111"/>
    </row>
    <row r="18" spans="2:12" customFormat="1" ht="14.4" hidden="1" outlineLevel="1" x14ac:dyDescent="0.3">
      <c r="B18" s="107">
        <v>44561</v>
      </c>
      <c r="C18" s="108"/>
      <c r="D18" s="108"/>
      <c r="E18" s="108"/>
      <c r="F18" s="108"/>
      <c r="G18" s="108">
        <v>-1.0349999999999999</v>
      </c>
      <c r="H18" s="109">
        <v>42</v>
      </c>
      <c r="I18" s="108"/>
      <c r="J18" s="108">
        <v>-0.23029105555555557</v>
      </c>
      <c r="K18" s="108">
        <v>-0.4474749999999999</v>
      </c>
      <c r="L18" s="108"/>
    </row>
    <row r="19" spans="2:12" customFormat="1" ht="14.4" hidden="1" outlineLevel="1" x14ac:dyDescent="0.3">
      <c r="B19" s="110">
        <v>44651</v>
      </c>
      <c r="C19" s="111"/>
      <c r="D19" s="111"/>
      <c r="E19" s="111"/>
      <c r="F19" s="111"/>
      <c r="G19" s="111">
        <v>0</v>
      </c>
      <c r="H19" s="112">
        <v>50</v>
      </c>
      <c r="I19" s="111"/>
      <c r="J19" s="111">
        <v>-0.44020571527777774</v>
      </c>
      <c r="K19" s="111">
        <v>-0.38937500000000003</v>
      </c>
      <c r="L19" s="111"/>
    </row>
    <row r="20" spans="2:12" customFormat="1" ht="14.4" hidden="1" outlineLevel="1" x14ac:dyDescent="0.3">
      <c r="B20" s="107">
        <v>44742</v>
      </c>
      <c r="C20" s="108"/>
      <c r="D20" s="108"/>
      <c r="E20" s="108"/>
      <c r="F20" s="108"/>
      <c r="G20" s="108">
        <v>0</v>
      </c>
      <c r="H20" s="109">
        <v>100</v>
      </c>
      <c r="I20" s="108"/>
      <c r="J20" s="108">
        <v>-0.76430065373563205</v>
      </c>
      <c r="K20" s="108">
        <v>-0.37012499999999998</v>
      </c>
      <c r="L20" s="108"/>
    </row>
    <row r="21" spans="2:12" customFormat="1" ht="14.4" hidden="1" outlineLevel="1" x14ac:dyDescent="0.3">
      <c r="B21" s="110">
        <v>44834</v>
      </c>
      <c r="C21" s="111"/>
      <c r="D21" s="111"/>
      <c r="E21" s="111"/>
      <c r="F21" s="111"/>
      <c r="G21" s="111">
        <v>0</v>
      </c>
      <c r="H21" s="112">
        <v>100</v>
      </c>
      <c r="I21" s="111">
        <v>0</v>
      </c>
      <c r="J21" s="111">
        <v>-2.5756897319444447</v>
      </c>
      <c r="K21" s="111">
        <v>-0.18262500000000001</v>
      </c>
      <c r="L21" s="111">
        <v>-0.45</v>
      </c>
    </row>
    <row r="22" spans="2:12" customFormat="1" ht="14.4" hidden="1" outlineLevel="1" x14ac:dyDescent="0.3">
      <c r="B22" s="107">
        <v>44926</v>
      </c>
      <c r="C22" s="108"/>
      <c r="D22" s="108"/>
      <c r="E22" s="108"/>
      <c r="F22" s="108"/>
      <c r="G22" s="108">
        <v>-15.489075829999997</v>
      </c>
      <c r="H22" s="109">
        <v>15</v>
      </c>
      <c r="I22" s="108"/>
      <c r="J22" s="108">
        <v>-4.021196629166667</v>
      </c>
      <c r="K22" s="108">
        <v>-0.1476875</v>
      </c>
      <c r="L22" s="108">
        <v>-0.28124999999999994</v>
      </c>
    </row>
    <row r="23" spans="2:12" customFormat="1" ht="14.4" hidden="1" outlineLevel="1" x14ac:dyDescent="0.3">
      <c r="B23" s="110">
        <v>45016</v>
      </c>
      <c r="C23" s="111">
        <v>400</v>
      </c>
      <c r="D23" s="111"/>
      <c r="E23" s="111"/>
      <c r="F23" s="111">
        <v>-2.4487878422222158</v>
      </c>
      <c r="G23" s="111">
        <v>-15.227495949999998</v>
      </c>
      <c r="H23" s="112">
        <v>65</v>
      </c>
      <c r="I23" s="111">
        <v>-400</v>
      </c>
      <c r="J23" s="111">
        <v>-6.6967996577777855</v>
      </c>
      <c r="K23" s="111">
        <v>-0.10911249999999999</v>
      </c>
      <c r="L23" s="111"/>
    </row>
    <row r="24" spans="2:12" customFormat="1" ht="14.4" hidden="1" outlineLevel="1" x14ac:dyDescent="0.3">
      <c r="B24" s="107">
        <v>45107</v>
      </c>
      <c r="C24" s="108">
        <v>100</v>
      </c>
      <c r="D24" s="108">
        <v>0</v>
      </c>
      <c r="E24" s="108">
        <v>-7.69079595</v>
      </c>
      <c r="F24" s="108">
        <v>0</v>
      </c>
      <c r="G24" s="108">
        <v>-3.2343719100000001</v>
      </c>
      <c r="H24" s="109"/>
      <c r="I24" s="108"/>
      <c r="J24" s="108"/>
      <c r="K24" s="108"/>
      <c r="L24" s="108"/>
    </row>
    <row r="25" spans="2:12" customFormat="1" ht="14.4" hidden="1" outlineLevel="1" x14ac:dyDescent="0.3">
      <c r="B25" s="110">
        <v>45199</v>
      </c>
      <c r="C25" s="111">
        <v>110</v>
      </c>
      <c r="D25" s="111">
        <v>0</v>
      </c>
      <c r="E25" s="111">
        <v>-9.5942313099999996</v>
      </c>
      <c r="F25" s="111">
        <v>0</v>
      </c>
      <c r="G25" s="111">
        <v>0</v>
      </c>
      <c r="H25" s="112"/>
      <c r="I25" s="111"/>
      <c r="J25" s="111"/>
      <c r="K25" s="111"/>
      <c r="L25" s="111"/>
    </row>
    <row r="26" spans="2:12" customFormat="1" ht="14.4" hidden="1" outlineLevel="1" x14ac:dyDescent="0.3">
      <c r="B26" s="107">
        <v>45291</v>
      </c>
      <c r="C26" s="108">
        <v>120</v>
      </c>
      <c r="D26" s="108">
        <v>0</v>
      </c>
      <c r="E26" s="108">
        <v>-10.756379999999996</v>
      </c>
      <c r="F26" s="108">
        <v>0</v>
      </c>
      <c r="G26" s="108">
        <v>0</v>
      </c>
      <c r="H26" s="109"/>
      <c r="I26" s="108"/>
      <c r="J26" s="108"/>
      <c r="K26" s="108"/>
      <c r="L26" s="108"/>
    </row>
    <row r="27" spans="2:12" customFormat="1" ht="14.4" hidden="1" outlineLevel="1" x14ac:dyDescent="0.3">
      <c r="B27" s="110">
        <v>45382</v>
      </c>
      <c r="C27" s="111">
        <v>80</v>
      </c>
      <c r="D27" s="111">
        <v>0</v>
      </c>
      <c r="E27" s="111">
        <v>-12.256374576871016</v>
      </c>
      <c r="F27" s="111">
        <v>-1.1511946110935691</v>
      </c>
      <c r="G27" s="111">
        <v>0</v>
      </c>
      <c r="H27" s="112"/>
      <c r="I27" s="111"/>
      <c r="J27" s="111"/>
      <c r="K27" s="111"/>
      <c r="L27" s="111"/>
    </row>
    <row r="28" spans="2:12" customFormat="1" ht="14.4" hidden="1" outlineLevel="1" x14ac:dyDescent="0.3">
      <c r="B28" s="107">
        <v>45473</v>
      </c>
      <c r="C28" s="108">
        <v>105</v>
      </c>
      <c r="D28" s="108">
        <v>0</v>
      </c>
      <c r="E28" s="108">
        <v>-13.693340108612068</v>
      </c>
      <c r="F28" s="108">
        <v>-0.94014226572641468</v>
      </c>
      <c r="G28" s="108">
        <v>0</v>
      </c>
      <c r="H28" s="109"/>
      <c r="I28" s="108"/>
      <c r="J28" s="108"/>
      <c r="K28" s="108"/>
      <c r="L28" s="108"/>
    </row>
    <row r="29" spans="2:12" customFormat="1" ht="14.4" hidden="1" outlineLevel="1" x14ac:dyDescent="0.3">
      <c r="B29" s="110">
        <v>45565</v>
      </c>
      <c r="C29" s="111">
        <v>105</v>
      </c>
      <c r="D29" s="111">
        <v>0</v>
      </c>
      <c r="E29" s="111">
        <v>-15.221756779272154</v>
      </c>
      <c r="F29" s="111">
        <v>-0.69839139739676526</v>
      </c>
      <c r="G29" s="111">
        <v>0</v>
      </c>
      <c r="H29" s="112"/>
      <c r="I29" s="111"/>
      <c r="J29" s="111"/>
      <c r="K29" s="111"/>
      <c r="L29" s="111"/>
    </row>
    <row r="30" spans="2:12" customFormat="1" ht="14.4" hidden="1" outlineLevel="1" x14ac:dyDescent="0.3">
      <c r="B30" s="107">
        <v>45657</v>
      </c>
      <c r="C30" s="108">
        <v>75</v>
      </c>
      <c r="D30" s="108">
        <v>0</v>
      </c>
      <c r="E30" s="108">
        <v>-16.549287860880117</v>
      </c>
      <c r="F30" s="108">
        <v>-0.47198979054836326</v>
      </c>
      <c r="G30" s="108">
        <v>0</v>
      </c>
      <c r="H30" s="109"/>
      <c r="I30" s="108"/>
      <c r="J30" s="108"/>
      <c r="K30" s="108"/>
      <c r="L30" s="108"/>
    </row>
    <row r="31" spans="2:12" customFormat="1" ht="14.4" hidden="1" outlineLevel="1" x14ac:dyDescent="0.3">
      <c r="B31" s="110">
        <v>45747</v>
      </c>
      <c r="C31" s="111">
        <v>50</v>
      </c>
      <c r="D31" s="111">
        <v>0</v>
      </c>
      <c r="E31" s="111">
        <v>-17.306374138708453</v>
      </c>
      <c r="F31" s="111">
        <v>-0.32233449110619933</v>
      </c>
      <c r="G31" s="111">
        <v>0</v>
      </c>
      <c r="H31" s="112"/>
      <c r="I31" s="111"/>
      <c r="J31" s="111"/>
      <c r="K31" s="111"/>
      <c r="L31" s="111"/>
    </row>
    <row r="32" spans="2:12" customFormat="1" ht="14.4" hidden="1" outlineLevel="1" x14ac:dyDescent="0.3">
      <c r="B32" s="107">
        <v>45838</v>
      </c>
      <c r="C32" s="108">
        <v>50</v>
      </c>
      <c r="D32" s="108">
        <v>0</v>
      </c>
      <c r="E32" s="108">
        <v>-17.85070200164785</v>
      </c>
      <c r="F32" s="108">
        <v>-0.20721502999684241</v>
      </c>
      <c r="G32" s="108">
        <v>0</v>
      </c>
      <c r="H32" s="109"/>
      <c r="I32" s="108"/>
      <c r="J32" s="108"/>
      <c r="K32" s="108"/>
      <c r="L32" s="108"/>
    </row>
    <row r="33" spans="2:12" customFormat="1" ht="14.4" hidden="1" outlineLevel="1" x14ac:dyDescent="0.3">
      <c r="B33" s="110">
        <v>45930</v>
      </c>
      <c r="C33" s="111">
        <v>30</v>
      </c>
      <c r="D33" s="111">
        <v>0</v>
      </c>
      <c r="E33" s="111">
        <v>-18.371280514381922</v>
      </c>
      <c r="F33" s="111">
        <v>-0.1036075149984212</v>
      </c>
      <c r="G33" s="111">
        <v>0</v>
      </c>
      <c r="H33" s="112"/>
      <c r="I33" s="111"/>
      <c r="J33" s="111"/>
      <c r="K33" s="111"/>
      <c r="L33" s="111"/>
    </row>
    <row r="34" spans="2:12" customFormat="1" ht="14.4" hidden="1" outlineLevel="1" x14ac:dyDescent="0.3">
      <c r="B34" s="107">
        <v>46022</v>
      </c>
      <c r="C34" s="108">
        <v>25</v>
      </c>
      <c r="D34" s="108">
        <v>0</v>
      </c>
      <c r="E34" s="108">
        <v>-18.570665649253645</v>
      </c>
      <c r="F34" s="108">
        <v>-5.7559730554678452E-2</v>
      </c>
      <c r="G34" s="108">
        <v>0</v>
      </c>
      <c r="H34" s="109"/>
      <c r="I34" s="108"/>
      <c r="J34" s="108"/>
      <c r="K34" s="108"/>
      <c r="L34" s="108"/>
    </row>
    <row r="35" spans="2:12" customFormat="1" ht="14.4" hidden="1" outlineLevel="1" x14ac:dyDescent="0.3">
      <c r="B35" s="110">
        <v>46112</v>
      </c>
      <c r="C35" s="111">
        <v>0</v>
      </c>
      <c r="D35" s="111">
        <v>0</v>
      </c>
      <c r="E35" s="111">
        <v>-18.889789011178287</v>
      </c>
      <c r="F35" s="111">
        <v>0</v>
      </c>
      <c r="G35" s="111">
        <v>0</v>
      </c>
      <c r="H35" s="112"/>
      <c r="I35" s="111"/>
      <c r="J35" s="111"/>
      <c r="K35" s="111"/>
      <c r="L35" s="111"/>
    </row>
    <row r="36" spans="2:12" customFormat="1" ht="14.4" hidden="1" outlineLevel="1" x14ac:dyDescent="0.3">
      <c r="B36" s="107">
        <v>46203</v>
      </c>
      <c r="C36" s="108">
        <v>0</v>
      </c>
      <c r="D36" s="108">
        <v>0</v>
      </c>
      <c r="E36" s="108">
        <v>-18.941042820578517</v>
      </c>
      <c r="F36" s="108">
        <v>0</v>
      </c>
      <c r="G36" s="108">
        <v>0</v>
      </c>
      <c r="H36" s="109"/>
      <c r="I36" s="108"/>
      <c r="J36" s="108"/>
      <c r="K36" s="108"/>
      <c r="L36" s="108"/>
    </row>
    <row r="37" spans="2:12" customFormat="1" ht="14.4" hidden="1" outlineLevel="1" x14ac:dyDescent="0.3">
      <c r="B37" s="110">
        <v>46295</v>
      </c>
      <c r="C37" s="111">
        <v>0</v>
      </c>
      <c r="D37" s="111">
        <v>0</v>
      </c>
      <c r="E37" s="111">
        <v>-18.910762712906589</v>
      </c>
      <c r="F37" s="111">
        <v>0</v>
      </c>
      <c r="G37" s="111">
        <v>0</v>
      </c>
      <c r="H37" s="112"/>
      <c r="I37" s="111"/>
      <c r="J37" s="111"/>
      <c r="K37" s="111"/>
      <c r="L37" s="111"/>
    </row>
    <row r="38" spans="2:12" customFormat="1" ht="14.4" hidden="1" outlineLevel="1" x14ac:dyDescent="0.3">
      <c r="B38" s="107">
        <v>46387</v>
      </c>
      <c r="C38" s="108">
        <v>0</v>
      </c>
      <c r="D38" s="108">
        <v>0</v>
      </c>
      <c r="E38" s="108">
        <v>-18.887743435811558</v>
      </c>
      <c r="F38" s="108">
        <v>0</v>
      </c>
      <c r="G38" s="108">
        <v>0</v>
      </c>
      <c r="H38" s="109"/>
      <c r="I38" s="108"/>
      <c r="J38" s="108"/>
      <c r="K38" s="108"/>
      <c r="L38" s="108"/>
    </row>
    <row r="39" spans="2:12" customFormat="1" ht="14.4" hidden="1" outlineLevel="1" x14ac:dyDescent="0.3">
      <c r="B39" s="110">
        <v>46477</v>
      </c>
      <c r="C39" s="111">
        <v>0</v>
      </c>
      <c r="D39" s="111">
        <v>0</v>
      </c>
      <c r="E39" s="111">
        <v>0</v>
      </c>
      <c r="F39" s="111">
        <v>0</v>
      </c>
      <c r="G39" s="111">
        <v>0</v>
      </c>
      <c r="H39" s="112"/>
      <c r="I39" s="111"/>
      <c r="J39" s="111"/>
      <c r="K39" s="111"/>
      <c r="L39" s="111"/>
    </row>
    <row r="40" spans="2:12" customFormat="1" ht="14.4" hidden="1" outlineLevel="1" x14ac:dyDescent="0.3">
      <c r="B40" s="107">
        <v>46568</v>
      </c>
      <c r="C40" s="108">
        <v>0</v>
      </c>
      <c r="D40" s="108">
        <v>-5.7275</v>
      </c>
      <c r="E40" s="108">
        <v>-37.509773866805993</v>
      </c>
      <c r="F40" s="108">
        <v>0</v>
      </c>
      <c r="G40" s="108">
        <v>0</v>
      </c>
      <c r="H40" s="109"/>
      <c r="I40" s="108"/>
      <c r="J40" s="108"/>
      <c r="K40" s="108"/>
      <c r="L40" s="108"/>
    </row>
    <row r="41" spans="2:12" customFormat="1" ht="14.4" hidden="1" outlineLevel="1" x14ac:dyDescent="0.3">
      <c r="B41" s="110">
        <v>46660</v>
      </c>
      <c r="C41" s="111">
        <v>0</v>
      </c>
      <c r="D41" s="111">
        <v>0</v>
      </c>
      <c r="E41" s="111">
        <v>0</v>
      </c>
      <c r="F41" s="111">
        <v>0</v>
      </c>
      <c r="G41" s="111">
        <v>0</v>
      </c>
      <c r="H41" s="112"/>
      <c r="I41" s="111"/>
      <c r="J41" s="111"/>
      <c r="K41" s="111"/>
      <c r="L41" s="111"/>
    </row>
    <row r="42" spans="2:12" customFormat="1" ht="14.4" hidden="1" outlineLevel="1" x14ac:dyDescent="0.3">
      <c r="B42" s="107">
        <v>46752</v>
      </c>
      <c r="C42" s="108">
        <v>0</v>
      </c>
      <c r="D42" s="108">
        <v>-8.9337499999999999</v>
      </c>
      <c r="E42" s="108">
        <v>-37.370227496764954</v>
      </c>
      <c r="F42" s="108">
        <v>0</v>
      </c>
      <c r="G42" s="108">
        <v>0</v>
      </c>
      <c r="H42" s="109"/>
      <c r="I42" s="108"/>
      <c r="J42" s="108"/>
      <c r="K42" s="108"/>
      <c r="L42" s="108"/>
    </row>
    <row r="43" spans="2:12" customFormat="1" ht="14.4" hidden="1" outlineLevel="1" x14ac:dyDescent="0.3">
      <c r="B43" s="110">
        <v>46843</v>
      </c>
      <c r="C43" s="111">
        <v>0</v>
      </c>
      <c r="D43" s="111">
        <v>0</v>
      </c>
      <c r="E43" s="111">
        <v>0</v>
      </c>
      <c r="F43" s="111">
        <v>0</v>
      </c>
      <c r="G43" s="111">
        <v>0</v>
      </c>
      <c r="H43" s="112"/>
      <c r="I43" s="111"/>
      <c r="J43" s="111"/>
      <c r="K43" s="111"/>
      <c r="L43" s="111"/>
    </row>
    <row r="44" spans="2:12" customFormat="1" ht="14.4" hidden="1" outlineLevel="1" x14ac:dyDescent="0.3">
      <c r="B44" s="107">
        <v>46934</v>
      </c>
      <c r="C44" s="108">
        <v>0</v>
      </c>
      <c r="D44" s="108">
        <v>-4.5837500000000002</v>
      </c>
      <c r="E44" s="108">
        <v>-38.752049093175451</v>
      </c>
      <c r="F44" s="108">
        <v>0</v>
      </c>
      <c r="G44" s="108">
        <v>0</v>
      </c>
      <c r="H44" s="109"/>
      <c r="I44" s="108"/>
      <c r="J44" s="108"/>
      <c r="K44" s="108"/>
      <c r="L44" s="108"/>
    </row>
    <row r="45" spans="2:12" customFormat="1" ht="14.4" hidden="1" outlineLevel="1" x14ac:dyDescent="0.3">
      <c r="B45" s="110">
        <v>47026</v>
      </c>
      <c r="C45" s="111">
        <v>0</v>
      </c>
      <c r="D45" s="111">
        <v>0</v>
      </c>
      <c r="E45" s="111">
        <v>0</v>
      </c>
      <c r="F45" s="111">
        <v>0</v>
      </c>
      <c r="G45" s="111">
        <v>0</v>
      </c>
      <c r="H45" s="112"/>
      <c r="I45" s="111"/>
      <c r="J45" s="111"/>
      <c r="K45" s="111"/>
      <c r="L45" s="111"/>
    </row>
    <row r="46" spans="2:12" customFormat="1" ht="14.4" hidden="1" outlineLevel="1" x14ac:dyDescent="0.3">
      <c r="B46" s="107">
        <v>47118</v>
      </c>
      <c r="C46" s="108">
        <v>0</v>
      </c>
      <c r="D46" s="108">
        <v>-1230.7550000000001</v>
      </c>
      <c r="E46" s="108">
        <v>-38.782069619586046</v>
      </c>
      <c r="F46" s="108">
        <v>0</v>
      </c>
      <c r="G46" s="108">
        <v>0</v>
      </c>
      <c r="H46" s="109"/>
      <c r="I46" s="108"/>
      <c r="J46" s="108"/>
      <c r="K46" s="108"/>
      <c r="L46" s="108"/>
    </row>
    <row r="47" spans="2:12" collapsed="1" x14ac:dyDescent="0.25">
      <c r="C47" s="113"/>
    </row>
    <row r="48" spans="2:12" x14ac:dyDescent="0.25">
      <c r="B48" s="7" t="s">
        <v>496</v>
      </c>
    </row>
    <row r="49" spans="2:10" ht="20.399999999999999" x14ac:dyDescent="0.25">
      <c r="B49" s="114" t="s">
        <v>488</v>
      </c>
      <c r="C49" s="115" t="s">
        <v>497</v>
      </c>
      <c r="D49" s="114" t="s">
        <v>492</v>
      </c>
      <c r="E49" s="114" t="s">
        <v>498</v>
      </c>
      <c r="F49" s="114" t="s">
        <v>499</v>
      </c>
      <c r="G49" s="116" t="s">
        <v>494</v>
      </c>
      <c r="H49" s="114" t="s">
        <v>500</v>
      </c>
    </row>
    <row r="50" spans="2:10" hidden="1" outlineLevel="1" x14ac:dyDescent="0.25">
      <c r="B50" s="117">
        <v>44561</v>
      </c>
      <c r="C50" s="118">
        <f>+C18</f>
        <v>0</v>
      </c>
      <c r="D50" s="119">
        <f>+D18</f>
        <v>0</v>
      </c>
      <c r="E50" s="119">
        <f>+E18</f>
        <v>0</v>
      </c>
      <c r="F50" s="119">
        <f>+G18</f>
        <v>-1.0349999999999999</v>
      </c>
      <c r="G50" s="120">
        <f>+F18</f>
        <v>0</v>
      </c>
      <c r="H50" s="119">
        <f>-C50-SUM(D50:G50)</f>
        <v>1.0349999999999999</v>
      </c>
      <c r="J50" s="69"/>
    </row>
    <row r="51" spans="2:10" hidden="1" outlineLevel="1" x14ac:dyDescent="0.25">
      <c r="B51" s="117">
        <v>44651</v>
      </c>
      <c r="C51" s="118">
        <f t="shared" ref="C51:E66" si="0">+C19</f>
        <v>0</v>
      </c>
      <c r="D51" s="119">
        <f t="shared" si="0"/>
        <v>0</v>
      </c>
      <c r="E51" s="119">
        <f t="shared" si="0"/>
        <v>0</v>
      </c>
      <c r="F51" s="119">
        <f t="shared" ref="F51:F78" si="1">+G19</f>
        <v>0</v>
      </c>
      <c r="G51" s="120">
        <f t="shared" ref="G51:G78" si="2">+F19</f>
        <v>0</v>
      </c>
      <c r="H51" s="119">
        <f t="shared" ref="H51:H78" si="3">-C51-SUM(D51:G51)</f>
        <v>0</v>
      </c>
      <c r="J51" s="69"/>
    </row>
    <row r="52" spans="2:10" hidden="1" outlineLevel="1" x14ac:dyDescent="0.25">
      <c r="B52" s="117">
        <v>44742</v>
      </c>
      <c r="C52" s="118">
        <f t="shared" si="0"/>
        <v>0</v>
      </c>
      <c r="D52" s="119">
        <f t="shared" si="0"/>
        <v>0</v>
      </c>
      <c r="E52" s="119">
        <f t="shared" si="0"/>
        <v>0</v>
      </c>
      <c r="F52" s="119">
        <f t="shared" si="1"/>
        <v>0</v>
      </c>
      <c r="G52" s="120">
        <f t="shared" si="2"/>
        <v>0</v>
      </c>
      <c r="H52" s="119">
        <f t="shared" si="3"/>
        <v>0</v>
      </c>
      <c r="J52" s="69"/>
    </row>
    <row r="53" spans="2:10" hidden="1" outlineLevel="1" x14ac:dyDescent="0.25">
      <c r="B53" s="117">
        <v>44834</v>
      </c>
      <c r="C53" s="118">
        <f t="shared" si="0"/>
        <v>0</v>
      </c>
      <c r="D53" s="119">
        <f t="shared" si="0"/>
        <v>0</v>
      </c>
      <c r="E53" s="119">
        <f t="shared" si="0"/>
        <v>0</v>
      </c>
      <c r="F53" s="119">
        <f t="shared" si="1"/>
        <v>0</v>
      </c>
      <c r="G53" s="120">
        <f t="shared" si="2"/>
        <v>0</v>
      </c>
      <c r="H53" s="119">
        <f t="shared" si="3"/>
        <v>0</v>
      </c>
      <c r="J53" s="69"/>
    </row>
    <row r="54" spans="2:10" hidden="1" outlineLevel="1" x14ac:dyDescent="0.25">
      <c r="B54" s="117">
        <v>44926</v>
      </c>
      <c r="C54" s="118">
        <f t="shared" si="0"/>
        <v>0</v>
      </c>
      <c r="D54" s="119">
        <f t="shared" si="0"/>
        <v>0</v>
      </c>
      <c r="E54" s="119">
        <f t="shared" si="0"/>
        <v>0</v>
      </c>
      <c r="F54" s="119">
        <f t="shared" si="1"/>
        <v>-15.489075829999997</v>
      </c>
      <c r="G54" s="120">
        <f t="shared" si="2"/>
        <v>0</v>
      </c>
      <c r="H54" s="119">
        <f t="shared" si="3"/>
        <v>15.489075829999997</v>
      </c>
      <c r="J54" s="69"/>
    </row>
    <row r="55" spans="2:10" hidden="1" outlineLevel="1" x14ac:dyDescent="0.25">
      <c r="B55" s="117">
        <v>45016</v>
      </c>
      <c r="C55" s="118">
        <f t="shared" si="0"/>
        <v>400</v>
      </c>
      <c r="D55" s="119">
        <f t="shared" si="0"/>
        <v>0</v>
      </c>
      <c r="E55" s="119">
        <f t="shared" si="0"/>
        <v>0</v>
      </c>
      <c r="F55" s="119">
        <f t="shared" si="1"/>
        <v>-15.227495949999998</v>
      </c>
      <c r="G55" s="120">
        <f t="shared" si="2"/>
        <v>-2.4487878422222158</v>
      </c>
      <c r="H55" s="119">
        <f t="shared" si="3"/>
        <v>-382.32371620777781</v>
      </c>
      <c r="J55" s="69"/>
    </row>
    <row r="56" spans="2:10" hidden="1" outlineLevel="1" x14ac:dyDescent="0.25">
      <c r="B56" s="117">
        <v>45107</v>
      </c>
      <c r="C56" s="118">
        <f t="shared" si="0"/>
        <v>100</v>
      </c>
      <c r="D56" s="119">
        <f t="shared" si="0"/>
        <v>0</v>
      </c>
      <c r="E56" s="119">
        <f t="shared" si="0"/>
        <v>-7.69079595</v>
      </c>
      <c r="F56" s="119">
        <f t="shared" si="1"/>
        <v>-3.2343719100000001</v>
      </c>
      <c r="G56" s="120">
        <f t="shared" si="2"/>
        <v>0</v>
      </c>
      <c r="H56" s="119">
        <f t="shared" si="3"/>
        <v>-89.074832139999998</v>
      </c>
      <c r="J56" s="69"/>
    </row>
    <row r="57" spans="2:10" hidden="1" outlineLevel="1" x14ac:dyDescent="0.25">
      <c r="B57" s="117">
        <v>45199</v>
      </c>
      <c r="C57" s="118">
        <f t="shared" si="0"/>
        <v>110</v>
      </c>
      <c r="D57" s="119">
        <f t="shared" si="0"/>
        <v>0</v>
      </c>
      <c r="E57" s="119">
        <f t="shared" si="0"/>
        <v>-9.5942313099999996</v>
      </c>
      <c r="F57" s="119">
        <f t="shared" si="1"/>
        <v>0</v>
      </c>
      <c r="G57" s="120">
        <f t="shared" si="2"/>
        <v>0</v>
      </c>
      <c r="H57" s="119">
        <f t="shared" si="3"/>
        <v>-100.40576869</v>
      </c>
      <c r="J57" s="69"/>
    </row>
    <row r="58" spans="2:10" hidden="1" outlineLevel="1" x14ac:dyDescent="0.25">
      <c r="B58" s="117">
        <v>45291</v>
      </c>
      <c r="C58" s="118">
        <f t="shared" si="0"/>
        <v>120</v>
      </c>
      <c r="D58" s="119">
        <f t="shared" si="0"/>
        <v>0</v>
      </c>
      <c r="E58" s="119">
        <f t="shared" si="0"/>
        <v>-10.756379999999996</v>
      </c>
      <c r="F58" s="119">
        <f t="shared" si="1"/>
        <v>0</v>
      </c>
      <c r="G58" s="120">
        <f t="shared" si="2"/>
        <v>0</v>
      </c>
      <c r="H58" s="119">
        <f t="shared" si="3"/>
        <v>-109.24362000000001</v>
      </c>
      <c r="J58" s="69"/>
    </row>
    <row r="59" spans="2:10" hidden="1" outlineLevel="1" x14ac:dyDescent="0.25">
      <c r="B59" s="117">
        <v>45382</v>
      </c>
      <c r="C59" s="118">
        <f t="shared" si="0"/>
        <v>80</v>
      </c>
      <c r="D59" s="119">
        <f t="shared" si="0"/>
        <v>0</v>
      </c>
      <c r="E59" s="119">
        <f t="shared" si="0"/>
        <v>-12.256374576871016</v>
      </c>
      <c r="F59" s="119">
        <f t="shared" si="1"/>
        <v>0</v>
      </c>
      <c r="G59" s="120">
        <f t="shared" si="2"/>
        <v>-1.1511946110935691</v>
      </c>
      <c r="H59" s="119">
        <f t="shared" si="3"/>
        <v>-66.592430812035417</v>
      </c>
      <c r="J59" s="69"/>
    </row>
    <row r="60" spans="2:10" hidden="1" outlineLevel="1" x14ac:dyDescent="0.25">
      <c r="B60" s="117">
        <v>45473</v>
      </c>
      <c r="C60" s="118">
        <f t="shared" si="0"/>
        <v>105</v>
      </c>
      <c r="D60" s="119">
        <f t="shared" si="0"/>
        <v>0</v>
      </c>
      <c r="E60" s="119">
        <f t="shared" si="0"/>
        <v>-13.693340108612068</v>
      </c>
      <c r="F60" s="119">
        <f t="shared" si="1"/>
        <v>0</v>
      </c>
      <c r="G60" s="120">
        <f t="shared" si="2"/>
        <v>-0.94014226572641468</v>
      </c>
      <c r="H60" s="119">
        <f t="shared" si="3"/>
        <v>-90.366517625661515</v>
      </c>
      <c r="J60" s="69"/>
    </row>
    <row r="61" spans="2:10" hidden="1" outlineLevel="1" x14ac:dyDescent="0.25">
      <c r="B61" s="117">
        <v>45565</v>
      </c>
      <c r="C61" s="118">
        <f t="shared" si="0"/>
        <v>105</v>
      </c>
      <c r="D61" s="119">
        <f t="shared" si="0"/>
        <v>0</v>
      </c>
      <c r="E61" s="119">
        <f t="shared" si="0"/>
        <v>-15.221756779272154</v>
      </c>
      <c r="F61" s="119">
        <f t="shared" si="1"/>
        <v>0</v>
      </c>
      <c r="G61" s="120">
        <f t="shared" si="2"/>
        <v>-0.69839139739676526</v>
      </c>
      <c r="H61" s="119">
        <f t="shared" si="3"/>
        <v>-89.079851823331083</v>
      </c>
      <c r="J61" s="69"/>
    </row>
    <row r="62" spans="2:10" hidden="1" outlineLevel="1" x14ac:dyDescent="0.25">
      <c r="B62" s="117">
        <v>45657</v>
      </c>
      <c r="C62" s="118">
        <f t="shared" si="0"/>
        <v>75</v>
      </c>
      <c r="D62" s="119">
        <f t="shared" si="0"/>
        <v>0</v>
      </c>
      <c r="E62" s="119">
        <f t="shared" si="0"/>
        <v>-16.549287860880117</v>
      </c>
      <c r="F62" s="119">
        <f t="shared" si="1"/>
        <v>0</v>
      </c>
      <c r="G62" s="120">
        <f t="shared" si="2"/>
        <v>-0.47198979054836326</v>
      </c>
      <c r="H62" s="119">
        <f t="shared" si="3"/>
        <v>-57.978722348571523</v>
      </c>
      <c r="J62" s="69"/>
    </row>
    <row r="63" spans="2:10" hidden="1" outlineLevel="1" x14ac:dyDescent="0.25">
      <c r="B63" s="117">
        <v>45747</v>
      </c>
      <c r="C63" s="118">
        <f t="shared" si="0"/>
        <v>50</v>
      </c>
      <c r="D63" s="119">
        <f t="shared" si="0"/>
        <v>0</v>
      </c>
      <c r="E63" s="119">
        <f t="shared" si="0"/>
        <v>-17.306374138708453</v>
      </c>
      <c r="F63" s="119">
        <f t="shared" si="1"/>
        <v>0</v>
      </c>
      <c r="G63" s="120">
        <f t="shared" si="2"/>
        <v>-0.32233449110619933</v>
      </c>
      <c r="H63" s="119">
        <f t="shared" si="3"/>
        <v>-32.371291370185347</v>
      </c>
      <c r="J63" s="69"/>
    </row>
    <row r="64" spans="2:10" hidden="1" outlineLevel="1" x14ac:dyDescent="0.25">
      <c r="B64" s="117">
        <v>45838</v>
      </c>
      <c r="C64" s="118">
        <f t="shared" si="0"/>
        <v>50</v>
      </c>
      <c r="D64" s="119">
        <f t="shared" si="0"/>
        <v>0</v>
      </c>
      <c r="E64" s="119">
        <f t="shared" si="0"/>
        <v>-17.85070200164785</v>
      </c>
      <c r="F64" s="119">
        <f t="shared" si="1"/>
        <v>0</v>
      </c>
      <c r="G64" s="120">
        <f t="shared" si="2"/>
        <v>-0.20721502999684241</v>
      </c>
      <c r="H64" s="119">
        <f t="shared" si="3"/>
        <v>-31.942082968355308</v>
      </c>
      <c r="J64" s="69"/>
    </row>
    <row r="65" spans="2:12" hidden="1" outlineLevel="1" x14ac:dyDescent="0.25">
      <c r="B65" s="117">
        <v>45930</v>
      </c>
      <c r="C65" s="118">
        <f t="shared" si="0"/>
        <v>30</v>
      </c>
      <c r="D65" s="119">
        <f t="shared" si="0"/>
        <v>0</v>
      </c>
      <c r="E65" s="119">
        <f t="shared" si="0"/>
        <v>-18.371280514381922</v>
      </c>
      <c r="F65" s="119">
        <f t="shared" si="1"/>
        <v>0</v>
      </c>
      <c r="G65" s="120">
        <f t="shared" si="2"/>
        <v>-0.1036075149984212</v>
      </c>
      <c r="H65" s="119">
        <f t="shared" si="3"/>
        <v>-11.525111970619655</v>
      </c>
      <c r="J65" s="69"/>
    </row>
    <row r="66" spans="2:12" hidden="1" outlineLevel="1" x14ac:dyDescent="0.25">
      <c r="B66" s="117">
        <v>46022</v>
      </c>
      <c r="C66" s="118">
        <f t="shared" si="0"/>
        <v>25</v>
      </c>
      <c r="D66" s="119">
        <f t="shared" si="0"/>
        <v>0</v>
      </c>
      <c r="E66" s="119">
        <f t="shared" si="0"/>
        <v>-18.570665649253645</v>
      </c>
      <c r="F66" s="119">
        <f t="shared" si="1"/>
        <v>0</v>
      </c>
      <c r="G66" s="120">
        <f t="shared" si="2"/>
        <v>-5.7559730554678452E-2</v>
      </c>
      <c r="H66" s="119">
        <f t="shared" si="3"/>
        <v>-6.3717746201916761</v>
      </c>
      <c r="J66" s="69"/>
    </row>
    <row r="67" spans="2:12" hidden="1" outlineLevel="1" x14ac:dyDescent="0.25">
      <c r="B67" s="117">
        <v>46112</v>
      </c>
      <c r="C67" s="118">
        <f t="shared" ref="C67:E78" si="4">+C35</f>
        <v>0</v>
      </c>
      <c r="D67" s="119">
        <f t="shared" si="4"/>
        <v>0</v>
      </c>
      <c r="E67" s="119">
        <f t="shared" si="4"/>
        <v>-18.889789011178287</v>
      </c>
      <c r="F67" s="119">
        <f t="shared" si="1"/>
        <v>0</v>
      </c>
      <c r="G67" s="120">
        <f t="shared" si="2"/>
        <v>0</v>
      </c>
      <c r="H67" s="119">
        <f t="shared" si="3"/>
        <v>18.889789011178287</v>
      </c>
      <c r="J67" s="69"/>
    </row>
    <row r="68" spans="2:12" hidden="1" outlineLevel="1" x14ac:dyDescent="0.25">
      <c r="B68" s="117">
        <v>46203</v>
      </c>
      <c r="C68" s="118">
        <f t="shared" si="4"/>
        <v>0</v>
      </c>
      <c r="D68" s="119">
        <f t="shared" si="4"/>
        <v>0</v>
      </c>
      <c r="E68" s="119">
        <f t="shared" si="4"/>
        <v>-18.941042820578517</v>
      </c>
      <c r="F68" s="119">
        <f t="shared" si="1"/>
        <v>0</v>
      </c>
      <c r="G68" s="120">
        <f t="shared" si="2"/>
        <v>0</v>
      </c>
      <c r="H68" s="119">
        <f t="shared" si="3"/>
        <v>18.941042820578517</v>
      </c>
      <c r="J68" s="69"/>
    </row>
    <row r="69" spans="2:12" hidden="1" outlineLevel="1" x14ac:dyDescent="0.25">
      <c r="B69" s="117">
        <v>46295</v>
      </c>
      <c r="C69" s="118">
        <f t="shared" si="4"/>
        <v>0</v>
      </c>
      <c r="D69" s="119">
        <f t="shared" si="4"/>
        <v>0</v>
      </c>
      <c r="E69" s="119">
        <f t="shared" si="4"/>
        <v>-18.910762712906589</v>
      </c>
      <c r="F69" s="119">
        <f t="shared" si="1"/>
        <v>0</v>
      </c>
      <c r="G69" s="120">
        <f t="shared" si="2"/>
        <v>0</v>
      </c>
      <c r="H69" s="119">
        <f t="shared" si="3"/>
        <v>18.910762712906589</v>
      </c>
      <c r="J69" s="69"/>
    </row>
    <row r="70" spans="2:12" hidden="1" outlineLevel="1" x14ac:dyDescent="0.25">
      <c r="B70" s="117">
        <v>46387</v>
      </c>
      <c r="C70" s="118">
        <f t="shared" si="4"/>
        <v>0</v>
      </c>
      <c r="D70" s="119">
        <f t="shared" si="4"/>
        <v>0</v>
      </c>
      <c r="E70" s="119">
        <f t="shared" si="4"/>
        <v>-18.887743435811558</v>
      </c>
      <c r="F70" s="119">
        <f t="shared" si="1"/>
        <v>0</v>
      </c>
      <c r="G70" s="120">
        <f t="shared" si="2"/>
        <v>0</v>
      </c>
      <c r="H70" s="119">
        <f t="shared" si="3"/>
        <v>18.887743435811558</v>
      </c>
      <c r="J70" s="69"/>
    </row>
    <row r="71" spans="2:12" hidden="1" outlineLevel="1" x14ac:dyDescent="0.25">
      <c r="B71" s="117">
        <v>46477</v>
      </c>
      <c r="C71" s="118">
        <f t="shared" si="4"/>
        <v>0</v>
      </c>
      <c r="D71" s="119">
        <f t="shared" si="4"/>
        <v>0</v>
      </c>
      <c r="E71" s="119">
        <f t="shared" si="4"/>
        <v>0</v>
      </c>
      <c r="F71" s="119">
        <f t="shared" si="1"/>
        <v>0</v>
      </c>
      <c r="G71" s="120">
        <f t="shared" si="2"/>
        <v>0</v>
      </c>
      <c r="H71" s="119">
        <f t="shared" si="3"/>
        <v>0</v>
      </c>
      <c r="J71" s="69"/>
    </row>
    <row r="72" spans="2:12" hidden="1" outlineLevel="1" x14ac:dyDescent="0.25">
      <c r="B72" s="117">
        <v>46568</v>
      </c>
      <c r="C72" s="118">
        <f t="shared" si="4"/>
        <v>0</v>
      </c>
      <c r="D72" s="119">
        <f t="shared" si="4"/>
        <v>-5.7275</v>
      </c>
      <c r="E72" s="119">
        <f t="shared" si="4"/>
        <v>-37.509773866805993</v>
      </c>
      <c r="F72" s="119">
        <f t="shared" si="1"/>
        <v>0</v>
      </c>
      <c r="G72" s="120">
        <f t="shared" si="2"/>
        <v>0</v>
      </c>
      <c r="H72" s="119">
        <f t="shared" si="3"/>
        <v>43.237273866805992</v>
      </c>
      <c r="J72" s="69"/>
    </row>
    <row r="73" spans="2:12" hidden="1" outlineLevel="1" x14ac:dyDescent="0.25">
      <c r="B73" s="117">
        <v>46660</v>
      </c>
      <c r="C73" s="118">
        <f t="shared" si="4"/>
        <v>0</v>
      </c>
      <c r="D73" s="119">
        <f t="shared" si="4"/>
        <v>0</v>
      </c>
      <c r="E73" s="119">
        <f t="shared" si="4"/>
        <v>0</v>
      </c>
      <c r="F73" s="119">
        <f t="shared" si="1"/>
        <v>0</v>
      </c>
      <c r="G73" s="120">
        <f t="shared" si="2"/>
        <v>0</v>
      </c>
      <c r="H73" s="119">
        <f t="shared" si="3"/>
        <v>0</v>
      </c>
      <c r="J73" s="69"/>
    </row>
    <row r="74" spans="2:12" hidden="1" outlineLevel="1" x14ac:dyDescent="0.25">
      <c r="B74" s="117">
        <v>46752</v>
      </c>
      <c r="C74" s="118">
        <f t="shared" si="4"/>
        <v>0</v>
      </c>
      <c r="D74" s="119">
        <f t="shared" si="4"/>
        <v>-8.9337499999999999</v>
      </c>
      <c r="E74" s="119">
        <f t="shared" si="4"/>
        <v>-37.370227496764954</v>
      </c>
      <c r="F74" s="119">
        <f t="shared" si="1"/>
        <v>0</v>
      </c>
      <c r="G74" s="120">
        <f t="shared" si="2"/>
        <v>0</v>
      </c>
      <c r="H74" s="119">
        <f t="shared" si="3"/>
        <v>46.303977496764958</v>
      </c>
      <c r="J74" s="69"/>
    </row>
    <row r="75" spans="2:12" hidden="1" outlineLevel="1" x14ac:dyDescent="0.25">
      <c r="B75" s="117">
        <v>46843</v>
      </c>
      <c r="C75" s="118">
        <f t="shared" si="4"/>
        <v>0</v>
      </c>
      <c r="D75" s="119">
        <f t="shared" si="4"/>
        <v>0</v>
      </c>
      <c r="E75" s="119">
        <f t="shared" si="4"/>
        <v>0</v>
      </c>
      <c r="F75" s="119">
        <f t="shared" si="1"/>
        <v>0</v>
      </c>
      <c r="G75" s="120">
        <f t="shared" si="2"/>
        <v>0</v>
      </c>
      <c r="H75" s="119">
        <f t="shared" si="3"/>
        <v>0</v>
      </c>
      <c r="J75" s="69"/>
    </row>
    <row r="76" spans="2:12" hidden="1" outlineLevel="1" x14ac:dyDescent="0.25">
      <c r="B76" s="117">
        <v>46934</v>
      </c>
      <c r="C76" s="118">
        <f t="shared" si="4"/>
        <v>0</v>
      </c>
      <c r="D76" s="119">
        <f t="shared" si="4"/>
        <v>-4.5837500000000002</v>
      </c>
      <c r="E76" s="119">
        <f t="shared" si="4"/>
        <v>-38.752049093175451</v>
      </c>
      <c r="F76" s="119">
        <f t="shared" si="1"/>
        <v>0</v>
      </c>
      <c r="G76" s="120">
        <f t="shared" si="2"/>
        <v>0</v>
      </c>
      <c r="H76" s="119">
        <f t="shared" si="3"/>
        <v>43.335799093175453</v>
      </c>
      <c r="J76" s="69"/>
      <c r="L76" s="69"/>
    </row>
    <row r="77" spans="2:12" hidden="1" outlineLevel="1" x14ac:dyDescent="0.25">
      <c r="B77" s="117">
        <v>47026</v>
      </c>
      <c r="C77" s="118">
        <f t="shared" si="4"/>
        <v>0</v>
      </c>
      <c r="D77" s="119">
        <f t="shared" si="4"/>
        <v>0</v>
      </c>
      <c r="E77" s="119">
        <f t="shared" si="4"/>
        <v>0</v>
      </c>
      <c r="F77" s="119">
        <f t="shared" si="1"/>
        <v>0</v>
      </c>
      <c r="G77" s="120">
        <f t="shared" si="2"/>
        <v>0</v>
      </c>
      <c r="H77" s="119">
        <f t="shared" si="3"/>
        <v>0</v>
      </c>
      <c r="J77" s="69"/>
    </row>
    <row r="78" spans="2:12" hidden="1" outlineLevel="1" x14ac:dyDescent="0.25">
      <c r="B78" s="117">
        <v>47118</v>
      </c>
      <c r="C78" s="118">
        <f t="shared" si="4"/>
        <v>0</v>
      </c>
      <c r="D78" s="119">
        <f t="shared" si="4"/>
        <v>-1230.7550000000001</v>
      </c>
      <c r="E78" s="119">
        <f t="shared" si="4"/>
        <v>-38.782069619586046</v>
      </c>
      <c r="F78" s="119">
        <f t="shared" si="1"/>
        <v>0</v>
      </c>
      <c r="G78" s="120">
        <f t="shared" si="2"/>
        <v>0</v>
      </c>
      <c r="H78" s="119">
        <f t="shared" si="3"/>
        <v>1269.5370696195862</v>
      </c>
      <c r="J78" s="69"/>
    </row>
    <row r="79" spans="2:12" collapsed="1" x14ac:dyDescent="0.25">
      <c r="B79" s="121" t="s">
        <v>501</v>
      </c>
      <c r="C79" s="122"/>
      <c r="D79" s="122"/>
      <c r="E79" s="122"/>
      <c r="F79" s="122"/>
      <c r="G79" s="123"/>
      <c r="H79" s="124">
        <f>NPV(C83,H50:H78)</f>
        <v>5.031548575397893E-4</v>
      </c>
      <c r="J79" s="69"/>
    </row>
    <row r="80" spans="2:12" x14ac:dyDescent="0.25">
      <c r="B80" s="125"/>
      <c r="C80" s="71"/>
      <c r="D80" s="71"/>
      <c r="E80" s="71"/>
      <c r="F80" s="71"/>
      <c r="G80" s="71"/>
      <c r="H80" s="71"/>
    </row>
    <row r="81" spans="2:8" x14ac:dyDescent="0.25">
      <c r="B81" s="7" t="s">
        <v>502</v>
      </c>
      <c r="C81" s="71"/>
      <c r="D81" s="71"/>
      <c r="E81" s="71"/>
      <c r="F81" s="71"/>
      <c r="G81" s="71"/>
      <c r="H81" s="71"/>
    </row>
    <row r="82" spans="2:8" x14ac:dyDescent="0.25">
      <c r="B82" s="52" t="s">
        <v>503</v>
      </c>
      <c r="C82" s="52" t="s">
        <v>408</v>
      </c>
      <c r="D82" s="71"/>
      <c r="E82" s="71"/>
      <c r="F82" s="71"/>
      <c r="G82" s="71"/>
      <c r="H82" s="71"/>
    </row>
    <row r="83" spans="2:8" x14ac:dyDescent="0.25">
      <c r="B83" s="63" t="s">
        <v>504</v>
      </c>
      <c r="C83" s="126">
        <v>1.7844033453543101E-2</v>
      </c>
      <c r="D83" s="71"/>
      <c r="E83" s="71"/>
      <c r="F83" s="71"/>
      <c r="G83" s="71"/>
      <c r="H83" s="71"/>
    </row>
    <row r="84" spans="2:8" x14ac:dyDescent="0.25">
      <c r="B84" s="127" t="s">
        <v>505</v>
      </c>
      <c r="C84" s="128">
        <f>(1+C83)^4-1</f>
        <v>7.3309419219361072E-2</v>
      </c>
      <c r="D84" s="71"/>
      <c r="E84" s="71"/>
      <c r="F84" s="71"/>
      <c r="G84" s="71"/>
      <c r="H84" s="71"/>
    </row>
    <row r="85" spans="2:8" x14ac:dyDescent="0.25"/>
    <row r="86" spans="2:8" x14ac:dyDescent="0.25"/>
    <row r="87" spans="2:8" x14ac:dyDescent="0.25"/>
    <row r="88" spans="2:8" x14ac:dyDescent="0.25"/>
    <row r="89" spans="2:8" x14ac:dyDescent="0.25"/>
    <row r="90" spans="2:8" x14ac:dyDescent="0.25"/>
    <row r="91" spans="2:8" x14ac:dyDescent="0.25"/>
    <row r="92" spans="2:8" x14ac:dyDescent="0.25"/>
    <row r="93" spans="2:8" x14ac:dyDescent="0.25"/>
    <row r="94" spans="2:8" x14ac:dyDescent="0.25"/>
    <row r="95" spans="2:8" x14ac:dyDescent="0.25"/>
    <row r="96" spans="2:8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12" x14ac:dyDescent="0.25"/>
    <row r="117" x14ac:dyDescent="0.25"/>
  </sheetData>
  <mergeCells count="3">
    <mergeCell ref="H12:L12"/>
    <mergeCell ref="B12:B13"/>
    <mergeCell ref="C12:G12"/>
  </mergeCells>
  <hyperlinks>
    <hyperlink ref="L1" location="Índice!A1" display="ÍNDICE" xr:uid="{73FCC9ED-D198-4CAB-A698-3114F484F8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52754-33FC-4B44-BA74-591A1BEBD925}">
  <sheetPr codeName="Hoja2"/>
  <dimension ref="A1:F32"/>
  <sheetViews>
    <sheetView showGridLines="0" workbookViewId="0"/>
  </sheetViews>
  <sheetFormatPr baseColWidth="10" defaultColWidth="0" defaultRowHeight="15" customHeight="1" zeroHeight="1" x14ac:dyDescent="0.3"/>
  <cols>
    <col min="1" max="1" width="3.109375" customWidth="1"/>
    <col min="2" max="2" width="51.44140625" customWidth="1"/>
    <col min="3" max="3" width="3.109375" customWidth="1"/>
    <col min="4" max="6" width="0" hidden="1" customWidth="1"/>
    <col min="7" max="16384" width="11.44140625" hidden="1"/>
  </cols>
  <sheetData>
    <row r="1" spans="2:2" ht="14.4" x14ac:dyDescent="0.3"/>
    <row r="2" spans="2:2" ht="14.4" x14ac:dyDescent="0.3">
      <c r="B2" s="30" t="s">
        <v>374</v>
      </c>
    </row>
    <row r="3" spans="2:2" ht="5.0999999999999996" customHeight="1" x14ac:dyDescent="0.3">
      <c r="B3" s="31"/>
    </row>
    <row r="4" spans="2:2" ht="14.4" x14ac:dyDescent="0.3">
      <c r="B4" s="32" t="s">
        <v>375</v>
      </c>
    </row>
    <row r="5" spans="2:2" ht="5.0999999999999996" customHeight="1" x14ac:dyDescent="0.3">
      <c r="B5" s="33"/>
    </row>
    <row r="6" spans="2:2" ht="14.4" x14ac:dyDescent="0.3">
      <c r="B6" s="32" t="s">
        <v>376</v>
      </c>
    </row>
    <row r="7" spans="2:2" ht="14.4" x14ac:dyDescent="0.3">
      <c r="B7" s="34" t="s">
        <v>387</v>
      </c>
    </row>
    <row r="8" spans="2:2" ht="14.4" x14ac:dyDescent="0.3">
      <c r="B8" s="34" t="s">
        <v>388</v>
      </c>
    </row>
    <row r="9" spans="2:2" ht="5.0999999999999996" customHeight="1" x14ac:dyDescent="0.3">
      <c r="B9" s="33"/>
    </row>
    <row r="10" spans="2:2" ht="14.4" x14ac:dyDescent="0.3">
      <c r="B10" s="32" t="s">
        <v>377</v>
      </c>
    </row>
    <row r="11" spans="2:2" ht="14.4" x14ac:dyDescent="0.3">
      <c r="B11" s="34" t="s">
        <v>378</v>
      </c>
    </row>
    <row r="12" spans="2:2" ht="5.0999999999999996" customHeight="1" x14ac:dyDescent="0.3">
      <c r="B12" s="33"/>
    </row>
    <row r="13" spans="2:2" ht="14.4" x14ac:dyDescent="0.3">
      <c r="B13" s="32" t="s">
        <v>379</v>
      </c>
    </row>
    <row r="14" spans="2:2" ht="14.4" x14ac:dyDescent="0.3">
      <c r="B14" s="34" t="s">
        <v>380</v>
      </c>
    </row>
    <row r="15" spans="2:2" ht="14.4" x14ac:dyDescent="0.3">
      <c r="B15" s="34" t="s">
        <v>381</v>
      </c>
    </row>
    <row r="16" spans="2:2" ht="14.4" x14ac:dyDescent="0.3">
      <c r="B16" s="34" t="s">
        <v>580</v>
      </c>
    </row>
    <row r="17" spans="2:2" ht="14.4" x14ac:dyDescent="0.3">
      <c r="B17" s="34" t="s">
        <v>581</v>
      </c>
    </row>
    <row r="18" spans="2:2" ht="14.4" x14ac:dyDescent="0.3">
      <c r="B18" s="34" t="s">
        <v>582</v>
      </c>
    </row>
    <row r="19" spans="2:2" ht="5.0999999999999996" customHeight="1" x14ac:dyDescent="0.3">
      <c r="B19" s="31"/>
    </row>
    <row r="20" spans="2:2" ht="14.4" x14ac:dyDescent="0.3">
      <c r="B20" s="32" t="s">
        <v>382</v>
      </c>
    </row>
    <row r="21" spans="2:2" ht="14.4" x14ac:dyDescent="0.3">
      <c r="B21" s="34" t="s">
        <v>383</v>
      </c>
    </row>
    <row r="22" spans="2:2" ht="14.4" x14ac:dyDescent="0.3">
      <c r="B22" s="34" t="s">
        <v>384</v>
      </c>
    </row>
    <row r="23" spans="2:2" ht="14.4" x14ac:dyDescent="0.3">
      <c r="B23" s="34" t="s">
        <v>385</v>
      </c>
    </row>
    <row r="24" spans="2:2" ht="5.0999999999999996" customHeight="1" x14ac:dyDescent="0.3">
      <c r="B24" s="32"/>
    </row>
    <row r="25" spans="2:2" ht="14.4" x14ac:dyDescent="0.3">
      <c r="B25" s="32" t="s">
        <v>386</v>
      </c>
    </row>
    <row r="26" spans="2:2" ht="14.4" x14ac:dyDescent="0.3">
      <c r="B26" s="34" t="s">
        <v>583</v>
      </c>
    </row>
    <row r="27" spans="2:2" ht="14.4" x14ac:dyDescent="0.3">
      <c r="B27" s="34" t="s">
        <v>542</v>
      </c>
    </row>
    <row r="28" spans="2:2" ht="14.4" x14ac:dyDescent="0.3">
      <c r="B28" s="34" t="s">
        <v>543</v>
      </c>
    </row>
    <row r="29" spans="2:2" ht="14.4" x14ac:dyDescent="0.3">
      <c r="B29" s="34" t="s">
        <v>544</v>
      </c>
    </row>
    <row r="30" spans="2:2" ht="14.4" x14ac:dyDescent="0.3">
      <c r="B30" s="34" t="s">
        <v>545</v>
      </c>
    </row>
    <row r="31" spans="2:2" ht="5.0999999999999996" customHeight="1" x14ac:dyDescent="0.3">
      <c r="B31" s="35"/>
    </row>
    <row r="32" spans="2:2" ht="14.4" x14ac:dyDescent="0.3"/>
  </sheetData>
  <hyperlinks>
    <hyperlink ref="B11" location="'1. Demanda'!A1" display="a. Proyección de demanda" xr:uid="{38FD2AC5-5FB6-43F2-A2F3-3C60DF904C43}"/>
    <hyperlink ref="B22" location="'4.1 Betas'!A1" display="Estimación del beta de la empresa" xr:uid="{16FD52FA-D718-4F12-BEE7-F7E28EEE4DDF}"/>
    <hyperlink ref="B23" location="'4.2 Deuda'!A1" display="Información referida a la deuda de la empresa" xr:uid="{E99C3EBE-2369-48D9-B765-BD6E70EA7B67}"/>
    <hyperlink ref="B14" location="'2. OPEX'!A1" display="a. Costos de operación y mantenimiento - OPEX" xr:uid="{3F5C2F74-AF5C-4AE5-9746-156C1D595406}"/>
    <hyperlink ref="B15" location="'3. CAPEX'!A1" display="b. Base de capital e inversiones - CAPEX" xr:uid="{00CCECA2-836F-4277-98E6-8FA024E3709E}"/>
    <hyperlink ref="B26" location="'5.1 Var-Macro'!A1" display="Índices empleadas para el WACC" xr:uid="{3975CA11-EDD0-48BC-9B56-87FD27C6D7F6}"/>
    <hyperlink ref="B4" location="Propuesta!A1" display="Propuesta del Ositrán" xr:uid="{40EDFB52-A5E7-4735-8AFA-5738DD5EA6B8}"/>
    <hyperlink ref="B21" location="'4. WACC'!A1" display="Costo Promedio Ponderado del Capital (WACC) al 2021" xr:uid="{A66E8FA8-1AE9-4AFC-99CE-33D9600EBB1A}"/>
    <hyperlink ref="B27" location="'2.2 OPEX LAP 2023'!A1" display="Proyección de OPEX Total del AIJC, 2025-2030" xr:uid="{593EEF83-2FE9-4080-8E2F-1E6DDCE7D0FE}"/>
    <hyperlink ref="B16" location="'3.1 CAPEX-Exclusivas'!A1" display="c. CAPEX - Exclusivas" xr:uid="{A9AC25BF-52A7-4EF3-B75F-9BD372AC2066}"/>
    <hyperlink ref="B7" location="'0. Flujo DOM-DOM'!A1" display="a. Flujo DOM-DOM" xr:uid="{5B8AC2C0-A595-4D8F-A416-99E78BB40342}"/>
    <hyperlink ref="B8" location="'0. Flujo INT-INT'!A1" display="b. Flujo INT-INT" xr:uid="{9D647B54-765E-413C-BCC5-A2A78AC073FC}"/>
    <hyperlink ref="B18" location="'3.3 CAPEX Indirecto'!A1" display="e. CAPEX - Indirecto" xr:uid="{01156590-062F-4D91-AA62-F32EBAB38F22}"/>
    <hyperlink ref="B17" location="'3.2 CAPEX-Comunes'!A1" display="d. CAPEX - Comunes" xr:uid="{CE3C383B-E5D3-4F96-8DAC-9037DAB99D32}"/>
    <hyperlink ref="B30" location="'5.3 Var OPEX 2023-25'!A1" display="Variación del OPEX 2023 vs. 2025" xr:uid="{AE4CAAFC-8C90-463E-829C-D953596B8405}"/>
    <hyperlink ref="B29" location="'5.2 Asignación de Áreas'!A1" display="Asignación de áreas, por tipo de transferencia" xr:uid="{5C5A8FD6-7BE1-4C2D-B1B8-7F167D922949}"/>
    <hyperlink ref="B28" location="'2.1 OPEX TUUA'!A1" display="Proyección de OPEX TUUA de Transferencia" xr:uid="{1599926E-1286-4A45-80BC-0F21E6855C75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916F-B6EF-4A16-A98D-BE9FBE129C1B}">
  <sheetPr codeName="Hoja13"/>
  <dimension ref="A1:R149"/>
  <sheetViews>
    <sheetView showGridLines="0" workbookViewId="0">
      <pane ySplit="2" topLeftCell="A104" activePane="bottomLeft" state="frozen"/>
      <selection activeCell="E1" sqref="E1"/>
      <selection pane="bottomLeft" activeCell="B151" sqref="B151"/>
    </sheetView>
  </sheetViews>
  <sheetFormatPr baseColWidth="10" defaultColWidth="0" defaultRowHeight="13.8" outlineLevelRow="1" x14ac:dyDescent="0.25"/>
  <cols>
    <col min="1" max="1" width="1.88671875" style="130" customWidth="1"/>
    <col min="2" max="2" width="28.109375" style="130" customWidth="1"/>
    <col min="3" max="5" width="13.6640625" style="130" customWidth="1"/>
    <col min="6" max="9" width="11.44140625" style="130" customWidth="1"/>
    <col min="10" max="10" width="2.6640625" style="130" customWidth="1"/>
    <col min="11" max="12" width="11.44140625" style="130" customWidth="1"/>
    <col min="13" max="13" width="2.6640625" style="130" customWidth="1"/>
    <col min="14" max="16384" width="11.44140625" style="130" hidden="1"/>
  </cols>
  <sheetData>
    <row r="1" spans="2:12" ht="16.2" thickBot="1" x14ac:dyDescent="0.35">
      <c r="B1" s="129" t="s">
        <v>506</v>
      </c>
      <c r="L1" s="38" t="s">
        <v>389</v>
      </c>
    </row>
    <row r="2" spans="2:12" ht="5.0999999999999996" customHeight="1" x14ac:dyDescent="0.25"/>
    <row r="3" spans="2:12" x14ac:dyDescent="0.25">
      <c r="B3" s="131" t="s">
        <v>507</v>
      </c>
      <c r="C3" s="132"/>
      <c r="D3" s="132"/>
      <c r="E3" s="132"/>
    </row>
    <row r="4" spans="2:12" ht="5.0999999999999996" customHeight="1" x14ac:dyDescent="0.25">
      <c r="B4" s="131"/>
      <c r="C4" s="132"/>
      <c r="D4" s="132"/>
      <c r="E4" s="132"/>
    </row>
    <row r="5" spans="2:12" x14ac:dyDescent="0.25">
      <c r="B5" s="133" t="s">
        <v>508</v>
      </c>
      <c r="C5" s="67"/>
      <c r="D5" s="67"/>
      <c r="E5" s="67"/>
    </row>
    <row r="6" spans="2:12" ht="26.4" x14ac:dyDescent="0.25">
      <c r="B6" s="134" t="s">
        <v>343</v>
      </c>
      <c r="C6" s="134" t="s">
        <v>509</v>
      </c>
      <c r="D6" s="134" t="s">
        <v>510</v>
      </c>
      <c r="E6" s="134" t="s">
        <v>414</v>
      </c>
    </row>
    <row r="7" spans="2:12" hidden="1" outlineLevel="1" x14ac:dyDescent="0.25">
      <c r="B7" s="79">
        <v>1928</v>
      </c>
      <c r="C7" s="135">
        <v>8.354708589799302E-3</v>
      </c>
      <c r="D7" s="135">
        <v>0.43811155152887893</v>
      </c>
      <c r="E7" s="135">
        <f>+D7-C7</f>
        <v>0.42975684293907962</v>
      </c>
    </row>
    <row r="8" spans="2:12" hidden="1" outlineLevel="1" x14ac:dyDescent="0.25">
      <c r="B8" s="79">
        <v>1929</v>
      </c>
      <c r="C8" s="135">
        <v>4.2038041563204259E-2</v>
      </c>
      <c r="D8" s="135">
        <v>-8.2979466119096595E-2</v>
      </c>
      <c r="E8" s="135">
        <f t="shared" ref="E8:E71" si="0">+D8-C8</f>
        <v>-0.12501750768230085</v>
      </c>
    </row>
    <row r="9" spans="2:12" hidden="1" outlineLevel="1" x14ac:dyDescent="0.25">
      <c r="B9" s="79">
        <v>1930</v>
      </c>
      <c r="C9" s="135">
        <v>4.5409314348970366E-2</v>
      </c>
      <c r="D9" s="135">
        <v>-0.25123636363636365</v>
      </c>
      <c r="E9" s="135">
        <f t="shared" si="0"/>
        <v>-0.29664567798533403</v>
      </c>
    </row>
    <row r="10" spans="2:12" hidden="1" outlineLevel="1" x14ac:dyDescent="0.25">
      <c r="B10" s="79">
        <v>1931</v>
      </c>
      <c r="C10" s="135">
        <v>-2.5588559619422531E-2</v>
      </c>
      <c r="D10" s="135">
        <v>-0.43837548891786188</v>
      </c>
      <c r="E10" s="135">
        <f t="shared" si="0"/>
        <v>-0.41278692929843935</v>
      </c>
    </row>
    <row r="11" spans="2:12" hidden="1" outlineLevel="1" x14ac:dyDescent="0.25">
      <c r="B11" s="79">
        <v>1932</v>
      </c>
      <c r="C11" s="135">
        <v>8.7903069904773257E-2</v>
      </c>
      <c r="D11" s="135">
        <v>-8.642364532019696E-2</v>
      </c>
      <c r="E11" s="135">
        <f t="shared" si="0"/>
        <v>-0.17432671522497023</v>
      </c>
    </row>
    <row r="12" spans="2:12" hidden="1" outlineLevel="1" x14ac:dyDescent="0.25">
      <c r="B12" s="79">
        <v>1933</v>
      </c>
      <c r="C12" s="135">
        <v>1.8552720891857361E-2</v>
      </c>
      <c r="D12" s="135">
        <v>0.49982225433526023</v>
      </c>
      <c r="E12" s="135">
        <f t="shared" si="0"/>
        <v>0.48126953344340284</v>
      </c>
    </row>
    <row r="13" spans="2:12" hidden="1" outlineLevel="1" x14ac:dyDescent="0.25">
      <c r="B13" s="79">
        <v>1934</v>
      </c>
      <c r="C13" s="135">
        <v>7.9634426179656104E-2</v>
      </c>
      <c r="D13" s="135">
        <v>-1.1885656970912803E-2</v>
      </c>
      <c r="E13" s="135">
        <f t="shared" si="0"/>
        <v>-9.1520083150568907E-2</v>
      </c>
    </row>
    <row r="14" spans="2:12" hidden="1" outlineLevel="1" x14ac:dyDescent="0.25">
      <c r="B14" s="79">
        <v>1935</v>
      </c>
      <c r="C14" s="135">
        <v>4.4720477296566127E-2</v>
      </c>
      <c r="D14" s="135">
        <v>0.46740421052631581</v>
      </c>
      <c r="E14" s="135">
        <f t="shared" si="0"/>
        <v>0.42268373322974967</v>
      </c>
    </row>
    <row r="15" spans="2:12" hidden="1" outlineLevel="1" x14ac:dyDescent="0.25">
      <c r="B15" s="79">
        <v>1936</v>
      </c>
      <c r="C15" s="135">
        <v>5.0178754045450601E-2</v>
      </c>
      <c r="D15" s="135">
        <v>0.31943410275502609</v>
      </c>
      <c r="E15" s="135">
        <f t="shared" si="0"/>
        <v>0.26925534870957551</v>
      </c>
    </row>
    <row r="16" spans="2:12" hidden="1" outlineLevel="1" x14ac:dyDescent="0.25">
      <c r="B16" s="79">
        <v>1937</v>
      </c>
      <c r="C16" s="135">
        <v>1.379146059646038E-2</v>
      </c>
      <c r="D16" s="135">
        <v>-0.35336728754365537</v>
      </c>
      <c r="E16" s="135">
        <f t="shared" si="0"/>
        <v>-0.36715874814011573</v>
      </c>
    </row>
    <row r="17" spans="2:5" hidden="1" outlineLevel="1" x14ac:dyDescent="0.25">
      <c r="B17" s="79">
        <v>1938</v>
      </c>
      <c r="C17" s="135">
        <v>4.2132485322046068E-2</v>
      </c>
      <c r="D17" s="135">
        <v>0.29282654028436017</v>
      </c>
      <c r="E17" s="135">
        <f t="shared" si="0"/>
        <v>0.25069405496231412</v>
      </c>
    </row>
    <row r="18" spans="2:5" hidden="1" outlineLevel="1" x14ac:dyDescent="0.25">
      <c r="B18" s="79">
        <v>1939</v>
      </c>
      <c r="C18" s="135">
        <v>4.4122613942060671E-2</v>
      </c>
      <c r="D18" s="135">
        <v>-1.0975646879756443E-2</v>
      </c>
      <c r="E18" s="135">
        <f t="shared" si="0"/>
        <v>-5.509826082181711E-2</v>
      </c>
    </row>
    <row r="19" spans="2:5" hidden="1" outlineLevel="1" x14ac:dyDescent="0.25">
      <c r="B19" s="79">
        <v>1940</v>
      </c>
      <c r="C19" s="135">
        <v>5.4024815962845509E-2</v>
      </c>
      <c r="D19" s="135">
        <v>-0.10672873194221515</v>
      </c>
      <c r="E19" s="135">
        <f t="shared" si="0"/>
        <v>-0.16075354790506066</v>
      </c>
    </row>
    <row r="20" spans="2:5" hidden="1" outlineLevel="1" x14ac:dyDescent="0.25">
      <c r="B20" s="79">
        <v>1941</v>
      </c>
      <c r="C20" s="135">
        <v>-2.0221975848580105E-2</v>
      </c>
      <c r="D20" s="135">
        <v>-0.12771455576559551</v>
      </c>
      <c r="E20" s="135">
        <f t="shared" si="0"/>
        <v>-0.10749257991701541</v>
      </c>
    </row>
    <row r="21" spans="2:5" hidden="1" outlineLevel="1" x14ac:dyDescent="0.25">
      <c r="B21" s="79">
        <v>1942</v>
      </c>
      <c r="C21" s="135">
        <v>2.2948682374484164E-2</v>
      </c>
      <c r="D21" s="135">
        <v>0.19173762945914843</v>
      </c>
      <c r="E21" s="135">
        <f t="shared" si="0"/>
        <v>0.16878894708466427</v>
      </c>
    </row>
    <row r="22" spans="2:5" hidden="1" outlineLevel="1" x14ac:dyDescent="0.25">
      <c r="B22" s="79">
        <v>1943</v>
      </c>
      <c r="C22" s="135">
        <v>2.4899999999999999E-2</v>
      </c>
      <c r="D22" s="135">
        <v>0.25061310133060394</v>
      </c>
      <c r="E22" s="135">
        <f t="shared" si="0"/>
        <v>0.22571310133060393</v>
      </c>
    </row>
    <row r="23" spans="2:5" hidden="1" outlineLevel="1" x14ac:dyDescent="0.25">
      <c r="B23" s="79">
        <v>1944</v>
      </c>
      <c r="C23" s="135">
        <v>2.5776111579070303E-2</v>
      </c>
      <c r="D23" s="135">
        <v>0.19030676949443009</v>
      </c>
      <c r="E23" s="135">
        <f t="shared" si="0"/>
        <v>0.16453065791535978</v>
      </c>
    </row>
    <row r="24" spans="2:5" hidden="1" outlineLevel="1" x14ac:dyDescent="0.25">
      <c r="B24" s="79">
        <v>1945</v>
      </c>
      <c r="C24" s="135">
        <v>3.8044173419237229E-2</v>
      </c>
      <c r="D24" s="135">
        <v>0.35821084337349401</v>
      </c>
      <c r="E24" s="135">
        <f t="shared" si="0"/>
        <v>0.3201666699542568</v>
      </c>
    </row>
    <row r="25" spans="2:5" hidden="1" outlineLevel="1" x14ac:dyDescent="0.25">
      <c r="B25" s="79">
        <v>1946</v>
      </c>
      <c r="C25" s="135">
        <v>3.1283745375695685E-2</v>
      </c>
      <c r="D25" s="135">
        <v>-8.4291474654377807E-2</v>
      </c>
      <c r="E25" s="135">
        <f t="shared" si="0"/>
        <v>-0.11557522003007349</v>
      </c>
    </row>
    <row r="26" spans="2:5" hidden="1" outlineLevel="1" x14ac:dyDescent="0.25">
      <c r="B26" s="79">
        <v>1947</v>
      </c>
      <c r="C26" s="135">
        <v>9.1969680628322358E-3</v>
      </c>
      <c r="D26" s="135">
        <v>5.1999999999999998E-2</v>
      </c>
      <c r="E26" s="135">
        <f t="shared" si="0"/>
        <v>4.2803031937167765E-2</v>
      </c>
    </row>
    <row r="27" spans="2:5" hidden="1" outlineLevel="1" x14ac:dyDescent="0.25">
      <c r="B27" s="79">
        <v>1948</v>
      </c>
      <c r="C27" s="135">
        <v>1.9510369413175046E-2</v>
      </c>
      <c r="D27" s="135">
        <v>5.7045751633986834E-2</v>
      </c>
      <c r="E27" s="135">
        <f t="shared" si="0"/>
        <v>3.7535382220811792E-2</v>
      </c>
    </row>
    <row r="28" spans="2:5" hidden="1" outlineLevel="1" x14ac:dyDescent="0.25">
      <c r="B28" s="79">
        <v>1949</v>
      </c>
      <c r="C28" s="135">
        <v>4.6634851827973139E-2</v>
      </c>
      <c r="D28" s="135">
        <v>0.18303223684210526</v>
      </c>
      <c r="E28" s="135">
        <f t="shared" si="0"/>
        <v>0.13639738501413212</v>
      </c>
    </row>
    <row r="29" spans="2:5" hidden="1" outlineLevel="1" x14ac:dyDescent="0.25">
      <c r="B29" s="79">
        <v>1950</v>
      </c>
      <c r="C29" s="135">
        <v>4.2959574171096103E-3</v>
      </c>
      <c r="D29" s="135">
        <v>0.30805539011316263</v>
      </c>
      <c r="E29" s="135">
        <f t="shared" si="0"/>
        <v>0.30375943269605304</v>
      </c>
    </row>
    <row r="30" spans="2:5" hidden="1" outlineLevel="1" x14ac:dyDescent="0.25">
      <c r="B30" s="79">
        <v>1951</v>
      </c>
      <c r="C30" s="135">
        <v>-2.9531392208319886E-3</v>
      </c>
      <c r="D30" s="135">
        <v>0.23678463044542339</v>
      </c>
      <c r="E30" s="135">
        <f t="shared" si="0"/>
        <v>0.23973776966625537</v>
      </c>
    </row>
    <row r="31" spans="2:5" hidden="1" outlineLevel="1" x14ac:dyDescent="0.25">
      <c r="B31" s="79">
        <v>1952</v>
      </c>
      <c r="C31" s="135">
        <v>2.2679961918305656E-2</v>
      </c>
      <c r="D31" s="135">
        <v>0.18150988641144306</v>
      </c>
      <c r="E31" s="135">
        <f t="shared" si="0"/>
        <v>0.1588299244931374</v>
      </c>
    </row>
    <row r="32" spans="2:5" hidden="1" outlineLevel="1" x14ac:dyDescent="0.25">
      <c r="B32" s="79">
        <v>1953</v>
      </c>
      <c r="C32" s="135">
        <v>4.1438402589088513E-2</v>
      </c>
      <c r="D32" s="135">
        <v>-1.2082047421904465E-2</v>
      </c>
      <c r="E32" s="135">
        <f t="shared" si="0"/>
        <v>-5.3520450010992981E-2</v>
      </c>
    </row>
    <row r="33" spans="2:5" hidden="1" outlineLevel="1" x14ac:dyDescent="0.25">
      <c r="B33" s="79">
        <v>1954</v>
      </c>
      <c r="C33" s="135">
        <v>3.2898034558095555E-2</v>
      </c>
      <c r="D33" s="135">
        <v>0.52563321241434902</v>
      </c>
      <c r="E33" s="135">
        <f t="shared" si="0"/>
        <v>0.49273517785625348</v>
      </c>
    </row>
    <row r="34" spans="2:5" hidden="1" outlineLevel="1" x14ac:dyDescent="0.25">
      <c r="B34" s="79">
        <v>1955</v>
      </c>
      <c r="C34" s="135">
        <v>-1.3364391288618781E-2</v>
      </c>
      <c r="D34" s="135">
        <v>0.32597331851028349</v>
      </c>
      <c r="E34" s="135">
        <f t="shared" si="0"/>
        <v>0.33933770979890227</v>
      </c>
    </row>
    <row r="35" spans="2:5" hidden="1" outlineLevel="1" x14ac:dyDescent="0.25">
      <c r="B35" s="79">
        <v>1956</v>
      </c>
      <c r="C35" s="135">
        <v>-2.2557738173154165E-2</v>
      </c>
      <c r="D35" s="135">
        <v>7.4395118733509347E-2</v>
      </c>
      <c r="E35" s="135">
        <f t="shared" si="0"/>
        <v>9.6952856906663512E-2</v>
      </c>
    </row>
    <row r="36" spans="2:5" hidden="1" outlineLevel="1" x14ac:dyDescent="0.25">
      <c r="B36" s="79">
        <v>1957</v>
      </c>
      <c r="C36" s="135">
        <v>6.7970128466249904E-2</v>
      </c>
      <c r="D36" s="135">
        <v>-0.1045736018855796</v>
      </c>
      <c r="E36" s="135">
        <f t="shared" si="0"/>
        <v>-0.17254373035182952</v>
      </c>
    </row>
    <row r="37" spans="2:5" hidden="1" outlineLevel="1" x14ac:dyDescent="0.25">
      <c r="B37" s="79">
        <v>1958</v>
      </c>
      <c r="C37" s="135">
        <v>-2.0990181755274694E-2</v>
      </c>
      <c r="D37" s="135">
        <v>0.43719954988747184</v>
      </c>
      <c r="E37" s="135">
        <f t="shared" si="0"/>
        <v>0.45818973164274651</v>
      </c>
    </row>
    <row r="38" spans="2:5" hidden="1" outlineLevel="1" x14ac:dyDescent="0.25">
      <c r="B38" s="79">
        <v>1959</v>
      </c>
      <c r="C38" s="135">
        <v>-2.6466312591385065E-2</v>
      </c>
      <c r="D38" s="135">
        <v>0.12056457163557326</v>
      </c>
      <c r="E38" s="135">
        <f t="shared" si="0"/>
        <v>0.14703088422695831</v>
      </c>
    </row>
    <row r="39" spans="2:5" hidden="1" outlineLevel="1" x14ac:dyDescent="0.25">
      <c r="B39" s="79">
        <v>1960</v>
      </c>
      <c r="C39" s="135">
        <v>0.11639503690963365</v>
      </c>
      <c r="D39" s="135">
        <v>3.36535314743695E-3</v>
      </c>
      <c r="E39" s="135">
        <f t="shared" si="0"/>
        <v>-0.1130296837621967</v>
      </c>
    </row>
    <row r="40" spans="2:5" hidden="1" outlineLevel="1" x14ac:dyDescent="0.25">
      <c r="B40" s="79">
        <v>1961</v>
      </c>
      <c r="C40" s="135">
        <v>2.0609208076323167E-2</v>
      </c>
      <c r="D40" s="135">
        <v>0.26637712958182752</v>
      </c>
      <c r="E40" s="135">
        <f t="shared" si="0"/>
        <v>0.24576792150550436</v>
      </c>
    </row>
    <row r="41" spans="2:5" hidden="1" outlineLevel="1" x14ac:dyDescent="0.25">
      <c r="B41" s="79">
        <v>1962</v>
      </c>
      <c r="C41" s="135">
        <v>5.693544054008462E-2</v>
      </c>
      <c r="D41" s="135">
        <v>-8.8114605171208879E-2</v>
      </c>
      <c r="E41" s="135">
        <f t="shared" si="0"/>
        <v>-0.14505004571129348</v>
      </c>
    </row>
    <row r="42" spans="2:5" hidden="1" outlineLevel="1" x14ac:dyDescent="0.25">
      <c r="B42" s="79">
        <v>1963</v>
      </c>
      <c r="C42" s="135">
        <v>1.6841620739546127E-2</v>
      </c>
      <c r="D42" s="135">
        <v>0.22611927099841514</v>
      </c>
      <c r="E42" s="135">
        <f t="shared" si="0"/>
        <v>0.20927765025886902</v>
      </c>
    </row>
    <row r="43" spans="2:5" hidden="1" outlineLevel="1" x14ac:dyDescent="0.25">
      <c r="B43" s="79">
        <v>1964</v>
      </c>
      <c r="C43" s="135">
        <v>3.7280648911540815E-2</v>
      </c>
      <c r="D43" s="135">
        <v>0.16415455878432425</v>
      </c>
      <c r="E43" s="135">
        <f t="shared" si="0"/>
        <v>0.12687390987278344</v>
      </c>
    </row>
    <row r="44" spans="2:5" hidden="1" outlineLevel="1" x14ac:dyDescent="0.25">
      <c r="B44" s="79">
        <v>1965</v>
      </c>
      <c r="C44" s="135">
        <v>7.1885509359262342E-3</v>
      </c>
      <c r="D44" s="135">
        <v>0.12399242477876114</v>
      </c>
      <c r="E44" s="135">
        <f t="shared" si="0"/>
        <v>0.11680387384283492</v>
      </c>
    </row>
    <row r="45" spans="2:5" hidden="1" outlineLevel="1" x14ac:dyDescent="0.25">
      <c r="B45" s="79">
        <v>1966</v>
      </c>
      <c r="C45" s="135">
        <v>2.9079409324299622E-2</v>
      </c>
      <c r="D45" s="135">
        <v>-9.9709542356377898E-2</v>
      </c>
      <c r="E45" s="135">
        <f t="shared" si="0"/>
        <v>-0.12878895168067753</v>
      </c>
    </row>
    <row r="46" spans="2:5" hidden="1" outlineLevel="1" x14ac:dyDescent="0.25">
      <c r="B46" s="79">
        <v>1967</v>
      </c>
      <c r="C46" s="135">
        <v>-1.5806209932824666E-2</v>
      </c>
      <c r="D46" s="135">
        <v>0.23802966513133328</v>
      </c>
      <c r="E46" s="135">
        <f t="shared" si="0"/>
        <v>0.25383587506415795</v>
      </c>
    </row>
    <row r="47" spans="2:5" hidden="1" outlineLevel="1" x14ac:dyDescent="0.25">
      <c r="B47" s="79">
        <v>1968</v>
      </c>
      <c r="C47" s="135">
        <v>3.2746196950768365E-2</v>
      </c>
      <c r="D47" s="135">
        <v>0.10814862651601535</v>
      </c>
      <c r="E47" s="135">
        <f t="shared" si="0"/>
        <v>7.5402429565246981E-2</v>
      </c>
    </row>
    <row r="48" spans="2:5" hidden="1" outlineLevel="1" x14ac:dyDescent="0.25">
      <c r="B48" s="79">
        <v>1969</v>
      </c>
      <c r="C48" s="135">
        <v>-5.0140493209926106E-2</v>
      </c>
      <c r="D48" s="135">
        <v>-8.2413710764490639E-2</v>
      </c>
      <c r="E48" s="135">
        <f t="shared" si="0"/>
        <v>-3.2273217554564533E-2</v>
      </c>
    </row>
    <row r="49" spans="2:5" hidden="1" outlineLevel="1" x14ac:dyDescent="0.25">
      <c r="B49" s="79">
        <v>1970</v>
      </c>
      <c r="C49" s="135">
        <v>0.16754737183412338</v>
      </c>
      <c r="D49" s="135">
        <v>3.5611449054964189E-2</v>
      </c>
      <c r="E49" s="135">
        <f t="shared" si="0"/>
        <v>-0.13193592277915919</v>
      </c>
    </row>
    <row r="50" spans="2:5" hidden="1" outlineLevel="1" x14ac:dyDescent="0.25">
      <c r="B50" s="79">
        <v>1971</v>
      </c>
      <c r="C50" s="135">
        <v>9.7868966197122972E-2</v>
      </c>
      <c r="D50" s="135">
        <v>0.14221150298426474</v>
      </c>
      <c r="E50" s="135">
        <f t="shared" si="0"/>
        <v>4.434253678714177E-2</v>
      </c>
    </row>
    <row r="51" spans="2:5" hidden="1" outlineLevel="1" x14ac:dyDescent="0.25">
      <c r="B51" s="79">
        <v>1972</v>
      </c>
      <c r="C51" s="135">
        <v>2.818449050444969E-2</v>
      </c>
      <c r="D51" s="135">
        <v>0.18755362915074925</v>
      </c>
      <c r="E51" s="135">
        <f t="shared" si="0"/>
        <v>0.15936913864629956</v>
      </c>
    </row>
    <row r="52" spans="2:5" hidden="1" outlineLevel="1" x14ac:dyDescent="0.25">
      <c r="B52" s="79">
        <v>1973</v>
      </c>
      <c r="C52" s="135">
        <v>3.6586646024150085E-2</v>
      </c>
      <c r="D52" s="135">
        <v>-0.14308047437526472</v>
      </c>
      <c r="E52" s="135">
        <f t="shared" si="0"/>
        <v>-0.17966712039941479</v>
      </c>
    </row>
    <row r="53" spans="2:5" hidden="1" outlineLevel="1" x14ac:dyDescent="0.25">
      <c r="B53" s="79">
        <v>1974</v>
      </c>
      <c r="C53" s="135">
        <v>1.9886086932378574E-2</v>
      </c>
      <c r="D53" s="135">
        <v>-0.25901785750896972</v>
      </c>
      <c r="E53" s="135">
        <f t="shared" si="0"/>
        <v>-0.27890394444134831</v>
      </c>
    </row>
    <row r="54" spans="2:5" hidden="1" outlineLevel="1" x14ac:dyDescent="0.25">
      <c r="B54" s="79">
        <v>1975</v>
      </c>
      <c r="C54" s="135">
        <v>3.6052536026033838E-2</v>
      </c>
      <c r="D54" s="135">
        <v>0.36995137106184356</v>
      </c>
      <c r="E54" s="135">
        <f t="shared" si="0"/>
        <v>0.33389883503580975</v>
      </c>
    </row>
    <row r="55" spans="2:5" hidden="1" outlineLevel="1" x14ac:dyDescent="0.25">
      <c r="B55" s="79">
        <v>1976</v>
      </c>
      <c r="C55" s="135">
        <v>0.1598456074290921</v>
      </c>
      <c r="D55" s="135">
        <v>0.23830999002106662</v>
      </c>
      <c r="E55" s="135">
        <f t="shared" si="0"/>
        <v>7.8464382591974524E-2</v>
      </c>
    </row>
    <row r="56" spans="2:5" hidden="1" outlineLevel="1" x14ac:dyDescent="0.25">
      <c r="B56" s="79">
        <v>1977</v>
      </c>
      <c r="C56" s="135">
        <v>1.2899606071070449E-2</v>
      </c>
      <c r="D56" s="135">
        <v>-6.9797040759352322E-2</v>
      </c>
      <c r="E56" s="135">
        <f t="shared" si="0"/>
        <v>-8.2696646830422771E-2</v>
      </c>
    </row>
    <row r="57" spans="2:5" hidden="1" outlineLevel="1" x14ac:dyDescent="0.25">
      <c r="B57" s="79">
        <v>1978</v>
      </c>
      <c r="C57" s="135">
        <v>-7.7758069075086478E-3</v>
      </c>
      <c r="D57" s="135">
        <v>6.50928391167193E-2</v>
      </c>
      <c r="E57" s="135">
        <f t="shared" si="0"/>
        <v>7.2868646024227948E-2</v>
      </c>
    </row>
    <row r="58" spans="2:5" hidden="1" outlineLevel="1" x14ac:dyDescent="0.25">
      <c r="B58" s="79">
        <v>1979</v>
      </c>
      <c r="C58" s="135">
        <v>6.7072031247235459E-3</v>
      </c>
      <c r="D58" s="135">
        <v>0.18519490167516386</v>
      </c>
      <c r="E58" s="135">
        <f t="shared" si="0"/>
        <v>0.17848769855044033</v>
      </c>
    </row>
    <row r="59" spans="2:5" hidden="1" outlineLevel="1" x14ac:dyDescent="0.25">
      <c r="B59" s="79">
        <v>1980</v>
      </c>
      <c r="C59" s="135">
        <v>-2.989744251999403E-2</v>
      </c>
      <c r="D59" s="135">
        <v>0.3173524550676301</v>
      </c>
      <c r="E59" s="135">
        <f t="shared" si="0"/>
        <v>0.34724989758762415</v>
      </c>
    </row>
    <row r="60" spans="2:5" hidden="1" outlineLevel="1" x14ac:dyDescent="0.25">
      <c r="B60" s="79">
        <v>1981</v>
      </c>
      <c r="C60" s="135">
        <v>8.1992153358923542E-2</v>
      </c>
      <c r="D60" s="135">
        <v>-4.7023902474955762E-2</v>
      </c>
      <c r="E60" s="135">
        <f t="shared" si="0"/>
        <v>-0.12901605583387932</v>
      </c>
    </row>
    <row r="61" spans="2:5" hidden="1" outlineLevel="1" x14ac:dyDescent="0.25">
      <c r="B61" s="79">
        <v>1982</v>
      </c>
      <c r="C61" s="135">
        <v>0.32814549486295586</v>
      </c>
      <c r="D61" s="135">
        <v>0.20419055079559353</v>
      </c>
      <c r="E61" s="135">
        <f t="shared" si="0"/>
        <v>-0.12395494406736232</v>
      </c>
    </row>
    <row r="62" spans="2:5" hidden="1" outlineLevel="1" x14ac:dyDescent="0.25">
      <c r="B62" s="79">
        <v>1983</v>
      </c>
      <c r="C62" s="135">
        <v>3.2002094451429264E-2</v>
      </c>
      <c r="D62" s="135">
        <v>0.22337155858930619</v>
      </c>
      <c r="E62" s="135">
        <f t="shared" si="0"/>
        <v>0.19136946413787692</v>
      </c>
    </row>
    <row r="63" spans="2:5" hidden="1" outlineLevel="1" x14ac:dyDescent="0.25">
      <c r="B63" s="79">
        <v>1984</v>
      </c>
      <c r="C63" s="135">
        <v>0.13733364344102345</v>
      </c>
      <c r="D63" s="135">
        <v>6.14614199963621E-2</v>
      </c>
      <c r="E63" s="135">
        <f t="shared" si="0"/>
        <v>-7.5872223444661352E-2</v>
      </c>
    </row>
    <row r="64" spans="2:5" hidden="1" outlineLevel="1" x14ac:dyDescent="0.25">
      <c r="B64" s="79">
        <v>1985</v>
      </c>
      <c r="C64" s="135">
        <v>0.2571248821260641</v>
      </c>
      <c r="D64" s="135">
        <v>0.31235149485768948</v>
      </c>
      <c r="E64" s="135">
        <f t="shared" si="0"/>
        <v>5.522661273162538E-2</v>
      </c>
    </row>
    <row r="65" spans="2:5" hidden="1" outlineLevel="1" x14ac:dyDescent="0.25">
      <c r="B65" s="79">
        <v>1986</v>
      </c>
      <c r="C65" s="135">
        <v>0.24284215141767618</v>
      </c>
      <c r="D65" s="135">
        <v>0.18494578758046187</v>
      </c>
      <c r="E65" s="135">
        <f t="shared" si="0"/>
        <v>-5.7896363837214304E-2</v>
      </c>
    </row>
    <row r="66" spans="2:5" hidden="1" outlineLevel="1" x14ac:dyDescent="0.25">
      <c r="B66" s="79">
        <v>1987</v>
      </c>
      <c r="C66" s="135">
        <v>-4.9605089379262279E-2</v>
      </c>
      <c r="D66" s="135">
        <v>5.8127216418218712E-2</v>
      </c>
      <c r="E66" s="135">
        <f t="shared" si="0"/>
        <v>0.107732305797481</v>
      </c>
    </row>
    <row r="67" spans="2:5" hidden="1" outlineLevel="1" x14ac:dyDescent="0.25">
      <c r="B67" s="79">
        <v>1988</v>
      </c>
      <c r="C67" s="135">
        <v>8.2235958434841674E-2</v>
      </c>
      <c r="D67" s="135">
        <v>0.16537192812044688</v>
      </c>
      <c r="E67" s="135">
        <f t="shared" si="0"/>
        <v>8.3135969685605202E-2</v>
      </c>
    </row>
    <row r="68" spans="2:5" hidden="1" outlineLevel="1" x14ac:dyDescent="0.25">
      <c r="B68" s="79">
        <v>1989</v>
      </c>
      <c r="C68" s="135">
        <v>0.17693647159446219</v>
      </c>
      <c r="D68" s="135">
        <v>0.31475183638196724</v>
      </c>
      <c r="E68" s="135">
        <f t="shared" si="0"/>
        <v>0.13781536478750506</v>
      </c>
    </row>
    <row r="69" spans="2:5" hidden="1" outlineLevel="1" x14ac:dyDescent="0.25">
      <c r="B69" s="79">
        <v>1990</v>
      </c>
      <c r="C69" s="135">
        <v>6.2353753335533363E-2</v>
      </c>
      <c r="D69" s="135">
        <v>-3.0644516129032118E-2</v>
      </c>
      <c r="E69" s="135">
        <f t="shared" si="0"/>
        <v>-9.2998269464565478E-2</v>
      </c>
    </row>
    <row r="70" spans="2:5" hidden="1" outlineLevel="1" x14ac:dyDescent="0.25">
      <c r="B70" s="79">
        <v>1991</v>
      </c>
      <c r="C70" s="135">
        <v>0.15004510019517303</v>
      </c>
      <c r="D70" s="135">
        <v>0.30234843134879757</v>
      </c>
      <c r="E70" s="135">
        <f t="shared" si="0"/>
        <v>0.15230333115362454</v>
      </c>
    </row>
    <row r="71" spans="2:5" hidden="1" outlineLevel="1" x14ac:dyDescent="0.25">
      <c r="B71" s="79">
        <v>1992</v>
      </c>
      <c r="C71" s="135">
        <v>9.3616373162079422E-2</v>
      </c>
      <c r="D71" s="135">
        <v>7.493727972380064E-2</v>
      </c>
      <c r="E71" s="135">
        <f t="shared" si="0"/>
        <v>-1.8679093438278782E-2</v>
      </c>
    </row>
    <row r="72" spans="2:5" hidden="1" outlineLevel="1" x14ac:dyDescent="0.25">
      <c r="B72" s="79">
        <v>1993</v>
      </c>
      <c r="C72" s="135">
        <v>0.14210957589263107</v>
      </c>
      <c r="D72" s="135">
        <v>9.96705147919488E-2</v>
      </c>
      <c r="E72" s="135">
        <f t="shared" ref="E72:E103" si="1">+D72-C72</f>
        <v>-4.2439061100682268E-2</v>
      </c>
    </row>
    <row r="73" spans="2:5" hidden="1" outlineLevel="1" x14ac:dyDescent="0.25">
      <c r="B73" s="79">
        <v>1994</v>
      </c>
      <c r="C73" s="135">
        <v>-8.0366555509985921E-2</v>
      </c>
      <c r="D73" s="135">
        <v>1.3259206774573897E-2</v>
      </c>
      <c r="E73" s="135">
        <f t="shared" si="1"/>
        <v>9.3625762284559821E-2</v>
      </c>
    </row>
    <row r="74" spans="2:5" hidden="1" outlineLevel="1" x14ac:dyDescent="0.25">
      <c r="B74" s="79">
        <v>1995</v>
      </c>
      <c r="C74" s="135">
        <v>0.23480780112538907</v>
      </c>
      <c r="D74" s="135">
        <v>0.37195198902606308</v>
      </c>
      <c r="E74" s="135">
        <f t="shared" si="1"/>
        <v>0.13714418790067401</v>
      </c>
    </row>
    <row r="75" spans="2:5" hidden="1" outlineLevel="1" x14ac:dyDescent="0.25">
      <c r="B75" s="79">
        <v>1996</v>
      </c>
      <c r="C75" s="135">
        <v>1.428607793401844E-2</v>
      </c>
      <c r="D75" s="135">
        <v>0.22680966018865789</v>
      </c>
      <c r="E75" s="135">
        <f t="shared" si="1"/>
        <v>0.21252358225463946</v>
      </c>
    </row>
    <row r="76" spans="2:5" hidden="1" outlineLevel="1" x14ac:dyDescent="0.25">
      <c r="B76" s="79">
        <v>1997</v>
      </c>
      <c r="C76" s="135">
        <v>9.939130272977531E-2</v>
      </c>
      <c r="D76" s="135">
        <v>0.33103653103653097</v>
      </c>
      <c r="E76" s="135">
        <f t="shared" si="1"/>
        <v>0.23164522830675566</v>
      </c>
    </row>
    <row r="77" spans="2:5" hidden="1" outlineLevel="1" x14ac:dyDescent="0.25">
      <c r="B77" s="79">
        <v>1998</v>
      </c>
      <c r="C77" s="135">
        <v>0.14921431922606215</v>
      </c>
      <c r="D77" s="135">
        <v>0.28337953278443584</v>
      </c>
      <c r="E77" s="135">
        <f t="shared" si="1"/>
        <v>0.13416521355837369</v>
      </c>
    </row>
    <row r="78" spans="2:5" hidden="1" outlineLevel="1" x14ac:dyDescent="0.25">
      <c r="B78" s="79">
        <v>1999</v>
      </c>
      <c r="C78" s="135">
        <v>-8.2542147962685761E-2</v>
      </c>
      <c r="D78" s="135">
        <v>0.20885350992084475</v>
      </c>
      <c r="E78" s="135">
        <f t="shared" si="1"/>
        <v>0.2913956578835305</v>
      </c>
    </row>
    <row r="79" spans="2:5" hidden="1" outlineLevel="1" x14ac:dyDescent="0.25">
      <c r="B79" s="79">
        <v>2000</v>
      </c>
      <c r="C79" s="135">
        <v>0.16655267125397488</v>
      </c>
      <c r="D79" s="135">
        <v>-9.0318189552492781E-2</v>
      </c>
      <c r="E79" s="135">
        <f t="shared" si="1"/>
        <v>-0.25687086080646765</v>
      </c>
    </row>
    <row r="80" spans="2:5" hidden="1" outlineLevel="1" x14ac:dyDescent="0.25">
      <c r="B80" s="79">
        <v>2001</v>
      </c>
      <c r="C80" s="135">
        <v>5.5721811892492555E-2</v>
      </c>
      <c r="D80" s="135">
        <v>-0.11849759142000185</v>
      </c>
      <c r="E80" s="135">
        <f t="shared" si="1"/>
        <v>-0.17421940331249441</v>
      </c>
    </row>
    <row r="81" spans="2:5" hidden="1" outlineLevel="1" x14ac:dyDescent="0.25">
      <c r="B81" s="79">
        <v>2002</v>
      </c>
      <c r="C81" s="135">
        <v>0.15116400378109285</v>
      </c>
      <c r="D81" s="135">
        <v>-0.21966047957912699</v>
      </c>
      <c r="E81" s="135">
        <f t="shared" si="1"/>
        <v>-0.37082448336021984</v>
      </c>
    </row>
    <row r="82" spans="2:5" hidden="1" outlineLevel="1" x14ac:dyDescent="0.25">
      <c r="B82" s="79">
        <v>2003</v>
      </c>
      <c r="C82" s="135">
        <v>3.7531858817758529E-3</v>
      </c>
      <c r="D82" s="135">
        <v>0.28355800050010233</v>
      </c>
      <c r="E82" s="135">
        <f t="shared" si="1"/>
        <v>0.27980481461832646</v>
      </c>
    </row>
    <row r="83" spans="2:5" hidden="1" outlineLevel="1" x14ac:dyDescent="0.25">
      <c r="B83" s="79">
        <v>2004</v>
      </c>
      <c r="C83" s="135">
        <v>4.490683702274547E-2</v>
      </c>
      <c r="D83" s="135">
        <v>0.10742775944096193</v>
      </c>
      <c r="E83" s="135">
        <f t="shared" si="1"/>
        <v>6.2520922418216468E-2</v>
      </c>
    </row>
    <row r="84" spans="2:5" hidden="1" outlineLevel="1" x14ac:dyDescent="0.25">
      <c r="B84" s="79">
        <v>2005</v>
      </c>
      <c r="C84" s="135">
        <v>2.8675329597779506E-2</v>
      </c>
      <c r="D84" s="135">
        <v>4.8344775232688535E-2</v>
      </c>
      <c r="E84" s="135">
        <f t="shared" si="1"/>
        <v>1.9669445634909029E-2</v>
      </c>
    </row>
    <row r="85" spans="2:5" hidden="1" outlineLevel="1" x14ac:dyDescent="0.25">
      <c r="B85" s="79">
        <v>2006</v>
      </c>
      <c r="C85" s="135">
        <v>1.9610012417568386E-2</v>
      </c>
      <c r="D85" s="135">
        <v>0.15612557979315703</v>
      </c>
      <c r="E85" s="135">
        <f t="shared" si="1"/>
        <v>0.13651556737558865</v>
      </c>
    </row>
    <row r="86" spans="2:5" hidden="1" outlineLevel="1" x14ac:dyDescent="0.25">
      <c r="B86" s="79">
        <v>2007</v>
      </c>
      <c r="C86" s="135">
        <v>0.10209921930012807</v>
      </c>
      <c r="D86" s="135">
        <v>5.4847352464217694E-2</v>
      </c>
      <c r="E86" s="135">
        <f t="shared" si="1"/>
        <v>-4.7251866835910372E-2</v>
      </c>
    </row>
    <row r="87" spans="2:5" hidden="1" outlineLevel="1" x14ac:dyDescent="0.25">
      <c r="B87" s="79">
        <v>2008</v>
      </c>
      <c r="C87" s="135">
        <v>0.20101279926977011</v>
      </c>
      <c r="D87" s="135">
        <v>-0.36552344111798191</v>
      </c>
      <c r="E87" s="135">
        <f t="shared" si="1"/>
        <v>-0.56653624038775208</v>
      </c>
    </row>
    <row r="88" spans="2:5" hidden="1" outlineLevel="1" x14ac:dyDescent="0.25">
      <c r="B88" s="79">
        <v>2009</v>
      </c>
      <c r="C88" s="135">
        <v>-0.11116695313259162</v>
      </c>
      <c r="D88" s="135">
        <v>0.25935233877663982</v>
      </c>
      <c r="E88" s="135">
        <f t="shared" si="1"/>
        <v>0.37051929190923144</v>
      </c>
    </row>
    <row r="89" spans="2:5" hidden="1" outlineLevel="1" x14ac:dyDescent="0.25">
      <c r="B89" s="79">
        <v>2010</v>
      </c>
      <c r="C89" s="135">
        <v>8.4629338803557719E-2</v>
      </c>
      <c r="D89" s="135">
        <v>0.14821092278719414</v>
      </c>
      <c r="E89" s="135">
        <f t="shared" si="1"/>
        <v>6.3581583983636419E-2</v>
      </c>
    </row>
    <row r="90" spans="2:5" hidden="1" outlineLevel="1" x14ac:dyDescent="0.25">
      <c r="B90" s="79">
        <v>2011</v>
      </c>
      <c r="C90" s="135">
        <v>0.16035334999461354</v>
      </c>
      <c r="D90" s="135">
        <v>2.09837473362805E-2</v>
      </c>
      <c r="E90" s="135">
        <f t="shared" si="1"/>
        <v>-0.13936960265833304</v>
      </c>
    </row>
    <row r="91" spans="2:5" hidden="1" outlineLevel="1" x14ac:dyDescent="0.25">
      <c r="B91" s="79">
        <v>2012</v>
      </c>
      <c r="C91" s="135">
        <v>2.971571978018946E-2</v>
      </c>
      <c r="D91" s="135">
        <v>0.15890585241730293</v>
      </c>
      <c r="E91" s="135">
        <f t="shared" si="1"/>
        <v>0.12919013263711346</v>
      </c>
    </row>
    <row r="92" spans="2:5" hidden="1" outlineLevel="1" x14ac:dyDescent="0.25">
      <c r="B92" s="79">
        <v>2013</v>
      </c>
      <c r="C92" s="135">
        <v>-9.104568794347262E-2</v>
      </c>
      <c r="D92" s="135">
        <v>0.32145085858125483</v>
      </c>
      <c r="E92" s="135">
        <f t="shared" si="1"/>
        <v>0.41249654652472745</v>
      </c>
    </row>
    <row r="93" spans="2:5" hidden="1" outlineLevel="1" x14ac:dyDescent="0.25">
      <c r="B93" s="79">
        <v>2014</v>
      </c>
      <c r="C93" s="135">
        <v>0.10746180452004755</v>
      </c>
      <c r="D93" s="135">
        <v>0.13524421649462237</v>
      </c>
      <c r="E93" s="135">
        <f t="shared" si="1"/>
        <v>2.7782411974574817E-2</v>
      </c>
    </row>
    <row r="94" spans="2:5" hidden="1" outlineLevel="1" x14ac:dyDescent="0.25">
      <c r="B94" s="79">
        <v>2015</v>
      </c>
      <c r="C94" s="135">
        <v>1.2842996709792224E-2</v>
      </c>
      <c r="D94" s="135">
        <v>1.3788916411676138E-2</v>
      </c>
      <c r="E94" s="135">
        <f t="shared" si="1"/>
        <v>9.4591970188391376E-4</v>
      </c>
    </row>
    <row r="95" spans="2:5" hidden="1" outlineLevel="1" x14ac:dyDescent="0.25">
      <c r="B95" s="79">
        <v>2016</v>
      </c>
      <c r="C95" s="135">
        <v>6.9055046987477921E-3</v>
      </c>
      <c r="D95" s="135">
        <v>0.11773080874798171</v>
      </c>
      <c r="E95" s="135">
        <f t="shared" si="1"/>
        <v>0.11082530404923392</v>
      </c>
    </row>
    <row r="96" spans="2:5" hidden="1" outlineLevel="1" x14ac:dyDescent="0.25">
      <c r="B96" s="79">
        <v>2017</v>
      </c>
      <c r="C96" s="135">
        <v>2.8017162707789457E-2</v>
      </c>
      <c r="D96" s="135">
        <v>0.2160548143449928</v>
      </c>
      <c r="E96" s="135">
        <f t="shared" si="1"/>
        <v>0.18803765163720335</v>
      </c>
    </row>
    <row r="97" spans="2:5" hidden="1" outlineLevel="1" x14ac:dyDescent="0.25">
      <c r="B97" s="79">
        <v>2018</v>
      </c>
      <c r="C97" s="135">
        <v>-1.6692385713402633E-4</v>
      </c>
      <c r="D97" s="135">
        <v>-4.2268692890885438E-2</v>
      </c>
      <c r="E97" s="135">
        <f t="shared" si="1"/>
        <v>-4.2101769033751416E-2</v>
      </c>
    </row>
    <row r="98" spans="2:5" hidden="1" outlineLevel="1" x14ac:dyDescent="0.25">
      <c r="B98" s="79">
        <v>2019</v>
      </c>
      <c r="C98" s="135">
        <v>9.6356307415483927E-2</v>
      </c>
      <c r="D98" s="135">
        <v>0.31211679996808755</v>
      </c>
      <c r="E98" s="135">
        <f t="shared" si="1"/>
        <v>0.21576049255260363</v>
      </c>
    </row>
    <row r="99" spans="2:5" hidden="1" outlineLevel="1" x14ac:dyDescent="0.25">
      <c r="B99" s="79">
        <v>2020</v>
      </c>
      <c r="C99" s="135">
        <v>0.1133189764661412</v>
      </c>
      <c r="D99" s="135">
        <v>0.18023201827422478</v>
      </c>
      <c r="E99" s="135">
        <f t="shared" si="1"/>
        <v>6.6913041808083579E-2</v>
      </c>
    </row>
    <row r="100" spans="2:5" hidden="1" outlineLevel="1" x14ac:dyDescent="0.25">
      <c r="B100" s="79">
        <v>2021</v>
      </c>
      <c r="C100" s="135">
        <v>-4.416034448604475E-2</v>
      </c>
      <c r="D100" s="135">
        <v>0.28468851751964158</v>
      </c>
      <c r="E100" s="135">
        <f t="shared" si="1"/>
        <v>0.3288488620056863</v>
      </c>
    </row>
    <row r="101" spans="2:5" hidden="1" outlineLevel="1" x14ac:dyDescent="0.25">
      <c r="B101" s="79">
        <v>2022</v>
      </c>
      <c r="C101" s="135">
        <v>-0.1782817153825067</v>
      </c>
      <c r="D101" s="135">
        <v>-0.18037505927178585</v>
      </c>
      <c r="E101" s="135">
        <f t="shared" si="1"/>
        <v>-2.0933438892791478E-3</v>
      </c>
    </row>
    <row r="102" spans="2:5" hidden="1" outlineLevel="1" x14ac:dyDescent="0.25">
      <c r="B102" s="79">
        <v>2023</v>
      </c>
      <c r="C102" s="135">
        <v>3.8800000000000001E-2</v>
      </c>
      <c r="D102" s="135">
        <v>0.26060684985024096</v>
      </c>
      <c r="E102" s="135">
        <f t="shared" si="1"/>
        <v>0.22180684985024096</v>
      </c>
    </row>
    <row r="103" spans="2:5" hidden="1" outlineLevel="1" x14ac:dyDescent="0.25">
      <c r="B103" s="79">
        <v>2024</v>
      </c>
      <c r="C103" s="135">
        <v>-1.6371801436629807E-2</v>
      </c>
      <c r="D103" s="135">
        <v>0.24878611262526726</v>
      </c>
      <c r="E103" s="135">
        <f t="shared" si="1"/>
        <v>0.26515791406189704</v>
      </c>
    </row>
    <row r="104" spans="2:5" collapsed="1" x14ac:dyDescent="0.25">
      <c r="B104" s="54" t="s">
        <v>511</v>
      </c>
      <c r="C104" s="136">
        <f>AVERAGE(C7:C103)</f>
        <v>4.7917109451754321E-2</v>
      </c>
      <c r="D104" s="136">
        <f>AVERAGE(D7:D103)</f>
        <v>0.11794145831193953</v>
      </c>
      <c r="E104" s="136">
        <f>AVERAGE(E7:E103)</f>
        <v>7.0024348860185173E-2</v>
      </c>
    </row>
    <row r="105" spans="2:5" x14ac:dyDescent="0.25">
      <c r="B105" s="137" t="s">
        <v>512</v>
      </c>
      <c r="C105" s="67"/>
      <c r="D105" s="67"/>
      <c r="E105" s="138"/>
    </row>
    <row r="106" spans="2:5" x14ac:dyDescent="0.25">
      <c r="B106" s="67"/>
      <c r="C106" s="67"/>
      <c r="D106" s="67"/>
      <c r="E106" s="138"/>
    </row>
    <row r="107" spans="2:5" x14ac:dyDescent="0.25">
      <c r="B107" s="133" t="s">
        <v>513</v>
      </c>
      <c r="C107" s="67"/>
      <c r="D107" s="67"/>
      <c r="E107" s="138"/>
    </row>
    <row r="108" spans="2:5" x14ac:dyDescent="0.25">
      <c r="B108" s="139" t="s">
        <v>514</v>
      </c>
      <c r="C108" s="139" t="s">
        <v>515</v>
      </c>
      <c r="D108" s="138"/>
      <c r="E108" s="138"/>
    </row>
    <row r="109" spans="2:5" hidden="1" outlineLevel="1" x14ac:dyDescent="0.25">
      <c r="B109" s="140">
        <v>44927</v>
      </c>
      <c r="C109" s="141">
        <v>207.04545454545499</v>
      </c>
      <c r="D109" s="138"/>
      <c r="E109" s="138"/>
    </row>
    <row r="110" spans="2:5" hidden="1" outlineLevel="1" x14ac:dyDescent="0.25">
      <c r="B110" s="140">
        <v>44958</v>
      </c>
      <c r="C110" s="141">
        <v>192.3</v>
      </c>
      <c r="D110" s="138"/>
      <c r="E110" s="138"/>
    </row>
    <row r="111" spans="2:5" hidden="1" outlineLevel="1" x14ac:dyDescent="0.25">
      <c r="B111" s="140">
        <v>44986</v>
      </c>
      <c r="C111" s="141">
        <v>203.826086956522</v>
      </c>
      <c r="D111" s="138"/>
      <c r="E111" s="138"/>
    </row>
    <row r="112" spans="2:5" hidden="1" outlineLevel="1" x14ac:dyDescent="0.25">
      <c r="B112" s="140">
        <v>45017</v>
      </c>
      <c r="C112" s="141">
        <v>201.9</v>
      </c>
      <c r="D112" s="138"/>
      <c r="E112" s="138"/>
    </row>
    <row r="113" spans="2:5" hidden="1" outlineLevel="1" x14ac:dyDescent="0.25">
      <c r="B113" s="140">
        <v>45047</v>
      </c>
      <c r="C113" s="141">
        <v>197.39130434782601</v>
      </c>
      <c r="D113" s="138"/>
      <c r="E113" s="138"/>
    </row>
    <row r="114" spans="2:5" hidden="1" outlineLevel="1" x14ac:dyDescent="0.25">
      <c r="B114" s="140">
        <v>45078</v>
      </c>
      <c r="C114" s="141">
        <v>181.09090909090901</v>
      </c>
      <c r="D114" s="138"/>
      <c r="E114" s="138"/>
    </row>
    <row r="115" spans="2:5" hidden="1" outlineLevel="1" x14ac:dyDescent="0.25">
      <c r="B115" s="140">
        <v>45108</v>
      </c>
      <c r="C115" s="141">
        <v>168.90476190476201</v>
      </c>
      <c r="D115" s="138"/>
      <c r="E115" s="138"/>
    </row>
    <row r="116" spans="2:5" hidden="1" outlineLevel="1" x14ac:dyDescent="0.25">
      <c r="B116" s="140">
        <v>45139</v>
      </c>
      <c r="C116" s="141">
        <v>167.227272727273</v>
      </c>
      <c r="D116" s="138"/>
      <c r="E116" s="138"/>
    </row>
    <row r="117" spans="2:5" hidden="1" outlineLevel="1" x14ac:dyDescent="0.25">
      <c r="B117" s="140">
        <v>45170</v>
      </c>
      <c r="C117" s="141">
        <v>169.09523809523799</v>
      </c>
      <c r="D117" s="138"/>
      <c r="E117" s="138"/>
    </row>
    <row r="118" spans="2:5" hidden="1" outlineLevel="1" x14ac:dyDescent="0.25">
      <c r="B118" s="140">
        <v>45200</v>
      </c>
      <c r="C118" s="141">
        <v>179.95454545454501</v>
      </c>
      <c r="D118" s="138"/>
      <c r="E118" s="138"/>
    </row>
    <row r="119" spans="2:5" hidden="1" outlineLevel="1" x14ac:dyDescent="0.25">
      <c r="B119" s="140">
        <v>45231</v>
      </c>
      <c r="C119" s="141">
        <v>175.18181818181799</v>
      </c>
      <c r="D119" s="138"/>
      <c r="E119" s="138"/>
    </row>
    <row r="120" spans="2:5" hidden="1" outlineLevel="1" x14ac:dyDescent="0.25">
      <c r="B120" s="140">
        <v>45261</v>
      </c>
      <c r="C120" s="141">
        <v>162.42857142857099</v>
      </c>
      <c r="D120" s="138"/>
      <c r="E120" s="138"/>
    </row>
    <row r="121" spans="2:5" hidden="1" outlineLevel="1" x14ac:dyDescent="0.25">
      <c r="B121" s="140">
        <v>45292</v>
      </c>
      <c r="C121" s="141">
        <v>170.434782608696</v>
      </c>
      <c r="D121" s="138"/>
      <c r="E121" s="138"/>
    </row>
    <row r="122" spans="2:5" hidden="1" outlineLevel="1" x14ac:dyDescent="0.25">
      <c r="B122" s="140">
        <v>45323</v>
      </c>
      <c r="C122" s="141">
        <v>160.28571428571399</v>
      </c>
      <c r="D122" s="138"/>
      <c r="E122" s="138"/>
    </row>
    <row r="123" spans="2:5" hidden="1" outlineLevel="1" x14ac:dyDescent="0.25">
      <c r="B123" s="140">
        <v>45352</v>
      </c>
      <c r="C123" s="141">
        <v>152.666666666667</v>
      </c>
      <c r="D123" s="138"/>
      <c r="E123" s="138"/>
    </row>
    <row r="124" spans="2:5" hidden="1" outlineLevel="1" x14ac:dyDescent="0.25">
      <c r="B124" s="140">
        <v>45383</v>
      </c>
      <c r="C124" s="141">
        <v>153.772727272727</v>
      </c>
      <c r="D124" s="138"/>
      <c r="E124" s="138"/>
    </row>
    <row r="125" spans="2:5" hidden="1" outlineLevel="1" x14ac:dyDescent="0.25">
      <c r="B125" s="140">
        <v>45413</v>
      </c>
      <c r="C125" s="141">
        <v>155.826086956522</v>
      </c>
      <c r="D125" s="138"/>
      <c r="E125" s="138"/>
    </row>
    <row r="126" spans="2:5" hidden="1" outlineLevel="1" x14ac:dyDescent="0.25">
      <c r="B126" s="140">
        <v>45444</v>
      </c>
      <c r="C126" s="141">
        <v>160.9</v>
      </c>
      <c r="D126" s="138"/>
      <c r="E126" s="138"/>
    </row>
    <row r="127" spans="2:5" hidden="1" outlineLevel="1" x14ac:dyDescent="0.25">
      <c r="B127" s="140">
        <v>45474</v>
      </c>
      <c r="C127" s="141">
        <v>158.695652173913</v>
      </c>
      <c r="D127" s="138"/>
      <c r="E127" s="138"/>
    </row>
    <row r="128" spans="2:5" hidden="1" outlineLevel="1" x14ac:dyDescent="0.25">
      <c r="B128" s="140">
        <v>45505</v>
      </c>
      <c r="C128" s="141">
        <v>169.5</v>
      </c>
      <c r="D128" s="138"/>
      <c r="E128" s="138"/>
    </row>
    <row r="129" spans="2:18" hidden="1" outlineLevel="1" x14ac:dyDescent="0.25">
      <c r="B129" s="140">
        <v>45536</v>
      </c>
      <c r="C129" s="141">
        <v>162.57894736842101</v>
      </c>
      <c r="D129" s="138"/>
      <c r="E129" s="138"/>
    </row>
    <row r="130" spans="2:18" hidden="1" outlineLevel="1" x14ac:dyDescent="0.25">
      <c r="B130" s="140">
        <v>45566</v>
      </c>
      <c r="C130" s="141">
        <v>153.68</v>
      </c>
      <c r="D130" s="138"/>
      <c r="E130" s="138"/>
    </row>
    <row r="131" spans="2:18" hidden="1" outlineLevel="1" x14ac:dyDescent="0.25">
      <c r="B131" s="140">
        <v>45597</v>
      </c>
      <c r="C131" s="141">
        <v>155.26315789473699</v>
      </c>
      <c r="D131" s="138"/>
      <c r="E131" s="138"/>
    </row>
    <row r="132" spans="2:18" hidden="1" outlineLevel="1" x14ac:dyDescent="0.25">
      <c r="B132" s="140">
        <v>45627</v>
      </c>
      <c r="C132" s="141">
        <v>154.38095238095201</v>
      </c>
      <c r="D132" s="138"/>
      <c r="E132" s="138"/>
    </row>
    <row r="133" spans="2:18" collapsed="1" x14ac:dyDescent="0.25">
      <c r="B133" s="54" t="s">
        <v>516</v>
      </c>
      <c r="C133" s="142">
        <f>AVERAGE(C109:C132)</f>
        <v>171.43044376421949</v>
      </c>
      <c r="D133" s="138"/>
      <c r="E133" s="138"/>
    </row>
    <row r="134" spans="2:18" x14ac:dyDescent="0.25">
      <c r="B134" s="137" t="s">
        <v>517</v>
      </c>
      <c r="C134" s="138"/>
      <c r="D134" s="138"/>
      <c r="E134" s="138"/>
    </row>
    <row r="135" spans="2:18" x14ac:dyDescent="0.25">
      <c r="B135" s="132"/>
      <c r="K135" s="138"/>
      <c r="L135" s="138"/>
      <c r="M135" s="138"/>
      <c r="N135" s="138"/>
      <c r="O135" s="138"/>
      <c r="P135" s="138"/>
      <c r="Q135" s="138"/>
      <c r="R135" s="138"/>
    </row>
    <row r="137" spans="2:18" x14ac:dyDescent="0.25">
      <c r="B137" s="133" t="s">
        <v>631</v>
      </c>
    </row>
    <row r="138" spans="2:18" x14ac:dyDescent="0.25">
      <c r="B138" s="139" t="s">
        <v>343</v>
      </c>
      <c r="C138" s="285">
        <v>2024</v>
      </c>
      <c r="D138" s="286">
        <v>2025</v>
      </c>
      <c r="E138" s="139">
        <v>2026</v>
      </c>
      <c r="F138" s="139">
        <v>2027</v>
      </c>
      <c r="G138" s="139">
        <v>2028</v>
      </c>
      <c r="H138" s="139">
        <v>2029</v>
      </c>
      <c r="I138" s="139" t="s">
        <v>632</v>
      </c>
    </row>
    <row r="139" spans="2:18" x14ac:dyDescent="0.25">
      <c r="B139" s="287" t="s">
        <v>633</v>
      </c>
      <c r="C139" s="288">
        <v>313.68883333333332</v>
      </c>
      <c r="D139" s="289">
        <v>319.61599999999999</v>
      </c>
      <c r="E139" s="290">
        <v>326.17599999999999</v>
      </c>
      <c r="F139" s="290">
        <v>333.04</v>
      </c>
      <c r="G139" s="290">
        <v>340.11099999999999</v>
      </c>
      <c r="H139" s="290">
        <v>347.399</v>
      </c>
      <c r="I139" s="290"/>
    </row>
    <row r="140" spans="2:18" x14ac:dyDescent="0.25">
      <c r="B140" s="291" t="s">
        <v>634</v>
      </c>
      <c r="C140" s="292"/>
      <c r="D140" s="293">
        <f>+D139/C139-1</f>
        <v>1.8895051518675876E-2</v>
      </c>
      <c r="E140" s="294">
        <f>+E139/D139-1</f>
        <v>2.0524629555466634E-2</v>
      </c>
      <c r="F140" s="294">
        <f t="shared" ref="F140:H140" si="2">+F139/E139-1</f>
        <v>2.1043853625036801E-2</v>
      </c>
      <c r="G140" s="294">
        <f t="shared" si="2"/>
        <v>2.1231683881815844E-2</v>
      </c>
      <c r="H140" s="294">
        <f t="shared" si="2"/>
        <v>2.1428298408460833E-2</v>
      </c>
      <c r="I140" s="294">
        <f>+H140</f>
        <v>2.1428298408460833E-2</v>
      </c>
    </row>
    <row r="141" spans="2:18" ht="25.2" customHeight="1" x14ac:dyDescent="0.25">
      <c r="B141" s="338" t="s">
        <v>635</v>
      </c>
      <c r="C141" s="338"/>
      <c r="D141" s="338"/>
      <c r="E141" s="338"/>
      <c r="F141" s="338"/>
      <c r="G141" s="338"/>
      <c r="H141" s="338"/>
      <c r="I141" s="338"/>
      <c r="J141" s="338"/>
      <c r="K141" s="338"/>
    </row>
    <row r="142" spans="2:18" x14ac:dyDescent="0.25">
      <c r="B142" s="137" t="s">
        <v>636</v>
      </c>
    </row>
    <row r="145" spans="2:11" x14ac:dyDescent="0.25">
      <c r="B145" s="133" t="s">
        <v>645</v>
      </c>
    </row>
    <row r="146" spans="2:11" x14ac:dyDescent="0.25">
      <c r="B146" s="304" t="s">
        <v>643</v>
      </c>
      <c r="C146" s="305">
        <v>310.32600000000002</v>
      </c>
    </row>
    <row r="147" spans="2:11" x14ac:dyDescent="0.25">
      <c r="B147" s="302" t="s">
        <v>644</v>
      </c>
      <c r="C147" s="130">
        <v>319.08199999999999</v>
      </c>
    </row>
    <row r="148" spans="2:11" x14ac:dyDescent="0.25">
      <c r="B148" s="139" t="s">
        <v>642</v>
      </c>
      <c r="C148" s="303">
        <f>+C147/C146-1</f>
        <v>2.8215489517475101E-2</v>
      </c>
    </row>
    <row r="149" spans="2:11" x14ac:dyDescent="0.25">
      <c r="B149" s="338" t="s">
        <v>646</v>
      </c>
      <c r="C149" s="338"/>
      <c r="D149" s="338"/>
      <c r="E149" s="338"/>
      <c r="F149" s="338"/>
      <c r="G149" s="338"/>
      <c r="H149" s="338"/>
      <c r="I149" s="338"/>
      <c r="J149" s="338"/>
      <c r="K149" s="338"/>
    </row>
  </sheetData>
  <mergeCells count="2">
    <mergeCell ref="B141:K141"/>
    <mergeCell ref="B149:K149"/>
  </mergeCells>
  <hyperlinks>
    <hyperlink ref="L1" location="Índice!A1" display="ÍNDICE" xr:uid="{48C2F7DC-A96F-45F9-98C9-25D2D02D411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FAC17-1F97-467F-977F-5A7298B7F895}">
  <sheetPr codeName="Hoja19"/>
  <dimension ref="B1:F5"/>
  <sheetViews>
    <sheetView showGridLines="0" workbookViewId="0">
      <selection activeCell="I16" sqref="I16"/>
    </sheetView>
  </sheetViews>
  <sheetFormatPr baseColWidth="10" defaultColWidth="11.5546875" defaultRowHeight="13.2" x14ac:dyDescent="0.25"/>
  <cols>
    <col min="1" max="1" width="2.6640625" style="1" customWidth="1"/>
    <col min="2" max="2" width="15.33203125" style="1" customWidth="1"/>
    <col min="3" max="6" width="19.33203125" style="1" customWidth="1"/>
    <col min="7" max="7" width="2.6640625" style="1" customWidth="1"/>
    <col min="8" max="16384" width="11.5546875" style="1"/>
  </cols>
  <sheetData>
    <row r="1" spans="2:6" ht="16.2" thickBot="1" x14ac:dyDescent="0.35">
      <c r="B1" s="129" t="s">
        <v>578</v>
      </c>
      <c r="F1" s="38" t="s">
        <v>389</v>
      </c>
    </row>
    <row r="2" spans="2:6" ht="5.0999999999999996" customHeight="1" x14ac:dyDescent="0.25"/>
    <row r="3" spans="2:6" ht="26.4" x14ac:dyDescent="0.25">
      <c r="B3" s="39" t="s">
        <v>541</v>
      </c>
      <c r="C3" s="40" t="s">
        <v>196</v>
      </c>
      <c r="D3" s="39" t="s">
        <v>197</v>
      </c>
      <c r="E3" s="41" t="s">
        <v>198</v>
      </c>
      <c r="F3" s="40" t="s">
        <v>531</v>
      </c>
    </row>
    <row r="4" spans="2:6" x14ac:dyDescent="0.25">
      <c r="B4" s="1" t="s">
        <v>194</v>
      </c>
      <c r="C4" s="307">
        <v>1435.16</v>
      </c>
      <c r="D4" s="10">
        <f>+'3.2.1 CAPEX-Comunes'!C151</f>
        <v>10917.432562640268</v>
      </c>
      <c r="E4" s="171">
        <v>256460.99</v>
      </c>
      <c r="F4" s="170">
        <f>+SUM(C4:D4)/E4</f>
        <v>4.8165580904293744E-2</v>
      </c>
    </row>
    <row r="5" spans="2:6" x14ac:dyDescent="0.25">
      <c r="B5" s="149" t="s">
        <v>195</v>
      </c>
      <c r="C5" s="308">
        <v>477.13</v>
      </c>
      <c r="D5" s="172">
        <f>+'3.2.1 CAPEX-Comunes'!D151</f>
        <v>1831.269778271851</v>
      </c>
      <c r="E5" s="173">
        <f>+E4</f>
        <v>256460.99</v>
      </c>
      <c r="F5" s="174">
        <f>+SUM(C5:D5)/E5</f>
        <v>9.0009781927140303E-3</v>
      </c>
    </row>
  </sheetData>
  <hyperlinks>
    <hyperlink ref="F1" location="Índice!A1" display="ÍNDICE" xr:uid="{59AC7E2E-BD44-4CF7-99A6-E308FCF90E5C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1B2C4-2CC3-4B0B-8830-E1367F7A4DD5}">
  <sheetPr codeName="Hoja9"/>
  <dimension ref="B1:F160"/>
  <sheetViews>
    <sheetView showGridLines="0" workbookViewId="0">
      <pane ySplit="3" topLeftCell="A4" activePane="bottomLeft" state="frozen"/>
      <selection pane="bottomLeft" activeCell="D4" sqref="D4"/>
    </sheetView>
  </sheetViews>
  <sheetFormatPr baseColWidth="10" defaultColWidth="11.5546875" defaultRowHeight="13.2" x14ac:dyDescent="0.25"/>
  <cols>
    <col min="1" max="1" width="2.6640625" style="1" customWidth="1"/>
    <col min="2" max="2" width="12.109375" style="1" bestFit="1" customWidth="1"/>
    <col min="3" max="3" width="40.44140625" style="1" customWidth="1"/>
    <col min="4" max="4" width="11.6640625" style="1" bestFit="1" customWidth="1"/>
    <col min="5" max="5" width="8.21875" style="1" bestFit="1" customWidth="1"/>
    <col min="6" max="16384" width="11.5546875" style="1"/>
  </cols>
  <sheetData>
    <row r="1" spans="2:6" ht="16.2" thickBot="1" x14ac:dyDescent="0.35">
      <c r="B1" s="129" t="s">
        <v>530</v>
      </c>
      <c r="D1" s="38" t="s">
        <v>389</v>
      </c>
    </row>
    <row r="2" spans="2:6" ht="5.0999999999999996" customHeight="1" x14ac:dyDescent="0.25"/>
    <row r="3" spans="2:6" ht="21.75" customHeight="1" x14ac:dyDescent="0.25">
      <c r="B3" s="52" t="s">
        <v>9</v>
      </c>
      <c r="C3" s="52" t="s">
        <v>178</v>
      </c>
      <c r="D3" s="52" t="s">
        <v>179</v>
      </c>
    </row>
    <row r="4" spans="2:6" x14ac:dyDescent="0.25">
      <c r="B4" s="9">
        <v>6211000001</v>
      </c>
      <c r="C4" s="9" t="s">
        <v>15</v>
      </c>
      <c r="D4" s="57">
        <v>0.39130162327539963</v>
      </c>
      <c r="E4" s="57"/>
      <c r="F4" s="57"/>
    </row>
    <row r="5" spans="2:6" x14ac:dyDescent="0.25">
      <c r="B5" s="9">
        <v>6212000001</v>
      </c>
      <c r="C5" s="9" t="s">
        <v>16</v>
      </c>
      <c r="D5" s="57">
        <v>0.39130162327539963</v>
      </c>
      <c r="E5" s="57"/>
      <c r="F5" s="57"/>
    </row>
    <row r="6" spans="2:6" x14ac:dyDescent="0.25">
      <c r="B6" s="9">
        <v>6213000001</v>
      </c>
      <c r="C6" s="9" t="s">
        <v>17</v>
      </c>
      <c r="D6" s="57">
        <v>0.39130162327539963</v>
      </c>
      <c r="E6" s="57"/>
      <c r="F6" s="57"/>
    </row>
    <row r="7" spans="2:6" x14ac:dyDescent="0.25">
      <c r="B7" s="9">
        <v>6214000001</v>
      </c>
      <c r="C7" s="9" t="s">
        <v>18</v>
      </c>
      <c r="D7" s="57">
        <v>0.39130162327539963</v>
      </c>
      <c r="E7" s="57"/>
      <c r="F7" s="57"/>
    </row>
    <row r="8" spans="2:6" x14ac:dyDescent="0.25">
      <c r="B8" s="9">
        <v>6221000001</v>
      </c>
      <c r="C8" s="9" t="s">
        <v>19</v>
      </c>
      <c r="D8" s="57">
        <v>0.39130162327539963</v>
      </c>
      <c r="E8" s="57"/>
      <c r="F8" s="57"/>
    </row>
    <row r="9" spans="2:6" x14ac:dyDescent="0.25">
      <c r="B9" s="9">
        <v>6231000001</v>
      </c>
      <c r="C9" s="9" t="s">
        <v>20</v>
      </c>
      <c r="D9" s="57">
        <v>0.39130162327539963</v>
      </c>
      <c r="E9" s="57"/>
      <c r="F9" s="57"/>
    </row>
    <row r="10" spans="2:6" x14ac:dyDescent="0.25">
      <c r="B10" s="9">
        <v>6240000001</v>
      </c>
      <c r="C10" s="9" t="s">
        <v>21</v>
      </c>
      <c r="D10" s="57">
        <v>0.39130162327539963</v>
      </c>
      <c r="E10" s="57"/>
      <c r="F10" s="57"/>
    </row>
    <row r="11" spans="2:6" x14ac:dyDescent="0.25">
      <c r="B11" s="9">
        <v>6250000001</v>
      </c>
      <c r="C11" s="9" t="s">
        <v>22</v>
      </c>
      <c r="D11" s="57">
        <v>0.39130162327539963</v>
      </c>
      <c r="E11" s="57"/>
      <c r="F11" s="57"/>
    </row>
    <row r="12" spans="2:6" x14ac:dyDescent="0.25">
      <c r="B12" s="9">
        <v>6250000003</v>
      </c>
      <c r="C12" s="9" t="s">
        <v>23</v>
      </c>
      <c r="D12" s="57">
        <v>0.39130162327539963</v>
      </c>
      <c r="E12" s="57"/>
      <c r="F12" s="57"/>
    </row>
    <row r="13" spans="2:6" x14ac:dyDescent="0.25">
      <c r="B13" s="9">
        <v>6250000004</v>
      </c>
      <c r="C13" s="9" t="s">
        <v>24</v>
      </c>
      <c r="D13" s="57">
        <v>0.39130162327539963</v>
      </c>
      <c r="E13" s="57"/>
      <c r="F13" s="57"/>
    </row>
    <row r="14" spans="2:6" x14ac:dyDescent="0.25">
      <c r="B14" s="9">
        <v>6250000005</v>
      </c>
      <c r="C14" s="9" t="s">
        <v>25</v>
      </c>
      <c r="D14" s="57">
        <v>0.39130162327539963</v>
      </c>
      <c r="E14" s="57"/>
      <c r="F14" s="57"/>
    </row>
    <row r="15" spans="2:6" x14ac:dyDescent="0.25">
      <c r="B15" s="9">
        <v>6250000006</v>
      </c>
      <c r="C15" s="9" t="s">
        <v>26</v>
      </c>
      <c r="D15" s="57">
        <v>0.39130162327539963</v>
      </c>
      <c r="E15" s="57"/>
      <c r="F15" s="57"/>
    </row>
    <row r="16" spans="2:6" x14ac:dyDescent="0.25">
      <c r="B16" s="9">
        <v>6250000007</v>
      </c>
      <c r="C16" s="9" t="s">
        <v>27</v>
      </c>
      <c r="D16" s="57">
        <v>0.39130162327539963</v>
      </c>
      <c r="E16" s="57"/>
      <c r="F16" s="57"/>
    </row>
    <row r="17" spans="2:6" x14ac:dyDescent="0.25">
      <c r="B17" s="9">
        <v>6250000008</v>
      </c>
      <c r="C17" s="9" t="s">
        <v>28</v>
      </c>
      <c r="D17" s="57">
        <v>0.39130162327539963</v>
      </c>
      <c r="E17" s="57"/>
      <c r="F17" s="57"/>
    </row>
    <row r="18" spans="2:6" x14ac:dyDescent="0.25">
      <c r="B18" s="9">
        <v>6250000009</v>
      </c>
      <c r="C18" s="9" t="s">
        <v>29</v>
      </c>
      <c r="D18" s="57">
        <v>0.39130162327539963</v>
      </c>
      <c r="E18" s="57"/>
      <c r="F18" s="57"/>
    </row>
    <row r="19" spans="2:6" x14ac:dyDescent="0.25">
      <c r="B19" s="9">
        <v>6270000001</v>
      </c>
      <c r="C19" s="9" t="s">
        <v>30</v>
      </c>
      <c r="D19" s="57">
        <v>0.39130162327539963</v>
      </c>
      <c r="E19" s="57"/>
      <c r="F19" s="57"/>
    </row>
    <row r="20" spans="2:6" x14ac:dyDescent="0.25">
      <c r="B20" s="9">
        <v>6270000002</v>
      </c>
      <c r="C20" s="9" t="s">
        <v>31</v>
      </c>
      <c r="D20" s="57">
        <v>0.39130162327539963</v>
      </c>
      <c r="E20" s="57"/>
      <c r="F20" s="57"/>
    </row>
    <row r="21" spans="2:6" x14ac:dyDescent="0.25">
      <c r="B21" s="9">
        <v>6270000003</v>
      </c>
      <c r="C21" s="9" t="s">
        <v>32</v>
      </c>
      <c r="D21" s="57">
        <v>0.39130162327539963</v>
      </c>
      <c r="E21" s="57"/>
      <c r="F21" s="57"/>
    </row>
    <row r="22" spans="2:6" x14ac:dyDescent="0.25">
      <c r="B22" s="9">
        <v>6270000004</v>
      </c>
      <c r="C22" s="9" t="s">
        <v>33</v>
      </c>
      <c r="D22" s="57">
        <v>0.39130162327539963</v>
      </c>
      <c r="E22" s="57"/>
      <c r="F22" s="57"/>
    </row>
    <row r="23" spans="2:6" x14ac:dyDescent="0.25">
      <c r="B23" s="9">
        <v>6270000005</v>
      </c>
      <c r="C23" s="9" t="s">
        <v>34</v>
      </c>
      <c r="D23" s="57">
        <v>0.39130162327539963</v>
      </c>
      <c r="E23" s="57"/>
      <c r="F23" s="57"/>
    </row>
    <row r="24" spans="2:6" x14ac:dyDescent="0.25">
      <c r="B24" s="9">
        <v>6270000006</v>
      </c>
      <c r="C24" s="9" t="s">
        <v>35</v>
      </c>
      <c r="D24" s="57">
        <v>0.39130162327539963</v>
      </c>
      <c r="E24" s="57"/>
      <c r="F24" s="57"/>
    </row>
    <row r="25" spans="2:6" x14ac:dyDescent="0.25">
      <c r="B25" s="9">
        <v>6270000007</v>
      </c>
      <c r="C25" s="9" t="s">
        <v>36</v>
      </c>
      <c r="D25" s="57">
        <v>0.39130162327539963</v>
      </c>
      <c r="E25" s="57"/>
      <c r="F25" s="57"/>
    </row>
    <row r="26" spans="2:6" x14ac:dyDescent="0.25">
      <c r="B26" s="9">
        <v>6290000001</v>
      </c>
      <c r="C26" s="9" t="s">
        <v>37</v>
      </c>
      <c r="D26" s="57">
        <v>0.39130162327539963</v>
      </c>
      <c r="E26" s="57"/>
      <c r="F26" s="57"/>
    </row>
    <row r="27" spans="2:6" x14ac:dyDescent="0.25">
      <c r="B27" s="9">
        <v>6310000001</v>
      </c>
      <c r="C27" s="9" t="s">
        <v>39</v>
      </c>
      <c r="D27" s="57">
        <v>4.4009396000000096E-2</v>
      </c>
      <c r="E27" s="243"/>
      <c r="F27" s="57"/>
    </row>
    <row r="28" spans="2:6" x14ac:dyDescent="0.25">
      <c r="B28" s="9">
        <v>6311300001</v>
      </c>
      <c r="C28" s="9" t="s">
        <v>41</v>
      </c>
      <c r="D28" s="57">
        <v>4.4009396000000096E-2</v>
      </c>
      <c r="E28" s="243"/>
      <c r="F28" s="57"/>
    </row>
    <row r="29" spans="2:6" x14ac:dyDescent="0.25">
      <c r="B29" s="9">
        <v>6311300002</v>
      </c>
      <c r="C29" s="9" t="s">
        <v>42</v>
      </c>
      <c r="D29" s="57">
        <v>4.4009396000000096E-2</v>
      </c>
      <c r="E29" s="243"/>
      <c r="F29" s="57"/>
    </row>
    <row r="30" spans="2:6" x14ac:dyDescent="0.25">
      <c r="B30" s="9">
        <v>6320000001</v>
      </c>
      <c r="C30" s="9" t="s">
        <v>43</v>
      </c>
      <c r="D30" s="57">
        <v>0.34886581637258263</v>
      </c>
      <c r="E30" s="57"/>
      <c r="F30" s="57"/>
    </row>
    <row r="31" spans="2:6" x14ac:dyDescent="0.25">
      <c r="B31" s="9">
        <v>6320000002</v>
      </c>
      <c r="C31" s="9" t="s">
        <v>44</v>
      </c>
      <c r="D31" s="57">
        <v>4.4009396000000096E-2</v>
      </c>
      <c r="E31" s="243"/>
      <c r="F31" s="57"/>
    </row>
    <row r="32" spans="2:6" x14ac:dyDescent="0.25">
      <c r="B32" s="9">
        <v>6320000003</v>
      </c>
      <c r="C32" s="9" t="s">
        <v>45</v>
      </c>
      <c r="D32" s="57">
        <v>4.4009396000000096E-2</v>
      </c>
      <c r="E32" s="243"/>
      <c r="F32" s="57"/>
    </row>
    <row r="33" spans="2:6" x14ac:dyDescent="0.25">
      <c r="B33" s="9">
        <v>6320000004</v>
      </c>
      <c r="C33" s="9" t="s">
        <v>46</v>
      </c>
      <c r="D33" s="57">
        <v>4.4009396000000096E-2</v>
      </c>
      <c r="E33" s="243"/>
      <c r="F33" s="57"/>
    </row>
    <row r="34" spans="2:6" x14ac:dyDescent="0.25">
      <c r="B34" s="9">
        <v>6320000005</v>
      </c>
      <c r="C34" s="9" t="s">
        <v>47</v>
      </c>
      <c r="D34" s="57">
        <v>4.4009396000000096E-2</v>
      </c>
      <c r="E34" s="243"/>
      <c r="F34" s="57"/>
    </row>
    <row r="35" spans="2:6" x14ac:dyDescent="0.25">
      <c r="B35" s="9">
        <v>6320000006</v>
      </c>
      <c r="C35" s="9" t="s">
        <v>48</v>
      </c>
      <c r="D35" s="57">
        <v>4.4009396000000096E-2</v>
      </c>
      <c r="E35" s="243"/>
      <c r="F35" s="57"/>
    </row>
    <row r="36" spans="2:6" x14ac:dyDescent="0.25">
      <c r="B36" s="9">
        <v>6320000007</v>
      </c>
      <c r="C36" s="9" t="s">
        <v>50</v>
      </c>
      <c r="D36" s="57">
        <v>1.0054865169395515</v>
      </c>
      <c r="E36" s="57"/>
      <c r="F36" s="57"/>
    </row>
    <row r="37" spans="2:6" x14ac:dyDescent="0.25">
      <c r="B37" s="9">
        <v>6329000003</v>
      </c>
      <c r="C37" s="9" t="s">
        <v>51</v>
      </c>
      <c r="D37" s="57">
        <v>4.4009396000000096E-2</v>
      </c>
      <c r="E37" s="243"/>
      <c r="F37" s="57"/>
    </row>
    <row r="38" spans="2:6" x14ac:dyDescent="0.25">
      <c r="B38" s="9">
        <v>6341100001</v>
      </c>
      <c r="C38" s="9" t="s">
        <v>53</v>
      </c>
      <c r="D38" s="57">
        <v>4.4009396000000096E-2</v>
      </c>
      <c r="E38" s="243"/>
      <c r="F38" s="57"/>
    </row>
    <row r="39" spans="2:6" x14ac:dyDescent="0.25">
      <c r="B39" s="9">
        <v>6341100002</v>
      </c>
      <c r="C39" s="9" t="s">
        <v>54</v>
      </c>
      <c r="D39" s="57">
        <v>4.4009396000000096E-2</v>
      </c>
      <c r="E39" s="243"/>
      <c r="F39" s="57"/>
    </row>
    <row r="40" spans="2:6" x14ac:dyDescent="0.25">
      <c r="B40" s="9">
        <v>6341100003</v>
      </c>
      <c r="C40" s="9" t="s">
        <v>55</v>
      </c>
      <c r="D40" s="57">
        <v>0.13114375863339878</v>
      </c>
      <c r="E40" s="57"/>
      <c r="F40" s="57"/>
    </row>
    <row r="41" spans="2:6" x14ac:dyDescent="0.25">
      <c r="B41" s="9">
        <v>6341100004</v>
      </c>
      <c r="C41" s="9" t="s">
        <v>56</v>
      </c>
      <c r="D41" s="57">
        <v>4.4009396000000096E-2</v>
      </c>
      <c r="E41" s="243"/>
      <c r="F41" s="57"/>
    </row>
    <row r="42" spans="2:6" x14ac:dyDescent="0.25">
      <c r="B42" s="9">
        <v>6341100005</v>
      </c>
      <c r="C42" s="9" t="s">
        <v>57</v>
      </c>
      <c r="D42" s="57">
        <v>4.4009396000000096E-2</v>
      </c>
      <c r="E42" s="243"/>
      <c r="F42" s="57"/>
    </row>
    <row r="43" spans="2:6" x14ac:dyDescent="0.25">
      <c r="B43" s="9">
        <v>6341100007</v>
      </c>
      <c r="C43" s="9" t="s">
        <v>58</v>
      </c>
      <c r="D43" s="57">
        <v>4.4009396000000096E-2</v>
      </c>
      <c r="E43" s="243"/>
      <c r="F43" s="57"/>
    </row>
    <row r="44" spans="2:6" x14ac:dyDescent="0.25">
      <c r="B44" s="9">
        <v>6341100008</v>
      </c>
      <c r="C44" s="9" t="s">
        <v>59</v>
      </c>
      <c r="D44" s="57">
        <v>4.4009396000000096E-2</v>
      </c>
      <c r="E44" s="243"/>
      <c r="F44" s="57"/>
    </row>
    <row r="45" spans="2:6" x14ac:dyDescent="0.25">
      <c r="B45" s="9">
        <v>6341100009</v>
      </c>
      <c r="C45" s="9" t="s">
        <v>60</v>
      </c>
      <c r="D45" s="57">
        <v>4.4009396000000096E-2</v>
      </c>
      <c r="E45" s="243"/>
      <c r="F45" s="57"/>
    </row>
    <row r="46" spans="2:6" x14ac:dyDescent="0.25">
      <c r="B46" s="9">
        <v>6341100010</v>
      </c>
      <c r="C46" s="9" t="s">
        <v>61</v>
      </c>
      <c r="D46" s="57">
        <v>4.4009396000000096E-2</v>
      </c>
      <c r="E46" s="243"/>
      <c r="F46" s="57"/>
    </row>
    <row r="47" spans="2:6" x14ac:dyDescent="0.25">
      <c r="B47" s="9">
        <v>6342000001</v>
      </c>
      <c r="C47" s="9" t="s">
        <v>62</v>
      </c>
      <c r="D47" s="57">
        <v>4.4009396000000096E-2</v>
      </c>
      <c r="E47" s="243"/>
      <c r="F47" s="57"/>
    </row>
    <row r="48" spans="2:6" x14ac:dyDescent="0.25">
      <c r="B48" s="9">
        <v>6342000002</v>
      </c>
      <c r="C48" s="9" t="s">
        <v>63</v>
      </c>
      <c r="D48" s="57">
        <v>4.4009396000000096E-2</v>
      </c>
      <c r="E48" s="243"/>
      <c r="F48" s="57"/>
    </row>
    <row r="49" spans="2:6" x14ac:dyDescent="0.25">
      <c r="B49" s="9">
        <v>6343000001</v>
      </c>
      <c r="C49" s="9" t="s">
        <v>64</v>
      </c>
      <c r="D49" s="57">
        <v>1.922702215525852</v>
      </c>
      <c r="E49" s="57"/>
      <c r="F49" s="57"/>
    </row>
    <row r="50" spans="2:6" x14ac:dyDescent="0.25">
      <c r="B50" s="9">
        <v>6343000002</v>
      </c>
      <c r="C50" s="9" t="s">
        <v>65</v>
      </c>
      <c r="D50" s="57">
        <v>4.4009396000000096E-2</v>
      </c>
      <c r="E50" s="243"/>
      <c r="F50" s="57"/>
    </row>
    <row r="51" spans="2:6" x14ac:dyDescent="0.25">
      <c r="B51" s="9">
        <v>6343100001</v>
      </c>
      <c r="C51" s="9" t="s">
        <v>66</v>
      </c>
      <c r="D51" s="57">
        <v>4.4009396000000096E-2</v>
      </c>
      <c r="E51" s="243"/>
      <c r="F51" s="57"/>
    </row>
    <row r="52" spans="2:6" x14ac:dyDescent="0.25">
      <c r="B52" s="9">
        <v>6343100002</v>
      </c>
      <c r="C52" s="9" t="s">
        <v>67</v>
      </c>
      <c r="D52" s="57">
        <v>4.4009396000000096E-2</v>
      </c>
      <c r="E52" s="243"/>
      <c r="F52" s="57"/>
    </row>
    <row r="53" spans="2:6" x14ac:dyDescent="0.25">
      <c r="B53" s="9">
        <v>6343100003</v>
      </c>
      <c r="C53" s="9" t="s">
        <v>68</v>
      </c>
      <c r="D53" s="57">
        <v>4.4009396000000096E-2</v>
      </c>
      <c r="E53" s="243"/>
      <c r="F53" s="57"/>
    </row>
    <row r="54" spans="2:6" x14ac:dyDescent="0.25">
      <c r="B54" s="9">
        <v>6343100004</v>
      </c>
      <c r="C54" s="9" t="s">
        <v>69</v>
      </c>
      <c r="D54" s="57">
        <v>4.4009396000000096E-2</v>
      </c>
      <c r="E54" s="243"/>
      <c r="F54" s="57"/>
    </row>
    <row r="55" spans="2:6" x14ac:dyDescent="0.25">
      <c r="B55" s="9">
        <v>6343100005</v>
      </c>
      <c r="C55" s="9" t="s">
        <v>70</v>
      </c>
      <c r="D55" s="57">
        <v>4.4009396000000096E-2</v>
      </c>
      <c r="E55" s="243"/>
      <c r="F55" s="57"/>
    </row>
    <row r="56" spans="2:6" x14ac:dyDescent="0.25">
      <c r="B56" s="9">
        <v>6343100006</v>
      </c>
      <c r="C56" s="9" t="s">
        <v>71</v>
      </c>
      <c r="D56" s="57">
        <v>4.4009396000000096E-2</v>
      </c>
      <c r="E56" s="243"/>
      <c r="F56" s="57"/>
    </row>
    <row r="57" spans="2:6" x14ac:dyDescent="0.25">
      <c r="B57" s="9">
        <v>6343100007</v>
      </c>
      <c r="C57" s="9" t="s">
        <v>72</v>
      </c>
      <c r="D57" s="57">
        <v>4.4009396000000096E-2</v>
      </c>
      <c r="E57" s="243"/>
      <c r="F57" s="57"/>
    </row>
    <row r="58" spans="2:6" x14ac:dyDescent="0.25">
      <c r="B58" s="9">
        <v>6343100008</v>
      </c>
      <c r="C58" s="9" t="s">
        <v>73</v>
      </c>
      <c r="D58" s="57">
        <v>4.4009396000000096E-2</v>
      </c>
      <c r="E58" s="243"/>
      <c r="F58" s="57"/>
    </row>
    <row r="59" spans="2:6" x14ac:dyDescent="0.25">
      <c r="B59" s="9">
        <v>6343100009</v>
      </c>
      <c r="C59" s="9" t="s">
        <v>74</v>
      </c>
      <c r="D59" s="57">
        <v>4.4009396000000096E-2</v>
      </c>
      <c r="E59" s="243"/>
      <c r="F59" s="57"/>
    </row>
    <row r="60" spans="2:6" x14ac:dyDescent="0.25">
      <c r="B60" s="9">
        <v>6343100010</v>
      </c>
      <c r="C60" s="9" t="s">
        <v>75</v>
      </c>
      <c r="D60" s="57">
        <v>4.4009396000000096E-2</v>
      </c>
      <c r="E60" s="243"/>
      <c r="F60" s="57"/>
    </row>
    <row r="61" spans="2:6" x14ac:dyDescent="0.25">
      <c r="B61" s="9">
        <v>6343100011</v>
      </c>
      <c r="C61" s="9" t="s">
        <v>76</v>
      </c>
      <c r="D61" s="57">
        <v>4.4009396000000096E-2</v>
      </c>
      <c r="E61" s="243"/>
      <c r="F61" s="57"/>
    </row>
    <row r="62" spans="2:6" x14ac:dyDescent="0.25">
      <c r="B62" s="9">
        <v>6343100012</v>
      </c>
      <c r="C62" s="9" t="s">
        <v>77</v>
      </c>
      <c r="D62" s="57">
        <v>4.4009396000000096E-2</v>
      </c>
      <c r="E62" s="243"/>
      <c r="F62" s="57"/>
    </row>
    <row r="63" spans="2:6" x14ac:dyDescent="0.25">
      <c r="B63" s="9">
        <v>6343100013</v>
      </c>
      <c r="C63" s="9" t="s">
        <v>78</v>
      </c>
      <c r="D63" s="57">
        <v>4.4009396000000096E-2</v>
      </c>
      <c r="E63" s="243"/>
      <c r="F63" s="57"/>
    </row>
    <row r="64" spans="2:6" x14ac:dyDescent="0.25">
      <c r="B64" s="9">
        <v>6343100014</v>
      </c>
      <c r="C64" s="9" t="s">
        <v>79</v>
      </c>
      <c r="D64" s="57">
        <v>4.4009396000000096E-2</v>
      </c>
      <c r="E64" s="243"/>
      <c r="F64" s="57"/>
    </row>
    <row r="65" spans="2:6" x14ac:dyDescent="0.25">
      <c r="B65" s="9">
        <v>6343100015</v>
      </c>
      <c r="C65" s="9" t="s">
        <v>80</v>
      </c>
      <c r="D65" s="57">
        <v>4.4009396000000096E-2</v>
      </c>
      <c r="E65" s="243"/>
      <c r="F65" s="57"/>
    </row>
    <row r="66" spans="2:6" x14ac:dyDescent="0.25">
      <c r="B66" s="9">
        <v>6343100016</v>
      </c>
      <c r="C66" s="9" t="s">
        <v>81</v>
      </c>
      <c r="D66" s="57">
        <v>4.4009396000000096E-2</v>
      </c>
      <c r="E66" s="243"/>
      <c r="F66" s="57"/>
    </row>
    <row r="67" spans="2:6" x14ac:dyDescent="0.25">
      <c r="B67" s="9">
        <v>6343100017</v>
      </c>
      <c r="C67" s="9" t="s">
        <v>82</v>
      </c>
      <c r="D67" s="57">
        <v>4.4009396000000096E-2</v>
      </c>
      <c r="E67" s="243"/>
      <c r="F67" s="57"/>
    </row>
    <row r="68" spans="2:6" x14ac:dyDescent="0.25">
      <c r="B68" s="9">
        <v>6344000001</v>
      </c>
      <c r="C68" s="9" t="s">
        <v>83</v>
      </c>
      <c r="D68" s="57">
        <v>4.4009396000000096E-2</v>
      </c>
      <c r="E68" s="243"/>
      <c r="F68" s="57"/>
    </row>
    <row r="69" spans="2:6" x14ac:dyDescent="0.25">
      <c r="B69" s="9">
        <v>6344000002</v>
      </c>
      <c r="C69" s="9" t="s">
        <v>84</v>
      </c>
      <c r="D69" s="57">
        <v>4.4009396000000096E-2</v>
      </c>
      <c r="E69" s="243"/>
      <c r="F69" s="57"/>
    </row>
    <row r="70" spans="2:6" x14ac:dyDescent="0.25">
      <c r="B70" s="9">
        <v>6344000003</v>
      </c>
      <c r="C70" s="9" t="s">
        <v>85</v>
      </c>
      <c r="D70" s="57">
        <v>4.4009396000000096E-2</v>
      </c>
      <c r="E70" s="243"/>
      <c r="F70" s="57"/>
    </row>
    <row r="71" spans="2:6" x14ac:dyDescent="0.25">
      <c r="B71" s="9">
        <v>6345000001</v>
      </c>
      <c r="C71" s="9" t="s">
        <v>86</v>
      </c>
      <c r="D71" s="57">
        <v>4.4009396000000096E-2</v>
      </c>
      <c r="E71" s="243"/>
      <c r="F71" s="57"/>
    </row>
    <row r="72" spans="2:6" x14ac:dyDescent="0.25">
      <c r="B72" s="9">
        <v>6346000001</v>
      </c>
      <c r="C72" s="9" t="s">
        <v>87</v>
      </c>
      <c r="D72" s="57">
        <v>4.4009396000000096E-2</v>
      </c>
      <c r="E72" s="243"/>
      <c r="F72" s="57"/>
    </row>
    <row r="73" spans="2:6" x14ac:dyDescent="0.25">
      <c r="B73" s="9">
        <v>6347000001</v>
      </c>
      <c r="C73" s="9" t="s">
        <v>88</v>
      </c>
      <c r="D73" s="57">
        <v>1.0811688463956868</v>
      </c>
      <c r="E73" s="57"/>
      <c r="F73" s="57"/>
    </row>
    <row r="74" spans="2:6" x14ac:dyDescent="0.25">
      <c r="B74" s="9">
        <v>6348000001</v>
      </c>
      <c r="C74" s="9" t="s">
        <v>89</v>
      </c>
      <c r="D74" s="57">
        <v>4.4009396000000096E-2</v>
      </c>
      <c r="E74" s="243"/>
      <c r="F74" s="57"/>
    </row>
    <row r="75" spans="2:6" x14ac:dyDescent="0.25">
      <c r="B75" s="9">
        <v>6354000001</v>
      </c>
      <c r="C75" s="9" t="s">
        <v>90</v>
      </c>
      <c r="D75" s="57">
        <v>1.1277145310168262</v>
      </c>
      <c r="E75" s="57"/>
      <c r="F75" s="57"/>
    </row>
    <row r="76" spans="2:6" x14ac:dyDescent="0.25">
      <c r="B76" s="9">
        <v>6356000001</v>
      </c>
      <c r="C76" s="9" t="s">
        <v>91</v>
      </c>
      <c r="D76" s="57">
        <v>4.4009396000000096E-2</v>
      </c>
      <c r="E76" s="243"/>
      <c r="F76" s="57"/>
    </row>
    <row r="77" spans="2:6" x14ac:dyDescent="0.25">
      <c r="B77" s="9">
        <v>6356000002</v>
      </c>
      <c r="C77" s="9" t="s">
        <v>92</v>
      </c>
      <c r="D77" s="57">
        <v>4.4009396000000096E-2</v>
      </c>
      <c r="E77" s="243"/>
      <c r="F77" s="57"/>
    </row>
    <row r="78" spans="2:6" x14ac:dyDescent="0.25">
      <c r="B78" s="9">
        <v>6357000001</v>
      </c>
      <c r="C78" s="9" t="s">
        <v>93</v>
      </c>
      <c r="D78" s="57">
        <v>4.4009396000000096E-2</v>
      </c>
      <c r="E78" s="243"/>
      <c r="F78" s="57"/>
    </row>
    <row r="79" spans="2:6" x14ac:dyDescent="0.25">
      <c r="B79" s="9">
        <v>6358000001</v>
      </c>
      <c r="C79" s="9" t="s">
        <v>94</v>
      </c>
      <c r="D79" s="57">
        <v>4.4009396000000096E-2</v>
      </c>
      <c r="E79" s="243"/>
      <c r="F79" s="57"/>
    </row>
    <row r="80" spans="2:6" x14ac:dyDescent="0.25">
      <c r="B80" s="9">
        <v>6360000001</v>
      </c>
      <c r="C80" s="9" t="s">
        <v>95</v>
      </c>
      <c r="D80" s="57">
        <v>4.4009396000000096E-2</v>
      </c>
      <c r="E80" s="243"/>
      <c r="F80" s="57"/>
    </row>
    <row r="81" spans="2:6" x14ac:dyDescent="0.25">
      <c r="B81" s="9">
        <v>6360000002</v>
      </c>
      <c r="C81" s="9" t="s">
        <v>96</v>
      </c>
      <c r="D81" s="57">
        <v>0.77919024215254873</v>
      </c>
      <c r="E81" s="57"/>
      <c r="F81" s="57"/>
    </row>
    <row r="82" spans="2:6" x14ac:dyDescent="0.25">
      <c r="B82" s="9">
        <v>6360000003</v>
      </c>
      <c r="C82" s="9" t="s">
        <v>97</v>
      </c>
      <c r="D82" s="57">
        <v>0.33589966958431128</v>
      </c>
      <c r="E82" s="57"/>
      <c r="F82" s="57"/>
    </row>
    <row r="83" spans="2:6" x14ac:dyDescent="0.25">
      <c r="B83" s="9">
        <v>6360000004</v>
      </c>
      <c r="C83" s="9" t="s">
        <v>98</v>
      </c>
      <c r="D83" s="57">
        <v>4.4009396000000096E-2</v>
      </c>
      <c r="E83" s="243"/>
      <c r="F83" s="57"/>
    </row>
    <row r="84" spans="2:6" x14ac:dyDescent="0.25">
      <c r="B84" s="9">
        <v>6360000005</v>
      </c>
      <c r="C84" s="9" t="s">
        <v>99</v>
      </c>
      <c r="D84" s="57">
        <v>4.4009396000000096E-2</v>
      </c>
      <c r="E84" s="243"/>
      <c r="F84" s="57"/>
    </row>
    <row r="85" spans="2:6" x14ac:dyDescent="0.25">
      <c r="B85" s="9">
        <v>6370000001</v>
      </c>
      <c r="C85" s="9" t="s">
        <v>100</v>
      </c>
      <c r="D85" s="57">
        <v>0.48851763260317993</v>
      </c>
      <c r="E85" s="57"/>
      <c r="F85" s="57"/>
    </row>
    <row r="86" spans="2:6" x14ac:dyDescent="0.25">
      <c r="B86" s="9">
        <v>6370000002</v>
      </c>
      <c r="C86" s="9" t="s">
        <v>101</v>
      </c>
      <c r="D86" s="57">
        <v>4.4009396000000096E-2</v>
      </c>
      <c r="E86" s="243"/>
      <c r="F86" s="57"/>
    </row>
    <row r="87" spans="2:6" x14ac:dyDescent="0.25">
      <c r="B87" s="9">
        <v>6370000003</v>
      </c>
      <c r="C87" s="9" t="s">
        <v>102</v>
      </c>
      <c r="D87" s="57">
        <v>4.4009396000000096E-2</v>
      </c>
      <c r="E87" s="243"/>
      <c r="F87" s="57"/>
    </row>
    <row r="88" spans="2:6" x14ac:dyDescent="0.25">
      <c r="B88" s="9">
        <v>6380000002</v>
      </c>
      <c r="C88" s="9" t="s">
        <v>103</v>
      </c>
      <c r="D88" s="57">
        <v>4.4009396000000096E-2</v>
      </c>
      <c r="E88" s="243"/>
      <c r="F88" s="57"/>
    </row>
    <row r="89" spans="2:6" x14ac:dyDescent="0.25">
      <c r="B89" s="9">
        <v>6380000003</v>
      </c>
      <c r="C89" s="9" t="s">
        <v>104</v>
      </c>
      <c r="D89" s="57">
        <v>4.4009396000000096E-2</v>
      </c>
      <c r="E89" s="243"/>
      <c r="F89" s="57"/>
    </row>
    <row r="90" spans="2:6" x14ac:dyDescent="0.25">
      <c r="B90" s="9">
        <v>6380000004</v>
      </c>
      <c r="C90" s="9" t="s">
        <v>105</v>
      </c>
      <c r="D90" s="57">
        <v>1.1454126819228176</v>
      </c>
      <c r="E90" s="57"/>
      <c r="F90" s="57"/>
    </row>
    <row r="91" spans="2:6" x14ac:dyDescent="0.25">
      <c r="B91" s="9">
        <v>6380000005</v>
      </c>
      <c r="C91" s="9" t="s">
        <v>106</v>
      </c>
      <c r="D91" s="57">
        <v>4.4009396000000096E-2</v>
      </c>
      <c r="E91" s="243"/>
      <c r="F91" s="57"/>
    </row>
    <row r="92" spans="2:6" x14ac:dyDescent="0.25">
      <c r="B92" s="9">
        <v>6380000007</v>
      </c>
      <c r="C92" s="9" t="s">
        <v>107</v>
      </c>
      <c r="D92" s="57">
        <v>4.4009396000000096E-2</v>
      </c>
      <c r="E92" s="243"/>
      <c r="F92" s="57"/>
    </row>
    <row r="93" spans="2:6" x14ac:dyDescent="0.25">
      <c r="B93" s="9">
        <v>6380000008</v>
      </c>
      <c r="C93" s="9" t="s">
        <v>108</v>
      </c>
      <c r="D93" s="57">
        <v>1.7577982488676596</v>
      </c>
      <c r="E93" s="57"/>
      <c r="F93" s="57"/>
    </row>
    <row r="94" spans="2:6" x14ac:dyDescent="0.25">
      <c r="B94" s="9">
        <v>6380000009</v>
      </c>
      <c r="C94" s="9" t="s">
        <v>109</v>
      </c>
      <c r="D94" s="57">
        <v>9.5138088966381096E-2</v>
      </c>
      <c r="E94" s="57"/>
      <c r="F94" s="57"/>
    </row>
    <row r="95" spans="2:6" x14ac:dyDescent="0.25">
      <c r="B95" s="9">
        <v>6380000010</v>
      </c>
      <c r="C95" s="9" t="s">
        <v>110</v>
      </c>
      <c r="D95" s="57">
        <v>4.4009396000000096E-2</v>
      </c>
      <c r="E95" s="243"/>
      <c r="F95" s="57"/>
    </row>
    <row r="96" spans="2:6" x14ac:dyDescent="0.25">
      <c r="B96" s="9">
        <v>6380000012</v>
      </c>
      <c r="C96" s="9" t="s">
        <v>111</v>
      </c>
      <c r="D96" s="57">
        <v>4.4009396000000096E-2</v>
      </c>
      <c r="E96" s="243"/>
      <c r="F96" s="57"/>
    </row>
    <row r="97" spans="2:6" x14ac:dyDescent="0.25">
      <c r="B97" s="9">
        <v>6380000014</v>
      </c>
      <c r="C97" s="9" t="s">
        <v>112</v>
      </c>
      <c r="D97" s="57">
        <v>4.4009396000000096E-2</v>
      </c>
      <c r="E97" s="243"/>
      <c r="F97" s="57"/>
    </row>
    <row r="98" spans="2:6" x14ac:dyDescent="0.25">
      <c r="B98" s="9">
        <v>6380000015</v>
      </c>
      <c r="C98" s="9" t="s">
        <v>113</v>
      </c>
      <c r="D98" s="57">
        <v>4.4009396000000096E-2</v>
      </c>
      <c r="E98" s="243"/>
      <c r="F98" s="57"/>
    </row>
    <row r="99" spans="2:6" x14ac:dyDescent="0.25">
      <c r="B99" s="9">
        <v>6380000017</v>
      </c>
      <c r="C99" s="9" t="s">
        <v>115</v>
      </c>
      <c r="D99" s="57">
        <v>4.4009396000000096E-2</v>
      </c>
      <c r="E99" s="243"/>
      <c r="F99" s="57"/>
    </row>
    <row r="100" spans="2:6" x14ac:dyDescent="0.25">
      <c r="B100" s="9">
        <v>6380000018</v>
      </c>
      <c r="C100" s="9" t="s">
        <v>116</v>
      </c>
      <c r="D100" s="57">
        <v>4.4009396000000096E-2</v>
      </c>
      <c r="E100" s="243"/>
      <c r="F100" s="57"/>
    </row>
    <row r="101" spans="2:6" x14ac:dyDescent="0.25">
      <c r="B101" s="9">
        <v>6380000019</v>
      </c>
      <c r="C101" s="9" t="s">
        <v>117</v>
      </c>
      <c r="D101" s="57">
        <v>4.4009396000000096E-2</v>
      </c>
      <c r="E101" s="243"/>
      <c r="F101" s="57"/>
    </row>
    <row r="102" spans="2:6" x14ac:dyDescent="0.25">
      <c r="B102" s="9">
        <v>6380000020</v>
      </c>
      <c r="C102" s="9" t="s">
        <v>118</v>
      </c>
      <c r="D102" s="57">
        <v>4.4009396000000096E-2</v>
      </c>
      <c r="E102" s="243"/>
      <c r="F102" s="57"/>
    </row>
    <row r="103" spans="2:6" x14ac:dyDescent="0.25">
      <c r="B103" s="9">
        <v>6380000021</v>
      </c>
      <c r="C103" s="9" t="s">
        <v>119</v>
      </c>
      <c r="D103" s="57">
        <v>4.4009396000000096E-2</v>
      </c>
      <c r="E103" s="243"/>
      <c r="F103" s="57"/>
    </row>
    <row r="104" spans="2:6" x14ac:dyDescent="0.25">
      <c r="B104" s="9">
        <v>6380000022</v>
      </c>
      <c r="C104" s="9" t="s">
        <v>120</v>
      </c>
      <c r="D104" s="57">
        <v>4.4009396000000096E-2</v>
      </c>
      <c r="E104" s="243"/>
      <c r="F104" s="57"/>
    </row>
    <row r="105" spans="2:6" x14ac:dyDescent="0.25">
      <c r="B105" s="9">
        <v>6380000023</v>
      </c>
      <c r="C105" s="9" t="s">
        <v>121</v>
      </c>
      <c r="D105" s="57">
        <v>4.4009396000000096E-2</v>
      </c>
      <c r="E105" s="243"/>
      <c r="F105" s="57"/>
    </row>
    <row r="106" spans="2:6" x14ac:dyDescent="0.25">
      <c r="B106" s="9">
        <v>6380000024</v>
      </c>
      <c r="C106" s="9" t="s">
        <v>122</v>
      </c>
      <c r="D106" s="57">
        <v>4.4009396000000096E-2</v>
      </c>
      <c r="E106" s="243"/>
      <c r="F106" s="57"/>
    </row>
    <row r="107" spans="2:6" x14ac:dyDescent="0.25">
      <c r="B107" s="9">
        <v>6380000025</v>
      </c>
      <c r="C107" s="9" t="s">
        <v>123</v>
      </c>
      <c r="D107" s="57">
        <v>4.4009396000000096E-2</v>
      </c>
      <c r="E107" s="243"/>
      <c r="F107" s="57"/>
    </row>
    <row r="108" spans="2:6" x14ac:dyDescent="0.25">
      <c r="B108" s="9">
        <v>6380000026</v>
      </c>
      <c r="C108" s="9" t="s">
        <v>124</v>
      </c>
      <c r="D108" s="57">
        <v>4.4009396000000096E-2</v>
      </c>
      <c r="E108" s="243"/>
      <c r="F108" s="57"/>
    </row>
    <row r="109" spans="2:6" x14ac:dyDescent="0.25">
      <c r="B109" s="9">
        <v>6380000027</v>
      </c>
      <c r="C109" s="9" t="s">
        <v>125</v>
      </c>
      <c r="D109" s="57">
        <v>4.4009396000000096E-2</v>
      </c>
      <c r="E109" s="243"/>
      <c r="F109" s="57"/>
    </row>
    <row r="110" spans="2:6" x14ac:dyDescent="0.25">
      <c r="B110" s="9">
        <v>6380000028</v>
      </c>
      <c r="C110" s="9" t="s">
        <v>126</v>
      </c>
      <c r="D110" s="57">
        <v>4.4009396000000096E-2</v>
      </c>
      <c r="E110" s="243"/>
      <c r="F110" s="57"/>
    </row>
    <row r="111" spans="2:6" x14ac:dyDescent="0.25">
      <c r="B111" s="9">
        <v>6380000029</v>
      </c>
      <c r="C111" s="9" t="s">
        <v>127</v>
      </c>
      <c r="D111" s="57">
        <v>4.4009396000000096E-2</v>
      </c>
      <c r="E111" s="243"/>
      <c r="F111" s="57"/>
    </row>
    <row r="112" spans="2:6" x14ac:dyDescent="0.25">
      <c r="B112" s="9">
        <v>6380000030</v>
      </c>
      <c r="C112" s="9" t="s">
        <v>128</v>
      </c>
      <c r="D112" s="57">
        <v>3.290536457674488</v>
      </c>
      <c r="E112" s="57"/>
      <c r="F112" s="57"/>
    </row>
    <row r="113" spans="2:6" x14ac:dyDescent="0.25">
      <c r="B113" s="9">
        <v>6380000031</v>
      </c>
      <c r="C113" s="9" t="s">
        <v>129</v>
      </c>
      <c r="D113" s="57">
        <v>4.4009396000000096E-2</v>
      </c>
      <c r="E113" s="243"/>
      <c r="F113" s="57"/>
    </row>
    <row r="114" spans="2:6" x14ac:dyDescent="0.25">
      <c r="B114" s="9">
        <v>6381000001</v>
      </c>
      <c r="C114" s="9" t="s">
        <v>130</v>
      </c>
      <c r="D114" s="57">
        <v>4.4009396000000096E-2</v>
      </c>
      <c r="E114" s="243"/>
      <c r="F114" s="57"/>
    </row>
    <row r="115" spans="2:6" x14ac:dyDescent="0.25">
      <c r="B115" s="9">
        <v>6381000002</v>
      </c>
      <c r="C115" s="9" t="s">
        <v>131</v>
      </c>
      <c r="D115" s="57">
        <v>4.4009396000000096E-2</v>
      </c>
      <c r="E115" s="243"/>
      <c r="F115" s="57"/>
    </row>
    <row r="116" spans="2:6" x14ac:dyDescent="0.25">
      <c r="B116" s="9">
        <v>6381000003</v>
      </c>
      <c r="C116" s="9" t="s">
        <v>132</v>
      </c>
      <c r="D116" s="57">
        <v>4.4009396000000096E-2</v>
      </c>
      <c r="E116" s="243"/>
      <c r="F116" s="57"/>
    </row>
    <row r="117" spans="2:6" x14ac:dyDescent="0.25">
      <c r="B117" s="9">
        <v>6381000004</v>
      </c>
      <c r="C117" s="9" t="s">
        <v>133</v>
      </c>
      <c r="D117" s="57">
        <v>4.4009396000000096E-2</v>
      </c>
      <c r="E117" s="243"/>
      <c r="F117" s="57"/>
    </row>
    <row r="118" spans="2:6" x14ac:dyDescent="0.25">
      <c r="B118" s="9">
        <v>6381000005</v>
      </c>
      <c r="C118" s="9" t="s">
        <v>134</v>
      </c>
      <c r="D118" s="57">
        <v>4.4009396000000096E-2</v>
      </c>
      <c r="E118" s="243"/>
      <c r="F118" s="57"/>
    </row>
    <row r="119" spans="2:6" x14ac:dyDescent="0.25">
      <c r="B119" s="9">
        <v>6381000006</v>
      </c>
      <c r="C119" s="9" t="s">
        <v>135</v>
      </c>
      <c r="D119" s="57">
        <v>4.4009396000000096E-2</v>
      </c>
      <c r="E119" s="243"/>
      <c r="F119" s="57"/>
    </row>
    <row r="120" spans="2:6" x14ac:dyDescent="0.25">
      <c r="B120" s="9">
        <v>6382000001</v>
      </c>
      <c r="C120" s="9" t="s">
        <v>136</v>
      </c>
      <c r="D120" s="57">
        <v>1.0528702981147076</v>
      </c>
      <c r="E120" s="57"/>
      <c r="F120" s="57"/>
    </row>
    <row r="121" spans="2:6" x14ac:dyDescent="0.25">
      <c r="B121" s="9">
        <v>6382000002</v>
      </c>
      <c r="C121" s="9" t="s">
        <v>137</v>
      </c>
      <c r="D121" s="57">
        <v>4.4009396000000096E-2</v>
      </c>
      <c r="E121" s="243"/>
      <c r="F121" s="57"/>
    </row>
    <row r="122" spans="2:6" x14ac:dyDescent="0.25">
      <c r="B122" s="9">
        <v>6390000001</v>
      </c>
      <c r="C122" s="9" t="s">
        <v>138</v>
      </c>
      <c r="D122" s="57">
        <v>4.4009396000000096E-2</v>
      </c>
      <c r="E122" s="243"/>
      <c r="F122" s="57"/>
    </row>
    <row r="123" spans="2:6" x14ac:dyDescent="0.25">
      <c r="B123" s="9">
        <v>6391000001</v>
      </c>
      <c r="C123" s="9" t="s">
        <v>139</v>
      </c>
      <c r="D123" s="57">
        <v>4.4009396000000096E-2</v>
      </c>
      <c r="E123" s="243"/>
      <c r="F123" s="57"/>
    </row>
    <row r="124" spans="2:6" x14ac:dyDescent="0.25">
      <c r="B124" s="9">
        <v>6391000003</v>
      </c>
      <c r="C124" s="9" t="s">
        <v>140</v>
      </c>
      <c r="D124" s="57">
        <v>4.4009396000000096E-2</v>
      </c>
      <c r="E124" s="243"/>
      <c r="F124" s="57"/>
    </row>
    <row r="125" spans="2:6" x14ac:dyDescent="0.25">
      <c r="B125" s="9">
        <v>6410000001</v>
      </c>
      <c r="C125" s="9" t="s">
        <v>141</v>
      </c>
      <c r="D125" s="57">
        <v>4.4009396000000096E-2</v>
      </c>
      <c r="E125" s="243"/>
      <c r="F125" s="57"/>
    </row>
    <row r="126" spans="2:6" x14ac:dyDescent="0.25">
      <c r="B126" s="9">
        <v>6410000002</v>
      </c>
      <c r="C126" s="9" t="s">
        <v>142</v>
      </c>
      <c r="D126" s="57">
        <v>4.4009396000000096E-2</v>
      </c>
      <c r="E126" s="243"/>
      <c r="F126" s="57"/>
    </row>
    <row r="127" spans="2:6" x14ac:dyDescent="0.25">
      <c r="B127" s="9">
        <v>6430000001</v>
      </c>
      <c r="C127" s="9" t="s">
        <v>143</v>
      </c>
      <c r="D127" s="57">
        <v>4.4009396000000096E-2</v>
      </c>
      <c r="E127" s="243"/>
      <c r="F127" s="57"/>
    </row>
    <row r="128" spans="2:6" x14ac:dyDescent="0.25">
      <c r="B128" s="9">
        <v>6430000002</v>
      </c>
      <c r="C128" s="9" t="s">
        <v>144</v>
      </c>
      <c r="D128" s="57">
        <v>4.4009396000000096E-2</v>
      </c>
      <c r="E128" s="243"/>
      <c r="F128" s="57"/>
    </row>
    <row r="129" spans="2:6" x14ac:dyDescent="0.25">
      <c r="B129" s="9">
        <v>6430000003</v>
      </c>
      <c r="C129" s="9" t="s">
        <v>145</v>
      </c>
      <c r="D129" s="57">
        <v>4.4009396000000096E-2</v>
      </c>
      <c r="E129" s="243"/>
      <c r="F129" s="57"/>
    </row>
    <row r="130" spans="2:6" x14ac:dyDescent="0.25">
      <c r="B130" s="9">
        <v>6510000001</v>
      </c>
      <c r="C130" s="9" t="s">
        <v>146</v>
      </c>
      <c r="D130" s="57">
        <v>0.2404668693070342</v>
      </c>
      <c r="E130" s="57"/>
      <c r="F130" s="57"/>
    </row>
    <row r="131" spans="2:6" x14ac:dyDescent="0.25">
      <c r="B131" s="9">
        <v>6530000001</v>
      </c>
      <c r="C131" s="9" t="s">
        <v>147</v>
      </c>
      <c r="D131" s="57">
        <v>4.4009396000000096E-2</v>
      </c>
      <c r="E131" s="243"/>
      <c r="F131" s="57"/>
    </row>
    <row r="132" spans="2:6" x14ac:dyDescent="0.25">
      <c r="B132" s="9">
        <v>6530000002</v>
      </c>
      <c r="C132" s="9" t="s">
        <v>148</v>
      </c>
      <c r="D132" s="57">
        <v>0.17007525835504156</v>
      </c>
      <c r="E132" s="57"/>
      <c r="F132" s="57"/>
    </row>
    <row r="133" spans="2:6" x14ac:dyDescent="0.25">
      <c r="B133" s="9">
        <v>6540000001</v>
      </c>
      <c r="C133" s="9" t="s">
        <v>149</v>
      </c>
      <c r="D133" s="57">
        <v>4.4009396000000096E-2</v>
      </c>
      <c r="E133" s="243"/>
      <c r="F133" s="57"/>
    </row>
    <row r="134" spans="2:6" x14ac:dyDescent="0.25">
      <c r="B134" s="9">
        <v>6561000001</v>
      </c>
      <c r="C134" s="9" t="s">
        <v>150</v>
      </c>
      <c r="D134" s="57">
        <v>4.4009396000000096E-2</v>
      </c>
      <c r="E134" s="243"/>
      <c r="F134" s="57"/>
    </row>
    <row r="135" spans="2:6" x14ac:dyDescent="0.25">
      <c r="B135" s="9">
        <v>6561000002</v>
      </c>
      <c r="C135" s="9" t="s">
        <v>151</v>
      </c>
      <c r="D135" s="57">
        <v>4.4009396000000096E-2</v>
      </c>
      <c r="E135" s="243"/>
      <c r="F135" s="57"/>
    </row>
    <row r="136" spans="2:6" x14ac:dyDescent="0.25">
      <c r="B136" s="9">
        <v>6561000003</v>
      </c>
      <c r="C136" s="9" t="s">
        <v>152</v>
      </c>
      <c r="D136" s="57">
        <v>9.8026320203328909E-2</v>
      </c>
      <c r="E136" s="57"/>
      <c r="F136" s="57"/>
    </row>
    <row r="137" spans="2:6" x14ac:dyDescent="0.25">
      <c r="B137" s="9">
        <v>6561000004</v>
      </c>
      <c r="C137" s="9" t="s">
        <v>153</v>
      </c>
      <c r="D137" s="57">
        <v>4.4009396000000096E-2</v>
      </c>
      <c r="E137" s="243"/>
      <c r="F137" s="57"/>
    </row>
    <row r="138" spans="2:6" x14ac:dyDescent="0.25">
      <c r="B138" s="9">
        <v>6561000005</v>
      </c>
      <c r="C138" s="9" t="s">
        <v>154</v>
      </c>
      <c r="D138" s="57">
        <v>4.4009396000000096E-2</v>
      </c>
      <c r="E138" s="243"/>
      <c r="F138" s="57"/>
    </row>
    <row r="139" spans="2:6" x14ac:dyDescent="0.25">
      <c r="B139" s="9">
        <v>6562000001</v>
      </c>
      <c r="C139" s="9" t="s">
        <v>155</v>
      </c>
      <c r="D139" s="57">
        <v>4.4009396000000096E-2</v>
      </c>
      <c r="E139" s="243"/>
      <c r="F139" s="57"/>
    </row>
    <row r="140" spans="2:6" x14ac:dyDescent="0.25">
      <c r="B140" s="9">
        <v>6562000002</v>
      </c>
      <c r="C140" s="9" t="s">
        <v>156</v>
      </c>
      <c r="D140" s="57">
        <v>4.4009396000000096E-2</v>
      </c>
      <c r="E140" s="243"/>
      <c r="F140" s="57"/>
    </row>
    <row r="141" spans="2:6" x14ac:dyDescent="0.25">
      <c r="B141" s="9">
        <v>6562000003</v>
      </c>
      <c r="C141" s="9" t="s">
        <v>157</v>
      </c>
      <c r="D141" s="57">
        <v>4.4009396000000096E-2</v>
      </c>
      <c r="E141" s="243"/>
      <c r="F141" s="57"/>
    </row>
    <row r="142" spans="2:6" x14ac:dyDescent="0.25">
      <c r="B142" s="9">
        <v>6562000004</v>
      </c>
      <c r="C142" s="9" t="s">
        <v>158</v>
      </c>
      <c r="D142" s="57">
        <v>4.4009396000000096E-2</v>
      </c>
      <c r="E142" s="243"/>
      <c r="F142" s="57"/>
    </row>
    <row r="143" spans="2:6" x14ac:dyDescent="0.25">
      <c r="B143" s="9">
        <v>6562000005</v>
      </c>
      <c r="C143" s="9" t="s">
        <v>159</v>
      </c>
      <c r="D143" s="57">
        <v>4.4009396000000096E-2</v>
      </c>
      <c r="E143" s="243"/>
      <c r="F143" s="57"/>
    </row>
    <row r="144" spans="2:6" x14ac:dyDescent="0.25">
      <c r="B144" s="9">
        <v>6563000001</v>
      </c>
      <c r="C144" s="9" t="s">
        <v>160</v>
      </c>
      <c r="D144" s="57">
        <v>4.4009396000000096E-2</v>
      </c>
      <c r="E144" s="243"/>
      <c r="F144" s="57"/>
    </row>
    <row r="145" spans="2:6" x14ac:dyDescent="0.25">
      <c r="B145" s="9">
        <v>6563000002</v>
      </c>
      <c r="C145" s="9" t="s">
        <v>161</v>
      </c>
      <c r="D145" s="57">
        <v>4.4009396000000096E-2</v>
      </c>
      <c r="E145" s="243"/>
      <c r="F145" s="57"/>
    </row>
    <row r="146" spans="2:6" x14ac:dyDescent="0.25">
      <c r="B146" s="9">
        <v>6563000003</v>
      </c>
      <c r="C146" s="9" t="s">
        <v>162</v>
      </c>
      <c r="D146" s="57">
        <v>4.4009396000000096E-2</v>
      </c>
      <c r="E146" s="243"/>
      <c r="F146" s="57"/>
    </row>
    <row r="147" spans="2:6" x14ac:dyDescent="0.25">
      <c r="B147" s="9">
        <v>6563000004</v>
      </c>
      <c r="C147" s="9" t="s">
        <v>163</v>
      </c>
      <c r="D147" s="57">
        <v>4.4009396000000096E-2</v>
      </c>
      <c r="E147" s="243"/>
      <c r="F147" s="57"/>
    </row>
    <row r="148" spans="2:6" x14ac:dyDescent="0.25">
      <c r="B148" s="9">
        <v>6563000005</v>
      </c>
      <c r="C148" s="9" t="s">
        <v>164</v>
      </c>
      <c r="D148" s="57">
        <v>4.4009396000000096E-2</v>
      </c>
      <c r="E148" s="243"/>
      <c r="F148" s="57"/>
    </row>
    <row r="149" spans="2:6" x14ac:dyDescent="0.25">
      <c r="B149" s="9">
        <v>6590000001</v>
      </c>
      <c r="C149" s="9" t="s">
        <v>165</v>
      </c>
      <c r="D149" s="57">
        <v>4.4009396000000096E-2</v>
      </c>
      <c r="E149" s="243"/>
      <c r="F149" s="57"/>
    </row>
    <row r="150" spans="2:6" x14ac:dyDescent="0.25">
      <c r="B150" s="9">
        <v>6590000002</v>
      </c>
      <c r="C150" s="9" t="s">
        <v>166</v>
      </c>
      <c r="D150" s="57">
        <v>4.4009396000000096E-2</v>
      </c>
      <c r="E150" s="243"/>
      <c r="F150" s="57"/>
    </row>
    <row r="151" spans="2:6" x14ac:dyDescent="0.25">
      <c r="B151" s="9">
        <v>6590000003</v>
      </c>
      <c r="C151" s="9" t="s">
        <v>167</v>
      </c>
      <c r="D151" s="57">
        <v>4.4009396000000096E-2</v>
      </c>
      <c r="E151" s="243"/>
      <c r="F151" s="57"/>
    </row>
    <row r="152" spans="2:6" x14ac:dyDescent="0.25">
      <c r="B152" s="9">
        <v>6590000004</v>
      </c>
      <c r="C152" s="9" t="s">
        <v>168</v>
      </c>
      <c r="D152" s="57">
        <v>4.4009396000000096E-2</v>
      </c>
      <c r="E152" s="243"/>
      <c r="F152" s="57"/>
    </row>
    <row r="153" spans="2:6" x14ac:dyDescent="0.25">
      <c r="B153" s="9">
        <v>6590000005</v>
      </c>
      <c r="C153" s="9" t="s">
        <v>169</v>
      </c>
      <c r="D153" s="57">
        <v>4.4009396000000096E-2</v>
      </c>
      <c r="E153" s="243"/>
      <c r="F153" s="57"/>
    </row>
    <row r="154" spans="2:6" x14ac:dyDescent="0.25">
      <c r="B154" s="9">
        <v>6590000006</v>
      </c>
      <c r="C154" s="9" t="s">
        <v>170</v>
      </c>
      <c r="D154" s="57">
        <v>0.55350740986062807</v>
      </c>
      <c r="E154" s="243"/>
      <c r="F154" s="57"/>
    </row>
    <row r="155" spans="2:6" x14ac:dyDescent="0.25">
      <c r="B155" s="9">
        <v>6590000007</v>
      </c>
      <c r="C155" s="9" t="s">
        <v>171</v>
      </c>
      <c r="D155" s="57">
        <v>4.4009396000000096E-2</v>
      </c>
      <c r="E155" s="243"/>
      <c r="F155" s="57"/>
    </row>
    <row r="156" spans="2:6" x14ac:dyDescent="0.25">
      <c r="B156" s="9">
        <v>6590000010</v>
      </c>
      <c r="C156" s="9" t="s">
        <v>172</v>
      </c>
      <c r="D156" s="57">
        <v>4.4009396000000096E-2</v>
      </c>
      <c r="E156" s="243"/>
      <c r="F156" s="57"/>
    </row>
    <row r="157" spans="2:6" x14ac:dyDescent="0.25">
      <c r="B157" s="9">
        <v>6590000011</v>
      </c>
      <c r="C157" s="9" t="s">
        <v>173</v>
      </c>
      <c r="D157" s="57">
        <v>4.4009396000000096E-2</v>
      </c>
      <c r="E157" s="243"/>
      <c r="F157" s="57"/>
    </row>
    <row r="158" spans="2:6" x14ac:dyDescent="0.25">
      <c r="B158" s="9">
        <v>6840000001</v>
      </c>
      <c r="C158" s="9" t="s">
        <v>174</v>
      </c>
      <c r="D158" s="57">
        <v>4.4009396000000096E-2</v>
      </c>
      <c r="E158" s="243"/>
      <c r="F158" s="57"/>
    </row>
    <row r="159" spans="2:6" x14ac:dyDescent="0.25">
      <c r="B159" s="9">
        <v>8710000001</v>
      </c>
      <c r="C159" s="9" t="s">
        <v>175</v>
      </c>
      <c r="D159" s="57">
        <v>0</v>
      </c>
      <c r="E159" s="57"/>
      <c r="F159" s="57"/>
    </row>
    <row r="160" spans="2:6" x14ac:dyDescent="0.25">
      <c r="B160" s="156">
        <v>6380000016</v>
      </c>
      <c r="C160" s="156" t="s">
        <v>114</v>
      </c>
      <c r="D160" s="157">
        <v>0</v>
      </c>
      <c r="E160" s="157"/>
      <c r="F160" s="157"/>
    </row>
  </sheetData>
  <hyperlinks>
    <hyperlink ref="D1" location="Índice!A1" display="ÍNDICE" xr:uid="{766AE9B1-03CA-4215-87C8-7F6A41106A7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FBCBE-F56D-4D43-B2A5-987A5DA36962}">
  <sheetPr codeName="Hoja3"/>
  <dimension ref="A1:M29"/>
  <sheetViews>
    <sheetView showGridLines="0" workbookViewId="0">
      <selection activeCell="E11" sqref="E11"/>
    </sheetView>
  </sheetViews>
  <sheetFormatPr baseColWidth="10" defaultColWidth="0" defaultRowHeight="0" customHeight="1" zeroHeight="1" x14ac:dyDescent="0.25"/>
  <cols>
    <col min="1" max="1" width="1.6640625" style="37" customWidth="1"/>
    <col min="2" max="2" width="15.6640625" style="37" customWidth="1"/>
    <col min="3" max="3" width="14.6640625" style="37" customWidth="1"/>
    <col min="4" max="4" width="12.33203125" style="37" customWidth="1"/>
    <col min="5" max="6" width="12.6640625" style="37" customWidth="1"/>
    <col min="7" max="7" width="15.5546875" style="37" customWidth="1"/>
    <col min="8" max="8" width="12" style="37" hidden="1" customWidth="1"/>
    <col min="9" max="9" width="12.109375" style="37" hidden="1" customWidth="1"/>
    <col min="10" max="10" width="0" style="37" hidden="1" customWidth="1"/>
    <col min="11" max="11" width="12" style="37" hidden="1" customWidth="1"/>
    <col min="12" max="13" width="12.109375" style="37" hidden="1" customWidth="1"/>
    <col min="14" max="16384" width="9.109375" style="37" hidden="1"/>
  </cols>
  <sheetData>
    <row r="1" spans="2:8" ht="16.2" thickBot="1" x14ac:dyDescent="0.35">
      <c r="B1" s="36" t="s">
        <v>397</v>
      </c>
      <c r="F1" s="38" t="s">
        <v>389</v>
      </c>
    </row>
    <row r="2" spans="2:8" ht="13.2" x14ac:dyDescent="0.25"/>
    <row r="3" spans="2:8" ht="12.75" customHeight="1" x14ac:dyDescent="0.25">
      <c r="B3" s="323" t="s">
        <v>396</v>
      </c>
      <c r="C3" s="323" t="s">
        <v>390</v>
      </c>
      <c r="D3" s="284" t="s">
        <v>391</v>
      </c>
    </row>
    <row r="4" spans="2:8" ht="13.2" hidden="1" x14ac:dyDescent="0.25">
      <c r="B4" s="323"/>
      <c r="C4" s="323"/>
      <c r="D4" s="39" t="s">
        <v>393</v>
      </c>
    </row>
    <row r="5" spans="2:8" ht="15.75" customHeight="1" x14ac:dyDescent="0.25">
      <c r="B5" s="48" t="s">
        <v>1</v>
      </c>
      <c r="C5" s="46" t="s">
        <v>395</v>
      </c>
      <c r="D5" s="44">
        <f>+'0. Flujo DOM-DOM'!E6*(1+'5.1 Var-Macro'!C148)</f>
        <v>6.3232874822567151</v>
      </c>
      <c r="G5" s="306"/>
      <c r="H5" s="42"/>
    </row>
    <row r="6" spans="2:8" ht="15.75" customHeight="1" x14ac:dyDescent="0.25">
      <c r="B6" s="49" t="s">
        <v>0</v>
      </c>
      <c r="C6" s="47" t="s">
        <v>395</v>
      </c>
      <c r="D6" s="45">
        <f>+'0. Flujo INT-INT'!E6*(1+'5.1 Var-Macro'!C148)</f>
        <v>10.05420145936875</v>
      </c>
      <c r="G6" s="306"/>
      <c r="H6" s="42"/>
    </row>
    <row r="7" spans="2:8" ht="13.2" x14ac:dyDescent="0.25">
      <c r="E7" s="43"/>
      <c r="H7" s="7"/>
    </row>
    <row r="8" spans="2:8" ht="13.2" x14ac:dyDescent="0.25">
      <c r="E8" s="43"/>
      <c r="H8" s="7"/>
    </row>
    <row r="9" spans="2:8" ht="13.2" x14ac:dyDescent="0.25">
      <c r="E9" s="43"/>
      <c r="H9" s="7"/>
    </row>
    <row r="10" spans="2:8" ht="13.2" x14ac:dyDescent="0.25">
      <c r="E10" s="43"/>
      <c r="H10" s="7"/>
    </row>
    <row r="11" spans="2:8" ht="13.2" x14ac:dyDescent="0.25">
      <c r="E11" s="43"/>
      <c r="H11" s="7"/>
    </row>
    <row r="12" spans="2:8" ht="13.2" x14ac:dyDescent="0.25">
      <c r="E12" s="43"/>
      <c r="H12" s="7"/>
    </row>
    <row r="13" spans="2:8" ht="13.2" x14ac:dyDescent="0.25">
      <c r="E13" s="43"/>
      <c r="H13" s="7"/>
    </row>
    <row r="14" spans="2:8" ht="13.2" x14ac:dyDescent="0.25">
      <c r="H14" s="7"/>
    </row>
    <row r="15" spans="2:8" ht="13.2" hidden="1" x14ac:dyDescent="0.25">
      <c r="H15" s="7"/>
    </row>
    <row r="16" spans="2:8" ht="13.2" hidden="1" x14ac:dyDescent="0.25"/>
    <row r="17" ht="13.2" hidden="1" x14ac:dyDescent="0.25"/>
    <row r="18" ht="13.2" hidden="1" x14ac:dyDescent="0.25"/>
    <row r="19" ht="13.2" hidden="1" x14ac:dyDescent="0.25"/>
    <row r="20" ht="13.2" hidden="1" x14ac:dyDescent="0.25"/>
    <row r="21" ht="13.2" hidden="1" x14ac:dyDescent="0.25"/>
    <row r="22" ht="13.2" hidden="1" x14ac:dyDescent="0.25"/>
    <row r="23" ht="13.2" hidden="1" x14ac:dyDescent="0.25"/>
    <row r="24" ht="13.2" hidden="1" x14ac:dyDescent="0.25"/>
    <row r="25" ht="13.2" hidden="1" x14ac:dyDescent="0.25"/>
    <row r="26" ht="13.2" hidden="1" x14ac:dyDescent="0.25"/>
    <row r="27" ht="13.2" hidden="1" x14ac:dyDescent="0.25"/>
    <row r="28" ht="13.2" hidden="1" x14ac:dyDescent="0.25"/>
    <row r="29" ht="13.2" hidden="1" x14ac:dyDescent="0.25"/>
  </sheetData>
  <mergeCells count="2">
    <mergeCell ref="B3:B4"/>
    <mergeCell ref="C3:C4"/>
  </mergeCells>
  <dataValidations count="3">
    <dataValidation type="list" allowBlank="1" showInputMessage="1" showErrorMessage="1" sqref="I15" xr:uid="{C02788FC-33E9-443C-847B-3E0A6AC601AD}">
      <formula1>"Propuesta LAP, Cargos 2022"</formula1>
    </dataValidation>
    <dataValidation type="list" allowBlank="1" showInputMessage="1" showErrorMessage="1" sqref="I14" xr:uid="{2187D26B-C3FD-4BCC-8623-6DC1AFE3FFEB}">
      <formula1>"Todo Año 0,Año 0 + 2025"</formula1>
    </dataValidation>
    <dataValidation type="list" allowBlank="1" showInputMessage="1" showErrorMessage="1" sqref="I7:I13" xr:uid="{9F8DAE59-B7D6-4F52-8576-86BFD625442D}">
      <formula1>"Ratio,Factor de Ocupación"</formula1>
    </dataValidation>
  </dataValidations>
  <hyperlinks>
    <hyperlink ref="F1" location="Índice!A1" display="ÍNDICE" xr:uid="{F014ACD1-769A-4126-B7E9-226C6BAA6A60}"/>
  </hyperlink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TarifaFinal">
                <anchor moveWithCells="1" sizeWithCells="1">
                  <from>
                    <xdr:col>4</xdr:col>
                    <xdr:colOff>220980</xdr:colOff>
                    <xdr:row>4</xdr:row>
                    <xdr:rowOff>152400</xdr:rowOff>
                  </from>
                  <to>
                    <xdr:col>5</xdr:col>
                    <xdr:colOff>335280</xdr:colOff>
                    <xdr:row>6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467A-066F-4631-9A31-96D6654F3FA5}">
  <sheetPr codeName="Hoja4"/>
  <dimension ref="A1:Y47"/>
  <sheetViews>
    <sheetView showGridLines="0" zoomScaleNormal="100" workbookViewId="0">
      <pane ySplit="2" topLeftCell="A3" activePane="bottomLeft" state="frozen"/>
      <selection pane="bottomLeft" activeCell="D30" sqref="D30"/>
    </sheetView>
  </sheetViews>
  <sheetFormatPr baseColWidth="10" defaultColWidth="0" defaultRowHeight="13.2" x14ac:dyDescent="0.25"/>
  <cols>
    <col min="1" max="1" width="2.6640625" style="1" customWidth="1"/>
    <col min="2" max="2" width="27.33203125" style="1" bestFit="1" customWidth="1"/>
    <col min="3" max="10" width="11.33203125" style="1" customWidth="1"/>
    <col min="11" max="11" width="2.6640625" style="1" customWidth="1"/>
    <col min="12" max="12" width="14.88671875" style="1" hidden="1" customWidth="1"/>
    <col min="13" max="17" width="13.6640625" style="1" hidden="1" customWidth="1"/>
    <col min="18" max="18" width="13.88671875" style="1" hidden="1" customWidth="1"/>
    <col min="19" max="19" width="11.5546875" style="1" hidden="1" customWidth="1"/>
    <col min="20" max="21" width="11.6640625" style="1" hidden="1" customWidth="1"/>
    <col min="22" max="25" width="13.6640625" style="1" hidden="1" customWidth="1"/>
    <col min="26" max="16384" width="11.5546875" style="1" hidden="1"/>
  </cols>
  <sheetData>
    <row r="1" spans="2:25" ht="16.2" thickBot="1" x14ac:dyDescent="0.35">
      <c r="B1" s="36" t="s">
        <v>398</v>
      </c>
      <c r="J1" s="38" t="s">
        <v>389</v>
      </c>
    </row>
    <row r="2" spans="2:25" x14ac:dyDescent="0.25">
      <c r="B2" s="50" t="s">
        <v>399</v>
      </c>
    </row>
    <row r="3" spans="2:25" ht="5.0999999999999996" customHeight="1" x14ac:dyDescent="0.25"/>
    <row r="4" spans="2:25" x14ac:dyDescent="0.25">
      <c r="B4" s="52" t="s">
        <v>343</v>
      </c>
      <c r="C4" s="52"/>
      <c r="D4" s="52">
        <v>2024</v>
      </c>
      <c r="E4" s="52">
        <v>2025</v>
      </c>
      <c r="F4" s="52">
        <v>2026</v>
      </c>
      <c r="G4" s="52">
        <v>2027</v>
      </c>
      <c r="H4" s="52">
        <v>2028</v>
      </c>
      <c r="I4" s="52">
        <v>2029</v>
      </c>
      <c r="J4" s="52">
        <v>2030</v>
      </c>
    </row>
    <row r="5" spans="2:25" x14ac:dyDescent="0.25">
      <c r="B5" s="37" t="s">
        <v>401</v>
      </c>
      <c r="E5" s="56">
        <f>+'1. Demanda'!C24</f>
        <v>632203.31305075623</v>
      </c>
      <c r="F5" s="56">
        <f>+'1. Demanda'!D24</f>
        <v>860545.33848201297</v>
      </c>
      <c r="G5" s="56">
        <f>+'1. Demanda'!E24</f>
        <v>885582.1520514664</v>
      </c>
      <c r="H5" s="56">
        <f>+'1. Demanda'!F24</f>
        <v>911054.07582776831</v>
      </c>
      <c r="I5" s="56">
        <f>+'1. Demanda'!G24</f>
        <v>949482.69513160572</v>
      </c>
      <c r="J5" s="56">
        <f>+'1. Demanda'!H24</f>
        <v>982530.64951376314</v>
      </c>
      <c r="L5" s="2"/>
      <c r="M5" s="2"/>
      <c r="N5" s="2"/>
      <c r="O5" s="2"/>
      <c r="P5" s="2"/>
      <c r="Q5" s="2"/>
      <c r="R5" s="2"/>
      <c r="T5" s="2"/>
      <c r="U5" s="2"/>
      <c r="V5" s="2"/>
      <c r="W5" s="2"/>
      <c r="X5" s="2"/>
      <c r="Y5" s="2"/>
    </row>
    <row r="6" spans="2:25" x14ac:dyDescent="0.25">
      <c r="B6" s="37" t="s">
        <v>400</v>
      </c>
      <c r="D6" s="5"/>
      <c r="E6" s="55">
        <v>6.1497687466506967</v>
      </c>
      <c r="F6" s="55">
        <f>+E6</f>
        <v>6.1497687466506967</v>
      </c>
      <c r="G6" s="55">
        <f t="shared" ref="G6:J6" si="0">+F6</f>
        <v>6.1497687466506967</v>
      </c>
      <c r="H6" s="55">
        <f t="shared" si="0"/>
        <v>6.1497687466506967</v>
      </c>
      <c r="I6" s="55">
        <f t="shared" si="0"/>
        <v>6.1497687466506967</v>
      </c>
      <c r="J6" s="55">
        <f t="shared" si="0"/>
        <v>6.1497687466506967</v>
      </c>
      <c r="L6" s="2"/>
      <c r="M6" s="2"/>
      <c r="N6" s="2"/>
      <c r="O6" s="2"/>
      <c r="P6" s="2"/>
      <c r="Q6" s="2"/>
      <c r="R6" s="2"/>
      <c r="T6" s="2"/>
      <c r="U6" s="2"/>
      <c r="V6" s="2"/>
      <c r="W6" s="2"/>
      <c r="X6" s="2"/>
      <c r="Y6" s="2"/>
    </row>
    <row r="7" spans="2:25" x14ac:dyDescent="0.25">
      <c r="B7" s="51" t="s">
        <v>344</v>
      </c>
      <c r="C7" s="51"/>
      <c r="D7" s="59"/>
      <c r="E7" s="60">
        <f>+E5*E6</f>
        <v>3887904.1761285672</v>
      </c>
      <c r="F7" s="60">
        <f t="shared" ref="F7:J7" si="1">+F5*F6</f>
        <v>5292154.8276726287</v>
      </c>
      <c r="G7" s="60">
        <f t="shared" si="1"/>
        <v>5446125.4412777731</v>
      </c>
      <c r="H7" s="60">
        <f t="shared" si="1"/>
        <v>5602771.8820343437</v>
      </c>
      <c r="I7" s="60">
        <f t="shared" si="1"/>
        <v>5839099.0040060207</v>
      </c>
      <c r="J7" s="60">
        <f t="shared" si="1"/>
        <v>6042336.2810061499</v>
      </c>
      <c r="L7" s="2"/>
      <c r="M7" s="2"/>
      <c r="N7" s="2"/>
      <c r="O7" s="2"/>
      <c r="P7" s="2"/>
      <c r="Q7" s="2"/>
      <c r="R7" s="2"/>
      <c r="T7" s="2"/>
      <c r="U7" s="2"/>
      <c r="V7" s="2"/>
      <c r="W7" s="2"/>
      <c r="X7" s="2"/>
      <c r="Y7" s="2"/>
    </row>
    <row r="8" spans="2:25" ht="5.0999999999999996" customHeight="1" x14ac:dyDescent="0.25">
      <c r="D8" s="5"/>
      <c r="E8" s="56"/>
      <c r="F8" s="56"/>
      <c r="G8" s="56"/>
      <c r="H8" s="56"/>
      <c r="I8" s="56"/>
      <c r="J8" s="56"/>
      <c r="L8" s="2"/>
      <c r="M8" s="2"/>
      <c r="N8" s="2"/>
      <c r="O8" s="2"/>
      <c r="P8" s="2"/>
      <c r="Q8" s="2"/>
      <c r="R8" s="2"/>
      <c r="T8" s="2"/>
      <c r="U8" s="2"/>
      <c r="V8" s="2"/>
      <c r="W8" s="2"/>
      <c r="X8" s="2"/>
      <c r="Y8" s="2"/>
    </row>
    <row r="9" spans="2:25" x14ac:dyDescent="0.25">
      <c r="B9" s="1" t="s">
        <v>345</v>
      </c>
      <c r="C9" s="58">
        <v>0.46511000000000002</v>
      </c>
      <c r="D9" s="5"/>
      <c r="E9" s="56">
        <f>-$C$9*E7</f>
        <v>-1808303.1113591581</v>
      </c>
      <c r="F9" s="56">
        <f t="shared" ref="F9:J9" si="2">-$C$9*F7</f>
        <v>-2461434.1318988167</v>
      </c>
      <c r="G9" s="56">
        <f t="shared" si="2"/>
        <v>-2533047.403992705</v>
      </c>
      <c r="H9" s="56">
        <f t="shared" si="2"/>
        <v>-2605905.2300529936</v>
      </c>
      <c r="I9" s="56">
        <f t="shared" si="2"/>
        <v>-2715823.3377532405</v>
      </c>
      <c r="J9" s="56">
        <f t="shared" si="2"/>
        <v>-2810351.0276587703</v>
      </c>
      <c r="L9" s="2"/>
      <c r="M9" s="2"/>
      <c r="N9" s="2"/>
      <c r="O9" s="2"/>
      <c r="P9" s="2"/>
      <c r="Q9" s="2"/>
      <c r="R9" s="2"/>
      <c r="T9" s="2"/>
      <c r="U9" s="2"/>
      <c r="V9" s="2"/>
      <c r="W9" s="2"/>
      <c r="X9" s="2"/>
      <c r="Y9" s="2"/>
    </row>
    <row r="10" spans="2:25" x14ac:dyDescent="0.25">
      <c r="B10" s="1" t="s">
        <v>346</v>
      </c>
      <c r="C10" s="57">
        <v>0.01</v>
      </c>
      <c r="D10" s="5"/>
      <c r="E10" s="56">
        <f>-$C$10*E7</f>
        <v>-38879.041761285676</v>
      </c>
      <c r="F10" s="56">
        <f t="shared" ref="F10:J10" si="3">-$C$10*F7</f>
        <v>-52921.548276726287</v>
      </c>
      <c r="G10" s="56">
        <f t="shared" si="3"/>
        <v>-54461.254412777729</v>
      </c>
      <c r="H10" s="56">
        <f t="shared" si="3"/>
        <v>-56027.718820343434</v>
      </c>
      <c r="I10" s="56">
        <f t="shared" si="3"/>
        <v>-58390.990040060206</v>
      </c>
      <c r="J10" s="56">
        <f t="shared" si="3"/>
        <v>-60423.362810061502</v>
      </c>
      <c r="L10" s="2"/>
      <c r="M10" s="2"/>
      <c r="N10" s="2"/>
      <c r="O10" s="2"/>
      <c r="P10" s="2"/>
      <c r="Q10" s="2"/>
      <c r="R10" s="2"/>
      <c r="T10" s="2"/>
      <c r="U10" s="2"/>
      <c r="V10" s="2"/>
      <c r="W10" s="2"/>
      <c r="X10" s="2"/>
      <c r="Y10" s="2"/>
    </row>
    <row r="11" spans="2:25" x14ac:dyDescent="0.25">
      <c r="B11" s="51" t="s">
        <v>347</v>
      </c>
      <c r="C11" s="51"/>
      <c r="D11" s="59"/>
      <c r="E11" s="60">
        <f>+SUM(E7:E10)</f>
        <v>2040722.0230081235</v>
      </c>
      <c r="F11" s="60">
        <f t="shared" ref="F11:J11" si="4">+SUM(F7:F10)</f>
        <v>2777799.1474970859</v>
      </c>
      <c r="G11" s="60">
        <f t="shared" si="4"/>
        <v>2858616.7828722904</v>
      </c>
      <c r="H11" s="60">
        <f t="shared" si="4"/>
        <v>2940838.9331610068</v>
      </c>
      <c r="I11" s="60">
        <f t="shared" si="4"/>
        <v>3064884.6762127201</v>
      </c>
      <c r="J11" s="60">
        <f t="shared" si="4"/>
        <v>3171561.8905373183</v>
      </c>
      <c r="L11" s="2"/>
      <c r="M11" s="2"/>
      <c r="N11" s="2"/>
      <c r="O11" s="2"/>
      <c r="P11" s="2"/>
      <c r="Q11" s="2"/>
      <c r="R11" s="2"/>
      <c r="T11" s="2"/>
      <c r="U11" s="2"/>
      <c r="V11" s="2"/>
      <c r="W11" s="2"/>
      <c r="X11" s="2"/>
      <c r="Y11" s="2"/>
    </row>
    <row r="12" spans="2:25" ht="5.0999999999999996" customHeight="1" x14ac:dyDescent="0.25">
      <c r="D12" s="5"/>
      <c r="E12" s="56"/>
      <c r="F12" s="56"/>
      <c r="G12" s="56"/>
      <c r="H12" s="56"/>
      <c r="I12" s="56"/>
      <c r="J12" s="56"/>
      <c r="L12" s="2"/>
      <c r="M12" s="2"/>
      <c r="N12" s="2"/>
      <c r="O12" s="2"/>
      <c r="P12" s="2"/>
      <c r="Q12" s="2"/>
      <c r="R12" s="2"/>
      <c r="T12" s="2"/>
      <c r="U12" s="2"/>
      <c r="V12" s="2"/>
      <c r="W12" s="2"/>
      <c r="X12" s="2"/>
      <c r="Y12" s="2"/>
    </row>
    <row r="13" spans="2:25" x14ac:dyDescent="0.25">
      <c r="B13" s="1" t="s">
        <v>348</v>
      </c>
      <c r="D13" s="5"/>
      <c r="E13" s="56">
        <f>-'2. OPEX'!C30</f>
        <v>-301430.345505837</v>
      </c>
      <c r="F13" s="56">
        <f>-'2. OPEX'!D30</f>
        <v>-394912.39627522521</v>
      </c>
      <c r="G13" s="56">
        <f>-'2. OPEX'!E30</f>
        <v>-394683.48836986278</v>
      </c>
      <c r="H13" s="56">
        <f>-'2. OPEX'!F30</f>
        <v>-394419.6796717869</v>
      </c>
      <c r="I13" s="56">
        <f>-'2. OPEX'!G30</f>
        <v>-397705.5614295135</v>
      </c>
      <c r="J13" s="56">
        <f>-'2. OPEX'!H30</f>
        <v>-399520.31969417277</v>
      </c>
      <c r="L13" s="2"/>
      <c r="M13" s="2"/>
      <c r="N13" s="2"/>
      <c r="O13" s="2"/>
      <c r="P13" s="2"/>
      <c r="Q13" s="2"/>
      <c r="R13" s="2"/>
      <c r="S13" s="6"/>
      <c r="T13" s="2"/>
      <c r="U13" s="2"/>
      <c r="V13" s="2"/>
      <c r="W13" s="2"/>
      <c r="X13" s="2"/>
      <c r="Y13" s="2"/>
    </row>
    <row r="14" spans="2:25" x14ac:dyDescent="0.25">
      <c r="B14" s="1" t="s">
        <v>350</v>
      </c>
      <c r="D14" s="5"/>
      <c r="E14" s="56">
        <f>-'2. OPEX'!C31</f>
        <v>-566194.00693675003</v>
      </c>
      <c r="F14" s="56">
        <f>-'2. OPEX'!D31</f>
        <v>-736818.69377567235</v>
      </c>
      <c r="G14" s="56">
        <f>-'2. OPEX'!E31</f>
        <v>-733381.62328789139</v>
      </c>
      <c r="H14" s="56">
        <f>-'2. OPEX'!F31</f>
        <v>-729820.44387365668</v>
      </c>
      <c r="I14" s="56">
        <f>-'2. OPEX'!G31</f>
        <v>-734444.19709008816</v>
      </c>
      <c r="J14" s="56">
        <f>-'2. OPEX'!H31</f>
        <v>-735770.38984940015</v>
      </c>
      <c r="L14" s="2"/>
      <c r="M14" s="2"/>
      <c r="N14" s="2"/>
      <c r="O14" s="2"/>
      <c r="P14" s="2"/>
      <c r="Q14" s="2"/>
      <c r="R14" s="2"/>
      <c r="S14" s="6"/>
      <c r="T14" s="2"/>
      <c r="U14" s="2"/>
      <c r="V14" s="2"/>
      <c r="W14" s="2"/>
      <c r="X14" s="2"/>
      <c r="Y14" s="2"/>
    </row>
    <row r="15" spans="2:25" x14ac:dyDescent="0.25">
      <c r="B15" s="1" t="s">
        <v>349</v>
      </c>
      <c r="D15" s="5"/>
      <c r="E15" s="56">
        <f>-'2. OPEX'!C32</f>
        <v>-271128.66127437406</v>
      </c>
      <c r="F15" s="56">
        <f>-'2. OPEX'!D32</f>
        <v>-344197.45921069378</v>
      </c>
      <c r="G15" s="56">
        <f>-'2. OPEX'!E32</f>
        <v>-336418.16276577051</v>
      </c>
      <c r="H15" s="56">
        <f>-'2. OPEX'!F32</f>
        <v>-328773.5079382711</v>
      </c>
      <c r="I15" s="56">
        <f>-'2. OPEX'!G32</f>
        <v>-324628.47342797543</v>
      </c>
      <c r="J15" s="56">
        <f>-'2. OPEX'!H32</f>
        <v>-319540.00696544372</v>
      </c>
      <c r="L15" s="2"/>
      <c r="M15" s="2"/>
      <c r="N15" s="2"/>
      <c r="O15" s="2"/>
      <c r="P15" s="2"/>
      <c r="Q15" s="2"/>
      <c r="R15" s="2"/>
      <c r="S15" s="6"/>
      <c r="T15" s="2"/>
      <c r="U15" s="2"/>
      <c r="V15" s="2"/>
      <c r="W15" s="2"/>
      <c r="X15" s="2"/>
      <c r="Y15" s="2"/>
    </row>
    <row r="16" spans="2:25" x14ac:dyDescent="0.25">
      <c r="B16" s="51" t="s">
        <v>351</v>
      </c>
      <c r="C16" s="51"/>
      <c r="D16" s="59"/>
      <c r="E16" s="60">
        <f>+SUM(E13:E15)</f>
        <v>-1138753.013716961</v>
      </c>
      <c r="F16" s="60">
        <f t="shared" ref="F16:J16" si="5">+SUM(F13:F15)</f>
        <v>-1475928.5492615914</v>
      </c>
      <c r="G16" s="60">
        <f t="shared" si="5"/>
        <v>-1464483.2744235245</v>
      </c>
      <c r="H16" s="60">
        <f t="shared" si="5"/>
        <v>-1453013.6314837148</v>
      </c>
      <c r="I16" s="60">
        <f t="shared" si="5"/>
        <v>-1456778.2319475771</v>
      </c>
      <c r="J16" s="60">
        <f t="shared" si="5"/>
        <v>-1454830.7165090167</v>
      </c>
      <c r="L16" s="2"/>
      <c r="M16" s="2"/>
      <c r="N16" s="2"/>
      <c r="O16" s="2"/>
      <c r="P16" s="2"/>
      <c r="Q16" s="2"/>
      <c r="R16" s="2"/>
      <c r="S16" s="6"/>
      <c r="T16" s="2"/>
      <c r="U16" s="2"/>
      <c r="V16" s="2"/>
      <c r="W16" s="2"/>
      <c r="X16" s="2"/>
      <c r="Y16" s="2"/>
    </row>
    <row r="17" spans="2:25" ht="5.0999999999999996" customHeight="1" x14ac:dyDescent="0.25">
      <c r="D17" s="5"/>
      <c r="E17" s="56"/>
      <c r="F17" s="56"/>
      <c r="G17" s="56"/>
      <c r="H17" s="56"/>
      <c r="I17" s="56"/>
      <c r="J17" s="56"/>
      <c r="L17" s="2"/>
      <c r="M17" s="2"/>
      <c r="N17" s="2"/>
      <c r="O17" s="2"/>
      <c r="P17" s="2"/>
      <c r="Q17" s="2"/>
      <c r="R17" s="2"/>
      <c r="T17" s="2"/>
      <c r="U17" s="2"/>
      <c r="V17" s="2"/>
      <c r="W17" s="2"/>
      <c r="X17" s="2"/>
      <c r="Y17" s="2"/>
    </row>
    <row r="18" spans="2:25" x14ac:dyDescent="0.25">
      <c r="B18" s="17" t="s">
        <v>352</v>
      </c>
      <c r="D18" s="56">
        <f>+D35</f>
        <v>-1419866.486758865</v>
      </c>
      <c r="E18" s="56">
        <f t="shared" ref="E18:J18" si="6">+E35</f>
        <v>390613.07129174931</v>
      </c>
      <c r="F18" s="56">
        <f t="shared" si="6"/>
        <v>712468.60899250151</v>
      </c>
      <c r="G18" s="56">
        <f t="shared" si="6"/>
        <v>764836.58040617942</v>
      </c>
      <c r="H18" s="56">
        <f t="shared" si="6"/>
        <v>794593.21293064998</v>
      </c>
      <c r="I18" s="56">
        <f t="shared" si="6"/>
        <v>836476.00914383284</v>
      </c>
      <c r="J18" s="56">
        <f t="shared" si="6"/>
        <v>873239.9694661519</v>
      </c>
      <c r="L18" s="2"/>
      <c r="M18" s="2"/>
      <c r="N18" s="2"/>
      <c r="O18" s="2"/>
      <c r="P18" s="2"/>
      <c r="Q18" s="2"/>
      <c r="R18" s="2"/>
      <c r="T18" s="2"/>
      <c r="U18" s="2"/>
      <c r="V18" s="2"/>
      <c r="W18" s="2"/>
      <c r="X18" s="2"/>
      <c r="Y18" s="2"/>
    </row>
    <row r="19" spans="2:25" x14ac:dyDescent="0.25">
      <c r="B19" s="17" t="s">
        <v>353</v>
      </c>
      <c r="D19" s="56">
        <f>-D40</f>
        <v>0</v>
      </c>
      <c r="E19" s="56">
        <f t="shared" ref="E19:J19" si="7">-E40</f>
        <v>0</v>
      </c>
      <c r="F19" s="56">
        <f t="shared" si="7"/>
        <v>0</v>
      </c>
      <c r="G19" s="56">
        <f t="shared" si="7"/>
        <v>-448051.77393156535</v>
      </c>
      <c r="H19" s="56">
        <f t="shared" si="7"/>
        <v>-794593.21293064998</v>
      </c>
      <c r="I19" s="56">
        <f t="shared" si="7"/>
        <v>-836476.00914383284</v>
      </c>
      <c r="J19" s="56">
        <f t="shared" si="7"/>
        <v>-873239.9694661519</v>
      </c>
      <c r="L19" s="2"/>
      <c r="M19" s="2"/>
      <c r="N19" s="2"/>
      <c r="O19" s="2"/>
      <c r="P19" s="2"/>
      <c r="Q19" s="2"/>
      <c r="R19" s="2"/>
      <c r="T19" s="2"/>
      <c r="U19" s="2"/>
      <c r="V19" s="2"/>
      <c r="W19" s="2"/>
      <c r="X19" s="2"/>
      <c r="Y19" s="2"/>
    </row>
    <row r="20" spans="2:25" x14ac:dyDescent="0.25">
      <c r="B20" s="17" t="s">
        <v>354</v>
      </c>
      <c r="D20" s="56">
        <f>+D47</f>
        <v>0</v>
      </c>
      <c r="E20" s="56">
        <f t="shared" ref="E20:J20" si="8">+E47</f>
        <v>-126954.69353420753</v>
      </c>
      <c r="F20" s="56">
        <f t="shared" si="8"/>
        <v>-182080.04886230332</v>
      </c>
      <c r="G20" s="56">
        <f t="shared" si="8"/>
        <v>-203474.27696213545</v>
      </c>
      <c r="H20" s="56">
        <f t="shared" si="8"/>
        <v>-227740.45140832372</v>
      </c>
      <c r="I20" s="56">
        <f t="shared" si="8"/>
        <v>-258893.26733857719</v>
      </c>
      <c r="J20" s="56">
        <f t="shared" si="8"/>
        <v>-287027.07234723528</v>
      </c>
      <c r="L20" s="2"/>
      <c r="M20" s="2"/>
      <c r="N20" s="2"/>
      <c r="O20" s="2"/>
      <c r="P20" s="2"/>
      <c r="Q20" s="2"/>
      <c r="R20" s="2"/>
      <c r="T20" s="2"/>
      <c r="U20" s="2"/>
      <c r="V20" s="2"/>
      <c r="W20" s="2"/>
      <c r="X20" s="2"/>
      <c r="Y20" s="2"/>
    </row>
    <row r="21" spans="2:25" ht="5.0999999999999996" customHeight="1" x14ac:dyDescent="0.25">
      <c r="D21" s="5"/>
      <c r="E21" s="56"/>
      <c r="F21" s="56"/>
      <c r="G21" s="56"/>
      <c r="H21" s="56"/>
      <c r="I21" s="56"/>
      <c r="J21" s="56"/>
      <c r="L21" s="2"/>
      <c r="M21" s="2"/>
      <c r="N21" s="2"/>
      <c r="O21" s="2"/>
      <c r="P21" s="2"/>
      <c r="Q21" s="2"/>
      <c r="R21" s="2"/>
      <c r="T21" s="2"/>
      <c r="U21" s="2"/>
      <c r="V21" s="2"/>
      <c r="W21" s="2"/>
      <c r="X21" s="2"/>
      <c r="Y21" s="2"/>
    </row>
    <row r="22" spans="2:25" x14ac:dyDescent="0.25">
      <c r="B22" s="51" t="s">
        <v>355</v>
      </c>
      <c r="C22" s="51"/>
      <c r="D22" s="60">
        <f>+D11+D16+SUM(D18:D20)</f>
        <v>-1419866.486758865</v>
      </c>
      <c r="E22" s="60">
        <f>+E11+E16+SUM(E18:E20)</f>
        <v>1165627.3870487043</v>
      </c>
      <c r="F22" s="60">
        <f t="shared" ref="F22:J22" si="9">+F11+F16+SUM(F18:F20)</f>
        <v>1832259.1583656927</v>
      </c>
      <c r="G22" s="60">
        <f t="shared" si="9"/>
        <v>1507444.0379612446</v>
      </c>
      <c r="H22" s="60">
        <f t="shared" si="9"/>
        <v>1260084.8502689684</v>
      </c>
      <c r="I22" s="60">
        <f t="shared" si="9"/>
        <v>1349213.1769265658</v>
      </c>
      <c r="J22" s="60">
        <f t="shared" si="9"/>
        <v>1429704.1016810662</v>
      </c>
      <c r="L22" s="2"/>
      <c r="M22" s="2"/>
      <c r="N22" s="2"/>
      <c r="O22" s="2"/>
      <c r="P22" s="2"/>
      <c r="Q22" s="2"/>
      <c r="R22" s="2"/>
      <c r="T22" s="2"/>
      <c r="U22" s="2"/>
      <c r="V22" s="2"/>
      <c r="W22" s="2"/>
      <c r="X22" s="2"/>
      <c r="Y22" s="2"/>
    </row>
    <row r="23" spans="2:25" ht="5.0999999999999996" customHeight="1" x14ac:dyDescent="0.25">
      <c r="D23" s="5"/>
      <c r="E23" s="56"/>
      <c r="F23" s="56"/>
      <c r="G23" s="56"/>
      <c r="H23" s="56"/>
      <c r="I23" s="56"/>
      <c r="J23" s="56"/>
      <c r="L23" s="2"/>
      <c r="M23" s="2"/>
      <c r="N23" s="2"/>
      <c r="O23" s="2"/>
      <c r="P23" s="2"/>
      <c r="Q23" s="2"/>
      <c r="R23" s="2"/>
      <c r="T23" s="2"/>
      <c r="U23" s="2"/>
      <c r="V23" s="2"/>
      <c r="W23" s="2"/>
      <c r="X23" s="2"/>
      <c r="Y23" s="2"/>
    </row>
    <row r="24" spans="2:25" x14ac:dyDescent="0.25">
      <c r="B24" s="17" t="s">
        <v>358</v>
      </c>
      <c r="D24" s="56">
        <f>-'3. CAPEX'!D107</f>
        <v>0</v>
      </c>
      <c r="E24" s="56"/>
      <c r="F24" s="56"/>
      <c r="G24" s="56"/>
      <c r="H24" s="56"/>
      <c r="I24" s="56"/>
      <c r="J24" s="56"/>
      <c r="L24" s="2"/>
      <c r="M24" s="2"/>
      <c r="N24" s="2"/>
      <c r="O24" s="2"/>
      <c r="P24" s="2"/>
      <c r="Q24" s="2"/>
      <c r="R24" s="2"/>
      <c r="T24" s="2"/>
      <c r="U24" s="2"/>
      <c r="V24" s="2"/>
      <c r="W24" s="2"/>
      <c r="X24" s="2"/>
      <c r="Y24" s="2"/>
    </row>
    <row r="25" spans="2:25" x14ac:dyDescent="0.25">
      <c r="B25" s="17" t="s">
        <v>342</v>
      </c>
      <c r="D25" s="56">
        <f>-'3. CAPEX'!D108</f>
        <v>-7888147.1486603608</v>
      </c>
      <c r="E25" s="56">
        <f>-'3. CAPEX'!E108</f>
        <v>-788409.21117689088</v>
      </c>
      <c r="F25" s="56">
        <f>-'3. CAPEX'!F108</f>
        <v>-128321.37781039804</v>
      </c>
      <c r="G25" s="56">
        <f>-'3. CAPEX'!G108</f>
        <v>0</v>
      </c>
      <c r="H25" s="56">
        <f>-'3. CAPEX'!H108</f>
        <v>0</v>
      </c>
      <c r="I25" s="56">
        <f>-'3. CAPEX'!I108</f>
        <v>0</v>
      </c>
      <c r="J25" s="56">
        <f>-'3. CAPEX'!J108</f>
        <v>0</v>
      </c>
      <c r="L25" s="2"/>
      <c r="M25" s="2"/>
      <c r="N25" s="2"/>
      <c r="O25" s="2"/>
      <c r="P25" s="2"/>
      <c r="Q25" s="2"/>
      <c r="R25" s="2"/>
      <c r="T25" s="2"/>
      <c r="U25" s="2"/>
      <c r="V25" s="2"/>
      <c r="W25" s="2"/>
      <c r="X25" s="2"/>
      <c r="Y25" s="2"/>
    </row>
    <row r="26" spans="2:25" x14ac:dyDescent="0.25">
      <c r="B26" s="17" t="s">
        <v>359</v>
      </c>
      <c r="D26" s="56"/>
      <c r="E26" s="56"/>
      <c r="F26" s="56"/>
      <c r="G26" s="56"/>
      <c r="H26" s="56"/>
      <c r="I26" s="56"/>
      <c r="J26" s="56">
        <f>'3. CAPEX'!J109</f>
        <v>5360148.3057662882</v>
      </c>
      <c r="L26" s="2"/>
      <c r="M26" s="2"/>
      <c r="N26" s="2"/>
      <c r="O26" s="2"/>
      <c r="P26" s="2"/>
      <c r="Q26" s="2"/>
      <c r="R26" s="2"/>
      <c r="T26" s="2"/>
      <c r="U26" s="2"/>
      <c r="V26" s="2"/>
      <c r="W26" s="2"/>
      <c r="X26" s="2"/>
      <c r="Y26" s="2"/>
    </row>
    <row r="27" spans="2:25" ht="5.0999999999999996" customHeight="1" x14ac:dyDescent="0.25">
      <c r="D27" s="5"/>
      <c r="E27" s="56"/>
      <c r="F27" s="56"/>
      <c r="G27" s="56"/>
      <c r="H27" s="56"/>
      <c r="I27" s="56"/>
      <c r="J27" s="56"/>
      <c r="L27" s="2"/>
      <c r="M27" s="2"/>
      <c r="N27" s="2"/>
      <c r="O27" s="2"/>
      <c r="P27" s="2"/>
      <c r="Q27" s="2"/>
      <c r="R27" s="2"/>
      <c r="T27" s="2"/>
      <c r="U27" s="2"/>
      <c r="V27" s="2"/>
      <c r="W27" s="2"/>
      <c r="X27" s="2"/>
      <c r="Y27" s="2"/>
    </row>
    <row r="28" spans="2:25" x14ac:dyDescent="0.25">
      <c r="B28" s="51" t="s">
        <v>360</v>
      </c>
      <c r="C28" s="51"/>
      <c r="D28" s="60">
        <f>+D22+SUM(D24:D26)</f>
        <v>-9308013.6354192253</v>
      </c>
      <c r="E28" s="60">
        <f t="shared" ref="E28:J28" si="10">+E22+SUM(E24:E26)</f>
        <v>377218.17587181344</v>
      </c>
      <c r="F28" s="60">
        <f t="shared" si="10"/>
        <v>1703937.7805552946</v>
      </c>
      <c r="G28" s="60">
        <f t="shared" si="10"/>
        <v>1507444.0379612446</v>
      </c>
      <c r="H28" s="60">
        <f t="shared" si="10"/>
        <v>1260084.8502689684</v>
      </c>
      <c r="I28" s="60">
        <f t="shared" si="10"/>
        <v>1349213.1769265658</v>
      </c>
      <c r="J28" s="60">
        <f t="shared" si="10"/>
        <v>6789852.4074473549</v>
      </c>
      <c r="L28" s="2"/>
      <c r="M28" s="2"/>
      <c r="N28" s="2"/>
      <c r="O28" s="2"/>
      <c r="P28" s="2"/>
      <c r="Q28" s="2"/>
      <c r="R28" s="2"/>
      <c r="T28" s="2"/>
      <c r="U28" s="2"/>
      <c r="V28" s="2"/>
      <c r="W28" s="2"/>
      <c r="X28" s="2"/>
      <c r="Y28" s="2"/>
    </row>
    <row r="30" spans="2:25" x14ac:dyDescent="0.25">
      <c r="B30" s="51" t="s">
        <v>356</v>
      </c>
      <c r="C30" s="61">
        <f>+'4. WACC'!C19</f>
        <v>7.5352963951681451E-2</v>
      </c>
    </row>
    <row r="31" spans="2:25" x14ac:dyDescent="0.25">
      <c r="B31" s="51" t="s">
        <v>357</v>
      </c>
      <c r="C31" s="242">
        <f>+D28+NPV(C30,E28:J28)</f>
        <v>0</v>
      </c>
    </row>
    <row r="33" spans="2:10" x14ac:dyDescent="0.25">
      <c r="B33" s="51" t="s">
        <v>361</v>
      </c>
      <c r="C33" s="66">
        <v>0.18</v>
      </c>
      <c r="D33" s="52">
        <v>2024</v>
      </c>
      <c r="E33" s="52">
        <v>2025</v>
      </c>
      <c r="F33" s="52">
        <v>2026</v>
      </c>
      <c r="G33" s="52">
        <v>2027</v>
      </c>
      <c r="H33" s="52">
        <v>2028</v>
      </c>
      <c r="I33" s="52">
        <v>2029</v>
      </c>
      <c r="J33" s="52">
        <v>2030</v>
      </c>
    </row>
    <row r="34" spans="2:10" x14ac:dyDescent="0.25">
      <c r="B34" s="63" t="s">
        <v>362</v>
      </c>
      <c r="C34" s="67"/>
      <c r="D34" s="72">
        <v>0</v>
      </c>
      <c r="E34" s="72">
        <f>+D39</f>
        <v>-1419866.486758865</v>
      </c>
      <c r="F34" s="72">
        <f>+E39</f>
        <v>-1029253.4154671156</v>
      </c>
      <c r="G34" s="72">
        <f t="shared" ref="G34:J34" si="11">+F39</f>
        <v>-316784.80647461407</v>
      </c>
      <c r="H34" s="72">
        <f t="shared" si="11"/>
        <v>0</v>
      </c>
      <c r="I34" s="72">
        <f t="shared" si="11"/>
        <v>0</v>
      </c>
      <c r="J34" s="72">
        <f t="shared" si="11"/>
        <v>0</v>
      </c>
    </row>
    <row r="35" spans="2:10" x14ac:dyDescent="0.25">
      <c r="B35" s="51" t="s">
        <v>363</v>
      </c>
      <c r="C35" s="51"/>
      <c r="D35" s="73">
        <f>+SUM(D36:D38)</f>
        <v>-1419866.486758865</v>
      </c>
      <c r="E35" s="73">
        <f>+SUM(E36:E38)</f>
        <v>390613.07129174931</v>
      </c>
      <c r="F35" s="73">
        <f t="shared" ref="F35:J35" si="12">+SUM(F36:F38)</f>
        <v>712468.60899250151</v>
      </c>
      <c r="G35" s="73">
        <f t="shared" si="12"/>
        <v>764836.58040617942</v>
      </c>
      <c r="H35" s="73">
        <f t="shared" si="12"/>
        <v>794593.21293064998</v>
      </c>
      <c r="I35" s="73">
        <f t="shared" si="12"/>
        <v>836476.00914383284</v>
      </c>
      <c r="J35" s="73">
        <f t="shared" si="12"/>
        <v>873239.9694661519</v>
      </c>
    </row>
    <row r="36" spans="2:10" x14ac:dyDescent="0.25">
      <c r="B36" s="64" t="s">
        <v>364</v>
      </c>
      <c r="C36" s="68"/>
      <c r="D36" s="74">
        <f t="shared" ref="D36:J36" si="13">+D7*$C$33</f>
        <v>0</v>
      </c>
      <c r="E36" s="74">
        <f t="shared" si="13"/>
        <v>699822.75170314207</v>
      </c>
      <c r="F36" s="74">
        <f t="shared" si="13"/>
        <v>952587.86898107314</v>
      </c>
      <c r="G36" s="74">
        <f t="shared" si="13"/>
        <v>980302.57942999911</v>
      </c>
      <c r="H36" s="74">
        <f t="shared" si="13"/>
        <v>1008498.9387661818</v>
      </c>
      <c r="I36" s="74">
        <f t="shared" si="13"/>
        <v>1051037.8207210838</v>
      </c>
      <c r="J36" s="74">
        <f t="shared" si="13"/>
        <v>1087620.5305811069</v>
      </c>
    </row>
    <row r="37" spans="2:10" x14ac:dyDescent="0.25">
      <c r="B37" s="64" t="s">
        <v>365</v>
      </c>
      <c r="C37" s="68"/>
      <c r="D37" s="74">
        <f t="shared" ref="D37:J37" si="14">+(D13+SUM(D14:D15)*0.75)*$C$33</f>
        <v>0</v>
      </c>
      <c r="E37" s="74">
        <f t="shared" si="14"/>
        <v>-167296.02239955243</v>
      </c>
      <c r="F37" s="74">
        <f t="shared" si="14"/>
        <v>-217021.41198269997</v>
      </c>
      <c r="G37" s="74">
        <f t="shared" si="14"/>
        <v>-215465.99902381963</v>
      </c>
      <c r="H37" s="74">
        <f t="shared" si="14"/>
        <v>-213905.72583553189</v>
      </c>
      <c r="I37" s="74">
        <f t="shared" si="14"/>
        <v>-214561.81157725098</v>
      </c>
      <c r="J37" s="74">
        <f t="shared" si="14"/>
        <v>-214380.56111495502</v>
      </c>
    </row>
    <row r="38" spans="2:10" x14ac:dyDescent="0.25">
      <c r="B38" s="64" t="s">
        <v>366</v>
      </c>
      <c r="C38" s="68"/>
      <c r="D38" s="74">
        <f>+D25*$C$33</f>
        <v>-1419866.486758865</v>
      </c>
      <c r="E38" s="74">
        <f>+E25*$C$33</f>
        <v>-141913.65801184037</v>
      </c>
      <c r="F38" s="74">
        <f>+F25*$C$33</f>
        <v>-23097.848005871649</v>
      </c>
      <c r="G38" s="74">
        <f t="shared" ref="G38:J38" si="15">+G25*$C$33</f>
        <v>0</v>
      </c>
      <c r="H38" s="74">
        <f t="shared" si="15"/>
        <v>0</v>
      </c>
      <c r="I38" s="74">
        <f t="shared" si="15"/>
        <v>0</v>
      </c>
      <c r="J38" s="74">
        <f t="shared" si="15"/>
        <v>0</v>
      </c>
    </row>
    <row r="39" spans="2:10" x14ac:dyDescent="0.25">
      <c r="B39" s="63" t="s">
        <v>367</v>
      </c>
      <c r="C39" s="67"/>
      <c r="D39" s="72">
        <f>IF(SUM(D34:D35)&lt;0,SUM(D34:D35),0)</f>
        <v>-1419866.486758865</v>
      </c>
      <c r="E39" s="75">
        <f>IF(SUM(E34:E35)&lt;0,SUM(E34:E35),0)</f>
        <v>-1029253.4154671156</v>
      </c>
      <c r="F39" s="75">
        <f t="shared" ref="F39:J39" si="16">IF(SUM(F34:F35)&lt;0,SUM(F34:F35),0)</f>
        <v>-316784.80647461407</v>
      </c>
      <c r="G39" s="75">
        <f t="shared" si="16"/>
        <v>0</v>
      </c>
      <c r="H39" s="75">
        <f t="shared" si="16"/>
        <v>0</v>
      </c>
      <c r="I39" s="75">
        <f t="shared" si="16"/>
        <v>0</v>
      </c>
      <c r="J39" s="75">
        <f t="shared" si="16"/>
        <v>0</v>
      </c>
    </row>
    <row r="40" spans="2:10" x14ac:dyDescent="0.25">
      <c r="B40" s="51" t="s">
        <v>368</v>
      </c>
      <c r="C40" s="51"/>
      <c r="D40" s="73">
        <f>IF(SUM(D34:D35)&lt;0,0,SUM(D34:D35))</f>
        <v>0</v>
      </c>
      <c r="E40" s="73">
        <f>IF(SUM(E34:E35)&lt;0,0,SUM(E34:E35))</f>
        <v>0</v>
      </c>
      <c r="F40" s="73">
        <f t="shared" ref="F40:J40" si="17">IF(SUM(F34:F35)&lt;0,0,SUM(F34:F35))</f>
        <v>0</v>
      </c>
      <c r="G40" s="73">
        <f t="shared" si="17"/>
        <v>448051.77393156535</v>
      </c>
      <c r="H40" s="73">
        <f t="shared" si="17"/>
        <v>794593.21293064998</v>
      </c>
      <c r="I40" s="73">
        <f t="shared" si="17"/>
        <v>836476.00914383284</v>
      </c>
      <c r="J40" s="73">
        <f t="shared" si="17"/>
        <v>873239.9694661519</v>
      </c>
    </row>
    <row r="41" spans="2:10" x14ac:dyDescent="0.25">
      <c r="B41" s="37"/>
      <c r="C41" s="37"/>
      <c r="D41" s="75"/>
      <c r="E41" s="75"/>
      <c r="F41" s="75"/>
      <c r="G41" s="75"/>
      <c r="H41" s="75"/>
      <c r="I41" s="75"/>
      <c r="J41" s="75"/>
    </row>
    <row r="42" spans="2:10" x14ac:dyDescent="0.25">
      <c r="B42" s="51" t="s">
        <v>354</v>
      </c>
      <c r="C42" s="66">
        <v>0.25900000000000001</v>
      </c>
      <c r="D42" s="52">
        <v>2024</v>
      </c>
      <c r="E42" s="52">
        <v>2025</v>
      </c>
      <c r="F42" s="52">
        <v>2026</v>
      </c>
      <c r="G42" s="52">
        <v>2027</v>
      </c>
      <c r="H42" s="52">
        <v>2028</v>
      </c>
      <c r="I42" s="52">
        <v>2029</v>
      </c>
      <c r="J42" s="52">
        <v>2030</v>
      </c>
    </row>
    <row r="43" spans="2:10" x14ac:dyDescent="0.25">
      <c r="B43" s="37" t="s">
        <v>369</v>
      </c>
      <c r="C43" s="37"/>
      <c r="D43" s="75"/>
      <c r="E43" s="75">
        <f>+E7</f>
        <v>3887904.1761285672</v>
      </c>
      <c r="F43" s="75">
        <f t="shared" ref="F43:J43" si="18">+F7</f>
        <v>5292154.8276726287</v>
      </c>
      <c r="G43" s="75">
        <f t="shared" si="18"/>
        <v>5446125.4412777731</v>
      </c>
      <c r="H43" s="75">
        <f t="shared" si="18"/>
        <v>5602771.8820343437</v>
      </c>
      <c r="I43" s="75">
        <f t="shared" si="18"/>
        <v>5839099.0040060207</v>
      </c>
      <c r="J43" s="75">
        <f t="shared" si="18"/>
        <v>6042336.2810061499</v>
      </c>
    </row>
    <row r="44" spans="2:10" x14ac:dyDescent="0.25">
      <c r="B44" s="37" t="s">
        <v>370</v>
      </c>
      <c r="C44" s="37"/>
      <c r="D44" s="75"/>
      <c r="E44" s="75">
        <f>+E16+E9+E10</f>
        <v>-2985935.1668374045</v>
      </c>
      <c r="F44" s="75">
        <f t="shared" ref="F44:J44" si="19">+F16+F9+F10</f>
        <v>-3990284.2294371342</v>
      </c>
      <c r="G44" s="75">
        <f t="shared" si="19"/>
        <v>-4051991.9328290075</v>
      </c>
      <c r="H44" s="75">
        <f t="shared" si="19"/>
        <v>-4114946.5803570519</v>
      </c>
      <c r="I44" s="75">
        <f t="shared" si="19"/>
        <v>-4230992.5597408777</v>
      </c>
      <c r="J44" s="75">
        <f t="shared" si="19"/>
        <v>-4325605.1069778483</v>
      </c>
    </row>
    <row r="45" spans="2:10" x14ac:dyDescent="0.25">
      <c r="B45" s="37" t="s">
        <v>371</v>
      </c>
      <c r="C45" s="37"/>
      <c r="D45" s="75"/>
      <c r="E45" s="75">
        <f>-'3. CAPEX'!I67</f>
        <v>-411796.44738302554</v>
      </c>
      <c r="F45" s="75">
        <f>-'3. CAPEX'!J67</f>
        <v>-598858.82656636974</v>
      </c>
      <c r="G45" s="75">
        <f>-'3. CAPEX'!K67</f>
        <v>-608518.53948299168</v>
      </c>
      <c r="H45" s="75">
        <f>-'3. CAPEX'!L67</f>
        <v>-608518.53948299168</v>
      </c>
      <c r="I45" s="75">
        <f>-'3. CAPEX'!M67</f>
        <v>-608518.53948299168</v>
      </c>
      <c r="J45" s="75">
        <f>-'3. CAPEX'!N67</f>
        <v>-608518.53948299168</v>
      </c>
    </row>
    <row r="46" spans="2:10" x14ac:dyDescent="0.25">
      <c r="B46" s="51" t="s">
        <v>372</v>
      </c>
      <c r="C46" s="51"/>
      <c r="D46" s="73"/>
      <c r="E46" s="73">
        <f>+SUM(E43:E45)</f>
        <v>490172.56190813717</v>
      </c>
      <c r="F46" s="73">
        <f t="shared" ref="F46:J46" si="20">+SUM(F43:F45)</f>
        <v>703011.77166912472</v>
      </c>
      <c r="G46" s="73">
        <f t="shared" si="20"/>
        <v>785614.96896577394</v>
      </c>
      <c r="H46" s="73">
        <f t="shared" si="20"/>
        <v>879306.76219430007</v>
      </c>
      <c r="I46" s="73">
        <f t="shared" si="20"/>
        <v>999587.90478215134</v>
      </c>
      <c r="J46" s="73">
        <f t="shared" si="20"/>
        <v>1108212.6345453099</v>
      </c>
    </row>
    <row r="47" spans="2:10" x14ac:dyDescent="0.25">
      <c r="B47" s="65" t="s">
        <v>354</v>
      </c>
      <c r="C47" s="65"/>
      <c r="D47" s="76"/>
      <c r="E47" s="76">
        <f>-IF(E46&lt;0,0,E46*$C$42)</f>
        <v>-126954.69353420753</v>
      </c>
      <c r="F47" s="76">
        <f t="shared" ref="F47:J47" si="21">-IF(F46&lt;0,0,F46*$C$42)</f>
        <v>-182080.04886230332</v>
      </c>
      <c r="G47" s="76">
        <f t="shared" si="21"/>
        <v>-203474.27696213545</v>
      </c>
      <c r="H47" s="76">
        <f t="shared" si="21"/>
        <v>-227740.45140832372</v>
      </c>
      <c r="I47" s="76">
        <f t="shared" si="21"/>
        <v>-258893.26733857719</v>
      </c>
      <c r="J47" s="76">
        <f t="shared" si="21"/>
        <v>-287027.07234723528</v>
      </c>
    </row>
  </sheetData>
  <hyperlinks>
    <hyperlink ref="J1" location="Índice!A1" display="ÍNDICE" xr:uid="{AD9DB4C5-359E-4AC2-8252-6279384BF7EF}"/>
  </hyperlink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1702F-235D-4B69-9A17-0A8DAF9F5D06}">
  <sheetPr codeName="Hoja5"/>
  <dimension ref="A1:K47"/>
  <sheetViews>
    <sheetView showGridLines="0" zoomScaleNormal="100" workbookViewId="0">
      <selection activeCell="I30" sqref="I30"/>
    </sheetView>
  </sheetViews>
  <sheetFormatPr baseColWidth="10" defaultColWidth="0" defaultRowHeight="13.2" x14ac:dyDescent="0.25"/>
  <cols>
    <col min="1" max="1" width="2.6640625" style="1" customWidth="1"/>
    <col min="2" max="2" width="27.33203125" style="1" bestFit="1" customWidth="1"/>
    <col min="3" max="3" width="15" style="1" customWidth="1"/>
    <col min="4" max="10" width="11.33203125" style="1" customWidth="1"/>
    <col min="11" max="11" width="2.6640625" style="1" customWidth="1"/>
    <col min="12" max="16384" width="11.5546875" style="1" hidden="1"/>
  </cols>
  <sheetData>
    <row r="1" spans="2:10" ht="16.2" thickBot="1" x14ac:dyDescent="0.35">
      <c r="B1" s="36" t="s">
        <v>402</v>
      </c>
      <c r="J1" s="38" t="s">
        <v>389</v>
      </c>
    </row>
    <row r="2" spans="2:10" x14ac:dyDescent="0.25">
      <c r="B2" s="50" t="s">
        <v>399</v>
      </c>
    </row>
    <row r="3" spans="2:10" ht="5.0999999999999996" customHeight="1" x14ac:dyDescent="0.25"/>
    <row r="4" spans="2:10" x14ac:dyDescent="0.25">
      <c r="B4" s="52" t="s">
        <v>343</v>
      </c>
      <c r="C4" s="52"/>
      <c r="D4" s="52">
        <v>2024</v>
      </c>
      <c r="E4" s="52">
        <v>2025</v>
      </c>
      <c r="F4" s="52">
        <v>2026</v>
      </c>
      <c r="G4" s="52">
        <v>2027</v>
      </c>
      <c r="H4" s="52">
        <v>2028</v>
      </c>
      <c r="I4" s="52">
        <v>2029</v>
      </c>
      <c r="J4" s="52">
        <v>2030</v>
      </c>
    </row>
    <row r="5" spans="2:10" x14ac:dyDescent="0.25">
      <c r="B5" s="37" t="s">
        <v>403</v>
      </c>
      <c r="E5" s="56">
        <f>+'1. Demanda'!C23</f>
        <v>1281794.8814025426</v>
      </c>
      <c r="F5" s="56">
        <f>+'1. Demanda'!D23</f>
        <v>2077792.7271740844</v>
      </c>
      <c r="G5" s="56">
        <f>+'1. Demanda'!E23</f>
        <v>2418772.9870262672</v>
      </c>
      <c r="H5" s="56">
        <f>+'1. Demanda'!F23</f>
        <v>2653728.9503603666</v>
      </c>
      <c r="I5" s="56">
        <f>+'1. Demanda'!G23</f>
        <v>2863807.5290358285</v>
      </c>
      <c r="J5" s="56">
        <f>+'1. Demanda'!H23</f>
        <v>3091316.7841338506</v>
      </c>
    </row>
    <row r="6" spans="2:10" x14ac:dyDescent="0.25">
      <c r="B6" s="37" t="s">
        <v>404</v>
      </c>
      <c r="D6" s="5"/>
      <c r="E6" s="62">
        <v>9.7783018850328975</v>
      </c>
      <c r="F6" s="55">
        <f>+E6</f>
        <v>9.7783018850328975</v>
      </c>
      <c r="G6" s="55">
        <f t="shared" ref="G6:J6" si="0">+F6</f>
        <v>9.7783018850328975</v>
      </c>
      <c r="H6" s="55">
        <f t="shared" si="0"/>
        <v>9.7783018850328975</v>
      </c>
      <c r="I6" s="55">
        <f t="shared" si="0"/>
        <v>9.7783018850328975</v>
      </c>
      <c r="J6" s="55">
        <f t="shared" si="0"/>
        <v>9.7783018850328975</v>
      </c>
    </row>
    <row r="7" spans="2:10" x14ac:dyDescent="0.25">
      <c r="B7" s="51" t="s">
        <v>344</v>
      </c>
      <c r="C7" s="51"/>
      <c r="D7" s="59"/>
      <c r="E7" s="60">
        <f>+E5*E6</f>
        <v>12533777.305044001</v>
      </c>
      <c r="F7" s="60">
        <f t="shared" ref="F7:J7" si="1">+F5*F6</f>
        <v>20317284.540833995</v>
      </c>
      <c r="G7" s="60">
        <f t="shared" si="1"/>
        <v>23651492.458505601</v>
      </c>
      <c r="H7" s="60">
        <f t="shared" si="1"/>
        <v>25948962.797675144</v>
      </c>
      <c r="I7" s="60">
        <f t="shared" si="1"/>
        <v>28003174.559542447</v>
      </c>
      <c r="J7" s="60">
        <f t="shared" si="1"/>
        <v>30227828.737529866</v>
      </c>
    </row>
    <row r="8" spans="2:10" ht="5.0999999999999996" customHeight="1" x14ac:dyDescent="0.25">
      <c r="D8" s="5"/>
      <c r="E8" s="56"/>
      <c r="F8" s="56"/>
      <c r="G8" s="56"/>
      <c r="H8" s="56"/>
      <c r="I8" s="56"/>
      <c r="J8" s="56"/>
    </row>
    <row r="9" spans="2:10" x14ac:dyDescent="0.25">
      <c r="B9" s="1" t="s">
        <v>345</v>
      </c>
      <c r="C9" s="58">
        <v>0.46511000000000002</v>
      </c>
      <c r="D9" s="5"/>
      <c r="E9" s="56">
        <f>-$C$9*E7</f>
        <v>-5829585.1623490155</v>
      </c>
      <c r="F9" s="56">
        <f t="shared" ref="F9:J9" si="2">-$C$9*F7</f>
        <v>-9449772.2127873003</v>
      </c>
      <c r="G9" s="56">
        <f t="shared" si="2"/>
        <v>-11000545.657375541</v>
      </c>
      <c r="H9" s="56">
        <f t="shared" si="2"/>
        <v>-12069122.086826688</v>
      </c>
      <c r="I9" s="56">
        <f t="shared" si="2"/>
        <v>-13024556.519388787</v>
      </c>
      <c r="J9" s="56">
        <f t="shared" si="2"/>
        <v>-14059265.424112517</v>
      </c>
    </row>
    <row r="10" spans="2:10" x14ac:dyDescent="0.25">
      <c r="B10" s="1" t="s">
        <v>346</v>
      </c>
      <c r="C10" s="57">
        <v>0.01</v>
      </c>
      <c r="D10" s="5"/>
      <c r="E10" s="56">
        <f>-$C$10*E7</f>
        <v>-125337.77305044001</v>
      </c>
      <c r="F10" s="56">
        <f t="shared" ref="F10:J10" si="3">-$C$10*F7</f>
        <v>-203172.84540833996</v>
      </c>
      <c r="G10" s="56">
        <f t="shared" si="3"/>
        <v>-236514.92458505603</v>
      </c>
      <c r="H10" s="56">
        <f t="shared" si="3"/>
        <v>-259489.62797675145</v>
      </c>
      <c r="I10" s="56">
        <f t="shared" si="3"/>
        <v>-280031.74559542449</v>
      </c>
      <c r="J10" s="56">
        <f t="shared" si="3"/>
        <v>-302278.28737529868</v>
      </c>
    </row>
    <row r="11" spans="2:10" x14ac:dyDescent="0.25">
      <c r="B11" s="51" t="s">
        <v>347</v>
      </c>
      <c r="C11" s="51"/>
      <c r="D11" s="59"/>
      <c r="E11" s="60">
        <f>+SUM(E7:E10)</f>
        <v>6578854.369644545</v>
      </c>
      <c r="F11" s="60">
        <f t="shared" ref="F11:J11" si="4">+SUM(F7:F10)</f>
        <v>10664339.482638355</v>
      </c>
      <c r="G11" s="60">
        <f t="shared" si="4"/>
        <v>12414431.876545005</v>
      </c>
      <c r="H11" s="60">
        <f t="shared" si="4"/>
        <v>13620351.082871705</v>
      </c>
      <c r="I11" s="60">
        <f t="shared" si="4"/>
        <v>14698586.294558235</v>
      </c>
      <c r="J11" s="60">
        <f t="shared" si="4"/>
        <v>15866285.02604205</v>
      </c>
    </row>
    <row r="12" spans="2:10" ht="5.0999999999999996" customHeight="1" x14ac:dyDescent="0.25">
      <c r="D12" s="5"/>
      <c r="E12" s="56"/>
      <c r="F12" s="56"/>
      <c r="G12" s="56"/>
      <c r="H12" s="56"/>
      <c r="I12" s="56"/>
      <c r="J12" s="56"/>
    </row>
    <row r="13" spans="2:10" x14ac:dyDescent="0.25">
      <c r="B13" s="1" t="s">
        <v>348</v>
      </c>
      <c r="D13" s="5"/>
      <c r="E13" s="56">
        <f>-'2. OPEX'!C24</f>
        <v>-824074.41570407443</v>
      </c>
      <c r="F13" s="56">
        <f>-'2. OPEX'!D24</f>
        <v>-1206373.8733606494</v>
      </c>
      <c r="G13" s="56">
        <f>-'2. OPEX'!E24</f>
        <v>-1306889.6260948482</v>
      </c>
      <c r="H13" s="56">
        <f>-'2. OPEX'!F24</f>
        <v>-1365041.2159774024</v>
      </c>
      <c r="I13" s="56">
        <f>-'2. OPEX'!G24</f>
        <v>-1409771.5282925309</v>
      </c>
      <c r="J13" s="56">
        <f>-'2. OPEX'!H24</f>
        <v>-1458370.8637598245</v>
      </c>
    </row>
    <row r="14" spans="2:10" x14ac:dyDescent="0.25">
      <c r="B14" s="1" t="s">
        <v>350</v>
      </c>
      <c r="D14" s="5"/>
      <c r="E14" s="56">
        <f>-'2. OPEX'!C25</f>
        <v>-1164108.2201559604</v>
      </c>
      <c r="F14" s="56">
        <f>-'2. OPEX'!D25</f>
        <v>-1798244.2799366848</v>
      </c>
      <c r="G14" s="56">
        <f>-'2. OPEX'!E25</f>
        <v>-2020452.4795632532</v>
      </c>
      <c r="H14" s="56">
        <f>-'2. OPEX'!F25</f>
        <v>-2142253.7161754603</v>
      </c>
      <c r="I14" s="56">
        <f>-'2. OPEX'!G25</f>
        <v>-2231194.5995443482</v>
      </c>
      <c r="J14" s="56">
        <f>-'2. OPEX'!H25</f>
        <v>-2330255.8696624129</v>
      </c>
    </row>
    <row r="15" spans="2:10" x14ac:dyDescent="0.25">
      <c r="B15" s="1" t="s">
        <v>349</v>
      </c>
      <c r="D15" s="5"/>
      <c r="E15" s="56">
        <f>-'2. OPEX'!C26</f>
        <v>-553592.20005057775</v>
      </c>
      <c r="F15" s="56">
        <f>-'2. OPEX'!D26</f>
        <v>-835581.81046174199</v>
      </c>
      <c r="G15" s="56">
        <f>-'2. OPEX'!E26</f>
        <v>-922879.91459697008</v>
      </c>
      <c r="H15" s="56">
        <f>-'2. OPEX'!F26</f>
        <v>-961403.88750814158</v>
      </c>
      <c r="I15" s="56">
        <f>-'2. OPEX'!G26</f>
        <v>-982726.48614304129</v>
      </c>
      <c r="J15" s="56">
        <f>-'2. OPEX'!H26</f>
        <v>-1008752.0671487821</v>
      </c>
    </row>
    <row r="16" spans="2:10" x14ac:dyDescent="0.25">
      <c r="B16" s="51" t="s">
        <v>351</v>
      </c>
      <c r="C16" s="51"/>
      <c r="D16" s="59"/>
      <c r="E16" s="60">
        <f>+SUM(E13:E15)</f>
        <v>-2541774.8359106127</v>
      </c>
      <c r="F16" s="60">
        <f t="shared" ref="F16:J16" si="5">+SUM(F13:F15)</f>
        <v>-3840199.9637590759</v>
      </c>
      <c r="G16" s="60">
        <f t="shared" si="5"/>
        <v>-4250222.0202550711</v>
      </c>
      <c r="H16" s="60">
        <f t="shared" si="5"/>
        <v>-4468698.8196610045</v>
      </c>
      <c r="I16" s="60">
        <f t="shared" si="5"/>
        <v>-4623692.6139799207</v>
      </c>
      <c r="J16" s="60">
        <f t="shared" si="5"/>
        <v>-4797378.8005710198</v>
      </c>
    </row>
    <row r="17" spans="2:10" ht="5.0999999999999996" customHeight="1" x14ac:dyDescent="0.25">
      <c r="D17" s="5"/>
      <c r="E17" s="56"/>
      <c r="F17" s="56"/>
      <c r="G17" s="56"/>
      <c r="H17" s="56"/>
      <c r="I17" s="56"/>
      <c r="J17" s="56"/>
    </row>
    <row r="18" spans="2:10" x14ac:dyDescent="0.25">
      <c r="B18" s="17" t="s">
        <v>352</v>
      </c>
      <c r="D18" s="56">
        <f>+D35</f>
        <v>-7996087.0360561758</v>
      </c>
      <c r="E18" s="56">
        <f t="shared" ref="E18:J18" si="6">+E35</f>
        <v>1076659.312271269</v>
      </c>
      <c r="F18" s="56">
        <f t="shared" si="6"/>
        <v>2954320.0950943385</v>
      </c>
      <c r="G18" s="56">
        <f t="shared" si="6"/>
        <v>3624678.636622305</v>
      </c>
      <c r="H18" s="56">
        <f t="shared" si="6"/>
        <v>4006112.1082083071</v>
      </c>
      <c r="I18" s="56">
        <f t="shared" si="6"/>
        <v>4352933.1990571879</v>
      </c>
      <c r="J18" s="56">
        <f t="shared" si="6"/>
        <v>4727736.3458090955</v>
      </c>
    </row>
    <row r="19" spans="2:10" x14ac:dyDescent="0.25">
      <c r="B19" s="17" t="s">
        <v>353</v>
      </c>
      <c r="D19" s="56">
        <f>+D40</f>
        <v>0</v>
      </c>
      <c r="E19" s="56">
        <f>-E40</f>
        <v>0</v>
      </c>
      <c r="F19" s="56">
        <f t="shared" ref="F19:J19" si="7">-F40</f>
        <v>0</v>
      </c>
      <c r="G19" s="56">
        <f t="shared" si="7"/>
        <v>0</v>
      </c>
      <c r="H19" s="56">
        <f t="shared" si="7"/>
        <v>-3665683.1161400438</v>
      </c>
      <c r="I19" s="56">
        <f t="shared" si="7"/>
        <v>-4352933.1990571879</v>
      </c>
      <c r="J19" s="56">
        <f t="shared" si="7"/>
        <v>-4727736.3458090955</v>
      </c>
    </row>
    <row r="20" spans="2:10" x14ac:dyDescent="0.25">
      <c r="B20" s="17" t="s">
        <v>354</v>
      </c>
      <c r="D20" s="56">
        <f>+D47</f>
        <v>0</v>
      </c>
      <c r="E20" s="56">
        <f t="shared" ref="E20:J20" si="8">+E47</f>
        <v>-406895.17923381459</v>
      </c>
      <c r="F20" s="56">
        <f t="shared" si="8"/>
        <v>-839103.02044062875</v>
      </c>
      <c r="G20" s="56">
        <f t="shared" si="8"/>
        <v>-1171429.4980363913</v>
      </c>
      <c r="H20" s="56">
        <f t="shared" si="8"/>
        <v>-1427177.0814288692</v>
      </c>
      <c r="I20" s="56">
        <f t="shared" si="8"/>
        <v>-1666296.6085270816</v>
      </c>
      <c r="J20" s="56">
        <f t="shared" si="8"/>
        <v>-1923745.8576542952</v>
      </c>
    </row>
    <row r="21" spans="2:10" ht="5.0999999999999996" customHeight="1" x14ac:dyDescent="0.25">
      <c r="D21" s="5"/>
      <c r="E21" s="56"/>
      <c r="F21" s="56"/>
      <c r="G21" s="56"/>
      <c r="H21" s="56"/>
      <c r="I21" s="56"/>
      <c r="J21" s="56"/>
    </row>
    <row r="22" spans="2:10" x14ac:dyDescent="0.25">
      <c r="B22" s="51" t="s">
        <v>355</v>
      </c>
      <c r="C22" s="51"/>
      <c r="D22" s="60">
        <f>+D11+D16+SUM(D18:D20)</f>
        <v>-7996087.0360561758</v>
      </c>
      <c r="E22" s="60">
        <f>+E11+E16+SUM(E18:E20)</f>
        <v>4706843.6667713868</v>
      </c>
      <c r="F22" s="60">
        <f t="shared" ref="F22:J22" si="9">+F11+F16+SUM(F18:F20)</f>
        <v>8939356.5935329888</v>
      </c>
      <c r="G22" s="60">
        <f t="shared" si="9"/>
        <v>10617458.994875848</v>
      </c>
      <c r="H22" s="60">
        <f t="shared" si="9"/>
        <v>8064904.1738500949</v>
      </c>
      <c r="I22" s="60">
        <f t="shared" si="9"/>
        <v>8408597.0720512327</v>
      </c>
      <c r="J22" s="60">
        <f t="shared" si="9"/>
        <v>9145160.3678167351</v>
      </c>
    </row>
    <row r="23" spans="2:10" ht="5.0999999999999996" customHeight="1" x14ac:dyDescent="0.25">
      <c r="D23" s="5"/>
      <c r="E23" s="56"/>
      <c r="F23" s="56"/>
      <c r="G23" s="56"/>
      <c r="H23" s="56"/>
      <c r="I23" s="56"/>
      <c r="J23" s="56"/>
    </row>
    <row r="24" spans="2:10" x14ac:dyDescent="0.25">
      <c r="B24" s="17" t="s">
        <v>358</v>
      </c>
      <c r="D24" s="56">
        <f>-'3. CAPEX'!D89</f>
        <v>0</v>
      </c>
      <c r="E24" s="56"/>
      <c r="F24" s="56"/>
      <c r="G24" s="56"/>
      <c r="H24" s="56"/>
      <c r="I24" s="56"/>
      <c r="J24" s="56"/>
    </row>
    <row r="25" spans="2:10" x14ac:dyDescent="0.25">
      <c r="B25" s="17" t="s">
        <v>342</v>
      </c>
      <c r="D25" s="56">
        <f>-'3. CAPEX'!D90</f>
        <v>-44422705.755867645</v>
      </c>
      <c r="E25" s="56">
        <f>-'3. CAPEX'!E90</f>
        <v>-4439986.9504557503</v>
      </c>
      <c r="F25" s="56">
        <f>-'3. CAPEX'!F90</f>
        <v>-722651.682483754</v>
      </c>
      <c r="G25" s="56">
        <f>-'3. CAPEX'!G90</f>
        <v>0</v>
      </c>
      <c r="H25" s="56">
        <f>-'3. CAPEX'!H90</f>
        <v>0</v>
      </c>
      <c r="I25" s="56">
        <f>-'3. CAPEX'!I90</f>
        <v>0</v>
      </c>
      <c r="J25" s="56">
        <f>-'3. CAPEX'!J90</f>
        <v>0</v>
      </c>
    </row>
    <row r="26" spans="2:10" x14ac:dyDescent="0.25">
      <c r="B26" s="17" t="s">
        <v>359</v>
      </c>
      <c r="D26" s="56"/>
      <c r="E26" s="56"/>
      <c r="F26" s="56"/>
      <c r="G26" s="56"/>
      <c r="H26" s="56"/>
      <c r="I26" s="56"/>
      <c r="J26" s="56">
        <f>'3. CAPEX'!J91</f>
        <v>28969665.03003037</v>
      </c>
    </row>
    <row r="27" spans="2:10" ht="5.0999999999999996" customHeight="1" x14ac:dyDescent="0.25">
      <c r="D27" s="5"/>
      <c r="E27" s="56"/>
      <c r="F27" s="56"/>
      <c r="G27" s="56"/>
      <c r="H27" s="56"/>
      <c r="I27" s="56"/>
      <c r="J27" s="56"/>
    </row>
    <row r="28" spans="2:10" x14ac:dyDescent="0.25">
      <c r="B28" s="51" t="s">
        <v>360</v>
      </c>
      <c r="C28" s="51"/>
      <c r="D28" s="60">
        <f>+D22+SUM(D24:D26)</f>
        <v>-52418792.791923821</v>
      </c>
      <c r="E28" s="60">
        <f t="shared" ref="E28:J28" si="10">+E22+SUM(E24:E26)</f>
        <v>266856.71631563641</v>
      </c>
      <c r="F28" s="60">
        <f t="shared" si="10"/>
        <v>8216704.9110492347</v>
      </c>
      <c r="G28" s="60">
        <f t="shared" si="10"/>
        <v>10617458.994875848</v>
      </c>
      <c r="H28" s="60">
        <f t="shared" si="10"/>
        <v>8064904.1738500949</v>
      </c>
      <c r="I28" s="60">
        <f t="shared" si="10"/>
        <v>8408597.0720512327</v>
      </c>
      <c r="J28" s="60">
        <f t="shared" si="10"/>
        <v>38114825.397847101</v>
      </c>
    </row>
    <row r="30" spans="2:10" x14ac:dyDescent="0.25">
      <c r="B30" s="51" t="s">
        <v>356</v>
      </c>
      <c r="C30" s="61">
        <f>+'4. WACC'!C19</f>
        <v>7.5352963951681451E-2</v>
      </c>
    </row>
    <row r="31" spans="2:10" x14ac:dyDescent="0.25">
      <c r="B31" s="51" t="s">
        <v>357</v>
      </c>
      <c r="C31" s="242">
        <f>+D28+NPV(C30,E28:J28)</f>
        <v>0</v>
      </c>
    </row>
    <row r="33" spans="2:10" x14ac:dyDescent="0.25">
      <c r="B33" s="51" t="s">
        <v>361</v>
      </c>
      <c r="C33" s="66">
        <v>0.18</v>
      </c>
      <c r="D33" s="52">
        <v>2024</v>
      </c>
      <c r="E33" s="52">
        <v>2025</v>
      </c>
      <c r="F33" s="52">
        <v>2026</v>
      </c>
      <c r="G33" s="52">
        <v>2027</v>
      </c>
      <c r="H33" s="52">
        <v>2028</v>
      </c>
      <c r="I33" s="52">
        <v>2029</v>
      </c>
      <c r="J33" s="52">
        <v>2030</v>
      </c>
    </row>
    <row r="34" spans="2:10" x14ac:dyDescent="0.25">
      <c r="B34" s="63" t="s">
        <v>362</v>
      </c>
      <c r="C34" s="67"/>
      <c r="D34" s="72">
        <v>0</v>
      </c>
      <c r="E34" s="72">
        <f>+D39</f>
        <v>-7996087.0360561758</v>
      </c>
      <c r="F34" s="72">
        <f>+E39</f>
        <v>-6919427.7237849068</v>
      </c>
      <c r="G34" s="72">
        <f t="shared" ref="G34:J34" si="11">+F39</f>
        <v>-3965107.6286905683</v>
      </c>
      <c r="H34" s="72">
        <f t="shared" si="11"/>
        <v>-340428.99206826324</v>
      </c>
      <c r="I34" s="72">
        <f t="shared" si="11"/>
        <v>0</v>
      </c>
      <c r="J34" s="72">
        <f t="shared" si="11"/>
        <v>0</v>
      </c>
    </row>
    <row r="35" spans="2:10" x14ac:dyDescent="0.25">
      <c r="B35" s="51" t="s">
        <v>363</v>
      </c>
      <c r="C35" s="51"/>
      <c r="D35" s="73">
        <f>+SUM(D36:D38)</f>
        <v>-7996087.0360561758</v>
      </c>
      <c r="E35" s="73">
        <f>+SUM(E36:E38)</f>
        <v>1076659.312271269</v>
      </c>
      <c r="F35" s="73">
        <f t="shared" ref="F35:J35" si="12">+SUM(F36:F38)</f>
        <v>2954320.0950943385</v>
      </c>
      <c r="G35" s="73">
        <f t="shared" si="12"/>
        <v>3624678.636622305</v>
      </c>
      <c r="H35" s="73">
        <f t="shared" si="12"/>
        <v>4006112.1082083071</v>
      </c>
      <c r="I35" s="73">
        <f t="shared" si="12"/>
        <v>4352933.1990571879</v>
      </c>
      <c r="J35" s="73">
        <f t="shared" si="12"/>
        <v>4727736.3458090955</v>
      </c>
    </row>
    <row r="36" spans="2:10" x14ac:dyDescent="0.25">
      <c r="B36" s="64" t="s">
        <v>364</v>
      </c>
      <c r="C36" s="68"/>
      <c r="D36" s="74">
        <f t="shared" ref="D36:J36" si="13">+D7*$C$33</f>
        <v>0</v>
      </c>
      <c r="E36" s="74">
        <f t="shared" si="13"/>
        <v>2256079.9149079202</v>
      </c>
      <c r="F36" s="74">
        <f t="shared" si="13"/>
        <v>3657111.2173501188</v>
      </c>
      <c r="G36" s="74">
        <f t="shared" si="13"/>
        <v>4257268.6425310075</v>
      </c>
      <c r="H36" s="74">
        <f t="shared" si="13"/>
        <v>4670813.3035815256</v>
      </c>
      <c r="I36" s="74">
        <f t="shared" si="13"/>
        <v>5040571.4207176408</v>
      </c>
      <c r="J36" s="74">
        <f t="shared" si="13"/>
        <v>5441009.1727553755</v>
      </c>
    </row>
    <row r="37" spans="2:10" x14ac:dyDescent="0.25">
      <c r="B37" s="64" t="s">
        <v>365</v>
      </c>
      <c r="C37" s="68"/>
      <c r="D37" s="74">
        <f t="shared" ref="D37:J37" si="14">+(D13+SUM(D14:D15)*0.75)*$C$33</f>
        <v>0</v>
      </c>
      <c r="E37" s="74">
        <f t="shared" si="14"/>
        <v>-380222.95155461598</v>
      </c>
      <c r="F37" s="74">
        <f t="shared" si="14"/>
        <v>-572713.81940870441</v>
      </c>
      <c r="G37" s="74">
        <f t="shared" si="14"/>
        <v>-632590.00590870273</v>
      </c>
      <c r="H37" s="74">
        <f t="shared" si="14"/>
        <v>-664701.19537321874</v>
      </c>
      <c r="I37" s="74">
        <f t="shared" si="14"/>
        <v>-687638.22166045313</v>
      </c>
      <c r="J37" s="74">
        <f t="shared" si="14"/>
        <v>-713272.82694627973</v>
      </c>
    </row>
    <row r="38" spans="2:10" x14ac:dyDescent="0.25">
      <c r="B38" s="64" t="s">
        <v>366</v>
      </c>
      <c r="C38" s="68"/>
      <c r="D38" s="74">
        <f>+D25*$C$33</f>
        <v>-7996087.0360561758</v>
      </c>
      <c r="E38" s="74">
        <f>+E25*$C$33</f>
        <v>-799197.65108203504</v>
      </c>
      <c r="F38" s="74">
        <f>+F25*$C$33</f>
        <v>-130077.30284707571</v>
      </c>
      <c r="G38" s="74">
        <f t="shared" ref="G38:J38" si="15">+G25*$C$33</f>
        <v>0</v>
      </c>
      <c r="H38" s="74">
        <f t="shared" si="15"/>
        <v>0</v>
      </c>
      <c r="I38" s="74">
        <f t="shared" si="15"/>
        <v>0</v>
      </c>
      <c r="J38" s="74">
        <f t="shared" si="15"/>
        <v>0</v>
      </c>
    </row>
    <row r="39" spans="2:10" x14ac:dyDescent="0.25">
      <c r="B39" s="63" t="s">
        <v>367</v>
      </c>
      <c r="C39" s="67"/>
      <c r="D39" s="72">
        <f>IF(SUM(D34:D35)&lt;0,SUM(D34:D35),0)</f>
        <v>-7996087.0360561758</v>
      </c>
      <c r="E39" s="75">
        <f>IF(SUM(E34:E35)&lt;0,SUM(E34:E35),0)</f>
        <v>-6919427.7237849068</v>
      </c>
      <c r="F39" s="75">
        <f t="shared" ref="F39:J39" si="16">IF(SUM(F34:F35)&lt;0,SUM(F34:F35),0)</f>
        <v>-3965107.6286905683</v>
      </c>
      <c r="G39" s="75">
        <f t="shared" si="16"/>
        <v>-340428.99206826324</v>
      </c>
      <c r="H39" s="75">
        <f t="shared" si="16"/>
        <v>0</v>
      </c>
      <c r="I39" s="75">
        <f t="shared" si="16"/>
        <v>0</v>
      </c>
      <c r="J39" s="75">
        <f t="shared" si="16"/>
        <v>0</v>
      </c>
    </row>
    <row r="40" spans="2:10" x14ac:dyDescent="0.25">
      <c r="B40" s="51" t="s">
        <v>368</v>
      </c>
      <c r="C40" s="51"/>
      <c r="D40" s="73">
        <f>IF(SUM(D34:D35)&lt;0,0,SUM(D34:D35))</f>
        <v>0</v>
      </c>
      <c r="E40" s="73">
        <f>IF(SUM(E34:E35)&lt;0,0,SUM(E34:E35))</f>
        <v>0</v>
      </c>
      <c r="F40" s="73">
        <f t="shared" ref="F40:J40" si="17">IF(SUM(F34:F35)&lt;0,0,SUM(F34:F35))</f>
        <v>0</v>
      </c>
      <c r="G40" s="73">
        <f t="shared" si="17"/>
        <v>0</v>
      </c>
      <c r="H40" s="73">
        <f t="shared" si="17"/>
        <v>3665683.1161400438</v>
      </c>
      <c r="I40" s="73">
        <f t="shared" si="17"/>
        <v>4352933.1990571879</v>
      </c>
      <c r="J40" s="73">
        <f t="shared" si="17"/>
        <v>4727736.3458090955</v>
      </c>
    </row>
    <row r="41" spans="2:10" x14ac:dyDescent="0.25">
      <c r="B41" s="37"/>
      <c r="C41" s="37"/>
      <c r="D41" s="75"/>
      <c r="E41" s="75"/>
      <c r="F41" s="75"/>
      <c r="G41" s="75"/>
      <c r="H41" s="75"/>
      <c r="I41" s="75"/>
      <c r="J41" s="75"/>
    </row>
    <row r="42" spans="2:10" x14ac:dyDescent="0.25">
      <c r="B42" s="51" t="s">
        <v>354</v>
      </c>
      <c r="C42" s="66">
        <v>0.25900000000000001</v>
      </c>
      <c r="D42" s="52">
        <v>2024</v>
      </c>
      <c r="E42" s="52">
        <v>2025</v>
      </c>
      <c r="F42" s="52">
        <v>2026</v>
      </c>
      <c r="G42" s="52">
        <v>2027</v>
      </c>
      <c r="H42" s="52">
        <v>2028</v>
      </c>
      <c r="I42" s="52">
        <v>2029</v>
      </c>
      <c r="J42" s="52">
        <v>2030</v>
      </c>
    </row>
    <row r="43" spans="2:10" x14ac:dyDescent="0.25">
      <c r="B43" s="37" t="s">
        <v>369</v>
      </c>
      <c r="C43" s="37"/>
      <c r="D43" s="75"/>
      <c r="E43" s="75">
        <f>+E7</f>
        <v>12533777.305044001</v>
      </c>
      <c r="F43" s="75">
        <f t="shared" ref="F43:J43" si="18">+F7</f>
        <v>20317284.540833995</v>
      </c>
      <c r="G43" s="75">
        <f t="shared" si="18"/>
        <v>23651492.458505601</v>
      </c>
      <c r="H43" s="75">
        <f t="shared" si="18"/>
        <v>25948962.797675144</v>
      </c>
      <c r="I43" s="75">
        <f t="shared" si="18"/>
        <v>28003174.559542447</v>
      </c>
      <c r="J43" s="75">
        <f t="shared" si="18"/>
        <v>30227828.737529866</v>
      </c>
    </row>
    <row r="44" spans="2:10" x14ac:dyDescent="0.25">
      <c r="B44" s="37" t="s">
        <v>370</v>
      </c>
      <c r="C44" s="37"/>
      <c r="D44" s="75"/>
      <c r="E44" s="75">
        <f t="shared" ref="E44:J44" si="19">+E16+E9+E10</f>
        <v>-8496697.7713100687</v>
      </c>
      <c r="F44" s="75">
        <f t="shared" si="19"/>
        <v>-13493145.021954715</v>
      </c>
      <c r="G44" s="75">
        <f t="shared" si="19"/>
        <v>-15487282.602215666</v>
      </c>
      <c r="H44" s="75">
        <f t="shared" si="19"/>
        <v>-16797310.534464445</v>
      </c>
      <c r="I44" s="75">
        <f t="shared" si="19"/>
        <v>-17928280.878964134</v>
      </c>
      <c r="J44" s="75">
        <f t="shared" si="19"/>
        <v>-19158922.512058835</v>
      </c>
    </row>
    <row r="45" spans="2:10" x14ac:dyDescent="0.25">
      <c r="B45" s="37" t="s">
        <v>371</v>
      </c>
      <c r="C45" s="37"/>
      <c r="D45" s="75"/>
      <c r="E45" s="75">
        <f>-'3. CAPEX'!I46</f>
        <v>-2466055.6756883161</v>
      </c>
      <c r="F45" s="75">
        <f>-'3. CAPEX'!J46</f>
        <v>-3584359.5171780102</v>
      </c>
      <c r="G45" s="75">
        <f>-'3. CAPEX'!K46</f>
        <v>-3641316.0414776127</v>
      </c>
      <c r="H45" s="75">
        <f>-'3. CAPEX'!L46</f>
        <v>-3641316.0414776127</v>
      </c>
      <c r="I45" s="75">
        <f>-'3. CAPEX'!M46</f>
        <v>-3641316.0414776127</v>
      </c>
      <c r="J45" s="75">
        <f>-'3. CAPEX'!N46</f>
        <v>-3641316.0414776127</v>
      </c>
    </row>
    <row r="46" spans="2:10" x14ac:dyDescent="0.25">
      <c r="B46" s="51" t="s">
        <v>372</v>
      </c>
      <c r="C46" s="51"/>
      <c r="D46" s="73"/>
      <c r="E46" s="73">
        <f>+SUM(E43:E45)</f>
        <v>1571023.8580456162</v>
      </c>
      <c r="F46" s="73">
        <f t="shared" ref="F46:J46" si="20">+SUM(F43:F45)</f>
        <v>3239780.0017012693</v>
      </c>
      <c r="G46" s="73">
        <f t="shared" si="20"/>
        <v>4522893.8148123212</v>
      </c>
      <c r="H46" s="73">
        <f t="shared" si="20"/>
        <v>5510336.2217330858</v>
      </c>
      <c r="I46" s="73">
        <f t="shared" si="20"/>
        <v>6433577.6391007006</v>
      </c>
      <c r="J46" s="73">
        <f t="shared" si="20"/>
        <v>7427590.1839934178</v>
      </c>
    </row>
    <row r="47" spans="2:10" x14ac:dyDescent="0.25">
      <c r="B47" s="65" t="s">
        <v>354</v>
      </c>
      <c r="C47" s="65"/>
      <c r="D47" s="76"/>
      <c r="E47" s="76">
        <f>-IF(E46&lt;0,0,E46*$C$42)</f>
        <v>-406895.17923381459</v>
      </c>
      <c r="F47" s="76">
        <f t="shared" ref="F47:J47" si="21">-IF(F46&lt;0,0,F46*$C$42)</f>
        <v>-839103.02044062875</v>
      </c>
      <c r="G47" s="76">
        <f t="shared" si="21"/>
        <v>-1171429.4980363913</v>
      </c>
      <c r="H47" s="76">
        <f t="shared" si="21"/>
        <v>-1427177.0814288692</v>
      </c>
      <c r="I47" s="76">
        <f t="shared" si="21"/>
        <v>-1666296.6085270816</v>
      </c>
      <c r="J47" s="76">
        <f t="shared" si="21"/>
        <v>-1923745.8576542952</v>
      </c>
    </row>
  </sheetData>
  <hyperlinks>
    <hyperlink ref="J1" location="Índice!A1" display="ÍNDICE" xr:uid="{D2CE55E7-807D-4E90-9701-F05BC19756BE}"/>
  </hyperlink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52085-A054-44CB-A565-A1FA305AD257}">
  <sheetPr codeName="Hoja6"/>
  <dimension ref="B1:H24"/>
  <sheetViews>
    <sheetView showGridLines="0" zoomScaleNormal="100" workbookViewId="0">
      <selection activeCell="C14" sqref="C14:H14"/>
    </sheetView>
  </sheetViews>
  <sheetFormatPr baseColWidth="10" defaultColWidth="11.5546875" defaultRowHeight="13.2" x14ac:dyDescent="0.25"/>
  <cols>
    <col min="1" max="1" width="2.6640625" style="1" customWidth="1"/>
    <col min="2" max="2" width="47.44140625" style="1" customWidth="1"/>
    <col min="3" max="8" width="13.109375" style="1" customWidth="1"/>
    <col min="9" max="9" width="2.6640625" style="1" customWidth="1"/>
    <col min="10" max="16384" width="11.5546875" style="1"/>
  </cols>
  <sheetData>
    <row r="1" spans="2:8" ht="16.2" thickBot="1" x14ac:dyDescent="0.35">
      <c r="B1" s="36" t="s">
        <v>518</v>
      </c>
      <c r="H1" s="38" t="s">
        <v>389</v>
      </c>
    </row>
    <row r="2" spans="2:8" ht="5.0999999999999996" customHeight="1" x14ac:dyDescent="0.25"/>
    <row r="3" spans="2:8" x14ac:dyDescent="0.25">
      <c r="B3" s="144" t="s">
        <v>521</v>
      </c>
    </row>
    <row r="4" spans="2:8" ht="5.0999999999999996" customHeight="1" x14ac:dyDescent="0.25">
      <c r="B4" s="143"/>
    </row>
    <row r="5" spans="2:8" x14ac:dyDescent="0.25">
      <c r="B5" s="52" t="s">
        <v>520</v>
      </c>
      <c r="C5" s="52">
        <v>2025</v>
      </c>
      <c r="D5" s="52">
        <v>2026</v>
      </c>
      <c r="E5" s="52">
        <v>2027</v>
      </c>
      <c r="F5" s="52">
        <v>2028</v>
      </c>
      <c r="G5" s="52">
        <v>2029</v>
      </c>
      <c r="H5" s="52">
        <v>2030</v>
      </c>
    </row>
    <row r="6" spans="2:8" x14ac:dyDescent="0.25">
      <c r="B6" s="1" t="s">
        <v>0</v>
      </c>
      <c r="C6" s="5">
        <v>1689007.6957109317</v>
      </c>
      <c r="D6" s="5">
        <v>2077792.7271740844</v>
      </c>
      <c r="E6" s="5">
        <v>2418772.9870262672</v>
      </c>
      <c r="F6" s="5">
        <v>2653728.9503603666</v>
      </c>
      <c r="G6" s="5">
        <v>2863807.5290358285</v>
      </c>
      <c r="H6" s="5">
        <v>3091316.7841338501</v>
      </c>
    </row>
    <row r="7" spans="2:8" x14ac:dyDescent="0.25">
      <c r="B7" s="1" t="s">
        <v>1</v>
      </c>
      <c r="C7" s="5">
        <v>833047.68687193515</v>
      </c>
      <c r="D7" s="5">
        <v>860545.33848201297</v>
      </c>
      <c r="E7" s="5">
        <v>885582.1520514664</v>
      </c>
      <c r="F7" s="5">
        <v>911054.07582776831</v>
      </c>
      <c r="G7" s="5">
        <v>949482.69513160584</v>
      </c>
      <c r="H7" s="5">
        <v>982530.64951376303</v>
      </c>
    </row>
    <row r="8" spans="2:8" x14ac:dyDescent="0.25">
      <c r="B8" s="145" t="s">
        <v>2</v>
      </c>
      <c r="C8" s="146">
        <v>1193203.9345909571</v>
      </c>
      <c r="D8" s="146">
        <v>1381517.3133643528</v>
      </c>
      <c r="E8" s="146">
        <v>1518886.8917999624</v>
      </c>
      <c r="F8" s="146">
        <v>1671728.8015543413</v>
      </c>
      <c r="G8" s="146">
        <v>1809806.5532380103</v>
      </c>
      <c r="H8" s="146">
        <v>1959796.0699798681</v>
      </c>
    </row>
    <row r="9" spans="2:8" x14ac:dyDescent="0.25">
      <c r="B9" s="147" t="s">
        <v>3</v>
      </c>
      <c r="C9" s="148">
        <v>1193203.9345909571</v>
      </c>
      <c r="D9" s="148">
        <v>1381517.3133643528</v>
      </c>
      <c r="E9" s="148">
        <v>1518886.8917999624</v>
      </c>
      <c r="F9" s="148">
        <v>1671728.8015543413</v>
      </c>
      <c r="G9" s="148">
        <v>1809806.5532380103</v>
      </c>
      <c r="H9" s="148">
        <v>1959796.0699798681</v>
      </c>
    </row>
    <row r="10" spans="2:8" x14ac:dyDescent="0.25">
      <c r="B10" s="145" t="s">
        <v>4</v>
      </c>
      <c r="C10" s="146">
        <v>3362666.236442015</v>
      </c>
      <c r="D10" s="146">
        <v>3830569.4727529585</v>
      </c>
      <c r="E10" s="146">
        <v>4142419.7794477842</v>
      </c>
      <c r="F10" s="146">
        <v>4539508.7242337223</v>
      </c>
      <c r="G10" s="146">
        <v>4893136.2879667114</v>
      </c>
      <c r="H10" s="146">
        <v>5275647.1475756392</v>
      </c>
    </row>
    <row r="11" spans="2:8" x14ac:dyDescent="0.25">
      <c r="B11" s="147" t="s">
        <v>5</v>
      </c>
      <c r="C11" s="148">
        <v>3362666.236442015</v>
      </c>
      <c r="D11" s="148">
        <v>3830569.4727529585</v>
      </c>
      <c r="E11" s="148">
        <v>4142419.7794477842</v>
      </c>
      <c r="F11" s="148">
        <v>4539508.7242337223</v>
      </c>
      <c r="G11" s="148">
        <v>4893136.2879667114</v>
      </c>
      <c r="H11" s="148">
        <v>5275647.1475756392</v>
      </c>
    </row>
    <row r="12" spans="2:8" x14ac:dyDescent="0.25">
      <c r="B12" s="145" t="s">
        <v>6</v>
      </c>
      <c r="C12" s="146">
        <v>7471401.4449075321</v>
      </c>
      <c r="D12" s="146">
        <v>7569090.3464895403</v>
      </c>
      <c r="E12" s="146">
        <v>7692130.6691106446</v>
      </c>
      <c r="F12" s="146">
        <v>7804224.2782575842</v>
      </c>
      <c r="G12" s="146">
        <v>8065849.4372547725</v>
      </c>
      <c r="H12" s="146">
        <v>8259596.8499487853</v>
      </c>
    </row>
    <row r="13" spans="2:8" x14ac:dyDescent="0.25">
      <c r="B13" s="1" t="s">
        <v>7</v>
      </c>
      <c r="C13" s="5">
        <v>7471401.4449075321</v>
      </c>
      <c r="D13" s="5">
        <v>7569090.3464895403</v>
      </c>
      <c r="E13" s="5">
        <v>7692130.6691106446</v>
      </c>
      <c r="F13" s="5">
        <v>7804224.2782575842</v>
      </c>
      <c r="G13" s="5">
        <v>8065849.4372547725</v>
      </c>
      <c r="H13" s="5">
        <v>8259596.8499487853</v>
      </c>
    </row>
    <row r="14" spans="2:8" x14ac:dyDescent="0.25">
      <c r="B14" s="54" t="s">
        <v>519</v>
      </c>
      <c r="C14" s="59">
        <f>+SUM(C6:C13)</f>
        <v>26576598.614463873</v>
      </c>
      <c r="D14" s="59">
        <f t="shared" ref="D14:H14" si="0">+SUM(D6:D13)</f>
        <v>28500692.330869801</v>
      </c>
      <c r="E14" s="59">
        <f t="shared" si="0"/>
        <v>30011229.819794517</v>
      </c>
      <c r="F14" s="59">
        <f t="shared" si="0"/>
        <v>31595706.63427943</v>
      </c>
      <c r="G14" s="59">
        <f t="shared" si="0"/>
        <v>33350874.781086423</v>
      </c>
      <c r="H14" s="59">
        <f t="shared" si="0"/>
        <v>35063927.568656199</v>
      </c>
    </row>
    <row r="16" spans="2:8" x14ac:dyDescent="0.25">
      <c r="B16" s="144" t="s">
        <v>525</v>
      </c>
    </row>
    <row r="17" spans="2:8" ht="5.0999999999999996" customHeight="1" x14ac:dyDescent="0.25"/>
    <row r="18" spans="2:8" x14ac:dyDescent="0.25">
      <c r="B18" s="52"/>
      <c r="C18" s="52">
        <v>2025</v>
      </c>
      <c r="D18" s="52">
        <v>2026</v>
      </c>
      <c r="E18" s="52">
        <v>2027</v>
      </c>
      <c r="F18" s="52">
        <v>2028</v>
      </c>
      <c r="G18" s="52">
        <v>2029</v>
      </c>
      <c r="H18" s="52">
        <v>2030</v>
      </c>
    </row>
    <row r="19" spans="2:8" x14ac:dyDescent="0.25">
      <c r="B19" s="151" t="s">
        <v>523</v>
      </c>
      <c r="C19" s="151">
        <f>C20-31-28-29</f>
        <v>277</v>
      </c>
      <c r="D19" s="151">
        <f>D20</f>
        <v>365</v>
      </c>
      <c r="E19" s="151">
        <f t="shared" ref="E19:H19" si="1">E20</f>
        <v>365</v>
      </c>
      <c r="F19" s="151">
        <f t="shared" si="1"/>
        <v>366</v>
      </c>
      <c r="G19" s="151">
        <f t="shared" si="1"/>
        <v>365</v>
      </c>
      <c r="H19" s="151">
        <f t="shared" si="1"/>
        <v>365</v>
      </c>
    </row>
    <row r="20" spans="2:8" x14ac:dyDescent="0.25">
      <c r="B20" s="151" t="s">
        <v>524</v>
      </c>
      <c r="C20" s="151">
        <f t="shared" ref="C20:G20" si="2">(365+IF(OR(MOD(C18,400)=0,AND(MOD(C18,4)=0,MOD(C18,100)&lt;&gt;0)),"1", "0"))</f>
        <v>365</v>
      </c>
      <c r="D20" s="151">
        <f t="shared" si="2"/>
        <v>365</v>
      </c>
      <c r="E20" s="151">
        <f t="shared" si="2"/>
        <v>365</v>
      </c>
      <c r="F20" s="151">
        <f t="shared" si="2"/>
        <v>366</v>
      </c>
      <c r="G20" s="151">
        <f t="shared" si="2"/>
        <v>365</v>
      </c>
      <c r="H20" s="151">
        <f>(365+IF(OR(MOD(H18,400)=0,AND(MOD(H18,4)=0,MOD(H18,100)&lt;&gt;0)),"1", "0"))</f>
        <v>365</v>
      </c>
    </row>
    <row r="22" spans="2:8" x14ac:dyDescent="0.25">
      <c r="B22" s="52" t="s">
        <v>520</v>
      </c>
      <c r="C22" s="52">
        <v>2025</v>
      </c>
      <c r="D22" s="52">
        <v>2026</v>
      </c>
      <c r="E22" s="52">
        <v>2027</v>
      </c>
      <c r="F22" s="52">
        <v>2028</v>
      </c>
      <c r="G22" s="52">
        <v>2029</v>
      </c>
      <c r="H22" s="52">
        <v>2030</v>
      </c>
    </row>
    <row r="23" spans="2:8" x14ac:dyDescent="0.25">
      <c r="B23" s="1" t="s">
        <v>0</v>
      </c>
      <c r="C23" s="5">
        <f>+C6*C19/C20</f>
        <v>1281794.8814025426</v>
      </c>
      <c r="D23" s="5">
        <f>+D6*D19/D20</f>
        <v>2077792.7271740844</v>
      </c>
      <c r="E23" s="5">
        <f t="shared" ref="E23:H23" si="3">+E6*E19/E20</f>
        <v>2418772.9870262672</v>
      </c>
      <c r="F23" s="5">
        <f t="shared" si="3"/>
        <v>2653728.9503603666</v>
      </c>
      <c r="G23" s="5">
        <f t="shared" si="3"/>
        <v>2863807.5290358285</v>
      </c>
      <c r="H23" s="5">
        <f t="shared" si="3"/>
        <v>3091316.7841338506</v>
      </c>
    </row>
    <row r="24" spans="2:8" x14ac:dyDescent="0.25">
      <c r="B24" s="149" t="s">
        <v>1</v>
      </c>
      <c r="C24" s="150">
        <f>+C7*C19/C20</f>
        <v>632203.31305075623</v>
      </c>
      <c r="D24" s="150">
        <f>+D7*D19/D20</f>
        <v>860545.33848201297</v>
      </c>
      <c r="E24" s="150">
        <f t="shared" ref="E24:H24" si="4">+E7*E19/E20</f>
        <v>885582.1520514664</v>
      </c>
      <c r="F24" s="150">
        <f t="shared" si="4"/>
        <v>911054.07582776831</v>
      </c>
      <c r="G24" s="150">
        <f t="shared" si="4"/>
        <v>949482.69513160572</v>
      </c>
      <c r="H24" s="150">
        <f t="shared" si="4"/>
        <v>982530.64951376314</v>
      </c>
    </row>
  </sheetData>
  <hyperlinks>
    <hyperlink ref="H1" location="Índice!A1" display="ÍNDICE" xr:uid="{33663537-6C62-458C-BF5C-BB291A517DE7}"/>
  </hyperlinks>
  <pageMargins left="0.7" right="0.7" top="0.75" bottom="0.75" header="0.3" footer="0.3"/>
  <ignoredErrors>
    <ignoredError sqref="D14:H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35A72-0C72-463D-AB24-BDE0AA626519}">
  <sheetPr codeName="Hoja7"/>
  <dimension ref="B1:H33"/>
  <sheetViews>
    <sheetView showGridLines="0" workbookViewId="0">
      <pane ySplit="2" topLeftCell="A3" activePane="bottomLeft" state="frozen"/>
      <selection pane="bottomLeft"/>
    </sheetView>
  </sheetViews>
  <sheetFormatPr baseColWidth="10" defaultColWidth="11.5546875" defaultRowHeight="13.2" x14ac:dyDescent="0.25"/>
  <cols>
    <col min="1" max="1" width="2.6640625" style="1" customWidth="1"/>
    <col min="2" max="2" width="30.88671875" style="1" customWidth="1"/>
    <col min="3" max="8" width="13.5546875" style="1" customWidth="1"/>
    <col min="9" max="9" width="2.6640625" style="1" customWidth="1"/>
    <col min="10" max="16384" width="11.5546875" style="1"/>
  </cols>
  <sheetData>
    <row r="1" spans="2:8" ht="16.2" thickBot="1" x14ac:dyDescent="0.35">
      <c r="B1" s="36" t="s">
        <v>522</v>
      </c>
      <c r="H1" s="38" t="s">
        <v>389</v>
      </c>
    </row>
    <row r="2" spans="2:8" ht="5.0999999999999996" customHeight="1" x14ac:dyDescent="0.3">
      <c r="B2" s="36"/>
    </row>
    <row r="3" spans="2:8" x14ac:dyDescent="0.25">
      <c r="B3" s="7" t="s">
        <v>528</v>
      </c>
    </row>
    <row r="4" spans="2:8" ht="5.0999999999999996" customHeight="1" x14ac:dyDescent="0.25"/>
    <row r="5" spans="2:8" x14ac:dyDescent="0.25">
      <c r="B5" s="52" t="s">
        <v>0</v>
      </c>
      <c r="C5" s="52">
        <v>2025</v>
      </c>
      <c r="D5" s="52">
        <v>2026</v>
      </c>
      <c r="E5" s="52">
        <v>2027</v>
      </c>
      <c r="F5" s="52">
        <v>2028</v>
      </c>
      <c r="G5" s="52">
        <v>2029</v>
      </c>
      <c r="H5" s="52">
        <v>2030</v>
      </c>
    </row>
    <row r="6" spans="2:8" x14ac:dyDescent="0.25">
      <c r="B6" s="1" t="s">
        <v>13</v>
      </c>
      <c r="C6" s="5">
        <f>+SUMIF('2.1 OPEX TUUA'!$C$14:$C$484,'2. OPEX'!$B$6,'2.1 OPEX TUUA'!G14:G484)</f>
        <v>1085874.2300793761</v>
      </c>
      <c r="D6" s="5">
        <f>+SUMIF('2.1 OPEX TUUA'!$C$14:$C$484,'2. OPEX'!$B$6,'2.1 OPEX TUUA'!H14:H484)</f>
        <v>1206373.8733606494</v>
      </c>
      <c r="E6" s="5">
        <f>+SUMIF('2.1 OPEX TUUA'!$C$14:$C$484,'2. OPEX'!$B$6,'2.1 OPEX TUUA'!I14:I484)</f>
        <v>1306889.6260948482</v>
      </c>
      <c r="F6" s="5">
        <f>+SUMIF('2.1 OPEX TUUA'!$C$14:$C$484,'2. OPEX'!$B$6,'2.1 OPEX TUUA'!J14:J484)</f>
        <v>1365041.2159774024</v>
      </c>
      <c r="G6" s="5">
        <f>+SUMIF('2.1 OPEX TUUA'!$C$14:$C$484,'2. OPEX'!$B$6,'2.1 OPEX TUUA'!K14:K484)</f>
        <v>1409771.5282925309</v>
      </c>
      <c r="H6" s="5">
        <f>+SUMIF('2.1 OPEX TUUA'!$C$14:$C$484,'2. OPEX'!$B$6,'2.1 OPEX TUUA'!L14:L484)</f>
        <v>1458370.8637598245</v>
      </c>
    </row>
    <row r="7" spans="2:8" x14ac:dyDescent="0.25">
      <c r="B7" s="1" t="s">
        <v>176</v>
      </c>
      <c r="C7" s="5">
        <f>+SUMIF('2.1 OPEX TUUA'!$C$14:$C$484,'2. OPEX'!$B$7,'2.1 OPEX TUUA'!G14:G484)</f>
        <v>1533933.2142849297</v>
      </c>
      <c r="D7" s="5">
        <f>+SUMIF('2.1 OPEX TUUA'!$C$14:$C$484,'2. OPEX'!$B$7,'2.1 OPEX TUUA'!H14:H484)</f>
        <v>1798244.2799366848</v>
      </c>
      <c r="E7" s="5">
        <f>+SUMIF('2.1 OPEX TUUA'!$C$14:$C$484,'2. OPEX'!$B$7,'2.1 OPEX TUUA'!I14:I484)</f>
        <v>2020452.4795632532</v>
      </c>
      <c r="F7" s="5">
        <f>+SUMIF('2.1 OPEX TUUA'!$C$14:$C$484,'2. OPEX'!$B$7,'2.1 OPEX TUUA'!J14:J484)</f>
        <v>2142253.7161754603</v>
      </c>
      <c r="G7" s="5">
        <f>+SUMIF('2.1 OPEX TUUA'!$C$14:$C$484,'2. OPEX'!$B$7,'2.1 OPEX TUUA'!K14:K484)</f>
        <v>2231194.5995443482</v>
      </c>
      <c r="H7" s="5">
        <f>+SUMIF('2.1 OPEX TUUA'!$C$14:$C$484,'2. OPEX'!$B$7,'2.1 OPEX TUUA'!L14:L484)</f>
        <v>2330255.8696624129</v>
      </c>
    </row>
    <row r="8" spans="2:8" x14ac:dyDescent="0.25">
      <c r="B8" s="1" t="s">
        <v>177</v>
      </c>
      <c r="C8" s="5">
        <f>+SUMIF('2.1 OPEX TUUA'!$C$14:$C$484,'2. OPEX'!$B$8,'2.1 OPEX TUUA'!G14:G484)</f>
        <v>729462.64627603197</v>
      </c>
      <c r="D8" s="5">
        <f>+SUMIF('2.1 OPEX TUUA'!$C$14:$C$484,'2. OPEX'!$B$8,'2.1 OPEX TUUA'!H14:H484)</f>
        <v>835581.81046174199</v>
      </c>
      <c r="E8" s="5">
        <f>+SUMIF('2.1 OPEX TUUA'!$C$14:$C$484,'2. OPEX'!$B$8,'2.1 OPEX TUUA'!I14:I484)</f>
        <v>922879.91459697008</v>
      </c>
      <c r="F8" s="5">
        <f>+SUMIF('2.1 OPEX TUUA'!$C$14:$C$484,'2. OPEX'!$B$8,'2.1 OPEX TUUA'!J14:J484)</f>
        <v>961403.88750814146</v>
      </c>
      <c r="G8" s="5">
        <f>+SUMIF('2.1 OPEX TUUA'!$C$14:$C$484,'2. OPEX'!$B$8,'2.1 OPEX TUUA'!K14:K484)</f>
        <v>982726.48614304129</v>
      </c>
      <c r="H8" s="5">
        <f>+SUMIF('2.1 OPEX TUUA'!$C$14:$C$484,'2. OPEX'!$B$8,'2.1 OPEX TUUA'!L14:L484)</f>
        <v>1008752.0671487821</v>
      </c>
    </row>
    <row r="9" spans="2:8" x14ac:dyDescent="0.25">
      <c r="B9" s="51" t="s">
        <v>8</v>
      </c>
      <c r="C9" s="59">
        <f>+SUM(C6:C8)</f>
        <v>3349270.0906403377</v>
      </c>
      <c r="D9" s="59">
        <f t="shared" ref="D9:H9" si="0">+SUM(D6:D8)</f>
        <v>3840199.9637590759</v>
      </c>
      <c r="E9" s="59">
        <f t="shared" si="0"/>
        <v>4250222.0202550711</v>
      </c>
      <c r="F9" s="59">
        <f t="shared" si="0"/>
        <v>4468698.8196610045</v>
      </c>
      <c r="G9" s="59">
        <f t="shared" si="0"/>
        <v>4623692.6139799207</v>
      </c>
      <c r="H9" s="59">
        <f t="shared" si="0"/>
        <v>4797378.8005710198</v>
      </c>
    </row>
    <row r="11" spans="2:8" x14ac:dyDescent="0.25">
      <c r="B11" s="52" t="s">
        <v>1</v>
      </c>
      <c r="C11" s="52">
        <v>2025</v>
      </c>
      <c r="D11" s="52">
        <v>2026</v>
      </c>
      <c r="E11" s="52">
        <v>2027</v>
      </c>
      <c r="F11" s="52">
        <v>2028</v>
      </c>
      <c r="G11" s="52">
        <v>2029</v>
      </c>
      <c r="H11" s="52">
        <v>2030</v>
      </c>
    </row>
    <row r="12" spans="2:8" x14ac:dyDescent="0.25">
      <c r="B12" s="1" t="s">
        <v>13</v>
      </c>
      <c r="C12" s="5">
        <f>+SUMIF('2.1 OPEX TUUA'!$C$14:$C$484,'2. OPEX'!$B$6,'2.1 OPEX TUUA'!N14:N484)</f>
        <v>397191.61050408124</v>
      </c>
      <c r="D12" s="5">
        <f>+SUMIF('2.1 OPEX TUUA'!$C$14:$C$484,'2. OPEX'!$B$6,'2.1 OPEX TUUA'!O14:O484)</f>
        <v>394912.39627522521</v>
      </c>
      <c r="E12" s="5">
        <f>+SUMIF('2.1 OPEX TUUA'!$C$14:$C$484,'2. OPEX'!$B$6,'2.1 OPEX TUUA'!P14:P484)</f>
        <v>394683.48836986272</v>
      </c>
      <c r="F12" s="5">
        <f>+SUMIF('2.1 OPEX TUUA'!$C$14:$C$484,'2. OPEX'!$B$6,'2.1 OPEX TUUA'!Q14:Q484)</f>
        <v>394419.6796717869</v>
      </c>
      <c r="G12" s="5">
        <f>+SUMIF('2.1 OPEX TUUA'!$C$14:$C$484,'2. OPEX'!$B$6,'2.1 OPEX TUUA'!R14:R484)</f>
        <v>397705.56142951344</v>
      </c>
      <c r="H12" s="5">
        <f>+SUMIF('2.1 OPEX TUUA'!$C$14:$C$484,'2. OPEX'!$B$6,'2.1 OPEX TUUA'!S14:S484)</f>
        <v>399520.31969417277</v>
      </c>
    </row>
    <row r="13" spans="2:8" x14ac:dyDescent="0.25">
      <c r="B13" s="1" t="s">
        <v>176</v>
      </c>
      <c r="C13" s="5">
        <f>+SUMIF('2.1 OPEX TUUA'!$C$14:$C$484,'2. OPEX'!$B$7,'2.1 OPEX TUUA'!N14:N484)</f>
        <v>746067.91527766699</v>
      </c>
      <c r="D13" s="5">
        <f>+SUMIF('2.1 OPEX TUUA'!$C$14:$C$484,'2. OPEX'!$B$7,'2.1 OPEX TUUA'!O14:O484)</f>
        <v>736818.69377567235</v>
      </c>
      <c r="E13" s="5">
        <f>+SUMIF('2.1 OPEX TUUA'!$C$14:$C$484,'2. OPEX'!$B$7,'2.1 OPEX TUUA'!P14:P484)</f>
        <v>733381.62328789139</v>
      </c>
      <c r="F13" s="5">
        <f>+SUMIF('2.1 OPEX TUUA'!$C$14:$C$484,'2. OPEX'!$B$7,'2.1 OPEX TUUA'!Q14:Q484)</f>
        <v>729820.44387365668</v>
      </c>
      <c r="G13" s="5">
        <f>+SUMIF('2.1 OPEX TUUA'!$C$14:$C$484,'2. OPEX'!$B$7,'2.1 OPEX TUUA'!R14:R484)</f>
        <v>734444.19709008816</v>
      </c>
      <c r="H13" s="5">
        <f>+SUMIF('2.1 OPEX TUUA'!$C$14:$C$484,'2. OPEX'!$B$7,'2.1 OPEX TUUA'!S14:S484)</f>
        <v>735770.38984940026</v>
      </c>
    </row>
    <row r="14" spans="2:8" x14ac:dyDescent="0.25">
      <c r="B14" s="1" t="s">
        <v>177</v>
      </c>
      <c r="C14" s="5">
        <f>+SUMIF('2.1 OPEX TUUA'!$C$14:$C$484,'2. OPEX'!$B$8,'2.1 OPEX TUUA'!N14:N484)</f>
        <v>357263.3984301319</v>
      </c>
      <c r="D14" s="5">
        <f>+SUMIF('2.1 OPEX TUUA'!$C$14:$C$484,'2. OPEX'!$B$8,'2.1 OPEX TUUA'!O14:O484)</f>
        <v>344197.45921069378</v>
      </c>
      <c r="E14" s="5">
        <f>+SUMIF('2.1 OPEX TUUA'!$C$14:$C$484,'2. OPEX'!$B$8,'2.1 OPEX TUUA'!P14:P484)</f>
        <v>336418.16276577051</v>
      </c>
      <c r="F14" s="5">
        <f>+SUMIF('2.1 OPEX TUUA'!$C$14:$C$484,'2. OPEX'!$B$8,'2.1 OPEX TUUA'!Q14:Q484)</f>
        <v>328773.5079382711</v>
      </c>
      <c r="G14" s="5">
        <f>+SUMIF('2.1 OPEX TUUA'!$C$14:$C$484,'2. OPEX'!$B$8,'2.1 OPEX TUUA'!R14:R484)</f>
        <v>324628.47342797543</v>
      </c>
      <c r="H14" s="5">
        <f>+SUMIF('2.1 OPEX TUUA'!$C$14:$C$484,'2. OPEX'!$B$8,'2.1 OPEX TUUA'!S14:S484)</f>
        <v>319540.00696544372</v>
      </c>
    </row>
    <row r="15" spans="2:8" x14ac:dyDescent="0.25">
      <c r="B15" s="51" t="s">
        <v>8</v>
      </c>
      <c r="C15" s="59">
        <f>+SUM(C12:C14)</f>
        <v>1500522.9242118802</v>
      </c>
      <c r="D15" s="59">
        <f t="shared" ref="D15" si="1">+SUM(D12:D14)</f>
        <v>1475928.5492615914</v>
      </c>
      <c r="E15" s="59">
        <f t="shared" ref="E15" si="2">+SUM(E12:E14)</f>
        <v>1464483.2744235245</v>
      </c>
      <c r="F15" s="59">
        <f t="shared" ref="F15" si="3">+SUM(F12:F14)</f>
        <v>1453013.6314837148</v>
      </c>
      <c r="G15" s="59">
        <f t="shared" ref="G15" si="4">+SUM(G12:G14)</f>
        <v>1456778.2319475771</v>
      </c>
      <c r="H15" s="59">
        <f t="shared" ref="H15" si="5">+SUM(H12:H14)</f>
        <v>1454830.7165090167</v>
      </c>
    </row>
    <row r="17" spans="2:8" x14ac:dyDescent="0.25">
      <c r="B17" s="7" t="s">
        <v>529</v>
      </c>
    </row>
    <row r="18" spans="2:8" ht="5.0999999999999996" customHeight="1" x14ac:dyDescent="0.25"/>
    <row r="19" spans="2:8" x14ac:dyDescent="0.25">
      <c r="B19" s="52"/>
      <c r="C19" s="52">
        <v>2025</v>
      </c>
      <c r="D19" s="52">
        <v>2026</v>
      </c>
      <c r="E19" s="52">
        <v>2027</v>
      </c>
      <c r="F19" s="52">
        <v>2028</v>
      </c>
      <c r="G19" s="52">
        <v>2029</v>
      </c>
      <c r="H19" s="52">
        <v>2030</v>
      </c>
    </row>
    <row r="20" spans="2:8" x14ac:dyDescent="0.25">
      <c r="B20" s="151" t="s">
        <v>523</v>
      </c>
      <c r="C20" s="151">
        <f>+'1. Demanda'!C19</f>
        <v>277</v>
      </c>
      <c r="D20" s="151">
        <f>+'1. Demanda'!D19</f>
        <v>365</v>
      </c>
      <c r="E20" s="151">
        <f>+'1. Demanda'!E19</f>
        <v>365</v>
      </c>
      <c r="F20" s="151">
        <f>+'1. Demanda'!F19</f>
        <v>366</v>
      </c>
      <c r="G20" s="151">
        <f>+'1. Demanda'!G19</f>
        <v>365</v>
      </c>
      <c r="H20" s="151">
        <f>+'1. Demanda'!H19</f>
        <v>365</v>
      </c>
    </row>
    <row r="21" spans="2:8" x14ac:dyDescent="0.25">
      <c r="B21" s="151" t="s">
        <v>524</v>
      </c>
      <c r="C21" s="151">
        <f>+'1. Demanda'!C20</f>
        <v>365</v>
      </c>
      <c r="D21" s="151">
        <f>+'1. Demanda'!D20</f>
        <v>365</v>
      </c>
      <c r="E21" s="151">
        <f>+'1. Demanda'!E20</f>
        <v>365</v>
      </c>
      <c r="F21" s="151">
        <f>+'1. Demanda'!F20</f>
        <v>366</v>
      </c>
      <c r="G21" s="151">
        <f>+'1. Demanda'!G20</f>
        <v>365</v>
      </c>
      <c r="H21" s="151">
        <f>+'1. Demanda'!H20</f>
        <v>365</v>
      </c>
    </row>
    <row r="23" spans="2:8" x14ac:dyDescent="0.25">
      <c r="B23" s="152" t="s">
        <v>0</v>
      </c>
      <c r="C23" s="52">
        <v>2025</v>
      </c>
      <c r="D23" s="52">
        <v>2026</v>
      </c>
      <c r="E23" s="52">
        <v>2027</v>
      </c>
      <c r="F23" s="52">
        <v>2028</v>
      </c>
      <c r="G23" s="52">
        <v>2029</v>
      </c>
      <c r="H23" s="52">
        <v>2030</v>
      </c>
    </row>
    <row r="24" spans="2:8" x14ac:dyDescent="0.25">
      <c r="B24" s="1" t="s">
        <v>13</v>
      </c>
      <c r="C24" s="5">
        <f t="shared" ref="C24:H24" si="6">+C6*C20/C21</f>
        <v>824074.41570407443</v>
      </c>
      <c r="D24" s="5">
        <f t="shared" si="6"/>
        <v>1206373.8733606494</v>
      </c>
      <c r="E24" s="5">
        <f t="shared" si="6"/>
        <v>1306889.6260948482</v>
      </c>
      <c r="F24" s="5">
        <f t="shared" si="6"/>
        <v>1365041.2159774024</v>
      </c>
      <c r="G24" s="5">
        <f t="shared" si="6"/>
        <v>1409771.5282925309</v>
      </c>
      <c r="H24" s="5">
        <f t="shared" si="6"/>
        <v>1458370.8637598245</v>
      </c>
    </row>
    <row r="25" spans="2:8" x14ac:dyDescent="0.25">
      <c r="B25" s="1" t="s">
        <v>176</v>
      </c>
      <c r="C25" s="5">
        <f t="shared" ref="C25:H25" si="7">+C7*C20/C21</f>
        <v>1164108.2201559604</v>
      </c>
      <c r="D25" s="5">
        <f t="shared" si="7"/>
        <v>1798244.2799366848</v>
      </c>
      <c r="E25" s="5">
        <f t="shared" si="7"/>
        <v>2020452.4795632532</v>
      </c>
      <c r="F25" s="5">
        <f t="shared" si="7"/>
        <v>2142253.7161754603</v>
      </c>
      <c r="G25" s="5">
        <f t="shared" si="7"/>
        <v>2231194.5995443482</v>
      </c>
      <c r="H25" s="5">
        <f t="shared" si="7"/>
        <v>2330255.8696624129</v>
      </c>
    </row>
    <row r="26" spans="2:8" x14ac:dyDescent="0.25">
      <c r="B26" s="1" t="s">
        <v>177</v>
      </c>
      <c r="C26" s="5">
        <f t="shared" ref="C26:H26" si="8">+C8*C20/C21</f>
        <v>553592.20005057775</v>
      </c>
      <c r="D26" s="5">
        <f t="shared" si="8"/>
        <v>835581.81046174199</v>
      </c>
      <c r="E26" s="5">
        <f t="shared" si="8"/>
        <v>922879.91459697008</v>
      </c>
      <c r="F26" s="5">
        <f t="shared" si="8"/>
        <v>961403.88750814158</v>
      </c>
      <c r="G26" s="5">
        <f t="shared" si="8"/>
        <v>982726.48614304129</v>
      </c>
      <c r="H26" s="5">
        <f t="shared" si="8"/>
        <v>1008752.0671487821</v>
      </c>
    </row>
    <row r="27" spans="2:8" x14ac:dyDescent="0.25">
      <c r="B27" s="51" t="s">
        <v>8</v>
      </c>
      <c r="C27" s="59">
        <f>+SUM(C24:C26)</f>
        <v>2541774.8359106127</v>
      </c>
      <c r="D27" s="59">
        <f t="shared" ref="D27" si="9">+SUM(D24:D26)</f>
        <v>3840199.9637590759</v>
      </c>
      <c r="E27" s="59">
        <f t="shared" ref="E27" si="10">+SUM(E24:E26)</f>
        <v>4250222.0202550711</v>
      </c>
      <c r="F27" s="59">
        <f t="shared" ref="F27" si="11">+SUM(F24:F26)</f>
        <v>4468698.8196610045</v>
      </c>
      <c r="G27" s="59">
        <f t="shared" ref="G27" si="12">+SUM(G24:G26)</f>
        <v>4623692.6139799207</v>
      </c>
      <c r="H27" s="59">
        <f t="shared" ref="H27" si="13">+SUM(H24:H26)</f>
        <v>4797378.8005710198</v>
      </c>
    </row>
    <row r="29" spans="2:8" x14ac:dyDescent="0.25">
      <c r="B29" s="152" t="s">
        <v>1</v>
      </c>
      <c r="C29" s="52">
        <v>2025</v>
      </c>
      <c r="D29" s="52">
        <v>2026</v>
      </c>
      <c r="E29" s="52">
        <v>2027</v>
      </c>
      <c r="F29" s="52">
        <v>2028</v>
      </c>
      <c r="G29" s="52">
        <v>2029</v>
      </c>
      <c r="H29" s="52">
        <v>2030</v>
      </c>
    </row>
    <row r="30" spans="2:8" x14ac:dyDescent="0.25">
      <c r="B30" s="1" t="s">
        <v>13</v>
      </c>
      <c r="C30" s="5">
        <f t="shared" ref="C30:H30" si="14">+C12*C20/C21</f>
        <v>301430.345505837</v>
      </c>
      <c r="D30" s="5">
        <f t="shared" si="14"/>
        <v>394912.39627522521</v>
      </c>
      <c r="E30" s="5">
        <f t="shared" si="14"/>
        <v>394683.48836986278</v>
      </c>
      <c r="F30" s="5">
        <f t="shared" si="14"/>
        <v>394419.6796717869</v>
      </c>
      <c r="G30" s="5">
        <f t="shared" si="14"/>
        <v>397705.5614295135</v>
      </c>
      <c r="H30" s="5">
        <f t="shared" si="14"/>
        <v>399520.31969417277</v>
      </c>
    </row>
    <row r="31" spans="2:8" x14ac:dyDescent="0.25">
      <c r="B31" s="1" t="s">
        <v>176</v>
      </c>
      <c r="C31" s="5">
        <f t="shared" ref="C31:H31" si="15">+C13*C20/C21</f>
        <v>566194.00693675003</v>
      </c>
      <c r="D31" s="5">
        <f t="shared" si="15"/>
        <v>736818.69377567235</v>
      </c>
      <c r="E31" s="5">
        <f t="shared" si="15"/>
        <v>733381.62328789139</v>
      </c>
      <c r="F31" s="5">
        <f t="shared" si="15"/>
        <v>729820.44387365668</v>
      </c>
      <c r="G31" s="5">
        <f t="shared" si="15"/>
        <v>734444.19709008816</v>
      </c>
      <c r="H31" s="5">
        <f t="shared" si="15"/>
        <v>735770.38984940015</v>
      </c>
    </row>
    <row r="32" spans="2:8" x14ac:dyDescent="0.25">
      <c r="B32" s="1" t="s">
        <v>177</v>
      </c>
      <c r="C32" s="5">
        <f t="shared" ref="C32:H32" si="16">+C14*C20/C21</f>
        <v>271128.66127437406</v>
      </c>
      <c r="D32" s="5">
        <f t="shared" si="16"/>
        <v>344197.45921069378</v>
      </c>
      <c r="E32" s="5">
        <f t="shared" si="16"/>
        <v>336418.16276577051</v>
      </c>
      <c r="F32" s="5">
        <f t="shared" si="16"/>
        <v>328773.5079382711</v>
      </c>
      <c r="G32" s="5">
        <f t="shared" si="16"/>
        <v>324628.47342797543</v>
      </c>
      <c r="H32" s="5">
        <f t="shared" si="16"/>
        <v>319540.00696544372</v>
      </c>
    </row>
    <row r="33" spans="2:8" x14ac:dyDescent="0.25">
      <c r="B33" s="51" t="s">
        <v>8</v>
      </c>
      <c r="C33" s="59">
        <f>+SUM(C30:C32)</f>
        <v>1138753.013716961</v>
      </c>
      <c r="D33" s="59">
        <f t="shared" ref="D33" si="17">+SUM(D30:D32)</f>
        <v>1475928.5492615914</v>
      </c>
      <c r="E33" s="59">
        <f t="shared" ref="E33" si="18">+SUM(E30:E32)</f>
        <v>1464483.2744235245</v>
      </c>
      <c r="F33" s="59">
        <f t="shared" ref="F33" si="19">+SUM(F30:F32)</f>
        <v>1453013.6314837148</v>
      </c>
      <c r="G33" s="59">
        <f t="shared" ref="G33" si="20">+SUM(G30:G32)</f>
        <v>1456778.2319475771</v>
      </c>
      <c r="H33" s="59">
        <f t="shared" ref="H33" si="21">+SUM(H30:H32)</f>
        <v>1454830.7165090167</v>
      </c>
    </row>
  </sheetData>
  <hyperlinks>
    <hyperlink ref="H1" location="Índice!A1" display="ÍNDICE" xr:uid="{04009F18-41EC-4154-91EC-814C4432D5C2}"/>
  </hyperlinks>
  <pageMargins left="0.7" right="0.7" top="0.75" bottom="0.75" header="0.3" footer="0.3"/>
  <pageSetup paperSize="9" orientation="portrait" horizontalDpi="0" verticalDpi="0" r:id="rId1"/>
  <ignoredErrors>
    <ignoredError sqref="C9:H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B5BF9-6E40-4010-8A96-A666857B8C31}">
  <sheetPr codeName="Hoja14"/>
  <dimension ref="B1:AF486"/>
  <sheetViews>
    <sheetView showGridLines="0" zoomScaleNormal="100" workbookViewId="0">
      <pane ySplit="13" topLeftCell="A21" activePane="bottomLeft" state="frozen"/>
      <selection pane="bottomLeft" activeCell="L30" sqref="L30"/>
    </sheetView>
  </sheetViews>
  <sheetFormatPr baseColWidth="10" defaultColWidth="11.5546875" defaultRowHeight="13.2" x14ac:dyDescent="0.25"/>
  <cols>
    <col min="1" max="1" width="2.6640625" style="1" customWidth="1"/>
    <col min="2" max="2" width="13.109375" style="1" customWidth="1"/>
    <col min="3" max="3" width="12.5546875" style="1" bestFit="1" customWidth="1"/>
    <col min="4" max="4" width="22.5546875" style="1" customWidth="1"/>
    <col min="5" max="5" width="27" style="1" customWidth="1"/>
    <col min="6" max="6" width="12" style="1" customWidth="1"/>
    <col min="7" max="12" width="8.88671875" style="1" bestFit="1" customWidth="1"/>
    <col min="13" max="13" width="1.109375" style="1" customWidth="1"/>
    <col min="14" max="19" width="8.5546875" style="1" customWidth="1"/>
    <col min="20" max="20" width="2.6640625" style="1" customWidth="1"/>
    <col min="21" max="16384" width="11.5546875" style="1"/>
  </cols>
  <sheetData>
    <row r="1" spans="2:32" ht="16.2" thickBot="1" x14ac:dyDescent="0.35">
      <c r="B1" s="129" t="s">
        <v>536</v>
      </c>
      <c r="S1" s="38" t="s">
        <v>389</v>
      </c>
    </row>
    <row r="2" spans="2:32" ht="5.0999999999999996" customHeight="1" x14ac:dyDescent="0.3">
      <c r="B2" s="129"/>
    </row>
    <row r="3" spans="2:32" x14ac:dyDescent="0.25">
      <c r="B3" s="7" t="s">
        <v>535</v>
      </c>
    </row>
    <row r="4" spans="2:32" ht="5.0999999999999996" customHeight="1" x14ac:dyDescent="0.25">
      <c r="B4" s="7"/>
    </row>
    <row r="5" spans="2:32" x14ac:dyDescent="0.25">
      <c r="B5" s="52"/>
      <c r="C5" s="52"/>
      <c r="D5" s="52"/>
      <c r="E5" s="52"/>
      <c r="F5" s="52"/>
      <c r="G5" s="52">
        <v>2025</v>
      </c>
      <c r="H5" s="52">
        <f>+G5+1</f>
        <v>2026</v>
      </c>
      <c r="I5" s="52">
        <f t="shared" ref="I5:L5" si="0">+H5+1</f>
        <v>2027</v>
      </c>
      <c r="J5" s="52">
        <f t="shared" si="0"/>
        <v>2028</v>
      </c>
      <c r="K5" s="52">
        <f t="shared" si="0"/>
        <v>2029</v>
      </c>
      <c r="L5" s="188">
        <f t="shared" si="0"/>
        <v>2030</v>
      </c>
      <c r="M5" s="186"/>
      <c r="N5" s="187">
        <v>2025</v>
      </c>
      <c r="O5" s="52">
        <f>+N5+1</f>
        <v>2026</v>
      </c>
      <c r="P5" s="52">
        <f t="shared" ref="P5:S5" si="1">+O5+1</f>
        <v>2027</v>
      </c>
      <c r="Q5" s="52">
        <f t="shared" si="1"/>
        <v>2028</v>
      </c>
      <c r="R5" s="52">
        <f t="shared" si="1"/>
        <v>2029</v>
      </c>
      <c r="S5" s="52">
        <f t="shared" si="1"/>
        <v>2030</v>
      </c>
    </row>
    <row r="6" spans="2:32" ht="15" customHeight="1" x14ac:dyDescent="0.25">
      <c r="B6" s="180" t="s">
        <v>541</v>
      </c>
      <c r="C6" s="178"/>
      <c r="D6" s="178"/>
      <c r="E6" s="178"/>
      <c r="F6" s="178"/>
      <c r="G6" s="325" t="s">
        <v>0</v>
      </c>
      <c r="H6" s="325"/>
      <c r="I6" s="325"/>
      <c r="J6" s="325"/>
      <c r="K6" s="325"/>
      <c r="L6" s="330"/>
      <c r="M6" s="179"/>
      <c r="N6" s="324" t="s">
        <v>1</v>
      </c>
      <c r="O6" s="325"/>
      <c r="P6" s="325"/>
      <c r="Q6" s="325"/>
      <c r="R6" s="325"/>
      <c r="S6" s="325"/>
    </row>
    <row r="7" spans="2:32" ht="15" customHeight="1" x14ac:dyDescent="0.25">
      <c r="B7" s="181" t="s">
        <v>539</v>
      </c>
      <c r="C7" s="164"/>
      <c r="D7" s="177"/>
      <c r="E7" s="177"/>
      <c r="F7" s="177"/>
      <c r="G7" s="192">
        <f>+'1. Demanda'!C6/'1. Demanda'!C14</f>
        <v>6.3552440258164464E-2</v>
      </c>
      <c r="H7" s="192">
        <f>+'1. Demanda'!D6/'1. Demanda'!D14</f>
        <v>7.2903236982898689E-2</v>
      </c>
      <c r="I7" s="192">
        <f>+'1. Demanda'!E6/'1. Demanda'!E14</f>
        <v>8.0595597099820157E-2</v>
      </c>
      <c r="J7" s="192">
        <f>+'1. Demanda'!F6/'1. Demanda'!F14</f>
        <v>8.3990175661437225E-2</v>
      </c>
      <c r="K7" s="192">
        <f>+'1. Demanda'!G6/'1. Demanda'!G14</f>
        <v>8.5869037853841215E-2</v>
      </c>
      <c r="L7" s="193">
        <f>+'1. Demanda'!H6/'1. Demanda'!H14</f>
        <v>8.8162308060925607E-2</v>
      </c>
      <c r="M7" s="9"/>
      <c r="N7" s="194">
        <f>+'1. Demanda'!C7/'1. Demanda'!C14</f>
        <v>3.1345158157995538E-2</v>
      </c>
      <c r="O7" s="192">
        <f>+'1. Demanda'!D7/'1. Demanda'!D14</f>
        <v>3.0193839801917203E-2</v>
      </c>
      <c r="P7" s="192">
        <f>+'1. Demanda'!E7/'1. Demanda'!E14</f>
        <v>2.9508359283142827E-2</v>
      </c>
      <c r="Q7" s="192">
        <f>+'1. Demanda'!F7/'1. Demanda'!F14</f>
        <v>2.8834742845704541E-2</v>
      </c>
      <c r="R7" s="192">
        <f>+'1. Demanda'!G7/'1. Demanda'!G14</f>
        <v>2.8469498967087541E-2</v>
      </c>
      <c r="S7" s="192">
        <f>+'1. Demanda'!H7/'1. Demanda'!H14</f>
        <v>2.8021123634536925E-2</v>
      </c>
    </row>
    <row r="8" spans="2:32" ht="15" customHeight="1" x14ac:dyDescent="0.25">
      <c r="B8" s="182" t="s">
        <v>538</v>
      </c>
      <c r="C8" s="176"/>
      <c r="D8" s="167"/>
      <c r="E8" s="167"/>
      <c r="F8" s="167"/>
      <c r="G8" s="195">
        <f>+'5.2 Asignación de Áreas'!$F$4</f>
        <v>4.8165580904293744E-2</v>
      </c>
      <c r="H8" s="195">
        <f>+'5.2 Asignación de Áreas'!$F$4</f>
        <v>4.8165580904293744E-2</v>
      </c>
      <c r="I8" s="195">
        <f>+'5.2 Asignación de Áreas'!$F$4</f>
        <v>4.8165580904293744E-2</v>
      </c>
      <c r="J8" s="195">
        <f>+'5.2 Asignación de Áreas'!$F$4</f>
        <v>4.8165580904293744E-2</v>
      </c>
      <c r="K8" s="195">
        <f>+'5.2 Asignación de Áreas'!$F$4</f>
        <v>4.8165580904293744E-2</v>
      </c>
      <c r="L8" s="196">
        <f>+'5.2 Asignación de Áreas'!$F$4</f>
        <v>4.8165580904293744E-2</v>
      </c>
      <c r="M8" s="167"/>
      <c r="N8" s="197">
        <f>+'5.2 Asignación de Áreas'!$F$5</f>
        <v>9.0009781927140303E-3</v>
      </c>
      <c r="O8" s="195">
        <f>+'5.2 Asignación de Áreas'!$F$5</f>
        <v>9.0009781927140303E-3</v>
      </c>
      <c r="P8" s="195">
        <f>+'5.2 Asignación de Áreas'!$F$5</f>
        <v>9.0009781927140303E-3</v>
      </c>
      <c r="Q8" s="195">
        <f>+'5.2 Asignación de Áreas'!$F$5</f>
        <v>9.0009781927140303E-3</v>
      </c>
      <c r="R8" s="195">
        <f>+'5.2 Asignación de Áreas'!$F$5</f>
        <v>9.0009781927140303E-3</v>
      </c>
      <c r="S8" s="195">
        <f>+'5.2 Asignación de Áreas'!$F$5</f>
        <v>9.0009781927140303E-3</v>
      </c>
    </row>
    <row r="9" spans="2:32" x14ac:dyDescent="0.25">
      <c r="B9" s="97"/>
      <c r="C9" s="183"/>
      <c r="M9" s="183"/>
      <c r="N9" s="184"/>
      <c r="O9" s="184"/>
      <c r="P9" s="184"/>
      <c r="Q9" s="184"/>
      <c r="R9" s="184"/>
      <c r="S9" s="184"/>
    </row>
    <row r="10" spans="2:32" x14ac:dyDescent="0.25">
      <c r="B10" s="7" t="s">
        <v>540</v>
      </c>
      <c r="G10" s="2"/>
      <c r="H10" s="2"/>
      <c r="I10" s="2"/>
      <c r="J10" s="2"/>
      <c r="K10" s="2"/>
      <c r="L10" s="2"/>
      <c r="M10" s="183"/>
      <c r="N10" s="2"/>
      <c r="O10" s="2"/>
      <c r="P10" s="2"/>
      <c r="Q10" s="2"/>
      <c r="R10" s="2"/>
      <c r="S10" s="2"/>
    </row>
    <row r="11" spans="2:32" ht="5.0999999999999996" customHeight="1" x14ac:dyDescent="0.25">
      <c r="M11" s="183"/>
    </row>
    <row r="12" spans="2:32" ht="15" customHeight="1" x14ac:dyDescent="0.25">
      <c r="B12" s="328" t="s">
        <v>9</v>
      </c>
      <c r="C12" s="329" t="s">
        <v>10</v>
      </c>
      <c r="D12" s="329" t="s">
        <v>11</v>
      </c>
      <c r="E12" s="329" t="s">
        <v>12</v>
      </c>
      <c r="F12" s="327" t="s">
        <v>193</v>
      </c>
      <c r="G12" s="326" t="s">
        <v>533</v>
      </c>
      <c r="H12" s="326"/>
      <c r="I12" s="326"/>
      <c r="J12" s="326"/>
      <c r="K12" s="326"/>
      <c r="L12" s="326"/>
      <c r="M12" s="185"/>
      <c r="N12" s="326" t="s">
        <v>534</v>
      </c>
      <c r="O12" s="326"/>
      <c r="P12" s="326"/>
      <c r="Q12" s="326"/>
      <c r="R12" s="326"/>
      <c r="S12" s="326"/>
    </row>
    <row r="13" spans="2:32" x14ac:dyDescent="0.25">
      <c r="B13" s="328"/>
      <c r="C13" s="329"/>
      <c r="D13" s="329"/>
      <c r="E13" s="329"/>
      <c r="F13" s="327"/>
      <c r="G13" s="39">
        <v>2025</v>
      </c>
      <c r="H13" s="39">
        <v>2026</v>
      </c>
      <c r="I13" s="39">
        <v>2027</v>
      </c>
      <c r="J13" s="39">
        <v>2028</v>
      </c>
      <c r="K13" s="39">
        <v>2029</v>
      </c>
      <c r="L13" s="39">
        <v>2030</v>
      </c>
      <c r="M13" s="185"/>
      <c r="N13" s="39">
        <v>2025</v>
      </c>
      <c r="O13" s="39">
        <v>2026</v>
      </c>
      <c r="P13" s="39">
        <v>2027</v>
      </c>
      <c r="Q13" s="39">
        <v>2028</v>
      </c>
      <c r="R13" s="39">
        <v>2029</v>
      </c>
      <c r="S13" s="39">
        <v>2030</v>
      </c>
    </row>
    <row r="14" spans="2:32" x14ac:dyDescent="0.25">
      <c r="B14" s="16">
        <v>6211000001</v>
      </c>
      <c r="C14" s="190" t="s">
        <v>13</v>
      </c>
      <c r="D14" s="190" t="s">
        <v>14</v>
      </c>
      <c r="E14" s="190" t="s">
        <v>15</v>
      </c>
      <c r="F14" s="162" t="s">
        <v>190</v>
      </c>
      <c r="G14" s="3">
        <f>+IF(F14="Pasajero",'2.2 OPEX LAP 2023'!I15*'2.1 OPEX TUUA'!$G$7,'2.2 OPEX LAP 2023'!I15*'2.1 OPEX TUUA'!$G$8)</f>
        <v>32428.416410220387</v>
      </c>
      <c r="H14" s="3">
        <f>+IF(F14="Pasajero",'2.2 OPEX LAP 2023'!J15*'2.1 OPEX TUUA'!$H$7,'2.2 OPEX LAP 2023'!J15*'2.1 OPEX TUUA'!$H$8)</f>
        <v>38128.387997408048</v>
      </c>
      <c r="I14" s="3">
        <f>+IF(F14="Pasajero",'2.2 OPEX LAP 2023'!K15*'2.1 OPEX TUUA'!$I$7,'2.2 OPEX LAP 2023'!K15*'2.1 OPEX TUUA'!$I$8)</f>
        <v>42921.785444488334</v>
      </c>
      <c r="J14" s="3">
        <f>+IF(F14="Pasajero",'2.2 OPEX LAP 2023'!L15*'2.1 OPEX TUUA'!$J$7,'2.2 OPEX LAP 2023'!L15*'2.1 OPEX TUUA'!$J$8)</f>
        <v>45543.855794805946</v>
      </c>
      <c r="K14" s="3">
        <f>+IF(F14="Pasajero",'2.2 OPEX LAP 2023'!M15*'2.1 OPEX TUUA'!$K$7,'2.2 OPEX LAP 2023'!M15*'2.1 OPEX TUUA'!$K$8)</f>
        <v>47454.531126035043</v>
      </c>
      <c r="L14" s="3">
        <f>+IF(F14="Pasajero",'2.2 OPEX LAP 2023'!N15*'2.1 OPEX TUUA'!$L$7,'2.2 OPEX LAP 2023'!N15*'2.1 OPEX TUUA'!$L$8)</f>
        <v>49584.769161208023</v>
      </c>
      <c r="M14" s="183"/>
      <c r="N14" s="3">
        <f>+IF(F14="Pasajero",'2.2 OPEX LAP 2023'!I15*'2.1 OPEX TUUA'!$N$7,'2.2 OPEX LAP 2023'!I15*'2.1 OPEX TUUA'!$N$8)</f>
        <v>15994.253518237034</v>
      </c>
      <c r="O14" s="3">
        <f>+IF(F14="Pasajero",'2.2 OPEX LAP 2023'!J15*'2.1 OPEX TUUA'!$O$7,'2.2 OPEX LAP 2023'!J15*'2.1 OPEX TUUA'!$O$8)</f>
        <v>15791.376168511344</v>
      </c>
      <c r="P14" s="3">
        <f>+IF(F14="Pasajero",'2.2 OPEX LAP 2023'!K15*'2.1 OPEX TUUA'!$P$7,'2.2 OPEX LAP 2023'!K15*'2.1 OPEX TUUA'!$P$8)</f>
        <v>15714.896489956747</v>
      </c>
      <c r="Q14" s="3">
        <f>+IF(F14="Pasajero",'2.2 OPEX LAP 2023'!L15*'2.1 OPEX TUUA'!$Q$7,'2.2 OPEX LAP 2023'!L15*'2.1 OPEX TUUA'!$Q$8)</f>
        <v>15635.702148531596</v>
      </c>
      <c r="R14" s="3">
        <f>+IF(F14="Pasajero",'2.2 OPEX LAP 2023'!M15*'2.1 OPEX TUUA'!$R$7,'2.2 OPEX LAP 2023'!M15*'2.1 OPEX TUUA'!$R$8)</f>
        <v>15733.339497478055</v>
      </c>
      <c r="S14" s="3">
        <f>+IF(F14="Pasajero",'2.2 OPEX LAP 2023'!N15*'2.1 OPEX TUUA'!$S$7,'2.2 OPEX LAP 2023'!N15*'2.1 OPEX TUUA'!$S$8)</f>
        <v>15759.806856417688</v>
      </c>
      <c r="AA14" s="6"/>
      <c r="AB14" s="6"/>
      <c r="AC14" s="6"/>
      <c r="AD14" s="6"/>
      <c r="AE14" s="6"/>
      <c r="AF14" s="6"/>
    </row>
    <row r="15" spans="2:32" x14ac:dyDescent="0.25">
      <c r="B15" s="16">
        <v>6212000001</v>
      </c>
      <c r="C15" s="190" t="s">
        <v>13</v>
      </c>
      <c r="D15" s="190" t="s">
        <v>14</v>
      </c>
      <c r="E15" s="190" t="s">
        <v>16</v>
      </c>
      <c r="F15" s="162" t="s">
        <v>190</v>
      </c>
      <c r="G15" s="3">
        <f>+IF(F15="Pasajero",'2.2 OPEX LAP 2023'!I16*'2.1 OPEX TUUA'!$G$7,'2.2 OPEX LAP 2023'!I16*'2.1 OPEX TUUA'!$G$8)</f>
        <v>6937.7869862122552</v>
      </c>
      <c r="H15" s="3">
        <f>+IF(F15="Pasajero",'2.2 OPEX LAP 2023'!J16*'2.1 OPEX TUUA'!$H$7,'2.2 OPEX LAP 2023'!J16*'2.1 OPEX TUUA'!$H$8)</f>
        <v>8157.2479737338908</v>
      </c>
      <c r="I15" s="3">
        <f>+IF(F15="Pasajero",'2.2 OPEX LAP 2023'!K16*'2.1 OPEX TUUA'!$I$7,'2.2 OPEX LAP 2023'!K16*'2.1 OPEX TUUA'!$I$8)</f>
        <v>9182.7550477584973</v>
      </c>
      <c r="J15" s="3">
        <f>+IF(F15="Pasajero",'2.2 OPEX LAP 2023'!L16*'2.1 OPEX TUUA'!$J$7,'2.2 OPEX LAP 2023'!L16*'2.1 OPEX TUUA'!$J$8)</f>
        <v>9743.7249490711383</v>
      </c>
      <c r="K15" s="3">
        <f>+IF(F15="Pasajero",'2.2 OPEX LAP 2023'!M16*'2.1 OPEX TUUA'!$K$7,'2.2 OPEX LAP 2023'!M16*'2.1 OPEX TUUA'!$K$8)</f>
        <v>10152.497868482034</v>
      </c>
      <c r="L15" s="3">
        <f>+IF(F15="Pasajero",'2.2 OPEX LAP 2023'!N16*'2.1 OPEX TUUA'!$L$7,'2.2 OPEX LAP 2023'!N16*'2.1 OPEX TUUA'!$L$8)</f>
        <v>10608.244382002798</v>
      </c>
      <c r="M15" s="183"/>
      <c r="N15" s="3">
        <f>+IF(F15="Pasajero",'2.2 OPEX LAP 2023'!I16*'2.1 OPEX TUUA'!$N$7,'2.2 OPEX LAP 2023'!I16*'2.1 OPEX TUUA'!$N$8)</f>
        <v>3421.8360375448979</v>
      </c>
      <c r="O15" s="3">
        <f>+IF(F15="Pasajero",'2.2 OPEX LAP 2023'!J16*'2.1 OPEX TUUA'!$O$7,'2.2 OPEX LAP 2023'!J16*'2.1 OPEX TUUA'!$O$8)</f>
        <v>3378.432134655563</v>
      </c>
      <c r="P15" s="3">
        <f>+IF(F15="Pasajero",'2.2 OPEX LAP 2023'!K16*'2.1 OPEX TUUA'!$P$7,'2.2 OPEX LAP 2023'!K16*'2.1 OPEX TUUA'!$P$8)</f>
        <v>3362.0699505799153</v>
      </c>
      <c r="Q15" s="3">
        <f>+IF(F15="Pasajero",'2.2 OPEX LAP 2023'!L16*'2.1 OPEX TUUA'!$Q$7,'2.2 OPEX LAP 2023'!L16*'2.1 OPEX TUUA'!$Q$8)</f>
        <v>3345.1269872119015</v>
      </c>
      <c r="R15" s="3">
        <f>+IF(F15="Pasajero",'2.2 OPEX LAP 2023'!M16*'2.1 OPEX TUUA'!$R$7,'2.2 OPEX LAP 2023'!M16*'2.1 OPEX TUUA'!$R$8)</f>
        <v>3366.0156769437722</v>
      </c>
      <c r="S15" s="3">
        <f>+IF(F15="Pasajero",'2.2 OPEX LAP 2023'!N16*'2.1 OPEX TUUA'!$S$7,'2.2 OPEX LAP 2023'!N16*'2.1 OPEX TUUA'!$S$8)</f>
        <v>3371.678145813295</v>
      </c>
      <c r="AA15" s="6"/>
      <c r="AB15" s="6"/>
      <c r="AC15" s="6"/>
      <c r="AD15" s="6"/>
      <c r="AE15" s="6"/>
      <c r="AF15" s="6"/>
    </row>
    <row r="16" spans="2:32" x14ac:dyDescent="0.25">
      <c r="B16" s="16">
        <v>6213000001</v>
      </c>
      <c r="C16" s="190" t="s">
        <v>13</v>
      </c>
      <c r="D16" s="190" t="s">
        <v>14</v>
      </c>
      <c r="E16" s="190" t="s">
        <v>17</v>
      </c>
      <c r="F16" s="162" t="s">
        <v>190</v>
      </c>
      <c r="G16" s="3">
        <f>+IF(F16="Pasajero",'2.2 OPEX LAP 2023'!I17*'2.1 OPEX TUUA'!$G$7,'2.2 OPEX LAP 2023'!I17*'2.1 OPEX TUUA'!$G$8)</f>
        <v>3193.698154378224</v>
      </c>
      <c r="H16" s="3">
        <f>+IF(F16="Pasajero",'2.2 OPEX LAP 2023'!J17*'2.1 OPEX TUUA'!$H$7,'2.2 OPEX LAP 2023'!J17*'2.1 OPEX TUUA'!$H$8)</f>
        <v>3755.0573187521045</v>
      </c>
      <c r="I16" s="3">
        <f>+IF(F16="Pasajero",'2.2 OPEX LAP 2023'!K17*'2.1 OPEX TUUA'!$I$7,'2.2 OPEX LAP 2023'!K17*'2.1 OPEX TUUA'!$I$8)</f>
        <v>4227.1329325066145</v>
      </c>
      <c r="J16" s="3">
        <f>+IF(F16="Pasajero",'2.2 OPEX LAP 2023'!L17*'2.1 OPEX TUUA'!$J$7,'2.2 OPEX LAP 2023'!L17*'2.1 OPEX TUUA'!$J$8)</f>
        <v>4485.3663637209738</v>
      </c>
      <c r="K16" s="3">
        <f>+IF(F16="Pasajero",'2.2 OPEX LAP 2023'!M17*'2.1 OPEX TUUA'!$K$7,'2.2 OPEX LAP 2023'!M17*'2.1 OPEX TUUA'!$K$8)</f>
        <v>4673.5383731638758</v>
      </c>
      <c r="L16" s="3">
        <f>+IF(F16="Pasajero",'2.2 OPEX LAP 2023'!N17*'2.1 OPEX TUUA'!$L$7,'2.2 OPEX LAP 2023'!N17*'2.1 OPEX TUUA'!$L$8)</f>
        <v>4883.3339177645075</v>
      </c>
      <c r="M16" s="183"/>
      <c r="N16" s="3">
        <f>+IF(F16="Pasajero",'2.2 OPEX LAP 2023'!I17*'2.1 OPEX TUUA'!$N$7,'2.2 OPEX LAP 2023'!I17*'2.1 OPEX TUUA'!$N$8)</f>
        <v>1575.186937767088</v>
      </c>
      <c r="O16" s="3">
        <f>+IF(F16="Pasajero",'2.2 OPEX LAP 2023'!J17*'2.1 OPEX TUUA'!$O$7,'2.2 OPEX LAP 2023'!J17*'2.1 OPEX TUUA'!$O$8)</f>
        <v>1555.206652291912</v>
      </c>
      <c r="P16" s="3">
        <f>+IF(F16="Pasajero",'2.2 OPEX LAP 2023'!K17*'2.1 OPEX TUUA'!$P$7,'2.2 OPEX LAP 2023'!K17*'2.1 OPEX TUUA'!$P$8)</f>
        <v>1547.674585195035</v>
      </c>
      <c r="Q16" s="3">
        <f>+IF(F16="Pasajero",'2.2 OPEX LAP 2023'!L17*'2.1 OPEX TUUA'!$Q$7,'2.2 OPEX LAP 2023'!L17*'2.1 OPEX TUUA'!$Q$8)</f>
        <v>1539.8751657338062</v>
      </c>
      <c r="R16" s="3">
        <f>+IF(F16="Pasajero",'2.2 OPEX LAP 2023'!M17*'2.1 OPEX TUUA'!$R$7,'2.2 OPEX LAP 2023'!M17*'2.1 OPEX TUUA'!$R$8)</f>
        <v>1549.4909365807109</v>
      </c>
      <c r="S16" s="3">
        <f>+IF(F16="Pasajero",'2.2 OPEX LAP 2023'!N17*'2.1 OPEX TUUA'!$S$7,'2.2 OPEX LAP 2023'!N17*'2.1 OPEX TUUA'!$S$8)</f>
        <v>1552.0975626437132</v>
      </c>
      <c r="AA16" s="6"/>
      <c r="AB16" s="6"/>
      <c r="AC16" s="6"/>
      <c r="AD16" s="6"/>
      <c r="AE16" s="6"/>
      <c r="AF16" s="6"/>
    </row>
    <row r="17" spans="2:32" x14ac:dyDescent="0.25">
      <c r="B17" s="16">
        <v>6214000001</v>
      </c>
      <c r="C17" s="190" t="s">
        <v>13</v>
      </c>
      <c r="D17" s="190" t="s">
        <v>14</v>
      </c>
      <c r="E17" s="190" t="s">
        <v>18</v>
      </c>
      <c r="F17" s="162" t="s">
        <v>190</v>
      </c>
      <c r="G17" s="3">
        <f>+IF(F17="Pasajero",'2.2 OPEX LAP 2023'!I18*'2.1 OPEX TUUA'!$G$7,'2.2 OPEX LAP 2023'!I18*'2.1 OPEX TUUA'!$G$8)</f>
        <v>466.72630352905031</v>
      </c>
      <c r="H17" s="3">
        <f>+IF(F17="Pasajero",'2.2 OPEX LAP 2023'!J18*'2.1 OPEX TUUA'!$H$7,'2.2 OPEX LAP 2023'!J18*'2.1 OPEX TUUA'!$H$8)</f>
        <v>548.76320090496608</v>
      </c>
      <c r="I17" s="3">
        <f>+IF(F17="Pasajero",'2.2 OPEX LAP 2023'!K18*'2.1 OPEX TUUA'!$I$7,'2.2 OPEX LAP 2023'!K18*'2.1 OPEX TUUA'!$I$8)</f>
        <v>617.75222101377028</v>
      </c>
      <c r="J17" s="3">
        <f>+IF(F17="Pasajero",'2.2 OPEX LAP 2023'!L18*'2.1 OPEX TUUA'!$J$7,'2.2 OPEX LAP 2023'!L18*'2.1 OPEX TUUA'!$J$8)</f>
        <v>655.49039443290656</v>
      </c>
      <c r="K17" s="3">
        <f>+IF(F17="Pasajero",'2.2 OPEX LAP 2023'!M18*'2.1 OPEX TUUA'!$K$7,'2.2 OPEX LAP 2023'!M18*'2.1 OPEX TUUA'!$K$8)</f>
        <v>682.98980801227708</v>
      </c>
      <c r="L17" s="3">
        <f>+IF(F17="Pasajero",'2.2 OPEX LAP 2023'!N18*'2.1 OPEX TUUA'!$L$7,'2.2 OPEX LAP 2023'!N18*'2.1 OPEX TUUA'!$L$8)</f>
        <v>713.64927997711595</v>
      </c>
      <c r="M17" s="183"/>
      <c r="N17" s="3">
        <f>+IF(F17="Pasajero",'2.2 OPEX LAP 2023'!I18*'2.1 OPEX TUUA'!$N$7,'2.2 OPEX LAP 2023'!I18*'2.1 OPEX TUUA'!$N$8)</f>
        <v>230.19745176087514</v>
      </c>
      <c r="O17" s="3">
        <f>+IF(F17="Pasajero",'2.2 OPEX LAP 2023'!J18*'2.1 OPEX TUUA'!$O$7,'2.2 OPEX LAP 2023'!J18*'2.1 OPEX TUUA'!$O$8)</f>
        <v>227.27753750081899</v>
      </c>
      <c r="P17" s="3">
        <f>+IF(F17="Pasajero",'2.2 OPEX LAP 2023'!K18*'2.1 OPEX TUUA'!$P$7,'2.2 OPEX LAP 2023'!K18*'2.1 OPEX TUUA'!$P$8)</f>
        <v>226.17680297171546</v>
      </c>
      <c r="Q17" s="3">
        <f>+IF(F17="Pasajero",'2.2 OPEX LAP 2023'!L18*'2.1 OPEX TUUA'!$Q$7,'2.2 OPEX LAP 2023'!L18*'2.1 OPEX TUUA'!$Q$8)</f>
        <v>225.03699763043062</v>
      </c>
      <c r="R17" s="3">
        <f>+IF(F17="Pasajero",'2.2 OPEX LAP 2023'!M18*'2.1 OPEX TUUA'!$R$7,'2.2 OPEX LAP 2023'!M18*'2.1 OPEX TUUA'!$R$8)</f>
        <v>226.4422441396556</v>
      </c>
      <c r="S17" s="3">
        <f>+IF(F17="Pasajero",'2.2 OPEX LAP 2023'!N18*'2.1 OPEX TUUA'!$S$7,'2.2 OPEX LAP 2023'!N18*'2.1 OPEX TUUA'!$S$8)</f>
        <v>226.82317586465277</v>
      </c>
      <c r="AA17" s="6"/>
      <c r="AB17" s="6"/>
      <c r="AC17" s="6"/>
      <c r="AD17" s="6"/>
      <c r="AE17" s="6"/>
      <c r="AF17" s="6"/>
    </row>
    <row r="18" spans="2:32" x14ac:dyDescent="0.25">
      <c r="B18" s="16">
        <v>6221000001</v>
      </c>
      <c r="C18" s="190" t="s">
        <v>13</v>
      </c>
      <c r="D18" s="190" t="s">
        <v>14</v>
      </c>
      <c r="E18" s="190" t="s">
        <v>19</v>
      </c>
      <c r="F18" s="162" t="s">
        <v>190</v>
      </c>
      <c r="G18" s="3">
        <f>+IF(F18="Pasajero",'2.2 OPEX LAP 2023'!I19*'2.1 OPEX TUUA'!$G$7,'2.2 OPEX LAP 2023'!I19*'2.1 OPEX TUUA'!$G$8)</f>
        <v>193.07144343366076</v>
      </c>
      <c r="H18" s="3">
        <f>+IF(F18="Pasajero",'2.2 OPEX LAP 2023'!J19*'2.1 OPEX TUUA'!$H$7,'2.2 OPEX LAP 2023'!J19*'2.1 OPEX TUUA'!$H$8)</f>
        <v>227.00778272164197</v>
      </c>
      <c r="I18" s="3">
        <f>+IF(F18="Pasajero",'2.2 OPEX LAP 2023'!K19*'2.1 OPEX TUUA'!$I$7,'2.2 OPEX LAP 2023'!K19*'2.1 OPEX TUUA'!$I$8)</f>
        <v>255.54658499776355</v>
      </c>
      <c r="J18" s="3">
        <f>+IF(F18="Pasajero",'2.2 OPEX LAP 2023'!L19*'2.1 OPEX TUUA'!$J$7,'2.2 OPEX LAP 2023'!L19*'2.1 OPEX TUUA'!$J$8)</f>
        <v>271.15779773527095</v>
      </c>
      <c r="K18" s="3">
        <f>+IF(F18="Pasajero",'2.2 OPEX LAP 2023'!M19*'2.1 OPEX TUUA'!$K$7,'2.2 OPEX LAP 2023'!M19*'2.1 OPEX TUUA'!$K$8)</f>
        <v>282.53352572232194</v>
      </c>
      <c r="L18" s="3">
        <f>+IF(F18="Pasajero",'2.2 OPEX LAP 2023'!N19*'2.1 OPEX TUUA'!$L$7,'2.2 OPEX LAP 2023'!N19*'2.1 OPEX TUUA'!$L$8)</f>
        <v>295.21648029849757</v>
      </c>
      <c r="M18" s="3"/>
      <c r="N18" s="3">
        <f>+IF(F18="Pasajero",'2.2 OPEX LAP 2023'!I19*'2.1 OPEX TUUA'!$N$7,'2.2 OPEX LAP 2023'!I19*'2.1 OPEX TUUA'!$N$8)</f>
        <v>95.226161350163338</v>
      </c>
      <c r="O18" s="3">
        <f>+IF(F18="Pasajero",'2.2 OPEX LAP 2023'!J19*'2.1 OPEX TUUA'!$O$7,'2.2 OPEX LAP 2023'!J19*'2.1 OPEX TUUA'!$O$8)</f>
        <v>94.018275579361742</v>
      </c>
      <c r="P18" s="3">
        <f>+IF(F18="Pasajero",'2.2 OPEX LAP 2023'!K19*'2.1 OPEX TUUA'!$P$7,'2.2 OPEX LAP 2023'!K19*'2.1 OPEX TUUA'!$P$8)</f>
        <v>93.56293290258445</v>
      </c>
      <c r="Q18" s="3">
        <f>+IF(F18="Pasajero",'2.2 OPEX LAP 2023'!L19*'2.1 OPEX TUUA'!$Q$7,'2.2 OPEX LAP 2023'!L19*'2.1 OPEX TUUA'!$Q$8)</f>
        <v>93.091427738184478</v>
      </c>
      <c r="R18" s="3">
        <f>+IF(F18="Pasajero",'2.2 OPEX LAP 2023'!M19*'2.1 OPEX TUUA'!$R$7,'2.2 OPEX LAP 2023'!M19*'2.1 OPEX TUUA'!$R$8)</f>
        <v>93.672738390411922</v>
      </c>
      <c r="S18" s="3">
        <f>+IF(F18="Pasajero",'2.2 OPEX LAP 2023'!N19*'2.1 OPEX TUUA'!$S$7,'2.2 OPEX LAP 2023'!N19*'2.1 OPEX TUUA'!$S$8)</f>
        <v>93.830319048366619</v>
      </c>
      <c r="AA18" s="6"/>
      <c r="AB18" s="6"/>
      <c r="AC18" s="6"/>
      <c r="AD18" s="6"/>
      <c r="AE18" s="6"/>
      <c r="AF18" s="6"/>
    </row>
    <row r="19" spans="2:32" x14ac:dyDescent="0.25">
      <c r="B19" s="16">
        <v>6231000001</v>
      </c>
      <c r="C19" s="190" t="s">
        <v>13</v>
      </c>
      <c r="D19" s="190" t="s">
        <v>14</v>
      </c>
      <c r="E19" s="190" t="s">
        <v>20</v>
      </c>
      <c r="F19" s="162" t="s">
        <v>190</v>
      </c>
      <c r="G19" s="3">
        <f>+IF(F19="Pasajero",'2.2 OPEX LAP 2023'!I20*'2.1 OPEX TUUA'!$G$7,'2.2 OPEX LAP 2023'!I20*'2.1 OPEX TUUA'!$G$8)</f>
        <v>0</v>
      </c>
      <c r="H19" s="3">
        <f>+IF(F19="Pasajero",'2.2 OPEX LAP 2023'!J20*'2.1 OPEX TUUA'!$H$7,'2.2 OPEX LAP 2023'!J20*'2.1 OPEX TUUA'!$H$8)</f>
        <v>0</v>
      </c>
      <c r="I19" s="3">
        <f>+IF(F19="Pasajero",'2.2 OPEX LAP 2023'!K20*'2.1 OPEX TUUA'!$I$7,'2.2 OPEX LAP 2023'!K20*'2.1 OPEX TUUA'!$I$8)</f>
        <v>0</v>
      </c>
      <c r="J19" s="3">
        <f>+IF(F19="Pasajero",'2.2 OPEX LAP 2023'!L20*'2.1 OPEX TUUA'!$J$7,'2.2 OPEX LAP 2023'!L20*'2.1 OPEX TUUA'!$J$8)</f>
        <v>0</v>
      </c>
      <c r="K19" s="3">
        <f>+IF(F19="Pasajero",'2.2 OPEX LAP 2023'!M20*'2.1 OPEX TUUA'!$K$7,'2.2 OPEX LAP 2023'!M20*'2.1 OPEX TUUA'!$K$8)</f>
        <v>0</v>
      </c>
      <c r="L19" s="3">
        <f>+IF(F19="Pasajero",'2.2 OPEX LAP 2023'!N20*'2.1 OPEX TUUA'!$L$7,'2.2 OPEX LAP 2023'!N20*'2.1 OPEX TUUA'!$L$8)</f>
        <v>0</v>
      </c>
      <c r="M19" s="3"/>
      <c r="N19" s="3">
        <f>+IF(F19="Pasajero",'2.2 OPEX LAP 2023'!I20*'2.1 OPEX TUUA'!$N$7,'2.2 OPEX LAP 2023'!I20*'2.1 OPEX TUUA'!$N$8)</f>
        <v>0</v>
      </c>
      <c r="O19" s="3">
        <f>+IF(F19="Pasajero",'2.2 OPEX LAP 2023'!J20*'2.1 OPEX TUUA'!$O$7,'2.2 OPEX LAP 2023'!J20*'2.1 OPEX TUUA'!$O$8)</f>
        <v>0</v>
      </c>
      <c r="P19" s="3">
        <f>+IF(F19="Pasajero",'2.2 OPEX LAP 2023'!K20*'2.1 OPEX TUUA'!$P$7,'2.2 OPEX LAP 2023'!K20*'2.1 OPEX TUUA'!$P$8)</f>
        <v>0</v>
      </c>
      <c r="Q19" s="3">
        <f>+IF(F19="Pasajero",'2.2 OPEX LAP 2023'!L20*'2.1 OPEX TUUA'!$Q$7,'2.2 OPEX LAP 2023'!L20*'2.1 OPEX TUUA'!$Q$8)</f>
        <v>0</v>
      </c>
      <c r="R19" s="3">
        <f>+IF(F19="Pasajero",'2.2 OPEX LAP 2023'!M20*'2.1 OPEX TUUA'!$R$7,'2.2 OPEX LAP 2023'!M20*'2.1 OPEX TUUA'!$R$8)</f>
        <v>0</v>
      </c>
      <c r="S19" s="3">
        <f>+IF(F19="Pasajero",'2.2 OPEX LAP 2023'!N20*'2.1 OPEX TUUA'!$S$7,'2.2 OPEX LAP 2023'!N20*'2.1 OPEX TUUA'!$S$8)</f>
        <v>0</v>
      </c>
      <c r="AA19" s="6"/>
      <c r="AB19" s="6"/>
      <c r="AC19" s="6"/>
      <c r="AD19" s="6"/>
      <c r="AE19" s="6"/>
      <c r="AF19" s="6"/>
    </row>
    <row r="20" spans="2:32" x14ac:dyDescent="0.25">
      <c r="B20" s="16">
        <v>6240000001</v>
      </c>
      <c r="C20" s="190" t="s">
        <v>13</v>
      </c>
      <c r="D20" s="190" t="s">
        <v>14</v>
      </c>
      <c r="E20" s="190" t="s">
        <v>21</v>
      </c>
      <c r="F20" s="162" t="s">
        <v>190</v>
      </c>
      <c r="G20" s="3">
        <f>+IF(F20="Pasajero",'2.2 OPEX LAP 2023'!I21*'2.1 OPEX TUUA'!$G$7,'2.2 OPEX LAP 2023'!I21*'2.1 OPEX TUUA'!$G$8)</f>
        <v>414.99870383726244</v>
      </c>
      <c r="H20" s="3">
        <f>+IF(F20="Pasajero",'2.2 OPEX LAP 2023'!J21*'2.1 OPEX TUUA'!$H$7,'2.2 OPEX LAP 2023'!J21*'2.1 OPEX TUUA'!$H$8)</f>
        <v>487.94339502010354</v>
      </c>
      <c r="I20" s="3">
        <f>+IF(F20="Pasajero",'2.2 OPEX LAP 2023'!K21*'2.1 OPEX TUUA'!$I$7,'2.2 OPEX LAP 2023'!K21*'2.1 OPEX TUUA'!$I$8)</f>
        <v>549.28631421637408</v>
      </c>
      <c r="J20" s="3">
        <f>+IF(F20="Pasajero",'2.2 OPEX LAP 2023'!L21*'2.1 OPEX TUUA'!$J$7,'2.2 OPEX LAP 2023'!L21*'2.1 OPEX TUUA'!$J$8)</f>
        <v>582.84193972046057</v>
      </c>
      <c r="K20" s="3">
        <f>+IF(F20="Pasajero",'2.2 OPEX LAP 2023'!M21*'2.1 OPEX TUUA'!$K$7,'2.2 OPEX LAP 2023'!M21*'2.1 OPEX TUUA'!$K$8)</f>
        <v>607.29357423394856</v>
      </c>
      <c r="L20" s="3">
        <f>+IF(F20="Pasajero",'2.2 OPEX LAP 2023'!N21*'2.1 OPEX TUUA'!$L$7,'2.2 OPEX LAP 2023'!N21*'2.1 OPEX TUUA'!$L$8)</f>
        <v>634.55503567191749</v>
      </c>
      <c r="M20" s="3"/>
      <c r="N20" s="3">
        <f>+IF(F20="Pasajero",'2.2 OPEX LAP 2023'!I21*'2.1 OPEX TUUA'!$N$7,'2.2 OPEX LAP 2023'!I21*'2.1 OPEX TUUA'!$N$8)</f>
        <v>204.68450864042157</v>
      </c>
      <c r="O20" s="3">
        <f>+IF(F20="Pasajero",'2.2 OPEX LAP 2023'!J21*'2.1 OPEX TUUA'!$O$7,'2.2 OPEX LAP 2023'!J21*'2.1 OPEX TUUA'!$O$8)</f>
        <v>202.08821050149783</v>
      </c>
      <c r="P20" s="3">
        <f>+IF(F20="Pasajero",'2.2 OPEX LAP 2023'!K21*'2.1 OPEX TUUA'!$P$7,'2.2 OPEX LAP 2023'!K21*'2.1 OPEX TUUA'!$P$8)</f>
        <v>201.10947114313541</v>
      </c>
      <c r="Q20" s="3">
        <f>+IF(F20="Pasajero",'2.2 OPEX LAP 2023'!L21*'2.1 OPEX TUUA'!$Q$7,'2.2 OPEX LAP 2023'!L21*'2.1 OPEX TUUA'!$Q$8)</f>
        <v>200.09599121778433</v>
      </c>
      <c r="R20" s="3">
        <f>+IF(F20="Pasajero",'2.2 OPEX LAP 2023'!M21*'2.1 OPEX TUUA'!$R$7,'2.2 OPEX LAP 2023'!M21*'2.1 OPEX TUUA'!$R$8)</f>
        <v>201.34549328246476</v>
      </c>
      <c r="S20" s="3">
        <f>+IF(F20="Pasajero",'2.2 OPEX LAP 2023'!N21*'2.1 OPEX TUUA'!$S$7,'2.2 OPEX LAP 2023'!N21*'2.1 OPEX TUUA'!$S$8)</f>
        <v>201.68420608037005</v>
      </c>
      <c r="AA20" s="6"/>
      <c r="AB20" s="6"/>
      <c r="AC20" s="6"/>
      <c r="AD20" s="6"/>
      <c r="AE20" s="6"/>
      <c r="AF20" s="6"/>
    </row>
    <row r="21" spans="2:32" x14ac:dyDescent="0.25">
      <c r="B21" s="16">
        <v>6250000001</v>
      </c>
      <c r="C21" s="190" t="s">
        <v>13</v>
      </c>
      <c r="D21" s="190" t="s">
        <v>14</v>
      </c>
      <c r="E21" s="190" t="s">
        <v>22</v>
      </c>
      <c r="F21" s="162" t="s">
        <v>190</v>
      </c>
      <c r="G21" s="3">
        <f>+IF(F21="Pasajero",'2.2 OPEX LAP 2023'!I22*'2.1 OPEX TUUA'!$G$7,'2.2 OPEX LAP 2023'!I22*'2.1 OPEX TUUA'!$G$8)</f>
        <v>75.898534697936739</v>
      </c>
      <c r="H21" s="3">
        <f>+IF(F21="Pasajero",'2.2 OPEX LAP 2023'!J22*'2.1 OPEX TUUA'!$H$7,'2.2 OPEX LAP 2023'!J22*'2.1 OPEX TUUA'!$H$8)</f>
        <v>89.239287629401758</v>
      </c>
      <c r="I21" s="3">
        <f>+IF(F21="Pasajero",'2.2 OPEX LAP 2023'!K22*'2.1 OPEX TUUA'!$I$7,'2.2 OPEX LAP 2023'!K22*'2.1 OPEX TUUA'!$I$8)</f>
        <v>100.45820864780717</v>
      </c>
      <c r="J21" s="3">
        <f>+IF(F21="Pasajero",'2.2 OPEX LAP 2023'!L22*'2.1 OPEX TUUA'!$J$7,'2.2 OPEX LAP 2023'!L22*'2.1 OPEX TUUA'!$J$8)</f>
        <v>106.59515024083824</v>
      </c>
      <c r="K21" s="3">
        <f>+IF(F21="Pasajero",'2.2 OPEX LAP 2023'!M22*'2.1 OPEX TUUA'!$K$7,'2.2 OPEX LAP 2023'!M22*'2.1 OPEX TUUA'!$K$8)</f>
        <v>111.06707560682921</v>
      </c>
      <c r="L21" s="3">
        <f>+IF(F21="Pasajero",'2.2 OPEX LAP 2023'!N22*'2.1 OPEX TUUA'!$L$7,'2.2 OPEX LAP 2023'!N22*'2.1 OPEX TUUA'!$L$8)</f>
        <v>116.0528863039092</v>
      </c>
      <c r="M21" s="3"/>
      <c r="N21" s="3">
        <f>+IF(F21="Pasajero",'2.2 OPEX LAP 2023'!I22*'2.1 OPEX TUUA'!$N$7,'2.2 OPEX LAP 2023'!I22*'2.1 OPEX TUUA'!$N$8)</f>
        <v>37.434464583935579</v>
      </c>
      <c r="O21" s="3">
        <f>+IF(F21="Pasajero",'2.2 OPEX LAP 2023'!J22*'2.1 OPEX TUUA'!$O$7,'2.2 OPEX LAP 2023'!J22*'2.1 OPEX TUUA'!$O$8)</f>
        <v>36.959631234912472</v>
      </c>
      <c r="P21" s="3">
        <f>+IF(F21="Pasajero",'2.2 OPEX LAP 2023'!K22*'2.1 OPEX TUUA'!$P$7,'2.2 OPEX LAP 2023'!K22*'2.1 OPEX TUUA'!$P$8)</f>
        <v>36.780630957407901</v>
      </c>
      <c r="Q21" s="3">
        <f>+IF(F21="Pasajero",'2.2 OPEX LAP 2023'!L22*'2.1 OPEX TUUA'!$Q$7,'2.2 OPEX LAP 2023'!L22*'2.1 OPEX TUUA'!$Q$8)</f>
        <v>36.59527702601325</v>
      </c>
      <c r="R21" s="3">
        <f>+IF(F21="Pasajero",'2.2 OPEX LAP 2023'!M22*'2.1 OPEX TUUA'!$R$7,'2.2 OPEX LAP 2023'!M22*'2.1 OPEX TUUA'!$R$8)</f>
        <v>36.823796717603607</v>
      </c>
      <c r="S21" s="3">
        <f>+IF(F21="Pasajero",'2.2 OPEX LAP 2023'!N22*'2.1 OPEX TUUA'!$S$7,'2.2 OPEX LAP 2023'!N22*'2.1 OPEX TUUA'!$S$8)</f>
        <v>36.88574342926016</v>
      </c>
      <c r="AA21" s="6"/>
      <c r="AB21" s="6"/>
      <c r="AC21" s="6"/>
      <c r="AD21" s="6"/>
      <c r="AE21" s="6"/>
      <c r="AF21" s="6"/>
    </row>
    <row r="22" spans="2:32" x14ac:dyDescent="0.25">
      <c r="B22" s="16">
        <v>6250000003</v>
      </c>
      <c r="C22" s="190" t="s">
        <v>13</v>
      </c>
      <c r="D22" s="190" t="s">
        <v>14</v>
      </c>
      <c r="E22" s="190" t="s">
        <v>23</v>
      </c>
      <c r="F22" s="162" t="s">
        <v>190</v>
      </c>
      <c r="G22" s="3">
        <f>+IF(F22="Pasajero",'2.2 OPEX LAP 2023'!I23*'2.1 OPEX TUUA'!$G$7,'2.2 OPEX LAP 2023'!I23*'2.1 OPEX TUUA'!$G$8)</f>
        <v>595.64210320276516</v>
      </c>
      <c r="H22" s="3">
        <f>+IF(F22="Pasajero",'2.2 OPEX LAP 2023'!J23*'2.1 OPEX TUUA'!$H$7,'2.2 OPEX LAP 2023'!J23*'2.1 OPEX TUUA'!$H$8)</f>
        <v>700.33864531693462</v>
      </c>
      <c r="I22" s="3">
        <f>+IF(F22="Pasajero",'2.2 OPEX LAP 2023'!K23*'2.1 OPEX TUUA'!$I$7,'2.2 OPEX LAP 2023'!K23*'2.1 OPEX TUUA'!$I$8)</f>
        <v>788.38331887570325</v>
      </c>
      <c r="J22" s="3">
        <f>+IF(F22="Pasajero",'2.2 OPEX LAP 2023'!L23*'2.1 OPEX TUUA'!$J$7,'2.2 OPEX LAP 2023'!L23*'2.1 OPEX TUUA'!$J$8)</f>
        <v>836.54526050281777</v>
      </c>
      <c r="K22" s="3">
        <f>+IF(F22="Pasajero",'2.2 OPEX LAP 2023'!M23*'2.1 OPEX TUUA'!$K$7,'2.2 OPEX LAP 2023'!M23*'2.1 OPEX TUUA'!$K$8)</f>
        <v>871.6403653156525</v>
      </c>
      <c r="L22" s="3">
        <f>+IF(F22="Pasajero",'2.2 OPEX LAP 2023'!N23*'2.1 OPEX TUUA'!$L$7,'2.2 OPEX LAP 2023'!N23*'2.1 OPEX TUUA'!$L$8)</f>
        <v>910.76837722785478</v>
      </c>
      <c r="M22" s="3"/>
      <c r="N22" s="3">
        <f>+IF(F22="Pasajero",'2.2 OPEX LAP 2023'!I23*'2.1 OPEX TUUA'!$N$7,'2.2 OPEX LAP 2023'!I23*'2.1 OPEX TUUA'!$N$8)</f>
        <v>293.78094459643052</v>
      </c>
      <c r="O22" s="3">
        <f>+IF(F22="Pasajero",'2.2 OPEX LAP 2023'!J23*'2.1 OPEX TUUA'!$O$7,'2.2 OPEX LAP 2023'!J23*'2.1 OPEX TUUA'!$O$8)</f>
        <v>290.05451251432839</v>
      </c>
      <c r="P22" s="3">
        <f>+IF(F22="Pasajero",'2.2 OPEX LAP 2023'!K23*'2.1 OPEX TUUA'!$P$7,'2.2 OPEX LAP 2023'!K23*'2.1 OPEX TUUA'!$P$8)</f>
        <v>288.64974097043722</v>
      </c>
      <c r="Q22" s="3">
        <f>+IF(F22="Pasajero",'2.2 OPEX LAP 2023'!L23*'2.1 OPEX TUUA'!$Q$7,'2.2 OPEX LAP 2023'!L23*'2.1 OPEX TUUA'!$Q$8)</f>
        <v>287.19510675421418</v>
      </c>
      <c r="R22" s="3">
        <f>+IF(F22="Pasajero",'2.2 OPEX LAP 2023'!M23*'2.1 OPEX TUUA'!$R$7,'2.2 OPEX LAP 2023'!M23*'2.1 OPEX TUUA'!$R$8)</f>
        <v>288.98850039829239</v>
      </c>
      <c r="S22" s="3">
        <f>+IF(F22="Pasajero",'2.2 OPEX LAP 2023'!N23*'2.1 OPEX TUUA'!$S$7,'2.2 OPEX LAP 2023'!N23*'2.1 OPEX TUUA'!$S$8)</f>
        <v>289.474650358426</v>
      </c>
      <c r="AA22" s="6"/>
      <c r="AB22" s="6"/>
      <c r="AC22" s="6"/>
      <c r="AD22" s="6"/>
      <c r="AE22" s="6"/>
      <c r="AF22" s="6"/>
    </row>
    <row r="23" spans="2:32" x14ac:dyDescent="0.25">
      <c r="B23" s="16">
        <v>6250000004</v>
      </c>
      <c r="C23" s="190" t="s">
        <v>13</v>
      </c>
      <c r="D23" s="190" t="s">
        <v>14</v>
      </c>
      <c r="E23" s="190" t="s">
        <v>24</v>
      </c>
      <c r="F23" s="162" t="s">
        <v>190</v>
      </c>
      <c r="G23" s="3">
        <f>+IF(F23="Pasajero",'2.2 OPEX LAP 2023'!I24*'2.1 OPEX TUUA'!$G$7,'2.2 OPEX LAP 2023'!I24*'2.1 OPEX TUUA'!$G$8)</f>
        <v>294.86647080200231</v>
      </c>
      <c r="H23" s="3">
        <f>+IF(F23="Pasajero",'2.2 OPEX LAP 2023'!J24*'2.1 OPEX TUUA'!$H$7,'2.2 OPEX LAP 2023'!J24*'2.1 OPEX TUUA'!$H$8)</f>
        <v>346.69541256481995</v>
      </c>
      <c r="I23" s="3">
        <f>+IF(F23="Pasajero",'2.2 OPEX LAP 2023'!K24*'2.1 OPEX TUUA'!$I$7,'2.2 OPEX LAP 2023'!K24*'2.1 OPEX TUUA'!$I$8)</f>
        <v>390.28101879647147</v>
      </c>
      <c r="J23" s="3">
        <f>+IF(F23="Pasajero",'2.2 OPEX LAP 2023'!L24*'2.1 OPEX TUUA'!$J$7,'2.2 OPEX LAP 2023'!L24*'2.1 OPEX TUUA'!$J$8)</f>
        <v>414.12309053417897</v>
      </c>
      <c r="K23" s="3">
        <f>+IF(F23="Pasajero",'2.2 OPEX LAP 2023'!M24*'2.1 OPEX TUUA'!$K$7,'2.2 OPEX LAP 2023'!M24*'2.1 OPEX TUUA'!$K$8)</f>
        <v>431.49655967436195</v>
      </c>
      <c r="L23" s="3">
        <f>+IF(F23="Pasajero",'2.2 OPEX LAP 2023'!N24*'2.1 OPEX TUUA'!$L$7,'2.2 OPEX LAP 2023'!N24*'2.1 OPEX TUUA'!$L$8)</f>
        <v>450.86647781818107</v>
      </c>
      <c r="M23" s="3"/>
      <c r="N23" s="3">
        <f>+IF(F23="Pasajero",'2.2 OPEX LAP 2023'!I24*'2.1 OPEX TUUA'!$N$7,'2.2 OPEX LAP 2023'!I24*'2.1 OPEX TUUA'!$N$8)</f>
        <v>145.43322215847331</v>
      </c>
      <c r="O23" s="3">
        <f>+IF(F23="Pasajero",'2.2 OPEX LAP 2023'!J24*'2.1 OPEX TUUA'!$O$7,'2.2 OPEX LAP 2023'!J24*'2.1 OPEX TUUA'!$O$8)</f>
        <v>143.58849044655338</v>
      </c>
      <c r="P23" s="3">
        <f>+IF(F23="Pasajero",'2.2 OPEX LAP 2023'!K24*'2.1 OPEX TUUA'!$P$7,'2.2 OPEX LAP 2023'!K24*'2.1 OPEX TUUA'!$P$8)</f>
        <v>142.89307280363826</v>
      </c>
      <c r="Q23" s="3">
        <f>+IF(F23="Pasajero",'2.2 OPEX LAP 2023'!L24*'2.1 OPEX TUUA'!$Q$7,'2.2 OPEX LAP 2023'!L24*'2.1 OPEX TUUA'!$Q$8)</f>
        <v>142.17297115981691</v>
      </c>
      <c r="R23" s="3">
        <f>+IF(F23="Pasajero",'2.2 OPEX LAP 2023'!M24*'2.1 OPEX TUUA'!$R$7,'2.2 OPEX LAP 2023'!M24*'2.1 OPEX TUUA'!$R$8)</f>
        <v>143.06077215935113</v>
      </c>
      <c r="S23" s="3">
        <f>+IF(F23="Pasajero",'2.2 OPEX LAP 2023'!N24*'2.1 OPEX TUUA'!$S$7,'2.2 OPEX LAP 2023'!N24*'2.1 OPEX TUUA'!$S$8)</f>
        <v>143.30143567567134</v>
      </c>
      <c r="AA23" s="6"/>
      <c r="AB23" s="6"/>
      <c r="AC23" s="6"/>
      <c r="AD23" s="6"/>
      <c r="AE23" s="6"/>
      <c r="AF23" s="6"/>
    </row>
    <row r="24" spans="2:32" x14ac:dyDescent="0.25">
      <c r="B24" s="16">
        <v>6250000005</v>
      </c>
      <c r="C24" s="190" t="s">
        <v>13</v>
      </c>
      <c r="D24" s="190" t="s">
        <v>14</v>
      </c>
      <c r="E24" s="190" t="s">
        <v>25</v>
      </c>
      <c r="F24" s="162" t="s">
        <v>190</v>
      </c>
      <c r="G24" s="3">
        <f>+IF(F24="Pasajero",'2.2 OPEX LAP 2023'!I25*'2.1 OPEX TUUA'!$G$7,'2.2 OPEX LAP 2023'!I25*'2.1 OPEX TUUA'!$G$8)</f>
        <v>612.49646807469844</v>
      </c>
      <c r="H24" s="3">
        <f>+IF(F24="Pasajero",'2.2 OPEX LAP 2023'!J25*'2.1 OPEX TUUA'!$H$7,'2.2 OPEX LAP 2023'!J25*'2.1 OPEX TUUA'!$H$8)</f>
        <v>720.15551688900496</v>
      </c>
      <c r="I24" s="3">
        <f>+IF(F24="Pasajero",'2.2 OPEX LAP 2023'!K25*'2.1 OPEX TUUA'!$I$7,'2.2 OPEX LAP 2023'!K25*'2.1 OPEX TUUA'!$I$8)</f>
        <v>810.69151375284332</v>
      </c>
      <c r="J24" s="3">
        <f>+IF(F24="Pasajero",'2.2 OPEX LAP 2023'!L25*'2.1 OPEX TUUA'!$J$7,'2.2 OPEX LAP 2023'!L25*'2.1 OPEX TUUA'!$J$8)</f>
        <v>860.21625181889215</v>
      </c>
      <c r="K24" s="3">
        <f>+IF(F24="Pasajero",'2.2 OPEX LAP 2023'!M25*'2.1 OPEX TUUA'!$K$7,'2.2 OPEX LAP 2023'!M25*'2.1 OPEX TUUA'!$K$8)</f>
        <v>896.30441219068382</v>
      </c>
      <c r="L24" s="3">
        <f>+IF(F24="Pasajero",'2.2 OPEX LAP 2023'!N25*'2.1 OPEX TUUA'!$L$7,'2.2 OPEX LAP 2023'!N25*'2.1 OPEX TUUA'!$L$8)</f>
        <v>936.53959531515534</v>
      </c>
      <c r="M24" s="3"/>
      <c r="N24" s="3">
        <f>+IF(F24="Pasajero",'2.2 OPEX LAP 2023'!I25*'2.1 OPEX TUUA'!$N$7,'2.2 OPEX LAP 2023'!I25*'2.1 OPEX TUUA'!$N$8)</f>
        <v>302.09380764963868</v>
      </c>
      <c r="O24" s="3">
        <f>+IF(F24="Pasajero",'2.2 OPEX LAP 2023'!J25*'2.1 OPEX TUUA'!$O$7,'2.2 OPEX LAP 2023'!J25*'2.1 OPEX TUUA'!$O$8)</f>
        <v>298.26193197037554</v>
      </c>
      <c r="P24" s="3">
        <f>+IF(F24="Pasajero",'2.2 OPEX LAP 2023'!K25*'2.1 OPEX TUUA'!$P$7,'2.2 OPEX LAP 2023'!K25*'2.1 OPEX TUUA'!$P$8)</f>
        <v>296.81741083182823</v>
      </c>
      <c r="Q24" s="3">
        <f>+IF(F24="Pasajero",'2.2 OPEX LAP 2023'!L25*'2.1 OPEX TUUA'!$Q$7,'2.2 OPEX LAP 2023'!L25*'2.1 OPEX TUUA'!$Q$8)</f>
        <v>295.32161610041732</v>
      </c>
      <c r="R24" s="3">
        <f>+IF(F24="Pasajero",'2.2 OPEX LAP 2023'!M25*'2.1 OPEX TUUA'!$R$7,'2.2 OPEX LAP 2023'!M25*'2.1 OPEX TUUA'!$R$8)</f>
        <v>297.1657558396318</v>
      </c>
      <c r="S24" s="3">
        <f>+IF(F24="Pasajero",'2.2 OPEX LAP 2023'!N25*'2.1 OPEX TUUA'!$S$7,'2.2 OPEX LAP 2023'!N25*'2.1 OPEX TUUA'!$S$8)</f>
        <v>297.66566196100138</v>
      </c>
      <c r="AA24" s="6"/>
      <c r="AB24" s="6"/>
      <c r="AC24" s="6"/>
      <c r="AD24" s="6"/>
      <c r="AE24" s="6"/>
      <c r="AF24" s="6"/>
    </row>
    <row r="25" spans="2:32" x14ac:dyDescent="0.25">
      <c r="B25" s="16">
        <v>6250000006</v>
      </c>
      <c r="C25" s="190" t="s">
        <v>13</v>
      </c>
      <c r="D25" s="190" t="s">
        <v>14</v>
      </c>
      <c r="E25" s="190" t="s">
        <v>26</v>
      </c>
      <c r="F25" s="162" t="s">
        <v>190</v>
      </c>
      <c r="G25" s="3">
        <f>+IF(F25="Pasajero",'2.2 OPEX LAP 2023'!I26*'2.1 OPEX TUUA'!$G$7,'2.2 OPEX LAP 2023'!I26*'2.1 OPEX TUUA'!$G$8)</f>
        <v>178.22828486523971</v>
      </c>
      <c r="H25" s="3">
        <f>+IF(F25="Pasajero",'2.2 OPEX LAP 2023'!J26*'2.1 OPEX TUUA'!$H$7,'2.2 OPEX LAP 2023'!J26*'2.1 OPEX TUUA'!$H$8)</f>
        <v>209.55562897338055</v>
      </c>
      <c r="I25" s="3">
        <f>+IF(F25="Pasajero",'2.2 OPEX LAP 2023'!K26*'2.1 OPEX TUUA'!$I$7,'2.2 OPEX LAP 2023'!K26*'2.1 OPEX TUUA'!$I$8)</f>
        <v>235.9003938506838</v>
      </c>
      <c r="J25" s="3">
        <f>+IF(F25="Pasajero",'2.2 OPEX LAP 2023'!L26*'2.1 OPEX TUUA'!$J$7,'2.2 OPEX LAP 2023'!L26*'2.1 OPEX TUUA'!$J$8)</f>
        <v>250.31143062230427</v>
      </c>
      <c r="K25" s="3">
        <f>+IF(F25="Pasajero",'2.2 OPEX LAP 2023'!M26*'2.1 OPEX TUUA'!$K$7,'2.2 OPEX LAP 2023'!M26*'2.1 OPEX TUUA'!$K$8)</f>
        <v>260.81260289391599</v>
      </c>
      <c r="L25" s="3">
        <f>+IF(F25="Pasajero",'2.2 OPEX LAP 2023'!N26*'2.1 OPEX TUUA'!$L$7,'2.2 OPEX LAP 2023'!N26*'2.1 OPEX TUUA'!$L$8)</f>
        <v>272.52050335259884</v>
      </c>
      <c r="M25" s="3"/>
      <c r="N25" s="3">
        <f>+IF(F25="Pasajero",'2.2 OPEX LAP 2023'!I26*'2.1 OPEX TUUA'!$N$7,'2.2 OPEX LAP 2023'!I26*'2.1 OPEX TUUA'!$N$8)</f>
        <v>87.90525988672043</v>
      </c>
      <c r="O25" s="3">
        <f>+IF(F25="Pasajero",'2.2 OPEX LAP 2023'!J26*'2.1 OPEX TUUA'!$O$7,'2.2 OPEX LAP 2023'!J26*'2.1 OPEX TUUA'!$O$8)</f>
        <v>86.790235285389016</v>
      </c>
      <c r="P25" s="3">
        <f>+IF(F25="Pasajero",'2.2 OPEX LAP 2023'!K26*'2.1 OPEX TUUA'!$P$7,'2.2 OPEX LAP 2023'!K26*'2.1 OPEX TUUA'!$P$8)</f>
        <v>86.369898943231576</v>
      </c>
      <c r="Q25" s="3">
        <f>+IF(F25="Pasajero",'2.2 OPEX LAP 2023'!L26*'2.1 OPEX TUUA'!$Q$7,'2.2 OPEX LAP 2023'!L26*'2.1 OPEX TUUA'!$Q$8)</f>
        <v>85.934642670933655</v>
      </c>
      <c r="R25" s="3">
        <f>+IF(F25="Pasajero",'2.2 OPEX LAP 2023'!M26*'2.1 OPEX TUUA'!$R$7,'2.2 OPEX LAP 2023'!M26*'2.1 OPEX TUUA'!$R$8)</f>
        <v>86.471262684115416</v>
      </c>
      <c r="S25" s="3">
        <f>+IF(F25="Pasajero",'2.2 OPEX LAP 2023'!N26*'2.1 OPEX TUUA'!$S$7,'2.2 OPEX LAP 2023'!N26*'2.1 OPEX TUUA'!$S$8)</f>
        <v>86.616728683103787</v>
      </c>
      <c r="AA25" s="6"/>
      <c r="AB25" s="6"/>
      <c r="AC25" s="6"/>
      <c r="AD25" s="6"/>
      <c r="AE25" s="6"/>
      <c r="AF25" s="6"/>
    </row>
    <row r="26" spans="2:32" x14ac:dyDescent="0.25">
      <c r="B26" s="16">
        <v>6250000007</v>
      </c>
      <c r="C26" s="190" t="s">
        <v>13</v>
      </c>
      <c r="D26" s="190" t="s">
        <v>14</v>
      </c>
      <c r="E26" s="190" t="s">
        <v>27</v>
      </c>
      <c r="F26" s="162" t="s">
        <v>190</v>
      </c>
      <c r="G26" s="3">
        <f>+IF(F26="Pasajero",'2.2 OPEX LAP 2023'!I27*'2.1 OPEX TUUA'!$G$7,'2.2 OPEX LAP 2023'!I27*'2.1 OPEX TUUA'!$G$8)</f>
        <v>0</v>
      </c>
      <c r="H26" s="3">
        <f>+IF(F26="Pasajero",'2.2 OPEX LAP 2023'!J27*'2.1 OPEX TUUA'!$H$7,'2.2 OPEX LAP 2023'!J27*'2.1 OPEX TUUA'!$H$8)</f>
        <v>0</v>
      </c>
      <c r="I26" s="3">
        <f>+IF(F26="Pasajero",'2.2 OPEX LAP 2023'!K27*'2.1 OPEX TUUA'!$I$7,'2.2 OPEX LAP 2023'!K27*'2.1 OPEX TUUA'!$I$8)</f>
        <v>0</v>
      </c>
      <c r="J26" s="3">
        <f>+IF(F26="Pasajero",'2.2 OPEX LAP 2023'!L27*'2.1 OPEX TUUA'!$J$7,'2.2 OPEX LAP 2023'!L27*'2.1 OPEX TUUA'!$J$8)</f>
        <v>0</v>
      </c>
      <c r="K26" s="3">
        <f>+IF(F26="Pasajero",'2.2 OPEX LAP 2023'!M27*'2.1 OPEX TUUA'!$K$7,'2.2 OPEX LAP 2023'!M27*'2.1 OPEX TUUA'!$K$8)</f>
        <v>0</v>
      </c>
      <c r="L26" s="3">
        <f>+IF(F26="Pasajero",'2.2 OPEX LAP 2023'!N27*'2.1 OPEX TUUA'!$L$7,'2.2 OPEX LAP 2023'!N27*'2.1 OPEX TUUA'!$L$8)</f>
        <v>0</v>
      </c>
      <c r="M26" s="3"/>
      <c r="N26" s="3">
        <f>+IF(F26="Pasajero",'2.2 OPEX LAP 2023'!I27*'2.1 OPEX TUUA'!$N$7,'2.2 OPEX LAP 2023'!I27*'2.1 OPEX TUUA'!$N$8)</f>
        <v>0</v>
      </c>
      <c r="O26" s="3">
        <f>+IF(F26="Pasajero",'2.2 OPEX LAP 2023'!J27*'2.1 OPEX TUUA'!$O$7,'2.2 OPEX LAP 2023'!J27*'2.1 OPEX TUUA'!$O$8)</f>
        <v>0</v>
      </c>
      <c r="P26" s="3">
        <f>+IF(F26="Pasajero",'2.2 OPEX LAP 2023'!K27*'2.1 OPEX TUUA'!$P$7,'2.2 OPEX LAP 2023'!K27*'2.1 OPEX TUUA'!$P$8)</f>
        <v>0</v>
      </c>
      <c r="Q26" s="3">
        <f>+IF(F26="Pasajero",'2.2 OPEX LAP 2023'!L27*'2.1 OPEX TUUA'!$Q$7,'2.2 OPEX LAP 2023'!L27*'2.1 OPEX TUUA'!$Q$8)</f>
        <v>0</v>
      </c>
      <c r="R26" s="3">
        <f>+IF(F26="Pasajero",'2.2 OPEX LAP 2023'!M27*'2.1 OPEX TUUA'!$R$7,'2.2 OPEX LAP 2023'!M27*'2.1 OPEX TUUA'!$R$8)</f>
        <v>0</v>
      </c>
      <c r="S26" s="3">
        <f>+IF(F26="Pasajero",'2.2 OPEX LAP 2023'!N27*'2.1 OPEX TUUA'!$S$7,'2.2 OPEX LAP 2023'!N27*'2.1 OPEX TUUA'!$S$8)</f>
        <v>0</v>
      </c>
      <c r="AA26" s="6"/>
      <c r="AB26" s="6"/>
      <c r="AC26" s="6"/>
      <c r="AD26" s="6"/>
      <c r="AE26" s="6"/>
      <c r="AF26" s="6"/>
    </row>
    <row r="27" spans="2:32" x14ac:dyDescent="0.25">
      <c r="B27" s="16">
        <v>6250000008</v>
      </c>
      <c r="C27" s="190" t="s">
        <v>13</v>
      </c>
      <c r="D27" s="190" t="s">
        <v>14</v>
      </c>
      <c r="E27" s="190" t="s">
        <v>28</v>
      </c>
      <c r="F27" s="162" t="s">
        <v>190</v>
      </c>
      <c r="G27" s="3">
        <f>+IF(F27="Pasajero",'2.2 OPEX LAP 2023'!I28*'2.1 OPEX TUUA'!$G$7,'2.2 OPEX LAP 2023'!I28*'2.1 OPEX TUUA'!$G$8)</f>
        <v>276.5746273978815</v>
      </c>
      <c r="H27" s="3">
        <f>+IF(F27="Pasajero",'2.2 OPEX LAP 2023'!J28*'2.1 OPEX TUUA'!$H$7,'2.2 OPEX LAP 2023'!J28*'2.1 OPEX TUUA'!$H$8)</f>
        <v>325.18839558077946</v>
      </c>
      <c r="I27" s="3">
        <f>+IF(F27="Pasajero",'2.2 OPEX LAP 2023'!K28*'2.1 OPEX TUUA'!$I$7,'2.2 OPEX LAP 2023'!K28*'2.1 OPEX TUUA'!$I$8)</f>
        <v>366.07019801373326</v>
      </c>
      <c r="J27" s="3">
        <f>+IF(F27="Pasajero",'2.2 OPEX LAP 2023'!L28*'2.1 OPEX TUUA'!$J$7,'2.2 OPEX LAP 2023'!L28*'2.1 OPEX TUUA'!$J$8)</f>
        <v>388.43324284997664</v>
      </c>
      <c r="K27" s="3">
        <f>+IF(F27="Pasajero",'2.2 OPEX LAP 2023'!M28*'2.1 OPEX TUUA'!$K$7,'2.2 OPEX LAP 2023'!M28*'2.1 OPEX TUUA'!$K$8)</f>
        <v>404.72896050476965</v>
      </c>
      <c r="L27" s="3">
        <f>+IF(F27="Pasajero",'2.2 OPEX LAP 2023'!N28*'2.1 OPEX TUUA'!$L$7,'2.2 OPEX LAP 2023'!N28*'2.1 OPEX TUUA'!$L$8)</f>
        <v>422.89727879061337</v>
      </c>
      <c r="M27" s="3"/>
      <c r="N27" s="3">
        <f>+IF(F27="Pasajero",'2.2 OPEX LAP 2023'!I28*'2.1 OPEX TUUA'!$N$7,'2.2 OPEX LAP 2023'!I28*'2.1 OPEX TUUA'!$N$8)</f>
        <v>136.41136993416325</v>
      </c>
      <c r="O27" s="3">
        <f>+IF(F27="Pasajero",'2.2 OPEX LAP 2023'!J28*'2.1 OPEX TUUA'!$O$7,'2.2 OPEX LAP 2023'!J28*'2.1 OPEX TUUA'!$O$8)</f>
        <v>134.68107491457147</v>
      </c>
      <c r="P27" s="3">
        <f>+IF(F27="Pasajero",'2.2 OPEX LAP 2023'!K28*'2.1 OPEX TUUA'!$P$7,'2.2 OPEX LAP 2023'!K28*'2.1 OPEX TUUA'!$P$8)</f>
        <v>134.02879703790398</v>
      </c>
      <c r="Q27" s="3">
        <f>+IF(F27="Pasajero",'2.2 OPEX LAP 2023'!L28*'2.1 OPEX TUUA'!$Q$7,'2.2 OPEX LAP 2023'!L28*'2.1 OPEX TUUA'!$Q$8)</f>
        <v>133.35336641574204</v>
      </c>
      <c r="R27" s="3">
        <f>+IF(F27="Pasajero",'2.2 OPEX LAP 2023'!M28*'2.1 OPEX TUUA'!$R$7,'2.2 OPEX LAP 2023'!M28*'2.1 OPEX TUUA'!$R$8)</f>
        <v>134.18609327675745</v>
      </c>
      <c r="S27" s="3">
        <f>+IF(F27="Pasajero",'2.2 OPEX LAP 2023'!N28*'2.1 OPEX TUUA'!$S$7,'2.2 OPEX LAP 2023'!N28*'2.1 OPEX TUUA'!$S$8)</f>
        <v>134.41182739353744</v>
      </c>
      <c r="AA27" s="6"/>
      <c r="AB27" s="6"/>
      <c r="AC27" s="6"/>
      <c r="AD27" s="6"/>
      <c r="AE27" s="6"/>
      <c r="AF27" s="6"/>
    </row>
    <row r="28" spans="2:32" x14ac:dyDescent="0.25">
      <c r="B28" s="16">
        <v>6250000009</v>
      </c>
      <c r="C28" s="190" t="s">
        <v>13</v>
      </c>
      <c r="D28" s="190" t="s">
        <v>14</v>
      </c>
      <c r="E28" s="190" t="s">
        <v>29</v>
      </c>
      <c r="F28" s="162" t="s">
        <v>190</v>
      </c>
      <c r="G28" s="3">
        <f>+IF(F28="Pasajero",'2.2 OPEX LAP 2023'!I29*'2.1 OPEX TUUA'!$G$7,'2.2 OPEX LAP 2023'!I29*'2.1 OPEX TUUA'!$G$8)</f>
        <v>0</v>
      </c>
      <c r="H28" s="3">
        <f>+IF(F28="Pasajero",'2.2 OPEX LAP 2023'!J29*'2.1 OPEX TUUA'!$H$7,'2.2 OPEX LAP 2023'!J29*'2.1 OPEX TUUA'!$H$8)</f>
        <v>0</v>
      </c>
      <c r="I28" s="3">
        <f>+IF(F28="Pasajero",'2.2 OPEX LAP 2023'!K29*'2.1 OPEX TUUA'!$I$7,'2.2 OPEX LAP 2023'!K29*'2.1 OPEX TUUA'!$I$8)</f>
        <v>0</v>
      </c>
      <c r="J28" s="3">
        <f>+IF(F28="Pasajero",'2.2 OPEX LAP 2023'!L29*'2.1 OPEX TUUA'!$J$7,'2.2 OPEX LAP 2023'!L29*'2.1 OPEX TUUA'!$J$8)</f>
        <v>0</v>
      </c>
      <c r="K28" s="3">
        <f>+IF(F28="Pasajero",'2.2 OPEX LAP 2023'!M29*'2.1 OPEX TUUA'!$K$7,'2.2 OPEX LAP 2023'!M29*'2.1 OPEX TUUA'!$K$8)</f>
        <v>0</v>
      </c>
      <c r="L28" s="3">
        <f>+IF(F28="Pasajero",'2.2 OPEX LAP 2023'!N29*'2.1 OPEX TUUA'!$L$7,'2.2 OPEX LAP 2023'!N29*'2.1 OPEX TUUA'!$L$8)</f>
        <v>0</v>
      </c>
      <c r="M28" s="3"/>
      <c r="N28" s="3">
        <f>+IF(F28="Pasajero",'2.2 OPEX LAP 2023'!I29*'2.1 OPEX TUUA'!$N$7,'2.2 OPEX LAP 2023'!I29*'2.1 OPEX TUUA'!$N$8)</f>
        <v>0</v>
      </c>
      <c r="O28" s="3">
        <f>+IF(F28="Pasajero",'2.2 OPEX LAP 2023'!J29*'2.1 OPEX TUUA'!$O$7,'2.2 OPEX LAP 2023'!J29*'2.1 OPEX TUUA'!$O$8)</f>
        <v>0</v>
      </c>
      <c r="P28" s="3">
        <f>+IF(F28="Pasajero",'2.2 OPEX LAP 2023'!K29*'2.1 OPEX TUUA'!$P$7,'2.2 OPEX LAP 2023'!K29*'2.1 OPEX TUUA'!$P$8)</f>
        <v>0</v>
      </c>
      <c r="Q28" s="3">
        <f>+IF(F28="Pasajero",'2.2 OPEX LAP 2023'!L29*'2.1 OPEX TUUA'!$Q$7,'2.2 OPEX LAP 2023'!L29*'2.1 OPEX TUUA'!$Q$8)</f>
        <v>0</v>
      </c>
      <c r="R28" s="3">
        <f>+IF(F28="Pasajero",'2.2 OPEX LAP 2023'!M29*'2.1 OPEX TUUA'!$R$7,'2.2 OPEX LAP 2023'!M29*'2.1 OPEX TUUA'!$R$8)</f>
        <v>0</v>
      </c>
      <c r="S28" s="3">
        <f>+IF(F28="Pasajero",'2.2 OPEX LAP 2023'!N29*'2.1 OPEX TUUA'!$S$7,'2.2 OPEX LAP 2023'!N29*'2.1 OPEX TUUA'!$S$8)</f>
        <v>0</v>
      </c>
      <c r="AA28" s="6"/>
      <c r="AB28" s="6"/>
      <c r="AC28" s="6"/>
      <c r="AD28" s="6"/>
      <c r="AE28" s="6"/>
      <c r="AF28" s="6"/>
    </row>
    <row r="29" spans="2:32" x14ac:dyDescent="0.25">
      <c r="B29" s="16">
        <v>6270000001</v>
      </c>
      <c r="C29" s="190" t="s">
        <v>13</v>
      </c>
      <c r="D29" s="190" t="s">
        <v>14</v>
      </c>
      <c r="E29" s="190" t="s">
        <v>30</v>
      </c>
      <c r="F29" s="162" t="s">
        <v>190</v>
      </c>
      <c r="G29" s="3">
        <f>+IF(F29="Pasajero",'2.2 OPEX LAP 2023'!I30*'2.1 OPEX TUUA'!$G$7,'2.2 OPEX LAP 2023'!I30*'2.1 OPEX TUUA'!$G$8)</f>
        <v>1123.8962143284207</v>
      </c>
      <c r="H29" s="3">
        <f>+IF(F29="Pasajero",'2.2 OPEX LAP 2023'!J30*'2.1 OPEX TUUA'!$H$7,'2.2 OPEX LAP 2023'!J30*'2.1 OPEX TUUA'!$H$8)</f>
        <v>1321.4444512691782</v>
      </c>
      <c r="I29" s="3">
        <f>+IF(F29="Pasajero",'2.2 OPEX LAP 2023'!K30*'2.1 OPEX TUUA'!$I$7,'2.2 OPEX LAP 2023'!K30*'2.1 OPEX TUUA'!$I$8)</f>
        <v>1487.5728608836287</v>
      </c>
      <c r="J29" s="3">
        <f>+IF(F29="Pasajero",'2.2 OPEX LAP 2023'!L30*'2.1 OPEX TUUA'!$J$7,'2.2 OPEX LAP 2023'!L30*'2.1 OPEX TUUA'!$J$8)</f>
        <v>1578.4479410338881</v>
      </c>
      <c r="K29" s="3">
        <f>+IF(F29="Pasajero",'2.2 OPEX LAP 2023'!M30*'2.1 OPEX TUUA'!$K$7,'2.2 OPEX LAP 2023'!M30*'2.1 OPEX TUUA'!$K$8)</f>
        <v>1644.6676646372362</v>
      </c>
      <c r="L29" s="3">
        <f>+IF(F29="Pasajero",'2.2 OPEX LAP 2023'!N30*'2.1 OPEX TUUA'!$L$7,'2.2 OPEX LAP 2023'!N30*'2.1 OPEX TUUA'!$L$8)</f>
        <v>1718.4969393407262</v>
      </c>
      <c r="M29" s="3"/>
      <c r="N29" s="3">
        <f>+IF(F29="Pasajero",'2.2 OPEX LAP 2023'!I30*'2.1 OPEX TUUA'!$N$7,'2.2 OPEX LAP 2023'!I30*'2.1 OPEX TUUA'!$N$8)</f>
        <v>554.32497081449253</v>
      </c>
      <c r="O29" s="3">
        <f>+IF(F29="Pasajero",'2.2 OPEX LAP 2023'!J30*'2.1 OPEX TUUA'!$O$7,'2.2 OPEX LAP 2023'!J30*'2.1 OPEX TUUA'!$O$8)</f>
        <v>547.2936966861073</v>
      </c>
      <c r="P29" s="3">
        <f>+IF(F29="Pasajero",'2.2 OPEX LAP 2023'!K30*'2.1 OPEX TUUA'!$P$7,'2.2 OPEX LAP 2023'!K30*'2.1 OPEX TUUA'!$P$8)</f>
        <v>544.64308248055283</v>
      </c>
      <c r="Q29" s="3">
        <f>+IF(F29="Pasajero",'2.2 OPEX LAP 2023'!L30*'2.1 OPEX TUUA'!$Q$7,'2.2 OPEX LAP 2023'!L30*'2.1 OPEX TUUA'!$Q$8)</f>
        <v>541.8983841456718</v>
      </c>
      <c r="R29" s="3">
        <f>+IF(F29="Pasajero",'2.2 OPEX LAP 2023'!M30*'2.1 OPEX TUUA'!$R$7,'2.2 OPEX LAP 2023'!M30*'2.1 OPEX TUUA'!$R$8)</f>
        <v>545.28227577546477</v>
      </c>
      <c r="S29" s="3">
        <f>+IF(F29="Pasajero",'2.2 OPEX LAP 2023'!N30*'2.1 OPEX TUUA'!$S$7,'2.2 OPEX LAP 2023'!N30*'2.1 OPEX TUUA'!$S$8)</f>
        <v>546.19957510143956</v>
      </c>
      <c r="AA29" s="6"/>
      <c r="AB29" s="6"/>
      <c r="AC29" s="6"/>
      <c r="AD29" s="6"/>
      <c r="AE29" s="6"/>
      <c r="AF29" s="6"/>
    </row>
    <row r="30" spans="2:32" x14ac:dyDescent="0.25">
      <c r="B30" s="16">
        <v>6270000002</v>
      </c>
      <c r="C30" s="190" t="s">
        <v>13</v>
      </c>
      <c r="D30" s="190" t="s">
        <v>14</v>
      </c>
      <c r="E30" s="190" t="s">
        <v>31</v>
      </c>
      <c r="F30" s="162" t="s">
        <v>190</v>
      </c>
      <c r="G30" s="3">
        <f>+IF(F30="Pasajero",'2.2 OPEX LAP 2023'!I31*'2.1 OPEX TUUA'!$G$7,'2.2 OPEX LAP 2023'!I31*'2.1 OPEX TUUA'!$G$8)</f>
        <v>2895.6079638363258</v>
      </c>
      <c r="H30" s="3">
        <f>+IF(F30="Pasajero",'2.2 OPEX LAP 2023'!J31*'2.1 OPEX TUUA'!$H$7,'2.2 OPEX LAP 2023'!J31*'2.1 OPEX TUUA'!$H$8)</f>
        <v>3404.5715503622341</v>
      </c>
      <c r="I30" s="3">
        <f>+IF(F30="Pasajero",'2.2 OPEX LAP 2023'!K31*'2.1 OPEX TUUA'!$I$7,'2.2 OPEX LAP 2023'!K31*'2.1 OPEX TUUA'!$I$8)</f>
        <v>3832.5850446389368</v>
      </c>
      <c r="J30" s="3">
        <f>+IF(F30="Pasajero",'2.2 OPEX LAP 2023'!L31*'2.1 OPEX TUUA'!$J$7,'2.2 OPEX LAP 2023'!L31*'2.1 OPEX TUUA'!$J$8)</f>
        <v>4066.7157432235858</v>
      </c>
      <c r="K30" s="3">
        <f>+IF(F30="Pasajero",'2.2 OPEX LAP 2023'!M31*'2.1 OPEX TUUA'!$K$7,'2.2 OPEX LAP 2023'!M31*'2.1 OPEX TUUA'!$K$8)</f>
        <v>4237.32434265149</v>
      </c>
      <c r="L30" s="3">
        <f>+IF(F30="Pasajero",'2.2 OPEX LAP 2023'!N31*'2.1 OPEX TUUA'!$L$7,'2.2 OPEX LAP 2023'!N31*'2.1 OPEX TUUA'!$L$8)</f>
        <v>4427.5382014315283</v>
      </c>
      <c r="M30" s="3"/>
      <c r="N30" s="3">
        <f>+IF(F30="Pasajero",'2.2 OPEX LAP 2023'!I31*'2.1 OPEX TUUA'!$N$7,'2.2 OPEX LAP 2023'!I31*'2.1 OPEX TUUA'!$N$8)</f>
        <v>1428.1637215077806</v>
      </c>
      <c r="O30" s="3">
        <f>+IF(F30="Pasajero",'2.2 OPEX LAP 2023'!J31*'2.1 OPEX TUUA'!$O$7,'2.2 OPEX LAP 2023'!J31*'2.1 OPEX TUUA'!$O$8)</f>
        <v>1410.0483358498313</v>
      </c>
      <c r="P30" s="3">
        <f>+IF(F30="Pasajero",'2.2 OPEX LAP 2023'!K31*'2.1 OPEX TUUA'!$P$7,'2.2 OPEX LAP 2023'!K31*'2.1 OPEX TUUA'!$P$8)</f>
        <v>1403.2192892663375</v>
      </c>
      <c r="Q30" s="3">
        <f>+IF(F30="Pasajero",'2.2 OPEX LAP 2023'!L31*'2.1 OPEX TUUA'!$Q$7,'2.2 OPEX LAP 2023'!L31*'2.1 OPEX TUUA'!$Q$8)</f>
        <v>1396.1478441849438</v>
      </c>
      <c r="R30" s="3">
        <f>+IF(F30="Pasajero",'2.2 OPEX LAP 2023'!M31*'2.1 OPEX TUUA'!$R$7,'2.2 OPEX LAP 2023'!M31*'2.1 OPEX TUUA'!$R$8)</f>
        <v>1404.8661078707439</v>
      </c>
      <c r="S30" s="3">
        <f>+IF(F30="Pasajero",'2.2 OPEX LAP 2023'!N31*'2.1 OPEX TUUA'!$S$7,'2.2 OPEX LAP 2023'!N31*'2.1 OPEX TUUA'!$S$8)</f>
        <v>1407.2294392884064</v>
      </c>
      <c r="AA30" s="6"/>
      <c r="AB30" s="6"/>
      <c r="AC30" s="6"/>
      <c r="AD30" s="6"/>
      <c r="AE30" s="6"/>
      <c r="AF30" s="6"/>
    </row>
    <row r="31" spans="2:32" x14ac:dyDescent="0.25">
      <c r="B31" s="16">
        <v>6270000003</v>
      </c>
      <c r="C31" s="190" t="s">
        <v>13</v>
      </c>
      <c r="D31" s="190" t="s">
        <v>14</v>
      </c>
      <c r="E31" s="190" t="s">
        <v>32</v>
      </c>
      <c r="F31" s="162" t="s">
        <v>190</v>
      </c>
      <c r="G31" s="3">
        <f>+IF(F31="Pasajero",'2.2 OPEX LAP 2023'!I32*'2.1 OPEX TUUA'!$G$7,'2.2 OPEX LAP 2023'!I32*'2.1 OPEX TUUA'!$G$8)</f>
        <v>73.775165024303334</v>
      </c>
      <c r="H31" s="3">
        <f>+IF(F31="Pasajero",'2.2 OPEX LAP 2023'!J32*'2.1 OPEX TUUA'!$H$7,'2.2 OPEX LAP 2023'!J32*'2.1 OPEX TUUA'!$H$8)</f>
        <v>86.742691380171792</v>
      </c>
      <c r="I31" s="3">
        <f>+IF(F31="Pasajero",'2.2 OPEX LAP 2023'!K32*'2.1 OPEX TUUA'!$I$7,'2.2 OPEX LAP 2023'!K32*'2.1 OPEX TUUA'!$I$8)</f>
        <v>97.647747094639826</v>
      </c>
      <c r="J31" s="3">
        <f>+IF(F31="Pasajero",'2.2 OPEX LAP 2023'!L32*'2.1 OPEX TUUA'!$J$7,'2.2 OPEX LAP 2023'!L32*'2.1 OPEX TUUA'!$J$8)</f>
        <v>103.61299900065173</v>
      </c>
      <c r="K31" s="3">
        <f>+IF(F31="Pasajero",'2.2 OPEX LAP 2023'!M32*'2.1 OPEX TUUA'!$K$7,'2.2 OPEX LAP 2023'!M32*'2.1 OPEX TUUA'!$K$8)</f>
        <v>107.9598158814435</v>
      </c>
      <c r="L31" s="3">
        <f>+IF(F31="Pasajero",'2.2 OPEX LAP 2023'!N32*'2.1 OPEX TUUA'!$L$7,'2.2 OPEX LAP 2023'!N32*'2.1 OPEX TUUA'!$L$8)</f>
        <v>112.80614141883247</v>
      </c>
      <c r="M31" s="3"/>
      <c r="N31" s="3">
        <f>+IF(F31="Pasajero",'2.2 OPEX LAP 2023'!I32*'2.1 OPEX TUUA'!$N$7,'2.2 OPEX LAP 2023'!I32*'2.1 OPEX TUUA'!$N$8)</f>
        <v>36.387182088132754</v>
      </c>
      <c r="O31" s="3">
        <f>+IF(F31="Pasajero",'2.2 OPEX LAP 2023'!J32*'2.1 OPEX TUUA'!$O$7,'2.2 OPEX LAP 2023'!J32*'2.1 OPEX TUUA'!$O$8)</f>
        <v>35.925632878748949</v>
      </c>
      <c r="P31" s="3">
        <f>+IF(F31="Pasajero",'2.2 OPEX LAP 2023'!K32*'2.1 OPEX TUUA'!$P$7,'2.2 OPEX LAP 2023'!K32*'2.1 OPEX TUUA'!$P$8)</f>
        <v>35.751640389106662</v>
      </c>
      <c r="Q31" s="3">
        <f>+IF(F31="Pasajero",'2.2 OPEX LAP 2023'!L32*'2.1 OPEX TUUA'!$Q$7,'2.2 OPEX LAP 2023'!L32*'2.1 OPEX TUUA'!$Q$8)</f>
        <v>35.571471998096662</v>
      </c>
      <c r="R31" s="3">
        <f>+IF(F31="Pasajero",'2.2 OPEX LAP 2023'!M32*'2.1 OPEX TUUA'!$R$7,'2.2 OPEX LAP 2023'!M32*'2.1 OPEX TUUA'!$R$8)</f>
        <v>35.793598525643965</v>
      </c>
      <c r="S31" s="3">
        <f>+IF(F31="Pasajero",'2.2 OPEX LAP 2023'!N32*'2.1 OPEX TUUA'!$S$7,'2.2 OPEX LAP 2023'!N32*'2.1 OPEX TUUA'!$S$8)</f>
        <v>35.853812189759665</v>
      </c>
      <c r="AA31" s="6"/>
      <c r="AB31" s="6"/>
      <c r="AC31" s="6"/>
      <c r="AD31" s="6"/>
      <c r="AE31" s="6"/>
      <c r="AF31" s="6"/>
    </row>
    <row r="32" spans="2:32" x14ac:dyDescent="0.25">
      <c r="B32" s="16">
        <v>6270000004</v>
      </c>
      <c r="C32" s="190" t="s">
        <v>13</v>
      </c>
      <c r="D32" s="190" t="s">
        <v>14</v>
      </c>
      <c r="E32" s="190" t="s">
        <v>33</v>
      </c>
      <c r="F32" s="162" t="s">
        <v>190</v>
      </c>
      <c r="G32" s="3">
        <f>+IF(F32="Pasajero",'2.2 OPEX LAP 2023'!I33*'2.1 OPEX TUUA'!$G$7,'2.2 OPEX LAP 2023'!I33*'2.1 OPEX TUUA'!$G$8)</f>
        <v>90.509685553335174</v>
      </c>
      <c r="H32" s="3">
        <f>+IF(F32="Pasajero",'2.2 OPEX LAP 2023'!J33*'2.1 OPEX TUUA'!$H$7,'2.2 OPEX LAP 2023'!J33*'2.1 OPEX TUUA'!$H$8)</f>
        <v>106.4186534626255</v>
      </c>
      <c r="I32" s="3">
        <f>+IF(F32="Pasajero",'2.2 OPEX LAP 2023'!K33*'2.1 OPEX TUUA'!$I$7,'2.2 OPEX LAP 2023'!K33*'2.1 OPEX TUUA'!$I$8)</f>
        <v>119.79731772359945</v>
      </c>
      <c r="J32" s="3">
        <f>+IF(F32="Pasajero",'2.2 OPEX LAP 2023'!L33*'2.1 OPEX TUUA'!$J$7,'2.2 OPEX LAP 2023'!L33*'2.1 OPEX TUUA'!$J$8)</f>
        <v>127.11567579276419</v>
      </c>
      <c r="K32" s="3">
        <f>+IF(F32="Pasajero",'2.2 OPEX LAP 2023'!M33*'2.1 OPEX TUUA'!$K$7,'2.2 OPEX LAP 2023'!M33*'2.1 OPEX TUUA'!$K$8)</f>
        <v>132.4484870295644</v>
      </c>
      <c r="L32" s="3">
        <f>+IF(F32="Pasajero",'2.2 OPEX LAP 2023'!N33*'2.1 OPEX TUUA'!$L$7,'2.2 OPEX LAP 2023'!N33*'2.1 OPEX TUUA'!$L$8)</f>
        <v>138.39411114756771</v>
      </c>
      <c r="M32" s="3"/>
      <c r="N32" s="3">
        <f>+IF(F32="Pasajero",'2.2 OPEX LAP 2023'!I33*'2.1 OPEX TUUA'!$N$7,'2.2 OPEX LAP 2023'!I33*'2.1 OPEX TUUA'!$N$8)</f>
        <v>44.640935847231539</v>
      </c>
      <c r="O32" s="3">
        <f>+IF(F32="Pasajero",'2.2 OPEX LAP 2023'!J33*'2.1 OPEX TUUA'!$O$7,'2.2 OPEX LAP 2023'!J33*'2.1 OPEX TUUA'!$O$8)</f>
        <v>44.07469280602713</v>
      </c>
      <c r="P32" s="3">
        <f>+IF(F32="Pasajero",'2.2 OPEX LAP 2023'!K33*'2.1 OPEX TUUA'!$P$7,'2.2 OPEX LAP 2023'!K33*'2.1 OPEX TUUA'!$P$8)</f>
        <v>43.861233364479588</v>
      </c>
      <c r="Q32" s="3">
        <f>+IF(F32="Pasajero",'2.2 OPEX LAP 2023'!L33*'2.1 OPEX TUUA'!$Q$7,'2.2 OPEX LAP 2023'!L33*'2.1 OPEX TUUA'!$Q$8)</f>
        <v>43.640197133498702</v>
      </c>
      <c r="R32" s="3">
        <f>+IF(F32="Pasajero",'2.2 OPEX LAP 2023'!M33*'2.1 OPEX TUUA'!$R$7,'2.2 OPEX LAP 2023'!M33*'2.1 OPEX TUUA'!$R$8)</f>
        <v>43.912708921913385</v>
      </c>
      <c r="S32" s="3">
        <f>+IF(F32="Pasajero",'2.2 OPEX LAP 2023'!N33*'2.1 OPEX TUUA'!$S$7,'2.2 OPEX LAP 2023'!N33*'2.1 OPEX TUUA'!$S$8)</f>
        <v>43.986580932953011</v>
      </c>
      <c r="AA32" s="6"/>
      <c r="AB32" s="6"/>
      <c r="AC32" s="6"/>
      <c r="AD32" s="6"/>
      <c r="AE32" s="6"/>
      <c r="AF32" s="6"/>
    </row>
    <row r="33" spans="2:32" x14ac:dyDescent="0.25">
      <c r="B33" s="16">
        <v>6270000005</v>
      </c>
      <c r="C33" s="190" t="s">
        <v>13</v>
      </c>
      <c r="D33" s="190" t="s">
        <v>14</v>
      </c>
      <c r="E33" s="190" t="s">
        <v>34</v>
      </c>
      <c r="F33" s="162" t="s">
        <v>190</v>
      </c>
      <c r="G33" s="3">
        <f>+IF(F33="Pasajero",'2.2 OPEX LAP 2023'!I34*'2.1 OPEX TUUA'!$G$7,'2.2 OPEX LAP 2023'!I34*'2.1 OPEX TUUA'!$G$8)</f>
        <v>166.88012400980961</v>
      </c>
      <c r="H33" s="3">
        <f>+IF(F33="Pasajero",'2.2 OPEX LAP 2023'!J34*'2.1 OPEX TUUA'!$H$7,'2.2 OPEX LAP 2023'!J34*'2.1 OPEX TUUA'!$H$8)</f>
        <v>196.21279179381145</v>
      </c>
      <c r="I33" s="3">
        <f>+IF(F33="Pasajero",'2.2 OPEX LAP 2023'!K34*'2.1 OPEX TUUA'!$I$7,'2.2 OPEX LAP 2023'!K34*'2.1 OPEX TUUA'!$I$8)</f>
        <v>220.88013139738683</v>
      </c>
      <c r="J33" s="3">
        <f>+IF(F33="Pasajero",'2.2 OPEX LAP 2023'!L34*'2.1 OPEX TUUA'!$J$7,'2.2 OPEX LAP 2023'!L34*'2.1 OPEX TUUA'!$J$8)</f>
        <v>234.37358786742098</v>
      </c>
      <c r="K33" s="3">
        <f>+IF(F33="Pasajero",'2.2 OPEX LAP 2023'!M34*'2.1 OPEX TUUA'!$K$7,'2.2 OPEX LAP 2023'!M34*'2.1 OPEX TUUA'!$K$8)</f>
        <v>244.20612893832882</v>
      </c>
      <c r="L33" s="3">
        <f>+IF(F33="Pasajero",'2.2 OPEX LAP 2023'!N34*'2.1 OPEX TUUA'!$L$7,'2.2 OPEX LAP 2023'!N34*'2.1 OPEX TUUA'!$L$8)</f>
        <v>255.16856333484904</v>
      </c>
      <c r="M33" s="3"/>
      <c r="N33" s="3">
        <f>+IF(F33="Pasajero",'2.2 OPEX LAP 2023'!I34*'2.1 OPEX TUUA'!$N$7,'2.2 OPEX LAP 2023'!I34*'2.1 OPEX TUUA'!$N$8)</f>
        <v>82.308151492914362</v>
      </c>
      <c r="O33" s="3">
        <f>+IF(F33="Pasajero",'2.2 OPEX LAP 2023'!J34*'2.1 OPEX TUUA'!$O$7,'2.2 OPEX LAP 2023'!J34*'2.1 OPEX TUUA'!$O$8)</f>
        <v>81.264122797441772</v>
      </c>
      <c r="P33" s="3">
        <f>+IF(F33="Pasajero",'2.2 OPEX LAP 2023'!K34*'2.1 OPEX TUUA'!$P$7,'2.2 OPEX LAP 2023'!K34*'2.1 OPEX TUUA'!$P$8)</f>
        <v>80.87055013327064</v>
      </c>
      <c r="Q33" s="3">
        <f>+IF(F33="Pasajero",'2.2 OPEX LAP 2023'!L34*'2.1 OPEX TUUA'!$Q$7,'2.2 OPEX LAP 2023'!L34*'2.1 OPEX TUUA'!$Q$8)</f>
        <v>80.463007521546331</v>
      </c>
      <c r="R33" s="3">
        <f>+IF(F33="Pasajero",'2.2 OPEX LAP 2023'!M34*'2.1 OPEX TUUA'!$R$7,'2.2 OPEX LAP 2023'!M34*'2.1 OPEX TUUA'!$R$8)</f>
        <v>80.965459836641145</v>
      </c>
      <c r="S33" s="3">
        <f>+IF(F33="Pasajero",'2.2 OPEX LAP 2023'!N34*'2.1 OPEX TUUA'!$S$7,'2.2 OPEX LAP 2023'!N34*'2.1 OPEX TUUA'!$S$8)</f>
        <v>81.101663716787016</v>
      </c>
      <c r="AA33" s="6"/>
      <c r="AB33" s="6"/>
      <c r="AC33" s="6"/>
      <c r="AD33" s="6"/>
      <c r="AE33" s="6"/>
      <c r="AF33" s="6"/>
    </row>
    <row r="34" spans="2:32" x14ac:dyDescent="0.25">
      <c r="B34" s="16">
        <v>6270000006</v>
      </c>
      <c r="C34" s="190" t="s">
        <v>13</v>
      </c>
      <c r="D34" s="190" t="s">
        <v>14</v>
      </c>
      <c r="E34" s="190" t="s">
        <v>35</v>
      </c>
      <c r="F34" s="162" t="s">
        <v>190</v>
      </c>
      <c r="G34" s="3">
        <f>+IF(F34="Pasajero",'2.2 OPEX LAP 2023'!I35*'2.1 OPEX TUUA'!$G$7,'2.2 OPEX LAP 2023'!I35*'2.1 OPEX TUUA'!$G$8)</f>
        <v>877.89783771217333</v>
      </c>
      <c r="H34" s="3">
        <f>+IF(F34="Pasajero",'2.2 OPEX LAP 2023'!J35*'2.1 OPEX TUUA'!$H$7,'2.2 OPEX LAP 2023'!J35*'2.1 OPEX TUUA'!$H$8)</f>
        <v>1032.206721257772</v>
      </c>
      <c r="I34" s="3">
        <f>+IF(F34="Pasajero",'2.2 OPEX LAP 2023'!K35*'2.1 OPEX TUUA'!$I$7,'2.2 OPEX LAP 2023'!K35*'2.1 OPEX TUUA'!$I$8)</f>
        <v>1161.972948533692</v>
      </c>
      <c r="J34" s="3">
        <f>+IF(F34="Pasajero",'2.2 OPEX LAP 2023'!L35*'2.1 OPEX TUUA'!$J$7,'2.2 OPEX LAP 2023'!L35*'2.1 OPEX TUUA'!$J$8)</f>
        <v>1232.9572933056913</v>
      </c>
      <c r="K34" s="3">
        <f>+IF(F34="Pasajero",'2.2 OPEX LAP 2023'!M35*'2.1 OPEX TUUA'!$K$7,'2.2 OPEX LAP 2023'!M35*'2.1 OPEX TUUA'!$K$8)</f>
        <v>1284.6828453843721</v>
      </c>
      <c r="L34" s="3">
        <f>+IF(F34="Pasajero",'2.2 OPEX LAP 2023'!N35*'2.1 OPEX TUUA'!$L$7,'2.2 OPEX LAP 2023'!N35*'2.1 OPEX TUUA'!$L$8)</f>
        <v>1342.3523701996876</v>
      </c>
      <c r="M34" s="3"/>
      <c r="N34" s="3">
        <f>+IF(F34="Pasajero",'2.2 OPEX LAP 2023'!I35*'2.1 OPEX TUUA'!$N$7,'2.2 OPEX LAP 2023'!I35*'2.1 OPEX TUUA'!$N$8)</f>
        <v>432.9943344089798</v>
      </c>
      <c r="O34" s="3">
        <f>+IF(F34="Pasajero",'2.2 OPEX LAP 2023'!J35*'2.1 OPEX TUUA'!$O$7,'2.2 OPEX LAP 2023'!J35*'2.1 OPEX TUUA'!$O$8)</f>
        <v>427.50206539430087</v>
      </c>
      <c r="P34" s="3">
        <f>+IF(F34="Pasajero",'2.2 OPEX LAP 2023'!K35*'2.1 OPEX TUUA'!$P$7,'2.2 OPEX LAP 2023'!K35*'2.1 OPEX TUUA'!$P$8)</f>
        <v>425.43161756290937</v>
      </c>
      <c r="Q34" s="3">
        <f>+IF(F34="Pasajero",'2.2 OPEX LAP 2023'!L35*'2.1 OPEX TUUA'!$Q$7,'2.2 OPEX LAP 2023'!L35*'2.1 OPEX TUUA'!$Q$8)</f>
        <v>423.28767873417684</v>
      </c>
      <c r="R34" s="3">
        <f>+IF(F34="Pasajero",'2.2 OPEX LAP 2023'!M35*'2.1 OPEX TUUA'!$R$7,'2.2 OPEX LAP 2023'!M35*'2.1 OPEX TUUA'!$R$8)</f>
        <v>425.9309042446593</v>
      </c>
      <c r="S34" s="3">
        <f>+IF(F34="Pasajero",'2.2 OPEX LAP 2023'!N35*'2.1 OPEX TUUA'!$S$7,'2.2 OPEX LAP 2023'!N35*'2.1 OPEX TUUA'!$S$8)</f>
        <v>426.64742511601867</v>
      </c>
      <c r="AA34" s="6"/>
      <c r="AB34" s="6"/>
      <c r="AC34" s="6"/>
      <c r="AD34" s="6"/>
      <c r="AE34" s="6"/>
      <c r="AF34" s="6"/>
    </row>
    <row r="35" spans="2:32" x14ac:dyDescent="0.25">
      <c r="B35" s="16">
        <v>6270000007</v>
      </c>
      <c r="C35" s="190" t="s">
        <v>13</v>
      </c>
      <c r="D35" s="190" t="s">
        <v>14</v>
      </c>
      <c r="E35" s="190" t="s">
        <v>36</v>
      </c>
      <c r="F35" s="162" t="s">
        <v>190</v>
      </c>
      <c r="G35" s="3">
        <f>+IF(F35="Pasajero",'2.2 OPEX LAP 2023'!I36*'2.1 OPEX TUUA'!$G$7,'2.2 OPEX LAP 2023'!I36*'2.1 OPEX TUUA'!$G$8)</f>
        <v>2.1431757568646015E-2</v>
      </c>
      <c r="H35" s="3">
        <f>+IF(F35="Pasajero",'2.2 OPEX LAP 2023'!J36*'2.1 OPEX TUUA'!$H$7,'2.2 OPEX LAP 2023'!J36*'2.1 OPEX TUUA'!$H$8)</f>
        <v>2.5198836653219366E-2</v>
      </c>
      <c r="I35" s="3">
        <f>+IF(F35="Pasajero",'2.2 OPEX LAP 2023'!K36*'2.1 OPEX TUUA'!$I$7,'2.2 OPEX LAP 2023'!K36*'2.1 OPEX TUUA'!$I$8)</f>
        <v>2.836676600001331E-2</v>
      </c>
      <c r="J35" s="3">
        <f>+IF(F35="Pasajero",'2.2 OPEX LAP 2023'!L36*'2.1 OPEX TUUA'!$J$7,'2.2 OPEX LAP 2023'!L36*'2.1 OPEX TUUA'!$J$8)</f>
        <v>3.0099677510864356E-2</v>
      </c>
      <c r="K35" s="3">
        <f>+IF(F35="Pasajero",'2.2 OPEX LAP 2023'!M36*'2.1 OPEX TUUA'!$K$7,'2.2 OPEX LAP 2023'!M36*'2.1 OPEX TUUA'!$K$8)</f>
        <v>3.1362432064564627E-2</v>
      </c>
      <c r="L35" s="3">
        <f>+IF(F35="Pasajero",'2.2 OPEX LAP 2023'!N36*'2.1 OPEX TUUA'!$L$7,'2.2 OPEX LAP 2023'!N36*'2.1 OPEX TUUA'!$L$8)</f>
        <v>3.277029437136994E-2</v>
      </c>
      <c r="M35" s="3"/>
      <c r="N35" s="3">
        <f>+IF(F35="Pasajero",'2.2 OPEX LAP 2023'!I36*'2.1 OPEX TUUA'!$N$7,'2.2 OPEX LAP 2023'!I36*'2.1 OPEX TUUA'!$N$8)</f>
        <v>1.0570511971910074E-2</v>
      </c>
      <c r="O35" s="3">
        <f>+IF(F35="Pasajero",'2.2 OPEX LAP 2023'!J36*'2.1 OPEX TUUA'!$O$7,'2.2 OPEX LAP 2023'!J36*'2.1 OPEX TUUA'!$O$8)</f>
        <v>1.0436431475333003E-2</v>
      </c>
      <c r="P35" s="3">
        <f>+IF(F35="Pasajero",'2.2 OPEX LAP 2023'!K36*'2.1 OPEX TUUA'!$P$7,'2.2 OPEX LAP 2023'!K36*'2.1 OPEX TUUA'!$P$8)</f>
        <v>1.0385886486981568E-2</v>
      </c>
      <c r="Q35" s="3">
        <f>+IF(F35="Pasajero",'2.2 OPEX LAP 2023'!L36*'2.1 OPEX TUUA'!$Q$7,'2.2 OPEX LAP 2023'!L36*'2.1 OPEX TUUA'!$Q$8)</f>
        <v>1.033354739324471E-2</v>
      </c>
      <c r="R35" s="3">
        <f>+IF(F35="Pasajero",'2.2 OPEX LAP 2023'!M36*'2.1 OPEX TUUA'!$R$7,'2.2 OPEX LAP 2023'!M36*'2.1 OPEX TUUA'!$R$8)</f>
        <v>1.0398075366667621E-2</v>
      </c>
      <c r="S35" s="3">
        <f>+IF(F35="Pasajero",'2.2 OPEX LAP 2023'!N36*'2.1 OPEX TUUA'!$S$7,'2.2 OPEX LAP 2023'!N36*'2.1 OPEX TUUA'!$S$8)</f>
        <v>1.0415567494963401E-2</v>
      </c>
      <c r="AA35" s="6"/>
      <c r="AB35" s="6"/>
      <c r="AC35" s="6"/>
      <c r="AD35" s="6"/>
      <c r="AE35" s="6"/>
      <c r="AF35" s="6"/>
    </row>
    <row r="36" spans="2:32" x14ac:dyDescent="0.25">
      <c r="B36" s="16">
        <v>6290000001</v>
      </c>
      <c r="C36" s="190" t="s">
        <v>13</v>
      </c>
      <c r="D36" s="190" t="s">
        <v>14</v>
      </c>
      <c r="E36" s="190" t="s">
        <v>37</v>
      </c>
      <c r="F36" s="162" t="s">
        <v>190</v>
      </c>
      <c r="G36" s="3">
        <f>+IF(F36="Pasajero",'2.2 OPEX LAP 2023'!I37*'2.1 OPEX TUUA'!$G$7,'2.2 OPEX LAP 2023'!I37*'2.1 OPEX TUUA'!$G$8)</f>
        <v>3356.4740361422946</v>
      </c>
      <c r="H36" s="3">
        <f>+IF(F36="Pasajero",'2.2 OPEX LAP 2023'!J37*'2.1 OPEX TUUA'!$H$7,'2.2 OPEX LAP 2023'!J37*'2.1 OPEX TUUA'!$H$8)</f>
        <v>3946.4444619912251</v>
      </c>
      <c r="I36" s="3">
        <f>+IF(F36="Pasajero",'2.2 OPEX LAP 2023'!K37*'2.1 OPEX TUUA'!$I$7,'2.2 OPEX LAP 2023'!K37*'2.1 OPEX TUUA'!$I$8)</f>
        <v>4442.5807479112809</v>
      </c>
      <c r="J36" s="3">
        <f>+IF(F36="Pasajero",'2.2 OPEX LAP 2023'!L37*'2.1 OPEX TUUA'!$J$7,'2.2 OPEX LAP 2023'!L37*'2.1 OPEX TUUA'!$J$8)</f>
        <v>4713.9757781356329</v>
      </c>
      <c r="K36" s="3">
        <f>+IF(F36="Pasajero",'2.2 OPEX LAP 2023'!M37*'2.1 OPEX TUUA'!$K$7,'2.2 OPEX LAP 2023'!M37*'2.1 OPEX TUUA'!$K$8)</f>
        <v>4911.7385075776656</v>
      </c>
      <c r="L36" s="3">
        <f>+IF(F36="Pasajero",'2.2 OPEX LAP 2023'!N37*'2.1 OPEX TUUA'!$L$7,'2.2 OPEX LAP 2023'!N37*'2.1 OPEX TUUA'!$L$8)</f>
        <v>5132.2268769575358</v>
      </c>
      <c r="M36" s="3"/>
      <c r="N36" s="3">
        <f>+IF(F36="Pasajero",'2.2 OPEX LAP 2023'!I37*'2.1 OPEX TUUA'!$N$7,'2.2 OPEX LAP 2023'!I37*'2.1 OPEX TUUA'!$N$8)</f>
        <v>1655.47080629323</v>
      </c>
      <c r="O36" s="3">
        <f>+IF(F36="Pasajero",'2.2 OPEX LAP 2023'!J37*'2.1 OPEX TUUA'!$O$7,'2.2 OPEX LAP 2023'!J37*'2.1 OPEX TUUA'!$O$8)</f>
        <v>1634.4721689172457</v>
      </c>
      <c r="P36" s="3">
        <f>+IF(F36="Pasajero",'2.2 OPEX LAP 2023'!K37*'2.1 OPEX TUUA'!$P$7,'2.2 OPEX LAP 2023'!K37*'2.1 OPEX TUUA'!$P$8)</f>
        <v>1626.5562086645548</v>
      </c>
      <c r="Q36" s="3">
        <f>+IF(F36="Pasajero",'2.2 OPEX LAP 2023'!L37*'2.1 OPEX TUUA'!$Q$7,'2.2 OPEX LAP 2023'!L37*'2.1 OPEX TUUA'!$Q$8)</f>
        <v>1618.3592696762194</v>
      </c>
      <c r="R36" s="3">
        <f>+IF(F36="Pasajero",'2.2 OPEX LAP 2023'!M37*'2.1 OPEX TUUA'!$R$7,'2.2 OPEX LAP 2023'!M37*'2.1 OPEX TUUA'!$R$8)</f>
        <v>1628.4651355486358</v>
      </c>
      <c r="S36" s="3">
        <f>+IF(F36="Pasajero",'2.2 OPEX LAP 2023'!N37*'2.1 OPEX TUUA'!$S$7,'2.2 OPEX LAP 2023'!N37*'2.1 OPEX TUUA'!$S$8)</f>
        <v>1631.2046156996967</v>
      </c>
      <c r="AA36" s="6"/>
      <c r="AB36" s="6"/>
      <c r="AC36" s="6"/>
      <c r="AD36" s="6"/>
      <c r="AE36" s="6"/>
      <c r="AF36" s="6"/>
    </row>
    <row r="37" spans="2:32" x14ac:dyDescent="0.25">
      <c r="B37" s="16">
        <v>6310000001</v>
      </c>
      <c r="C37" s="190" t="s">
        <v>13</v>
      </c>
      <c r="D37" s="190" t="s">
        <v>38</v>
      </c>
      <c r="E37" s="190" t="s">
        <v>39</v>
      </c>
      <c r="F37" s="162" t="s">
        <v>190</v>
      </c>
      <c r="G37" s="3">
        <f>+IF(F37="Pasajero",'2.2 OPEX LAP 2023'!I38*'2.1 OPEX TUUA'!$G$7,'2.2 OPEX LAP 2023'!I38*'2.1 OPEX TUUA'!$G$8)</f>
        <v>0</v>
      </c>
      <c r="H37" s="3">
        <f>+IF(F37="Pasajero",'2.2 OPEX LAP 2023'!J38*'2.1 OPEX TUUA'!$H$7,'2.2 OPEX LAP 2023'!J38*'2.1 OPEX TUUA'!$H$8)</f>
        <v>0</v>
      </c>
      <c r="I37" s="3">
        <f>+IF(F37="Pasajero",'2.2 OPEX LAP 2023'!K38*'2.1 OPEX TUUA'!$I$7,'2.2 OPEX LAP 2023'!K38*'2.1 OPEX TUUA'!$I$8)</f>
        <v>0</v>
      </c>
      <c r="J37" s="3">
        <f>+IF(F37="Pasajero",'2.2 OPEX LAP 2023'!L38*'2.1 OPEX TUUA'!$J$7,'2.2 OPEX LAP 2023'!L38*'2.1 OPEX TUUA'!$J$8)</f>
        <v>0</v>
      </c>
      <c r="K37" s="3">
        <f>+IF(F37="Pasajero",'2.2 OPEX LAP 2023'!M38*'2.1 OPEX TUUA'!$K$7,'2.2 OPEX LAP 2023'!M38*'2.1 OPEX TUUA'!$K$8)</f>
        <v>0</v>
      </c>
      <c r="L37" s="3">
        <f>+IF(F37="Pasajero",'2.2 OPEX LAP 2023'!N38*'2.1 OPEX TUUA'!$L$7,'2.2 OPEX LAP 2023'!N38*'2.1 OPEX TUUA'!$L$8)</f>
        <v>0</v>
      </c>
      <c r="M37" s="3"/>
      <c r="N37" s="3">
        <f>+IF(F37="Pasajero",'2.2 OPEX LAP 2023'!I38*'2.1 OPEX TUUA'!$N$7,'2.2 OPEX LAP 2023'!I38*'2.1 OPEX TUUA'!$N$8)</f>
        <v>0</v>
      </c>
      <c r="O37" s="3">
        <f>+IF(F37="Pasajero",'2.2 OPEX LAP 2023'!J38*'2.1 OPEX TUUA'!$O$7,'2.2 OPEX LAP 2023'!J38*'2.1 OPEX TUUA'!$O$8)</f>
        <v>0</v>
      </c>
      <c r="P37" s="3">
        <f>+IF(F37="Pasajero",'2.2 OPEX LAP 2023'!K38*'2.1 OPEX TUUA'!$P$7,'2.2 OPEX LAP 2023'!K38*'2.1 OPEX TUUA'!$P$8)</f>
        <v>0</v>
      </c>
      <c r="Q37" s="3">
        <f>+IF(F37="Pasajero",'2.2 OPEX LAP 2023'!L38*'2.1 OPEX TUUA'!$Q$7,'2.2 OPEX LAP 2023'!L38*'2.1 OPEX TUUA'!$Q$8)</f>
        <v>0</v>
      </c>
      <c r="R37" s="3">
        <f>+IF(F37="Pasajero",'2.2 OPEX LAP 2023'!M38*'2.1 OPEX TUUA'!$R$7,'2.2 OPEX LAP 2023'!M38*'2.1 OPEX TUUA'!$R$8)</f>
        <v>0</v>
      </c>
      <c r="S37" s="3">
        <f>+IF(F37="Pasajero",'2.2 OPEX LAP 2023'!N38*'2.1 OPEX TUUA'!$S$7,'2.2 OPEX LAP 2023'!N38*'2.1 OPEX TUUA'!$S$8)</f>
        <v>0</v>
      </c>
      <c r="AA37" s="6"/>
      <c r="AB37" s="6"/>
      <c r="AC37" s="6"/>
      <c r="AD37" s="6"/>
      <c r="AE37" s="6"/>
      <c r="AF37" s="6"/>
    </row>
    <row r="38" spans="2:32" x14ac:dyDescent="0.25">
      <c r="B38" s="16">
        <v>6311300001</v>
      </c>
      <c r="C38" s="190" t="s">
        <v>13</v>
      </c>
      <c r="D38" s="190" t="s">
        <v>40</v>
      </c>
      <c r="E38" s="190" t="s">
        <v>41</v>
      </c>
      <c r="F38" s="162" t="s">
        <v>190</v>
      </c>
      <c r="G38" s="3">
        <f>+IF(F38="Pasajero",'2.2 OPEX LAP 2023'!I39*'2.1 OPEX TUUA'!$G$7,'2.2 OPEX LAP 2023'!I39*'2.1 OPEX TUUA'!$G$8)</f>
        <v>0</v>
      </c>
      <c r="H38" s="3">
        <f>+IF(F38="Pasajero",'2.2 OPEX LAP 2023'!J39*'2.1 OPEX TUUA'!$H$7,'2.2 OPEX LAP 2023'!J39*'2.1 OPEX TUUA'!$H$8)</f>
        <v>0</v>
      </c>
      <c r="I38" s="3">
        <f>+IF(F38="Pasajero",'2.2 OPEX LAP 2023'!K39*'2.1 OPEX TUUA'!$I$7,'2.2 OPEX LAP 2023'!K39*'2.1 OPEX TUUA'!$I$8)</f>
        <v>0</v>
      </c>
      <c r="J38" s="3">
        <f>+IF(F38="Pasajero",'2.2 OPEX LAP 2023'!L39*'2.1 OPEX TUUA'!$J$7,'2.2 OPEX LAP 2023'!L39*'2.1 OPEX TUUA'!$J$8)</f>
        <v>0</v>
      </c>
      <c r="K38" s="3">
        <f>+IF(F38="Pasajero",'2.2 OPEX LAP 2023'!M39*'2.1 OPEX TUUA'!$K$7,'2.2 OPEX LAP 2023'!M39*'2.1 OPEX TUUA'!$K$8)</f>
        <v>0</v>
      </c>
      <c r="L38" s="3">
        <f>+IF(F38="Pasajero",'2.2 OPEX LAP 2023'!N39*'2.1 OPEX TUUA'!$L$7,'2.2 OPEX LAP 2023'!N39*'2.1 OPEX TUUA'!$L$8)</f>
        <v>0</v>
      </c>
      <c r="M38" s="3"/>
      <c r="N38" s="3">
        <f>+IF(F38="Pasajero",'2.2 OPEX LAP 2023'!I39*'2.1 OPEX TUUA'!$N$7,'2.2 OPEX LAP 2023'!I39*'2.1 OPEX TUUA'!$N$8)</f>
        <v>0</v>
      </c>
      <c r="O38" s="3">
        <f>+IF(F38="Pasajero",'2.2 OPEX LAP 2023'!J39*'2.1 OPEX TUUA'!$O$7,'2.2 OPEX LAP 2023'!J39*'2.1 OPEX TUUA'!$O$8)</f>
        <v>0</v>
      </c>
      <c r="P38" s="3">
        <f>+IF(F38="Pasajero",'2.2 OPEX LAP 2023'!K39*'2.1 OPEX TUUA'!$P$7,'2.2 OPEX LAP 2023'!K39*'2.1 OPEX TUUA'!$P$8)</f>
        <v>0</v>
      </c>
      <c r="Q38" s="3">
        <f>+IF(F38="Pasajero",'2.2 OPEX LAP 2023'!L39*'2.1 OPEX TUUA'!$Q$7,'2.2 OPEX LAP 2023'!L39*'2.1 OPEX TUUA'!$Q$8)</f>
        <v>0</v>
      </c>
      <c r="R38" s="3">
        <f>+IF(F38="Pasajero",'2.2 OPEX LAP 2023'!M39*'2.1 OPEX TUUA'!$R$7,'2.2 OPEX LAP 2023'!M39*'2.1 OPEX TUUA'!$R$8)</f>
        <v>0</v>
      </c>
      <c r="S38" s="3">
        <f>+IF(F38="Pasajero",'2.2 OPEX LAP 2023'!N39*'2.1 OPEX TUUA'!$S$7,'2.2 OPEX LAP 2023'!N39*'2.1 OPEX TUUA'!$S$8)</f>
        <v>0</v>
      </c>
      <c r="AA38" s="6"/>
      <c r="AB38" s="6"/>
      <c r="AC38" s="6"/>
      <c r="AD38" s="6"/>
      <c r="AE38" s="6"/>
      <c r="AF38" s="6"/>
    </row>
    <row r="39" spans="2:32" x14ac:dyDescent="0.25">
      <c r="B39" s="16">
        <v>6311300002</v>
      </c>
      <c r="C39" s="190" t="s">
        <v>13</v>
      </c>
      <c r="D39" s="190" t="s">
        <v>40</v>
      </c>
      <c r="E39" s="190" t="s">
        <v>42</v>
      </c>
      <c r="F39" s="162" t="s">
        <v>190</v>
      </c>
      <c r="G39" s="3">
        <f>+IF(F39="Pasajero",'2.2 OPEX LAP 2023'!I40*'2.1 OPEX TUUA'!$G$7,'2.2 OPEX LAP 2023'!I40*'2.1 OPEX TUUA'!$G$8)</f>
        <v>0</v>
      </c>
      <c r="H39" s="3">
        <f>+IF(F39="Pasajero",'2.2 OPEX LAP 2023'!J40*'2.1 OPEX TUUA'!$H$7,'2.2 OPEX LAP 2023'!J40*'2.1 OPEX TUUA'!$H$8)</f>
        <v>0</v>
      </c>
      <c r="I39" s="3">
        <f>+IF(F39="Pasajero",'2.2 OPEX LAP 2023'!K40*'2.1 OPEX TUUA'!$I$7,'2.2 OPEX LAP 2023'!K40*'2.1 OPEX TUUA'!$I$8)</f>
        <v>0</v>
      </c>
      <c r="J39" s="3">
        <f>+IF(F39="Pasajero",'2.2 OPEX LAP 2023'!L40*'2.1 OPEX TUUA'!$J$7,'2.2 OPEX LAP 2023'!L40*'2.1 OPEX TUUA'!$J$8)</f>
        <v>0</v>
      </c>
      <c r="K39" s="3">
        <f>+IF(F39="Pasajero",'2.2 OPEX LAP 2023'!M40*'2.1 OPEX TUUA'!$K$7,'2.2 OPEX LAP 2023'!M40*'2.1 OPEX TUUA'!$K$8)</f>
        <v>0</v>
      </c>
      <c r="L39" s="3">
        <f>+IF(F39="Pasajero",'2.2 OPEX LAP 2023'!N40*'2.1 OPEX TUUA'!$L$7,'2.2 OPEX LAP 2023'!N40*'2.1 OPEX TUUA'!$L$8)</f>
        <v>0</v>
      </c>
      <c r="M39" s="3"/>
      <c r="N39" s="3">
        <f>+IF(F39="Pasajero",'2.2 OPEX LAP 2023'!I40*'2.1 OPEX TUUA'!$N$7,'2.2 OPEX LAP 2023'!I40*'2.1 OPEX TUUA'!$N$8)</f>
        <v>0</v>
      </c>
      <c r="O39" s="3">
        <f>+IF(F39="Pasajero",'2.2 OPEX LAP 2023'!J40*'2.1 OPEX TUUA'!$O$7,'2.2 OPEX LAP 2023'!J40*'2.1 OPEX TUUA'!$O$8)</f>
        <v>0</v>
      </c>
      <c r="P39" s="3">
        <f>+IF(F39="Pasajero",'2.2 OPEX LAP 2023'!K40*'2.1 OPEX TUUA'!$P$7,'2.2 OPEX LAP 2023'!K40*'2.1 OPEX TUUA'!$P$8)</f>
        <v>0</v>
      </c>
      <c r="Q39" s="3">
        <f>+IF(F39="Pasajero",'2.2 OPEX LAP 2023'!L40*'2.1 OPEX TUUA'!$Q$7,'2.2 OPEX LAP 2023'!L40*'2.1 OPEX TUUA'!$Q$8)</f>
        <v>0</v>
      </c>
      <c r="R39" s="3">
        <f>+IF(F39="Pasajero",'2.2 OPEX LAP 2023'!M40*'2.1 OPEX TUUA'!$R$7,'2.2 OPEX LAP 2023'!M40*'2.1 OPEX TUUA'!$R$8)</f>
        <v>0</v>
      </c>
      <c r="S39" s="3">
        <f>+IF(F39="Pasajero",'2.2 OPEX LAP 2023'!N40*'2.1 OPEX TUUA'!$S$7,'2.2 OPEX LAP 2023'!N40*'2.1 OPEX TUUA'!$S$8)</f>
        <v>0</v>
      </c>
      <c r="AA39" s="6"/>
      <c r="AB39" s="6"/>
      <c r="AC39" s="6"/>
      <c r="AD39" s="6"/>
      <c r="AE39" s="6"/>
      <c r="AF39" s="6"/>
    </row>
    <row r="40" spans="2:32" x14ac:dyDescent="0.25">
      <c r="B40" s="16">
        <v>6320000001</v>
      </c>
      <c r="C40" s="190" t="s">
        <v>13</v>
      </c>
      <c r="D40" s="190" t="s">
        <v>40</v>
      </c>
      <c r="E40" s="190" t="s">
        <v>43</v>
      </c>
      <c r="F40" s="162" t="s">
        <v>190</v>
      </c>
      <c r="G40" s="3">
        <f>+IF(F40="Pasajero",'2.2 OPEX LAP 2023'!I41*'2.1 OPEX TUUA'!$G$7,'2.2 OPEX LAP 2023'!I41*'2.1 OPEX TUUA'!$G$8)</f>
        <v>22973.447341507104</v>
      </c>
      <c r="H40" s="3">
        <f>+IF(F40="Pasajero",'2.2 OPEX LAP 2023'!J41*'2.1 OPEX TUUA'!$H$7,'2.2 OPEX LAP 2023'!J41*'2.1 OPEX TUUA'!$H$8)</f>
        <v>27011.510608298999</v>
      </c>
      <c r="I40" s="3">
        <f>+IF(F40="Pasajero",'2.2 OPEX LAP 2023'!K41*'2.1 OPEX TUUA'!$I$7,'2.2 OPEX LAP 2023'!K41*'2.1 OPEX TUUA'!$I$8)</f>
        <v>30407.324404581293</v>
      </c>
      <c r="J40" s="3">
        <f>+IF(F40="Pasajero",'2.2 OPEX LAP 2023'!L41*'2.1 OPEX TUUA'!$J$7,'2.2 OPEX LAP 2023'!L41*'2.1 OPEX TUUA'!$J$8)</f>
        <v>32264.892605159963</v>
      </c>
      <c r="K40" s="3">
        <f>+IF(F40="Pasajero",'2.2 OPEX LAP 2023'!M41*'2.1 OPEX TUUA'!$K$7,'2.2 OPEX LAP 2023'!M41*'2.1 OPEX TUUA'!$K$8)</f>
        <v>33618.483189215556</v>
      </c>
      <c r="L40" s="3">
        <f>+IF(F40="Pasajero",'2.2 OPEX LAP 2023'!N41*'2.1 OPEX TUUA'!$L$7,'2.2 OPEX LAP 2023'!N41*'2.1 OPEX TUUA'!$L$8)</f>
        <v>35127.61982749118</v>
      </c>
      <c r="M40" s="3"/>
      <c r="N40" s="3">
        <f>+IF(F40="Pasajero",'2.2 OPEX LAP 2023'!I41*'2.1 OPEX TUUA'!$N$7,'2.2 OPEX LAP 2023'!I41*'2.1 OPEX TUUA'!$N$8)</f>
        <v>11330.89992183914</v>
      </c>
      <c r="O40" s="3">
        <f>+IF(F40="Pasajero",'2.2 OPEX LAP 2023'!J41*'2.1 OPEX TUUA'!$O$7,'2.2 OPEX LAP 2023'!J41*'2.1 OPEX TUUA'!$O$8)</f>
        <v>11187.174367937632</v>
      </c>
      <c r="P40" s="3">
        <f>+IF(F40="Pasajero",'2.2 OPEX LAP 2023'!K41*'2.1 OPEX TUUA'!$P$7,'2.2 OPEX LAP 2023'!K41*'2.1 OPEX TUUA'!$P$8)</f>
        <v>11132.993434593762</v>
      </c>
      <c r="Q40" s="3">
        <f>+IF(F40="Pasajero",'2.2 OPEX LAP 2023'!L41*'2.1 OPEX TUUA'!$Q$7,'2.2 OPEX LAP 2023'!L41*'2.1 OPEX TUUA'!$Q$8)</f>
        <v>11076.88933720396</v>
      </c>
      <c r="R40" s="3">
        <f>+IF(F40="Pasajero",'2.2 OPEX LAP 2023'!M41*'2.1 OPEX TUUA'!$R$7,'2.2 OPEX LAP 2023'!M41*'2.1 OPEX TUUA'!$R$8)</f>
        <v>11146.059119231271</v>
      </c>
      <c r="S40" s="3">
        <f>+IF(F40="Pasajero",'2.2 OPEX LAP 2023'!N41*'2.1 OPEX TUUA'!$S$7,'2.2 OPEX LAP 2023'!N41*'2.1 OPEX TUUA'!$S$8)</f>
        <v>11164.809540749751</v>
      </c>
      <c r="AA40" s="6"/>
      <c r="AB40" s="6"/>
      <c r="AC40" s="6"/>
      <c r="AD40" s="6"/>
      <c r="AE40" s="6"/>
      <c r="AF40" s="6"/>
    </row>
    <row r="41" spans="2:32" x14ac:dyDescent="0.25">
      <c r="B41" s="16">
        <v>6320000002</v>
      </c>
      <c r="C41" s="190" t="s">
        <v>13</v>
      </c>
      <c r="D41" s="190" t="s">
        <v>40</v>
      </c>
      <c r="E41" s="190" t="s">
        <v>44</v>
      </c>
      <c r="F41" s="162" t="s">
        <v>190</v>
      </c>
      <c r="G41" s="3">
        <f>+IF(F41="Pasajero",'2.2 OPEX LAP 2023'!I42*'2.1 OPEX TUUA'!$G$7,'2.2 OPEX LAP 2023'!I42*'2.1 OPEX TUUA'!$G$8)</f>
        <v>0</v>
      </c>
      <c r="H41" s="3">
        <f>+IF(F41="Pasajero",'2.2 OPEX LAP 2023'!J42*'2.1 OPEX TUUA'!$H$7,'2.2 OPEX LAP 2023'!J42*'2.1 OPEX TUUA'!$H$8)</f>
        <v>0</v>
      </c>
      <c r="I41" s="3">
        <f>+IF(F41="Pasajero",'2.2 OPEX LAP 2023'!K42*'2.1 OPEX TUUA'!$I$7,'2.2 OPEX LAP 2023'!K42*'2.1 OPEX TUUA'!$I$8)</f>
        <v>0</v>
      </c>
      <c r="J41" s="3">
        <f>+IF(F41="Pasajero",'2.2 OPEX LAP 2023'!L42*'2.1 OPEX TUUA'!$J$7,'2.2 OPEX LAP 2023'!L42*'2.1 OPEX TUUA'!$J$8)</f>
        <v>0</v>
      </c>
      <c r="K41" s="3">
        <f>+IF(F41="Pasajero",'2.2 OPEX LAP 2023'!M42*'2.1 OPEX TUUA'!$K$7,'2.2 OPEX LAP 2023'!M42*'2.1 OPEX TUUA'!$K$8)</f>
        <v>0</v>
      </c>
      <c r="L41" s="3">
        <f>+IF(F41="Pasajero",'2.2 OPEX LAP 2023'!N42*'2.1 OPEX TUUA'!$L$7,'2.2 OPEX LAP 2023'!N42*'2.1 OPEX TUUA'!$L$8)</f>
        <v>0</v>
      </c>
      <c r="M41" s="3"/>
      <c r="N41" s="3">
        <f>+IF(F41="Pasajero",'2.2 OPEX LAP 2023'!I42*'2.1 OPEX TUUA'!$N$7,'2.2 OPEX LAP 2023'!I42*'2.1 OPEX TUUA'!$N$8)</f>
        <v>0</v>
      </c>
      <c r="O41" s="3">
        <f>+IF(F41="Pasajero",'2.2 OPEX LAP 2023'!J42*'2.1 OPEX TUUA'!$O$7,'2.2 OPEX LAP 2023'!J42*'2.1 OPEX TUUA'!$O$8)</f>
        <v>0</v>
      </c>
      <c r="P41" s="3">
        <f>+IF(F41="Pasajero",'2.2 OPEX LAP 2023'!K42*'2.1 OPEX TUUA'!$P$7,'2.2 OPEX LAP 2023'!K42*'2.1 OPEX TUUA'!$P$8)</f>
        <v>0</v>
      </c>
      <c r="Q41" s="3">
        <f>+IF(F41="Pasajero",'2.2 OPEX LAP 2023'!L42*'2.1 OPEX TUUA'!$Q$7,'2.2 OPEX LAP 2023'!L42*'2.1 OPEX TUUA'!$Q$8)</f>
        <v>0</v>
      </c>
      <c r="R41" s="3">
        <f>+IF(F41="Pasajero",'2.2 OPEX LAP 2023'!M42*'2.1 OPEX TUUA'!$R$7,'2.2 OPEX LAP 2023'!M42*'2.1 OPEX TUUA'!$R$8)</f>
        <v>0</v>
      </c>
      <c r="S41" s="3">
        <f>+IF(F41="Pasajero",'2.2 OPEX LAP 2023'!N42*'2.1 OPEX TUUA'!$S$7,'2.2 OPEX LAP 2023'!N42*'2.1 OPEX TUUA'!$S$8)</f>
        <v>0</v>
      </c>
      <c r="AA41" s="6"/>
      <c r="AB41" s="6"/>
      <c r="AC41" s="6"/>
      <c r="AD41" s="6"/>
      <c r="AE41" s="6"/>
      <c r="AF41" s="6"/>
    </row>
    <row r="42" spans="2:32" x14ac:dyDescent="0.25">
      <c r="B42" s="16">
        <v>6320000003</v>
      </c>
      <c r="C42" s="190" t="s">
        <v>13</v>
      </c>
      <c r="D42" s="190" t="s">
        <v>40</v>
      </c>
      <c r="E42" s="190" t="s">
        <v>45</v>
      </c>
      <c r="F42" s="162" t="s">
        <v>190</v>
      </c>
      <c r="G42" s="3">
        <f>+IF(F42="Pasajero",'2.2 OPEX LAP 2023'!I43*'2.1 OPEX TUUA'!$G$7,'2.2 OPEX LAP 2023'!I43*'2.1 OPEX TUUA'!$G$8)</f>
        <v>13977.777257056472</v>
      </c>
      <c r="H42" s="3">
        <f>+IF(F42="Pasajero",'2.2 OPEX LAP 2023'!J43*'2.1 OPEX TUUA'!$H$7,'2.2 OPEX LAP 2023'!J43*'2.1 OPEX TUUA'!$H$8)</f>
        <v>16434.663594316822</v>
      </c>
      <c r="I42" s="3">
        <f>+IF(F42="Pasajero",'2.2 OPEX LAP 2023'!K43*'2.1 OPEX TUUA'!$I$7,'2.2 OPEX LAP 2023'!K43*'2.1 OPEX TUUA'!$I$8)</f>
        <v>18500.78489275663</v>
      </c>
      <c r="J42" s="3">
        <f>+IF(F42="Pasajero",'2.2 OPEX LAP 2023'!L43*'2.1 OPEX TUUA'!$J$7,'2.2 OPEX LAP 2023'!L43*'2.1 OPEX TUUA'!$J$8)</f>
        <v>19630.988564913765</v>
      </c>
      <c r="K42" s="3">
        <f>+IF(F42="Pasajero",'2.2 OPEX LAP 2023'!M43*'2.1 OPEX TUUA'!$K$7,'2.2 OPEX LAP 2023'!M43*'2.1 OPEX TUUA'!$K$8)</f>
        <v>20454.556199318988</v>
      </c>
      <c r="L42" s="3">
        <f>+IF(F42="Pasajero",'2.2 OPEX LAP 2023'!N43*'2.1 OPEX TUUA'!$L$7,'2.2 OPEX LAP 2023'!N43*'2.1 OPEX TUUA'!$L$8)</f>
        <v>21372.763008541198</v>
      </c>
      <c r="M42" s="3"/>
      <c r="N42" s="3">
        <f>+IF(F42="Pasajero",'2.2 OPEX LAP 2023'!I43*'2.1 OPEX TUUA'!$N$7,'2.2 OPEX LAP 2023'!I43*'2.1 OPEX TUUA'!$N$8)</f>
        <v>6894.0804954123168</v>
      </c>
      <c r="O42" s="3">
        <f>+IF(F42="Pasajero",'2.2 OPEX LAP 2023'!J43*'2.1 OPEX TUUA'!$O$7,'2.2 OPEX LAP 2023'!J43*'2.1 OPEX TUUA'!$O$8)</f>
        <v>6806.6332895699161</v>
      </c>
      <c r="P42" s="3">
        <f>+IF(F42="Pasajero",'2.2 OPEX LAP 2023'!K43*'2.1 OPEX TUUA'!$P$7,'2.2 OPEX LAP 2023'!K43*'2.1 OPEX TUUA'!$P$8)</f>
        <v>6773.6678836122419</v>
      </c>
      <c r="Q42" s="3">
        <f>+IF(F42="Pasajero",'2.2 OPEX LAP 2023'!L43*'2.1 OPEX TUUA'!$Q$7,'2.2 OPEX LAP 2023'!L43*'2.1 OPEX TUUA'!$Q$8)</f>
        <v>6739.5323633803264</v>
      </c>
      <c r="R42" s="3">
        <f>+IF(F42="Pasajero",'2.2 OPEX LAP 2023'!M43*'2.1 OPEX TUUA'!$R$7,'2.2 OPEX LAP 2023'!M43*'2.1 OPEX TUUA'!$R$8)</f>
        <v>6781.6174623959214</v>
      </c>
      <c r="S42" s="3">
        <f>+IF(F42="Pasajero",'2.2 OPEX LAP 2023'!N43*'2.1 OPEX TUUA'!$S$7,'2.2 OPEX LAP 2023'!N43*'2.1 OPEX TUUA'!$S$8)</f>
        <v>6793.0258162039163</v>
      </c>
      <c r="AA42" s="6"/>
      <c r="AB42" s="6"/>
      <c r="AC42" s="6"/>
      <c r="AD42" s="6"/>
      <c r="AE42" s="6"/>
      <c r="AF42" s="6"/>
    </row>
    <row r="43" spans="2:32" x14ac:dyDescent="0.25">
      <c r="B43" s="16">
        <v>6320000004</v>
      </c>
      <c r="C43" s="190" t="s">
        <v>13</v>
      </c>
      <c r="D43" s="190" t="s">
        <v>40</v>
      </c>
      <c r="E43" s="190" t="s">
        <v>46</v>
      </c>
      <c r="F43" s="162" t="s">
        <v>190</v>
      </c>
      <c r="G43" s="3">
        <f>+IF(F43="Pasajero",'2.2 OPEX LAP 2023'!I44*'2.1 OPEX TUUA'!$G$7,'2.2 OPEX LAP 2023'!I44*'2.1 OPEX TUUA'!$G$8)</f>
        <v>0</v>
      </c>
      <c r="H43" s="3">
        <f>+IF(F43="Pasajero",'2.2 OPEX LAP 2023'!J44*'2.1 OPEX TUUA'!$H$7,'2.2 OPEX LAP 2023'!J44*'2.1 OPEX TUUA'!$H$8)</f>
        <v>0</v>
      </c>
      <c r="I43" s="3">
        <f>+IF(F43="Pasajero",'2.2 OPEX LAP 2023'!K44*'2.1 OPEX TUUA'!$I$7,'2.2 OPEX LAP 2023'!K44*'2.1 OPEX TUUA'!$I$8)</f>
        <v>0</v>
      </c>
      <c r="J43" s="3">
        <f>+IF(F43="Pasajero",'2.2 OPEX LAP 2023'!L44*'2.1 OPEX TUUA'!$J$7,'2.2 OPEX LAP 2023'!L44*'2.1 OPEX TUUA'!$J$8)</f>
        <v>0</v>
      </c>
      <c r="K43" s="3">
        <f>+IF(F43="Pasajero",'2.2 OPEX LAP 2023'!M44*'2.1 OPEX TUUA'!$K$7,'2.2 OPEX LAP 2023'!M44*'2.1 OPEX TUUA'!$K$8)</f>
        <v>0</v>
      </c>
      <c r="L43" s="3">
        <f>+IF(F43="Pasajero",'2.2 OPEX LAP 2023'!N44*'2.1 OPEX TUUA'!$L$7,'2.2 OPEX LAP 2023'!N44*'2.1 OPEX TUUA'!$L$8)</f>
        <v>0</v>
      </c>
      <c r="M43" s="3"/>
      <c r="N43" s="3">
        <f>+IF(F43="Pasajero",'2.2 OPEX LAP 2023'!I44*'2.1 OPEX TUUA'!$N$7,'2.2 OPEX LAP 2023'!I44*'2.1 OPEX TUUA'!$N$8)</f>
        <v>0</v>
      </c>
      <c r="O43" s="3">
        <f>+IF(F43="Pasajero",'2.2 OPEX LAP 2023'!J44*'2.1 OPEX TUUA'!$O$7,'2.2 OPEX LAP 2023'!J44*'2.1 OPEX TUUA'!$O$8)</f>
        <v>0</v>
      </c>
      <c r="P43" s="3">
        <f>+IF(F43="Pasajero",'2.2 OPEX LAP 2023'!K44*'2.1 OPEX TUUA'!$P$7,'2.2 OPEX LAP 2023'!K44*'2.1 OPEX TUUA'!$P$8)</f>
        <v>0</v>
      </c>
      <c r="Q43" s="3">
        <f>+IF(F43="Pasajero",'2.2 OPEX LAP 2023'!L44*'2.1 OPEX TUUA'!$Q$7,'2.2 OPEX LAP 2023'!L44*'2.1 OPEX TUUA'!$Q$8)</f>
        <v>0</v>
      </c>
      <c r="R43" s="3">
        <f>+IF(F43="Pasajero",'2.2 OPEX LAP 2023'!M44*'2.1 OPEX TUUA'!$R$7,'2.2 OPEX LAP 2023'!M44*'2.1 OPEX TUUA'!$R$8)</f>
        <v>0</v>
      </c>
      <c r="S43" s="3">
        <f>+IF(F43="Pasajero",'2.2 OPEX LAP 2023'!N44*'2.1 OPEX TUUA'!$S$7,'2.2 OPEX LAP 2023'!N44*'2.1 OPEX TUUA'!$S$8)</f>
        <v>0</v>
      </c>
      <c r="AA43" s="6"/>
      <c r="AB43" s="6"/>
      <c r="AC43" s="6"/>
      <c r="AD43" s="6"/>
      <c r="AE43" s="6"/>
      <c r="AF43" s="6"/>
    </row>
    <row r="44" spans="2:32" x14ac:dyDescent="0.25">
      <c r="B44" s="16">
        <v>6320000005</v>
      </c>
      <c r="C44" s="190" t="s">
        <v>13</v>
      </c>
      <c r="D44" s="190" t="s">
        <v>40</v>
      </c>
      <c r="E44" s="190" t="s">
        <v>47</v>
      </c>
      <c r="F44" s="162" t="s">
        <v>190</v>
      </c>
      <c r="G44" s="3">
        <f>+IF(F44="Pasajero",'2.2 OPEX LAP 2023'!I45*'2.1 OPEX TUUA'!$G$7,'2.2 OPEX LAP 2023'!I45*'2.1 OPEX TUUA'!$G$8)</f>
        <v>0</v>
      </c>
      <c r="H44" s="3">
        <f>+IF(F44="Pasajero",'2.2 OPEX LAP 2023'!J45*'2.1 OPEX TUUA'!$H$7,'2.2 OPEX LAP 2023'!J45*'2.1 OPEX TUUA'!$H$8)</f>
        <v>0</v>
      </c>
      <c r="I44" s="3">
        <f>+IF(F44="Pasajero",'2.2 OPEX LAP 2023'!K45*'2.1 OPEX TUUA'!$I$7,'2.2 OPEX LAP 2023'!K45*'2.1 OPEX TUUA'!$I$8)</f>
        <v>0</v>
      </c>
      <c r="J44" s="3">
        <f>+IF(F44="Pasajero",'2.2 OPEX LAP 2023'!L45*'2.1 OPEX TUUA'!$J$7,'2.2 OPEX LAP 2023'!L45*'2.1 OPEX TUUA'!$J$8)</f>
        <v>0</v>
      </c>
      <c r="K44" s="3">
        <f>+IF(F44="Pasajero",'2.2 OPEX LAP 2023'!M45*'2.1 OPEX TUUA'!$K$7,'2.2 OPEX LAP 2023'!M45*'2.1 OPEX TUUA'!$K$8)</f>
        <v>0</v>
      </c>
      <c r="L44" s="3">
        <f>+IF(F44="Pasajero",'2.2 OPEX LAP 2023'!N45*'2.1 OPEX TUUA'!$L$7,'2.2 OPEX LAP 2023'!N45*'2.1 OPEX TUUA'!$L$8)</f>
        <v>0</v>
      </c>
      <c r="M44" s="3"/>
      <c r="N44" s="3">
        <f>+IF(F44="Pasajero",'2.2 OPEX LAP 2023'!I45*'2.1 OPEX TUUA'!$N$7,'2.2 OPEX LAP 2023'!I45*'2.1 OPEX TUUA'!$N$8)</f>
        <v>0</v>
      </c>
      <c r="O44" s="3">
        <f>+IF(F44="Pasajero",'2.2 OPEX LAP 2023'!J45*'2.1 OPEX TUUA'!$O$7,'2.2 OPEX LAP 2023'!J45*'2.1 OPEX TUUA'!$O$8)</f>
        <v>0</v>
      </c>
      <c r="P44" s="3">
        <f>+IF(F44="Pasajero",'2.2 OPEX LAP 2023'!K45*'2.1 OPEX TUUA'!$P$7,'2.2 OPEX LAP 2023'!K45*'2.1 OPEX TUUA'!$P$8)</f>
        <v>0</v>
      </c>
      <c r="Q44" s="3">
        <f>+IF(F44="Pasajero",'2.2 OPEX LAP 2023'!L45*'2.1 OPEX TUUA'!$Q$7,'2.2 OPEX LAP 2023'!L45*'2.1 OPEX TUUA'!$Q$8)</f>
        <v>0</v>
      </c>
      <c r="R44" s="3">
        <f>+IF(F44="Pasajero",'2.2 OPEX LAP 2023'!M45*'2.1 OPEX TUUA'!$R$7,'2.2 OPEX LAP 2023'!M45*'2.1 OPEX TUUA'!$R$8)</f>
        <v>0</v>
      </c>
      <c r="S44" s="3">
        <f>+IF(F44="Pasajero",'2.2 OPEX LAP 2023'!N45*'2.1 OPEX TUUA'!$S$7,'2.2 OPEX LAP 2023'!N45*'2.1 OPEX TUUA'!$S$8)</f>
        <v>0</v>
      </c>
      <c r="AA44" s="6"/>
      <c r="AB44" s="6"/>
      <c r="AC44" s="6"/>
      <c r="AD44" s="6"/>
      <c r="AE44" s="6"/>
      <c r="AF44" s="6"/>
    </row>
    <row r="45" spans="2:32" x14ac:dyDescent="0.25">
      <c r="B45" s="16">
        <v>6320000006</v>
      </c>
      <c r="C45" s="190" t="s">
        <v>13</v>
      </c>
      <c r="D45" s="190" t="s">
        <v>40</v>
      </c>
      <c r="E45" s="190" t="s">
        <v>48</v>
      </c>
      <c r="F45" s="162" t="s">
        <v>190</v>
      </c>
      <c r="G45" s="3">
        <f>+IF(F45="Pasajero",'2.2 OPEX LAP 2023'!I46*'2.1 OPEX TUUA'!$G$7,'2.2 OPEX LAP 2023'!I46*'2.1 OPEX TUUA'!$G$8)</f>
        <v>0</v>
      </c>
      <c r="H45" s="3">
        <f>+IF(F45="Pasajero",'2.2 OPEX LAP 2023'!J46*'2.1 OPEX TUUA'!$H$7,'2.2 OPEX LAP 2023'!J46*'2.1 OPEX TUUA'!$H$8)</f>
        <v>0</v>
      </c>
      <c r="I45" s="3">
        <f>+IF(F45="Pasajero",'2.2 OPEX LAP 2023'!K46*'2.1 OPEX TUUA'!$I$7,'2.2 OPEX LAP 2023'!K46*'2.1 OPEX TUUA'!$I$8)</f>
        <v>0</v>
      </c>
      <c r="J45" s="3">
        <f>+IF(F45="Pasajero",'2.2 OPEX LAP 2023'!L46*'2.1 OPEX TUUA'!$J$7,'2.2 OPEX LAP 2023'!L46*'2.1 OPEX TUUA'!$J$8)</f>
        <v>0</v>
      </c>
      <c r="K45" s="3">
        <f>+IF(F45="Pasajero",'2.2 OPEX LAP 2023'!M46*'2.1 OPEX TUUA'!$K$7,'2.2 OPEX LAP 2023'!M46*'2.1 OPEX TUUA'!$K$8)</f>
        <v>0</v>
      </c>
      <c r="L45" s="3">
        <f>+IF(F45="Pasajero",'2.2 OPEX LAP 2023'!N46*'2.1 OPEX TUUA'!$L$7,'2.2 OPEX LAP 2023'!N46*'2.1 OPEX TUUA'!$L$8)</f>
        <v>0</v>
      </c>
      <c r="M45" s="3"/>
      <c r="N45" s="3">
        <f>+IF(F45="Pasajero",'2.2 OPEX LAP 2023'!I46*'2.1 OPEX TUUA'!$N$7,'2.2 OPEX LAP 2023'!I46*'2.1 OPEX TUUA'!$N$8)</f>
        <v>0</v>
      </c>
      <c r="O45" s="3">
        <f>+IF(F45="Pasajero",'2.2 OPEX LAP 2023'!J46*'2.1 OPEX TUUA'!$O$7,'2.2 OPEX LAP 2023'!J46*'2.1 OPEX TUUA'!$O$8)</f>
        <v>0</v>
      </c>
      <c r="P45" s="3">
        <f>+IF(F45="Pasajero",'2.2 OPEX LAP 2023'!K46*'2.1 OPEX TUUA'!$P$7,'2.2 OPEX LAP 2023'!K46*'2.1 OPEX TUUA'!$P$8)</f>
        <v>0</v>
      </c>
      <c r="Q45" s="3">
        <f>+IF(F45="Pasajero",'2.2 OPEX LAP 2023'!L46*'2.1 OPEX TUUA'!$Q$7,'2.2 OPEX LAP 2023'!L46*'2.1 OPEX TUUA'!$Q$8)</f>
        <v>0</v>
      </c>
      <c r="R45" s="3">
        <f>+IF(F45="Pasajero",'2.2 OPEX LAP 2023'!M46*'2.1 OPEX TUUA'!$R$7,'2.2 OPEX LAP 2023'!M46*'2.1 OPEX TUUA'!$R$8)</f>
        <v>0</v>
      </c>
      <c r="S45" s="3">
        <f>+IF(F45="Pasajero",'2.2 OPEX LAP 2023'!N46*'2.1 OPEX TUUA'!$S$7,'2.2 OPEX LAP 2023'!N46*'2.1 OPEX TUUA'!$S$8)</f>
        <v>0</v>
      </c>
      <c r="AA45" s="6"/>
      <c r="AB45" s="6"/>
      <c r="AC45" s="6"/>
      <c r="AD45" s="6"/>
      <c r="AE45" s="6"/>
      <c r="AF45" s="6"/>
    </row>
    <row r="46" spans="2:32" x14ac:dyDescent="0.25">
      <c r="B46" s="16">
        <v>6320000007</v>
      </c>
      <c r="C46" s="190" t="s">
        <v>13</v>
      </c>
      <c r="D46" s="190" t="s">
        <v>49</v>
      </c>
      <c r="E46" s="190" t="s">
        <v>50</v>
      </c>
      <c r="F46" s="162" t="s">
        <v>190</v>
      </c>
      <c r="G46" s="3">
        <f>+IF(F46="Pasajero",'2.2 OPEX LAP 2023'!I47*'2.1 OPEX TUUA'!$G$7,'2.2 OPEX LAP 2023'!I47*'2.1 OPEX TUUA'!$G$8)</f>
        <v>90823.848173729726</v>
      </c>
      <c r="H46" s="3">
        <f>+IF(F46="Pasajero",'2.2 OPEX LAP 2023'!J47*'2.1 OPEX TUUA'!$H$7,'2.2 OPEX LAP 2023'!J47*'2.1 OPEX TUUA'!$H$8)</f>
        <v>106788.03672615456</v>
      </c>
      <c r="I46" s="3">
        <f>+IF(F46="Pasajero",'2.2 OPEX LAP 2023'!K47*'2.1 OPEX TUUA'!$I$7,'2.2 OPEX LAP 2023'!K47*'2.1 OPEX TUUA'!$I$8)</f>
        <v>120213.13884840171</v>
      </c>
      <c r="J46" s="3">
        <f>+IF(F46="Pasajero",'2.2 OPEX LAP 2023'!L47*'2.1 OPEX TUUA'!$J$7,'2.2 OPEX LAP 2023'!L47*'2.1 OPEX TUUA'!$J$8)</f>
        <v>127556.89922157335</v>
      </c>
      <c r="K46" s="3">
        <f>+IF(F46="Pasajero",'2.2 OPEX LAP 2023'!M47*'2.1 OPEX TUUA'!$K$7,'2.2 OPEX LAP 2023'!M47*'2.1 OPEX TUUA'!$K$8)</f>
        <v>132908.22085250408</v>
      </c>
      <c r="L46" s="3">
        <f>+IF(F46="Pasajero",'2.2 OPEX LAP 2023'!N47*'2.1 OPEX TUUA'!$L$7,'2.2 OPEX LAP 2023'!N47*'2.1 OPEX TUUA'!$L$8)</f>
        <v>138874.48246185845</v>
      </c>
      <c r="M46" s="3"/>
      <c r="N46" s="3">
        <f>+IF(F46="Pasajero",'2.2 OPEX LAP 2023'!I47*'2.1 OPEX TUUA'!$N$7,'2.2 OPEX LAP 2023'!I47*'2.1 OPEX TUUA'!$N$8)</f>
        <v>44795.886262724554</v>
      </c>
      <c r="O46" s="3">
        <f>+IF(F46="Pasajero",'2.2 OPEX LAP 2023'!J47*'2.1 OPEX TUUA'!$O$7,'2.2 OPEX LAP 2023'!J47*'2.1 OPEX TUUA'!$O$8)</f>
        <v>44227.677770016067</v>
      </c>
      <c r="P46" s="3">
        <f>+IF(F46="Pasajero",'2.2 OPEX LAP 2023'!K47*'2.1 OPEX TUUA'!$P$7,'2.2 OPEX LAP 2023'!K47*'2.1 OPEX TUUA'!$P$8)</f>
        <v>44013.477402488126</v>
      </c>
      <c r="Q46" s="3">
        <f>+IF(F46="Pasajero",'2.2 OPEX LAP 2023'!L47*'2.1 OPEX TUUA'!$Q$7,'2.2 OPEX LAP 2023'!L47*'2.1 OPEX TUUA'!$Q$8)</f>
        <v>43791.673946197567</v>
      </c>
      <c r="R46" s="3">
        <f>+IF(F46="Pasajero",'2.2 OPEX LAP 2023'!M47*'2.1 OPEX TUUA'!$R$7,'2.2 OPEX LAP 2023'!M47*'2.1 OPEX TUUA'!$R$8)</f>
        <v>44065.131633573372</v>
      </c>
      <c r="S46" s="3">
        <f>+IF(F46="Pasajero",'2.2 OPEX LAP 2023'!N47*'2.1 OPEX TUUA'!$S$7,'2.2 OPEX LAP 2023'!N47*'2.1 OPEX TUUA'!$S$8)</f>
        <v>44139.260057221443</v>
      </c>
      <c r="AA46" s="6"/>
      <c r="AB46" s="6"/>
      <c r="AC46" s="6"/>
      <c r="AD46" s="6"/>
      <c r="AE46" s="6"/>
      <c r="AF46" s="6"/>
    </row>
    <row r="47" spans="2:32" x14ac:dyDescent="0.25">
      <c r="B47" s="16">
        <v>6329000003</v>
      </c>
      <c r="C47" s="190" t="s">
        <v>13</v>
      </c>
      <c r="D47" s="190" t="s">
        <v>40</v>
      </c>
      <c r="E47" s="190" t="s">
        <v>51</v>
      </c>
      <c r="F47" s="162" t="s">
        <v>190</v>
      </c>
      <c r="G47" s="3">
        <f>+IF(F47="Pasajero",'2.2 OPEX LAP 2023'!I48*'2.1 OPEX TUUA'!$G$7,'2.2 OPEX LAP 2023'!I48*'2.1 OPEX TUUA'!$G$8)</f>
        <v>0</v>
      </c>
      <c r="H47" s="3">
        <f>+IF(F47="Pasajero",'2.2 OPEX LAP 2023'!J48*'2.1 OPEX TUUA'!$H$7,'2.2 OPEX LAP 2023'!J48*'2.1 OPEX TUUA'!$H$8)</f>
        <v>0</v>
      </c>
      <c r="I47" s="3">
        <f>+IF(F47="Pasajero",'2.2 OPEX LAP 2023'!K48*'2.1 OPEX TUUA'!$I$7,'2.2 OPEX LAP 2023'!K48*'2.1 OPEX TUUA'!$I$8)</f>
        <v>0</v>
      </c>
      <c r="J47" s="3">
        <f>+IF(F47="Pasajero",'2.2 OPEX LAP 2023'!L48*'2.1 OPEX TUUA'!$J$7,'2.2 OPEX LAP 2023'!L48*'2.1 OPEX TUUA'!$J$8)</f>
        <v>0</v>
      </c>
      <c r="K47" s="3">
        <f>+IF(F47="Pasajero",'2.2 OPEX LAP 2023'!M48*'2.1 OPEX TUUA'!$K$7,'2.2 OPEX LAP 2023'!M48*'2.1 OPEX TUUA'!$K$8)</f>
        <v>0</v>
      </c>
      <c r="L47" s="3">
        <f>+IF(F47="Pasajero",'2.2 OPEX LAP 2023'!N48*'2.1 OPEX TUUA'!$L$7,'2.2 OPEX LAP 2023'!N48*'2.1 OPEX TUUA'!$L$8)</f>
        <v>0</v>
      </c>
      <c r="M47" s="3"/>
      <c r="N47" s="3">
        <f>+IF(F47="Pasajero",'2.2 OPEX LAP 2023'!I48*'2.1 OPEX TUUA'!$N$7,'2.2 OPEX LAP 2023'!I48*'2.1 OPEX TUUA'!$N$8)</f>
        <v>0</v>
      </c>
      <c r="O47" s="3">
        <f>+IF(F47="Pasajero",'2.2 OPEX LAP 2023'!J48*'2.1 OPEX TUUA'!$O$7,'2.2 OPEX LAP 2023'!J48*'2.1 OPEX TUUA'!$O$8)</f>
        <v>0</v>
      </c>
      <c r="P47" s="3">
        <f>+IF(F47="Pasajero",'2.2 OPEX LAP 2023'!K48*'2.1 OPEX TUUA'!$P$7,'2.2 OPEX LAP 2023'!K48*'2.1 OPEX TUUA'!$P$8)</f>
        <v>0</v>
      </c>
      <c r="Q47" s="3">
        <f>+IF(F47="Pasajero",'2.2 OPEX LAP 2023'!L48*'2.1 OPEX TUUA'!$Q$7,'2.2 OPEX LAP 2023'!L48*'2.1 OPEX TUUA'!$Q$8)</f>
        <v>0</v>
      </c>
      <c r="R47" s="3">
        <f>+IF(F47="Pasajero",'2.2 OPEX LAP 2023'!M48*'2.1 OPEX TUUA'!$R$7,'2.2 OPEX LAP 2023'!M48*'2.1 OPEX TUUA'!$R$8)</f>
        <v>0</v>
      </c>
      <c r="S47" s="3">
        <f>+IF(F47="Pasajero",'2.2 OPEX LAP 2023'!N48*'2.1 OPEX TUUA'!$S$7,'2.2 OPEX LAP 2023'!N48*'2.1 OPEX TUUA'!$S$8)</f>
        <v>0</v>
      </c>
      <c r="AA47" s="6"/>
      <c r="AB47" s="6"/>
      <c r="AC47" s="6"/>
      <c r="AD47" s="6"/>
      <c r="AE47" s="6"/>
      <c r="AF47" s="6"/>
    </row>
    <row r="48" spans="2:32" x14ac:dyDescent="0.25">
      <c r="B48" s="16">
        <v>6341100001</v>
      </c>
      <c r="C48" s="190" t="s">
        <v>13</v>
      </c>
      <c r="D48" s="190" t="s">
        <v>52</v>
      </c>
      <c r="E48" s="190" t="s">
        <v>53</v>
      </c>
      <c r="F48" s="162" t="s">
        <v>190</v>
      </c>
      <c r="G48" s="3">
        <f>+IF(F48="Pasajero",'2.2 OPEX LAP 2023'!I49*'2.1 OPEX TUUA'!$G$7,'2.2 OPEX LAP 2023'!I49*'2.1 OPEX TUUA'!$G$8)</f>
        <v>232.74689663465927</v>
      </c>
      <c r="H48" s="3">
        <f>+IF(F48="Pasajero",'2.2 OPEX LAP 2023'!J49*'2.1 OPEX TUUA'!$H$7,'2.2 OPEX LAP 2023'!J49*'2.1 OPEX TUUA'!$H$8)</f>
        <v>273.6570256104776</v>
      </c>
      <c r="I48" s="3">
        <f>+IF(F48="Pasajero",'2.2 OPEX LAP 2023'!K49*'2.1 OPEX TUUA'!$I$7,'2.2 OPEX LAP 2023'!K49*'2.1 OPEX TUUA'!$I$8)</f>
        <v>308.06044408245765</v>
      </c>
      <c r="J48" s="3">
        <f>+IF(F48="Pasajero",'2.2 OPEX LAP 2023'!L49*'2.1 OPEX TUUA'!$J$7,'2.2 OPEX LAP 2023'!L49*'2.1 OPEX TUUA'!$J$8)</f>
        <v>326.87970213916122</v>
      </c>
      <c r="K48" s="3">
        <f>+IF(F48="Pasajero",'2.2 OPEX LAP 2023'!M49*'2.1 OPEX TUUA'!$K$7,'2.2 OPEX LAP 2023'!M49*'2.1 OPEX TUUA'!$K$8)</f>
        <v>340.59309930892908</v>
      </c>
      <c r="L48" s="3">
        <f>+IF(F48="Pasajero",'2.2 OPEX LAP 2023'!N49*'2.1 OPEX TUUA'!$L$7,'2.2 OPEX LAP 2023'!N49*'2.1 OPEX TUUA'!$L$8)</f>
        <v>355.88235319995056</v>
      </c>
      <c r="M48" s="3"/>
      <c r="N48" s="3">
        <f>+IF(F48="Pasajero",'2.2 OPEX LAP 2023'!I49*'2.1 OPEX TUUA'!$N$7,'2.2 OPEX LAP 2023'!I49*'2.1 OPEX TUUA'!$N$8)</f>
        <v>114.79477823605359</v>
      </c>
      <c r="O48" s="3">
        <f>+IF(F48="Pasajero",'2.2 OPEX LAP 2023'!J49*'2.1 OPEX TUUA'!$O$7,'2.2 OPEX LAP 2023'!J49*'2.1 OPEX TUUA'!$O$8)</f>
        <v>113.33867649649294</v>
      </c>
      <c r="P48" s="3">
        <f>+IF(F48="Pasajero",'2.2 OPEX LAP 2023'!K49*'2.1 OPEX TUUA'!$P$7,'2.2 OPEX LAP 2023'!K49*'2.1 OPEX TUUA'!$P$8)</f>
        <v>112.7897626175658</v>
      </c>
      <c r="Q48" s="3">
        <f>+IF(F48="Pasajero",'2.2 OPEX LAP 2023'!L49*'2.1 OPEX TUUA'!$Q$7,'2.2 OPEX LAP 2023'!L49*'2.1 OPEX TUUA'!$Q$8)</f>
        <v>112.22136492078774</v>
      </c>
      <c r="R48" s="3">
        <f>+IF(F48="Pasajero",'2.2 OPEX LAP 2023'!M49*'2.1 OPEX TUUA'!$R$7,'2.2 OPEX LAP 2023'!M49*'2.1 OPEX TUUA'!$R$8)</f>
        <v>112.92213271886502</v>
      </c>
      <c r="S48" s="3">
        <f>+IF(F48="Pasajero",'2.2 OPEX LAP 2023'!N49*'2.1 OPEX TUUA'!$S$7,'2.2 OPEX LAP 2023'!N49*'2.1 OPEX TUUA'!$S$8)</f>
        <v>113.1120956075053</v>
      </c>
      <c r="AA48" s="6"/>
      <c r="AB48" s="6"/>
      <c r="AC48" s="6"/>
      <c r="AD48" s="6"/>
      <c r="AE48" s="6"/>
      <c r="AF48" s="6"/>
    </row>
    <row r="49" spans="2:32" x14ac:dyDescent="0.25">
      <c r="B49" s="16">
        <v>6341100002</v>
      </c>
      <c r="C49" s="190" t="s">
        <v>13</v>
      </c>
      <c r="D49" s="190" t="s">
        <v>52</v>
      </c>
      <c r="E49" s="190" t="s">
        <v>54</v>
      </c>
      <c r="F49" s="162" t="s">
        <v>190</v>
      </c>
      <c r="G49" s="3">
        <f>+IF(F49="Pasajero",'2.2 OPEX LAP 2023'!I50*'2.1 OPEX TUUA'!$G$7,'2.2 OPEX LAP 2023'!I50*'2.1 OPEX TUUA'!$G$8)</f>
        <v>531.22348325474707</v>
      </c>
      <c r="H49" s="3">
        <f>+IF(F49="Pasajero",'2.2 OPEX LAP 2023'!J50*'2.1 OPEX TUUA'!$H$7,'2.2 OPEX LAP 2023'!J50*'2.1 OPEX TUUA'!$H$8)</f>
        <v>624.59710726077799</v>
      </c>
      <c r="I49" s="3">
        <f>+IF(F49="Pasajero",'2.2 OPEX LAP 2023'!K50*'2.1 OPEX TUUA'!$I$7,'2.2 OPEX LAP 2023'!K50*'2.1 OPEX TUUA'!$I$8)</f>
        <v>703.11976024052296</v>
      </c>
      <c r="J49" s="3">
        <f>+IF(F49="Pasajero",'2.2 OPEX LAP 2023'!L50*'2.1 OPEX TUUA'!$J$7,'2.2 OPEX LAP 2023'!L50*'2.1 OPEX TUUA'!$J$8)</f>
        <v>746.0729938247481</v>
      </c>
      <c r="K49" s="3">
        <f>+IF(F49="Pasajero",'2.2 OPEX LAP 2023'!M50*'2.1 OPEX TUUA'!$K$7,'2.2 OPEX LAP 2023'!M50*'2.1 OPEX TUUA'!$K$8)</f>
        <v>777.37256738346628</v>
      </c>
      <c r="L49" s="3">
        <f>+IF(F49="Pasajero",'2.2 OPEX LAP 2023'!N50*'2.1 OPEX TUUA'!$L$7,'2.2 OPEX LAP 2023'!N50*'2.1 OPEX TUUA'!$L$8)</f>
        <v>812.26888963649139</v>
      </c>
      <c r="M49" s="3"/>
      <c r="N49" s="3">
        <f>+IF(F49="Pasajero",'2.2 OPEX LAP 2023'!I50*'2.1 OPEX TUUA'!$N$7,'2.2 OPEX LAP 2023'!I50*'2.1 OPEX TUUA'!$N$8)</f>
        <v>262.00857169638238</v>
      </c>
      <c r="O49" s="3">
        <f>+IF(F49="Pasajero",'2.2 OPEX LAP 2023'!J50*'2.1 OPEX TUUA'!$O$7,'2.2 OPEX LAP 2023'!J50*'2.1 OPEX TUUA'!$O$8)</f>
        <v>258.68515278404828</v>
      </c>
      <c r="P49" s="3">
        <f>+IF(F49="Pasajero",'2.2 OPEX LAP 2023'!K50*'2.1 OPEX TUUA'!$P$7,'2.2 OPEX LAP 2023'!K50*'2.1 OPEX TUUA'!$P$8)</f>
        <v>257.43230710925388</v>
      </c>
      <c r="Q49" s="3">
        <f>+IF(F49="Pasajero",'2.2 OPEX LAP 2023'!L50*'2.1 OPEX TUUA'!$Q$7,'2.2 OPEX LAP 2023'!L50*'2.1 OPEX TUUA'!$Q$8)</f>
        <v>256.13499140398631</v>
      </c>
      <c r="R49" s="3">
        <f>+IF(F49="Pasajero",'2.2 OPEX LAP 2023'!M50*'2.1 OPEX TUUA'!$R$7,'2.2 OPEX LAP 2023'!M50*'2.1 OPEX TUUA'!$R$8)</f>
        <v>257.73442974679574</v>
      </c>
      <c r="S49" s="3">
        <f>+IF(F49="Pasajero",'2.2 OPEX LAP 2023'!N50*'2.1 OPEX TUUA'!$S$7,'2.2 OPEX LAP 2023'!N50*'2.1 OPEX TUUA'!$S$8)</f>
        <v>258.16800264874092</v>
      </c>
      <c r="AA49" s="6"/>
      <c r="AB49" s="6"/>
      <c r="AC49" s="6"/>
      <c r="AD49" s="6"/>
      <c r="AE49" s="6"/>
      <c r="AF49" s="6"/>
    </row>
    <row r="50" spans="2:32" x14ac:dyDescent="0.25">
      <c r="B50" s="16">
        <v>6341100003</v>
      </c>
      <c r="C50" s="190" t="s">
        <v>13</v>
      </c>
      <c r="D50" s="190" t="s">
        <v>52</v>
      </c>
      <c r="E50" s="190" t="s">
        <v>55</v>
      </c>
      <c r="F50" s="162" t="s">
        <v>190</v>
      </c>
      <c r="G50" s="3">
        <f>+IF(F50="Pasajero",'2.2 OPEX LAP 2023'!I51*'2.1 OPEX TUUA'!$G$7,'2.2 OPEX LAP 2023'!I51*'2.1 OPEX TUUA'!$G$8)</f>
        <v>4471.293359408075</v>
      </c>
      <c r="H50" s="3">
        <f>+IF(F50="Pasajero",'2.2 OPEX LAP 2023'!J51*'2.1 OPEX TUUA'!$H$7,'2.2 OPEX LAP 2023'!J51*'2.1 OPEX TUUA'!$H$8)</f>
        <v>5257.2165689846752</v>
      </c>
      <c r="I50" s="3">
        <f>+IF(F50="Pasajero",'2.2 OPEX LAP 2023'!K51*'2.1 OPEX TUUA'!$I$7,'2.2 OPEX LAP 2023'!K51*'2.1 OPEX TUUA'!$I$8)</f>
        <v>5918.1395663648018</v>
      </c>
      <c r="J50" s="3">
        <f>+IF(F50="Pasajero",'2.2 OPEX LAP 2023'!L51*'2.1 OPEX TUUA'!$J$7,'2.2 OPEX LAP 2023'!L51*'2.1 OPEX TUUA'!$J$8)</f>
        <v>6279.6757449116185</v>
      </c>
      <c r="K50" s="3">
        <f>+IF(F50="Pasajero",'2.2 OPEX LAP 2023'!M51*'2.1 OPEX TUUA'!$K$7,'2.2 OPEX LAP 2023'!M51*'2.1 OPEX TUUA'!$K$8)</f>
        <v>6543.1233894847555</v>
      </c>
      <c r="L50" s="3">
        <f>+IF(F50="Pasajero",'2.2 OPEX LAP 2023'!N51*'2.1 OPEX TUUA'!$L$7,'2.2 OPEX LAP 2023'!N51*'2.1 OPEX TUUA'!$L$8)</f>
        <v>6836.8447682945307</v>
      </c>
      <c r="M50" s="3"/>
      <c r="N50" s="3">
        <f>+IF(F50="Pasajero",'2.2 OPEX LAP 2023'!I51*'2.1 OPEX TUUA'!$N$7,'2.2 OPEX LAP 2023'!I51*'2.1 OPEX TUUA'!$N$8)</f>
        <v>2205.3188980959085</v>
      </c>
      <c r="O50" s="3">
        <f>+IF(F50="Pasajero",'2.2 OPEX LAP 2023'!J51*'2.1 OPEX TUUA'!$O$7,'2.2 OPEX LAP 2023'!J51*'2.1 OPEX TUUA'!$O$8)</f>
        <v>2177.3457730710034</v>
      </c>
      <c r="P50" s="3">
        <f>+IF(F50="Pasajero",'2.2 OPEX LAP 2023'!K51*'2.1 OPEX TUUA'!$P$7,'2.2 OPEX LAP 2023'!K51*'2.1 OPEX TUUA'!$P$8)</f>
        <v>2166.8006056929544</v>
      </c>
      <c r="Q50" s="3">
        <f>+IF(F50="Pasajero",'2.2 OPEX LAP 2023'!L51*'2.1 OPEX TUUA'!$Q$7,'2.2 OPEX LAP 2023'!L51*'2.1 OPEX TUUA'!$Q$8)</f>
        <v>2155.8811352989155</v>
      </c>
      <c r="R50" s="3">
        <f>+IF(F50="Pasajero",'2.2 OPEX LAP 2023'!M51*'2.1 OPEX TUUA'!$R$7,'2.2 OPEX LAP 2023'!M51*'2.1 OPEX TUUA'!$R$8)</f>
        <v>2169.3435635733013</v>
      </c>
      <c r="S50" s="3">
        <f>+IF(F50="Pasajero",'2.2 OPEX LAP 2023'!N51*'2.1 OPEX TUUA'!$S$7,'2.2 OPEX LAP 2023'!N51*'2.1 OPEX TUUA'!$S$8)</f>
        <v>2172.9929346918534</v>
      </c>
      <c r="AA50" s="6"/>
      <c r="AB50" s="6"/>
      <c r="AC50" s="6"/>
      <c r="AD50" s="6"/>
      <c r="AE50" s="6"/>
      <c r="AF50" s="6"/>
    </row>
    <row r="51" spans="2:32" x14ac:dyDescent="0.25">
      <c r="B51" s="16">
        <v>6341100004</v>
      </c>
      <c r="C51" s="190" t="s">
        <v>13</v>
      </c>
      <c r="D51" s="190" t="s">
        <v>52</v>
      </c>
      <c r="E51" s="190" t="s">
        <v>56</v>
      </c>
      <c r="F51" s="162" t="s">
        <v>190</v>
      </c>
      <c r="G51" s="3">
        <f>+IF(F51="Pasajero",'2.2 OPEX LAP 2023'!I52*'2.1 OPEX TUUA'!$G$7,'2.2 OPEX LAP 2023'!I52*'2.1 OPEX TUUA'!$G$8)</f>
        <v>148.42959492251308</v>
      </c>
      <c r="H51" s="3">
        <f>+IF(F51="Pasajero",'2.2 OPEX LAP 2023'!J52*'2.1 OPEX TUUA'!$H$7,'2.2 OPEX LAP 2023'!J52*'2.1 OPEX TUUA'!$H$8)</f>
        <v>174.51919680296299</v>
      </c>
      <c r="I51" s="3">
        <f>+IF(F51="Pasajero",'2.2 OPEX LAP 2023'!K52*'2.1 OPEX TUUA'!$I$7,'2.2 OPEX LAP 2023'!K52*'2.1 OPEX TUUA'!$I$8)</f>
        <v>196.45927652725379</v>
      </c>
      <c r="J51" s="3">
        <f>+IF(F51="Pasajero",'2.2 OPEX LAP 2023'!L52*'2.1 OPEX TUUA'!$J$7,'2.2 OPEX LAP 2023'!L52*'2.1 OPEX TUUA'!$J$8)</f>
        <v>208.46087521874327</v>
      </c>
      <c r="K51" s="3">
        <f>+IF(F51="Pasajero",'2.2 OPEX LAP 2023'!M52*'2.1 OPEX TUUA'!$K$7,'2.2 OPEX LAP 2023'!M52*'2.1 OPEX TUUA'!$K$8)</f>
        <v>217.20631507788451</v>
      </c>
      <c r="L51" s="3">
        <f>+IF(F51="Pasajero",'2.2 OPEX LAP 2023'!N52*'2.1 OPEX TUUA'!$L$7,'2.2 OPEX LAP 2023'!N52*'2.1 OPEX TUUA'!$L$8)</f>
        <v>226.95672547873292</v>
      </c>
      <c r="M51" s="3"/>
      <c r="N51" s="3">
        <f>+IF(F51="Pasajero",'2.2 OPEX LAP 2023'!I52*'2.1 OPEX TUUA'!$N$7,'2.2 OPEX LAP 2023'!I52*'2.1 OPEX TUUA'!$N$8)</f>
        <v>73.208032756471212</v>
      </c>
      <c r="O51" s="3">
        <f>+IF(F51="Pasajero",'2.2 OPEX LAP 2023'!J52*'2.1 OPEX TUUA'!$O$7,'2.2 OPEX LAP 2023'!J52*'2.1 OPEX TUUA'!$O$8)</f>
        <v>72.279433516292258</v>
      </c>
      <c r="P51" s="3">
        <f>+IF(F51="Pasajero",'2.2 OPEX LAP 2023'!K52*'2.1 OPEX TUUA'!$P$7,'2.2 OPEX LAP 2023'!K52*'2.1 OPEX TUUA'!$P$8)</f>
        <v>71.929374865137007</v>
      </c>
      <c r="Q51" s="3">
        <f>+IF(F51="Pasajero",'2.2 OPEX LAP 2023'!L52*'2.1 OPEX TUUA'!$Q$7,'2.2 OPEX LAP 2023'!L52*'2.1 OPEX TUUA'!$Q$8)</f>
        <v>71.566890805811013</v>
      </c>
      <c r="R51" s="3">
        <f>+IF(F51="Pasajero",'2.2 OPEX LAP 2023'!M52*'2.1 OPEX TUUA'!$R$7,'2.2 OPEX LAP 2023'!M52*'2.1 OPEX TUUA'!$R$8)</f>
        <v>72.013791202367628</v>
      </c>
      <c r="S51" s="3">
        <f>+IF(F51="Pasajero",'2.2 OPEX LAP 2023'!N52*'2.1 OPEX TUUA'!$S$7,'2.2 OPEX LAP 2023'!N52*'2.1 OPEX TUUA'!$S$8)</f>
        <v>72.134936167215216</v>
      </c>
      <c r="AA51" s="6"/>
      <c r="AB51" s="6"/>
      <c r="AC51" s="6"/>
      <c r="AD51" s="6"/>
      <c r="AE51" s="6"/>
      <c r="AF51" s="6"/>
    </row>
    <row r="52" spans="2:32" x14ac:dyDescent="0.25">
      <c r="B52" s="16">
        <v>6341100005</v>
      </c>
      <c r="C52" s="190" t="s">
        <v>13</v>
      </c>
      <c r="D52" s="190" t="s">
        <v>52</v>
      </c>
      <c r="E52" s="190" t="s">
        <v>57</v>
      </c>
      <c r="F52" s="162" t="s">
        <v>190</v>
      </c>
      <c r="G52" s="3">
        <f>+IF(F52="Pasajero",'2.2 OPEX LAP 2023'!I53*'2.1 OPEX TUUA'!$G$7,'2.2 OPEX LAP 2023'!I53*'2.1 OPEX TUUA'!$G$8)</f>
        <v>0</v>
      </c>
      <c r="H52" s="3">
        <f>+IF(F52="Pasajero",'2.2 OPEX LAP 2023'!J53*'2.1 OPEX TUUA'!$H$7,'2.2 OPEX LAP 2023'!J53*'2.1 OPEX TUUA'!$H$8)</f>
        <v>0</v>
      </c>
      <c r="I52" s="3">
        <f>+IF(F52="Pasajero",'2.2 OPEX LAP 2023'!K53*'2.1 OPEX TUUA'!$I$7,'2.2 OPEX LAP 2023'!K53*'2.1 OPEX TUUA'!$I$8)</f>
        <v>0</v>
      </c>
      <c r="J52" s="3">
        <f>+IF(F52="Pasajero",'2.2 OPEX LAP 2023'!L53*'2.1 OPEX TUUA'!$J$7,'2.2 OPEX LAP 2023'!L53*'2.1 OPEX TUUA'!$J$8)</f>
        <v>0</v>
      </c>
      <c r="K52" s="3">
        <f>+IF(F52="Pasajero",'2.2 OPEX LAP 2023'!M53*'2.1 OPEX TUUA'!$K$7,'2.2 OPEX LAP 2023'!M53*'2.1 OPEX TUUA'!$K$8)</f>
        <v>0</v>
      </c>
      <c r="L52" s="3">
        <f>+IF(F52="Pasajero",'2.2 OPEX LAP 2023'!N53*'2.1 OPEX TUUA'!$L$7,'2.2 OPEX LAP 2023'!N53*'2.1 OPEX TUUA'!$L$8)</f>
        <v>0</v>
      </c>
      <c r="M52" s="3"/>
      <c r="N52" s="3">
        <f>+IF(F52="Pasajero",'2.2 OPEX LAP 2023'!I53*'2.1 OPEX TUUA'!$N$7,'2.2 OPEX LAP 2023'!I53*'2.1 OPEX TUUA'!$N$8)</f>
        <v>0</v>
      </c>
      <c r="O52" s="3">
        <f>+IF(F52="Pasajero",'2.2 OPEX LAP 2023'!J53*'2.1 OPEX TUUA'!$O$7,'2.2 OPEX LAP 2023'!J53*'2.1 OPEX TUUA'!$O$8)</f>
        <v>0</v>
      </c>
      <c r="P52" s="3">
        <f>+IF(F52="Pasajero",'2.2 OPEX LAP 2023'!K53*'2.1 OPEX TUUA'!$P$7,'2.2 OPEX LAP 2023'!K53*'2.1 OPEX TUUA'!$P$8)</f>
        <v>0</v>
      </c>
      <c r="Q52" s="3">
        <f>+IF(F52="Pasajero",'2.2 OPEX LAP 2023'!L53*'2.1 OPEX TUUA'!$Q$7,'2.2 OPEX LAP 2023'!L53*'2.1 OPEX TUUA'!$Q$8)</f>
        <v>0</v>
      </c>
      <c r="R52" s="3">
        <f>+IF(F52="Pasajero",'2.2 OPEX LAP 2023'!M53*'2.1 OPEX TUUA'!$R$7,'2.2 OPEX LAP 2023'!M53*'2.1 OPEX TUUA'!$R$8)</f>
        <v>0</v>
      </c>
      <c r="S52" s="3">
        <f>+IF(F52="Pasajero",'2.2 OPEX LAP 2023'!N53*'2.1 OPEX TUUA'!$S$7,'2.2 OPEX LAP 2023'!N53*'2.1 OPEX TUUA'!$S$8)</f>
        <v>0</v>
      </c>
      <c r="AA52" s="6"/>
      <c r="AB52" s="6"/>
      <c r="AC52" s="6"/>
      <c r="AD52" s="6"/>
      <c r="AE52" s="6"/>
      <c r="AF52" s="6"/>
    </row>
    <row r="53" spans="2:32" x14ac:dyDescent="0.25">
      <c r="B53" s="16">
        <v>6341100007</v>
      </c>
      <c r="C53" s="190" t="s">
        <v>13</v>
      </c>
      <c r="D53" s="190" t="s">
        <v>52</v>
      </c>
      <c r="E53" s="190" t="s">
        <v>58</v>
      </c>
      <c r="F53" s="162" t="s">
        <v>190</v>
      </c>
      <c r="G53" s="3">
        <f>+IF(F53="Pasajero",'2.2 OPEX LAP 2023'!I54*'2.1 OPEX TUUA'!$G$7,'2.2 OPEX LAP 2023'!I54*'2.1 OPEX TUUA'!$G$8)</f>
        <v>0</v>
      </c>
      <c r="H53" s="3">
        <f>+IF(F53="Pasajero",'2.2 OPEX LAP 2023'!J54*'2.1 OPEX TUUA'!$H$7,'2.2 OPEX LAP 2023'!J54*'2.1 OPEX TUUA'!$H$8)</f>
        <v>0</v>
      </c>
      <c r="I53" s="3">
        <f>+IF(F53="Pasajero",'2.2 OPEX LAP 2023'!K54*'2.1 OPEX TUUA'!$I$7,'2.2 OPEX LAP 2023'!K54*'2.1 OPEX TUUA'!$I$8)</f>
        <v>0</v>
      </c>
      <c r="J53" s="3">
        <f>+IF(F53="Pasajero",'2.2 OPEX LAP 2023'!L54*'2.1 OPEX TUUA'!$J$7,'2.2 OPEX LAP 2023'!L54*'2.1 OPEX TUUA'!$J$8)</f>
        <v>0</v>
      </c>
      <c r="K53" s="3">
        <f>+IF(F53="Pasajero",'2.2 OPEX LAP 2023'!M54*'2.1 OPEX TUUA'!$K$7,'2.2 OPEX LAP 2023'!M54*'2.1 OPEX TUUA'!$K$8)</f>
        <v>0</v>
      </c>
      <c r="L53" s="3">
        <f>+IF(F53="Pasajero",'2.2 OPEX LAP 2023'!N54*'2.1 OPEX TUUA'!$L$7,'2.2 OPEX LAP 2023'!N54*'2.1 OPEX TUUA'!$L$8)</f>
        <v>0</v>
      </c>
      <c r="M53" s="3"/>
      <c r="N53" s="3">
        <f>+IF(F53="Pasajero",'2.2 OPEX LAP 2023'!I54*'2.1 OPEX TUUA'!$N$7,'2.2 OPEX LAP 2023'!I54*'2.1 OPEX TUUA'!$N$8)</f>
        <v>0</v>
      </c>
      <c r="O53" s="3">
        <f>+IF(F53="Pasajero",'2.2 OPEX LAP 2023'!J54*'2.1 OPEX TUUA'!$O$7,'2.2 OPEX LAP 2023'!J54*'2.1 OPEX TUUA'!$O$8)</f>
        <v>0</v>
      </c>
      <c r="P53" s="3">
        <f>+IF(F53="Pasajero",'2.2 OPEX LAP 2023'!K54*'2.1 OPEX TUUA'!$P$7,'2.2 OPEX LAP 2023'!K54*'2.1 OPEX TUUA'!$P$8)</f>
        <v>0</v>
      </c>
      <c r="Q53" s="3">
        <f>+IF(F53="Pasajero",'2.2 OPEX LAP 2023'!L54*'2.1 OPEX TUUA'!$Q$7,'2.2 OPEX LAP 2023'!L54*'2.1 OPEX TUUA'!$Q$8)</f>
        <v>0</v>
      </c>
      <c r="R53" s="3">
        <f>+IF(F53="Pasajero",'2.2 OPEX LAP 2023'!M54*'2.1 OPEX TUUA'!$R$7,'2.2 OPEX LAP 2023'!M54*'2.1 OPEX TUUA'!$R$8)</f>
        <v>0</v>
      </c>
      <c r="S53" s="3">
        <f>+IF(F53="Pasajero",'2.2 OPEX LAP 2023'!N54*'2.1 OPEX TUUA'!$S$7,'2.2 OPEX LAP 2023'!N54*'2.1 OPEX TUUA'!$S$8)</f>
        <v>0</v>
      </c>
      <c r="AA53" s="6"/>
      <c r="AB53" s="6"/>
      <c r="AC53" s="6"/>
      <c r="AD53" s="6"/>
      <c r="AE53" s="6"/>
      <c r="AF53" s="6"/>
    </row>
    <row r="54" spans="2:32" x14ac:dyDescent="0.25">
      <c r="B54" s="16">
        <v>6341100008</v>
      </c>
      <c r="C54" s="190" t="s">
        <v>13</v>
      </c>
      <c r="D54" s="190" t="s">
        <v>52</v>
      </c>
      <c r="E54" s="190" t="s">
        <v>59</v>
      </c>
      <c r="F54" s="162" t="s">
        <v>190</v>
      </c>
      <c r="G54" s="3">
        <f>+IF(F54="Pasajero",'2.2 OPEX LAP 2023'!I55*'2.1 OPEX TUUA'!$G$7,'2.2 OPEX LAP 2023'!I55*'2.1 OPEX TUUA'!$G$8)</f>
        <v>0</v>
      </c>
      <c r="H54" s="3">
        <f>+IF(F54="Pasajero",'2.2 OPEX LAP 2023'!J55*'2.1 OPEX TUUA'!$H$7,'2.2 OPEX LAP 2023'!J55*'2.1 OPEX TUUA'!$H$8)</f>
        <v>0</v>
      </c>
      <c r="I54" s="3">
        <f>+IF(F54="Pasajero",'2.2 OPEX LAP 2023'!K55*'2.1 OPEX TUUA'!$I$7,'2.2 OPEX LAP 2023'!K55*'2.1 OPEX TUUA'!$I$8)</f>
        <v>0</v>
      </c>
      <c r="J54" s="3">
        <f>+IF(F54="Pasajero",'2.2 OPEX LAP 2023'!L55*'2.1 OPEX TUUA'!$J$7,'2.2 OPEX LAP 2023'!L55*'2.1 OPEX TUUA'!$J$8)</f>
        <v>0</v>
      </c>
      <c r="K54" s="3">
        <f>+IF(F54="Pasajero",'2.2 OPEX LAP 2023'!M55*'2.1 OPEX TUUA'!$K$7,'2.2 OPEX LAP 2023'!M55*'2.1 OPEX TUUA'!$K$8)</f>
        <v>0</v>
      </c>
      <c r="L54" s="3">
        <f>+IF(F54="Pasajero",'2.2 OPEX LAP 2023'!N55*'2.1 OPEX TUUA'!$L$7,'2.2 OPEX LAP 2023'!N55*'2.1 OPEX TUUA'!$L$8)</f>
        <v>0</v>
      </c>
      <c r="M54" s="3"/>
      <c r="N54" s="3">
        <f>+IF(F54="Pasajero",'2.2 OPEX LAP 2023'!I55*'2.1 OPEX TUUA'!$N$7,'2.2 OPEX LAP 2023'!I55*'2.1 OPEX TUUA'!$N$8)</f>
        <v>0</v>
      </c>
      <c r="O54" s="3">
        <f>+IF(F54="Pasajero",'2.2 OPEX LAP 2023'!J55*'2.1 OPEX TUUA'!$O$7,'2.2 OPEX LAP 2023'!J55*'2.1 OPEX TUUA'!$O$8)</f>
        <v>0</v>
      </c>
      <c r="P54" s="3">
        <f>+IF(F54="Pasajero",'2.2 OPEX LAP 2023'!K55*'2.1 OPEX TUUA'!$P$7,'2.2 OPEX LAP 2023'!K55*'2.1 OPEX TUUA'!$P$8)</f>
        <v>0</v>
      </c>
      <c r="Q54" s="3">
        <f>+IF(F54="Pasajero",'2.2 OPEX LAP 2023'!L55*'2.1 OPEX TUUA'!$Q$7,'2.2 OPEX LAP 2023'!L55*'2.1 OPEX TUUA'!$Q$8)</f>
        <v>0</v>
      </c>
      <c r="R54" s="3">
        <f>+IF(F54="Pasajero",'2.2 OPEX LAP 2023'!M55*'2.1 OPEX TUUA'!$R$7,'2.2 OPEX LAP 2023'!M55*'2.1 OPEX TUUA'!$R$8)</f>
        <v>0</v>
      </c>
      <c r="S54" s="3">
        <f>+IF(F54="Pasajero",'2.2 OPEX LAP 2023'!N55*'2.1 OPEX TUUA'!$S$7,'2.2 OPEX LAP 2023'!N55*'2.1 OPEX TUUA'!$S$8)</f>
        <v>0</v>
      </c>
      <c r="AA54" s="6"/>
      <c r="AB54" s="6"/>
      <c r="AC54" s="6"/>
      <c r="AD54" s="6"/>
      <c r="AE54" s="6"/>
      <c r="AF54" s="6"/>
    </row>
    <row r="55" spans="2:32" x14ac:dyDescent="0.25">
      <c r="B55" s="16">
        <v>6341100009</v>
      </c>
      <c r="C55" s="190" t="s">
        <v>13</v>
      </c>
      <c r="D55" s="190" t="s">
        <v>52</v>
      </c>
      <c r="E55" s="190" t="s">
        <v>60</v>
      </c>
      <c r="F55" s="162" t="s">
        <v>190</v>
      </c>
      <c r="G55" s="3">
        <f>+IF(F55="Pasajero",'2.2 OPEX LAP 2023'!I56*'2.1 OPEX TUUA'!$G$7,'2.2 OPEX LAP 2023'!I56*'2.1 OPEX TUUA'!$G$8)</f>
        <v>0</v>
      </c>
      <c r="H55" s="3">
        <f>+IF(F55="Pasajero",'2.2 OPEX LAP 2023'!J56*'2.1 OPEX TUUA'!$H$7,'2.2 OPEX LAP 2023'!J56*'2.1 OPEX TUUA'!$H$8)</f>
        <v>0</v>
      </c>
      <c r="I55" s="3">
        <f>+IF(F55="Pasajero",'2.2 OPEX LAP 2023'!K56*'2.1 OPEX TUUA'!$I$7,'2.2 OPEX LAP 2023'!K56*'2.1 OPEX TUUA'!$I$8)</f>
        <v>0</v>
      </c>
      <c r="J55" s="3">
        <f>+IF(F55="Pasajero",'2.2 OPEX LAP 2023'!L56*'2.1 OPEX TUUA'!$J$7,'2.2 OPEX LAP 2023'!L56*'2.1 OPEX TUUA'!$J$8)</f>
        <v>0</v>
      </c>
      <c r="K55" s="3">
        <f>+IF(F55="Pasajero",'2.2 OPEX LAP 2023'!M56*'2.1 OPEX TUUA'!$K$7,'2.2 OPEX LAP 2023'!M56*'2.1 OPEX TUUA'!$K$8)</f>
        <v>0</v>
      </c>
      <c r="L55" s="3">
        <f>+IF(F55="Pasajero",'2.2 OPEX LAP 2023'!N56*'2.1 OPEX TUUA'!$L$7,'2.2 OPEX LAP 2023'!N56*'2.1 OPEX TUUA'!$L$8)</f>
        <v>0</v>
      </c>
      <c r="M55" s="3"/>
      <c r="N55" s="3">
        <f>+IF(F55="Pasajero",'2.2 OPEX LAP 2023'!I56*'2.1 OPEX TUUA'!$N$7,'2.2 OPEX LAP 2023'!I56*'2.1 OPEX TUUA'!$N$8)</f>
        <v>0</v>
      </c>
      <c r="O55" s="3">
        <f>+IF(F55="Pasajero",'2.2 OPEX LAP 2023'!J56*'2.1 OPEX TUUA'!$O$7,'2.2 OPEX LAP 2023'!J56*'2.1 OPEX TUUA'!$O$8)</f>
        <v>0</v>
      </c>
      <c r="P55" s="3">
        <f>+IF(F55="Pasajero",'2.2 OPEX LAP 2023'!K56*'2.1 OPEX TUUA'!$P$7,'2.2 OPEX LAP 2023'!K56*'2.1 OPEX TUUA'!$P$8)</f>
        <v>0</v>
      </c>
      <c r="Q55" s="3">
        <f>+IF(F55="Pasajero",'2.2 OPEX LAP 2023'!L56*'2.1 OPEX TUUA'!$Q$7,'2.2 OPEX LAP 2023'!L56*'2.1 OPEX TUUA'!$Q$8)</f>
        <v>0</v>
      </c>
      <c r="R55" s="3">
        <f>+IF(F55="Pasajero",'2.2 OPEX LAP 2023'!M56*'2.1 OPEX TUUA'!$R$7,'2.2 OPEX LAP 2023'!M56*'2.1 OPEX TUUA'!$R$8)</f>
        <v>0</v>
      </c>
      <c r="S55" s="3">
        <f>+IF(F55="Pasajero",'2.2 OPEX LAP 2023'!N56*'2.1 OPEX TUUA'!$S$7,'2.2 OPEX LAP 2023'!N56*'2.1 OPEX TUUA'!$S$8)</f>
        <v>0</v>
      </c>
      <c r="AA55" s="6"/>
      <c r="AB55" s="6"/>
      <c r="AC55" s="6"/>
      <c r="AD55" s="6"/>
      <c r="AE55" s="6"/>
      <c r="AF55" s="6"/>
    </row>
    <row r="56" spans="2:32" x14ac:dyDescent="0.25">
      <c r="B56" s="16">
        <v>6341100010</v>
      </c>
      <c r="C56" s="190" t="s">
        <v>13</v>
      </c>
      <c r="D56" s="190" t="s">
        <v>52</v>
      </c>
      <c r="E56" s="190" t="s">
        <v>61</v>
      </c>
      <c r="F56" s="162" t="s">
        <v>190</v>
      </c>
      <c r="G56" s="3">
        <f>+IF(F56="Pasajero",'2.2 OPEX LAP 2023'!I57*'2.1 OPEX TUUA'!$G$7,'2.2 OPEX LAP 2023'!I57*'2.1 OPEX TUUA'!$G$8)</f>
        <v>3687.0813732886218</v>
      </c>
      <c r="H56" s="3">
        <f>+IF(F56="Pasajero",'2.2 OPEX LAP 2023'!J57*'2.1 OPEX TUUA'!$H$7,'2.2 OPEX LAP 2023'!J57*'2.1 OPEX TUUA'!$H$8)</f>
        <v>4335.1629447578462</v>
      </c>
      <c r="I56" s="3">
        <f>+IF(F56="Pasajero",'2.2 OPEX LAP 2023'!K57*'2.1 OPEX TUUA'!$I$7,'2.2 OPEX LAP 2023'!K57*'2.1 OPEX TUUA'!$I$8)</f>
        <v>4880.1678632320272</v>
      </c>
      <c r="J56" s="3">
        <f>+IF(F56="Pasajero",'2.2 OPEX LAP 2023'!L57*'2.1 OPEX TUUA'!$J$7,'2.2 OPEX LAP 2023'!L57*'2.1 OPEX TUUA'!$J$8)</f>
        <v>5178.2948709098209</v>
      </c>
      <c r="K56" s="3">
        <f>+IF(F56="Pasajero",'2.2 OPEX LAP 2023'!M57*'2.1 OPEX TUUA'!$K$7,'2.2 OPEX LAP 2023'!M57*'2.1 OPEX TUUA'!$K$8)</f>
        <v>5395.5369136620702</v>
      </c>
      <c r="L56" s="3">
        <f>+IF(F56="Pasajero",'2.2 OPEX LAP 2023'!N57*'2.1 OPEX TUUA'!$L$7,'2.2 OPEX LAP 2023'!N57*'2.1 OPEX TUUA'!$L$8)</f>
        <v>5637.7430356261948</v>
      </c>
      <c r="M56" s="3"/>
      <c r="N56" s="3">
        <f>+IF(F56="Pasajero",'2.2 OPEX LAP 2023'!I57*'2.1 OPEX TUUA'!$N$7,'2.2 OPEX LAP 2023'!I57*'2.1 OPEX TUUA'!$N$8)</f>
        <v>1818.5320393308407</v>
      </c>
      <c r="O56" s="3">
        <f>+IF(F56="Pasajero",'2.2 OPEX LAP 2023'!J57*'2.1 OPEX TUUA'!$O$7,'2.2 OPEX LAP 2023'!J57*'2.1 OPEX TUUA'!$O$8)</f>
        <v>1795.4650696776448</v>
      </c>
      <c r="P56" s="3">
        <f>+IF(F56="Pasajero",'2.2 OPEX LAP 2023'!K57*'2.1 OPEX TUUA'!$P$7,'2.2 OPEX LAP 2023'!K57*'2.1 OPEX TUUA'!$P$8)</f>
        <v>1786.7693999703542</v>
      </c>
      <c r="Q56" s="3">
        <f>+IF(F56="Pasajero",'2.2 OPEX LAP 2023'!L57*'2.1 OPEX TUUA'!$Q$7,'2.2 OPEX LAP 2023'!L57*'2.1 OPEX TUUA'!$Q$8)</f>
        <v>1777.7650755702734</v>
      </c>
      <c r="R56" s="3">
        <f>+IF(F56="Pasajero",'2.2 OPEX LAP 2023'!M57*'2.1 OPEX TUUA'!$R$7,'2.2 OPEX LAP 2023'!M57*'2.1 OPEX TUUA'!$R$8)</f>
        <v>1788.8663531067339</v>
      </c>
      <c r="S56" s="3">
        <f>+IF(F56="Pasajero",'2.2 OPEX LAP 2023'!N57*'2.1 OPEX TUUA'!$S$7,'2.2 OPEX LAP 2023'!N57*'2.1 OPEX TUUA'!$S$8)</f>
        <v>1791.8756676817036</v>
      </c>
      <c r="AA56" s="6"/>
      <c r="AB56" s="6"/>
      <c r="AC56" s="6"/>
      <c r="AD56" s="6"/>
      <c r="AE56" s="6"/>
      <c r="AF56" s="6"/>
    </row>
    <row r="57" spans="2:32" x14ac:dyDescent="0.25">
      <c r="B57" s="16">
        <v>6342000001</v>
      </c>
      <c r="C57" s="190" t="s">
        <v>13</v>
      </c>
      <c r="D57" s="190" t="s">
        <v>52</v>
      </c>
      <c r="E57" s="190" t="s">
        <v>62</v>
      </c>
      <c r="F57" s="162" t="s">
        <v>190</v>
      </c>
      <c r="G57" s="3">
        <f>+IF(F57="Pasajero",'2.2 OPEX LAP 2023'!I58*'2.1 OPEX TUUA'!$G$7,'2.2 OPEX LAP 2023'!I58*'2.1 OPEX TUUA'!$G$8)</f>
        <v>0</v>
      </c>
      <c r="H57" s="3">
        <f>+IF(F57="Pasajero",'2.2 OPEX LAP 2023'!J58*'2.1 OPEX TUUA'!$H$7,'2.2 OPEX LAP 2023'!J58*'2.1 OPEX TUUA'!$H$8)</f>
        <v>0</v>
      </c>
      <c r="I57" s="3">
        <f>+IF(F57="Pasajero",'2.2 OPEX LAP 2023'!K58*'2.1 OPEX TUUA'!$I$7,'2.2 OPEX LAP 2023'!K58*'2.1 OPEX TUUA'!$I$8)</f>
        <v>0</v>
      </c>
      <c r="J57" s="3">
        <f>+IF(F57="Pasajero",'2.2 OPEX LAP 2023'!L58*'2.1 OPEX TUUA'!$J$7,'2.2 OPEX LAP 2023'!L58*'2.1 OPEX TUUA'!$J$8)</f>
        <v>0</v>
      </c>
      <c r="K57" s="3">
        <f>+IF(F57="Pasajero",'2.2 OPEX LAP 2023'!M58*'2.1 OPEX TUUA'!$K$7,'2.2 OPEX LAP 2023'!M58*'2.1 OPEX TUUA'!$K$8)</f>
        <v>0</v>
      </c>
      <c r="L57" s="3">
        <f>+IF(F57="Pasajero",'2.2 OPEX LAP 2023'!N58*'2.1 OPEX TUUA'!$L$7,'2.2 OPEX LAP 2023'!N58*'2.1 OPEX TUUA'!$L$8)</f>
        <v>0</v>
      </c>
      <c r="M57" s="3"/>
      <c r="N57" s="3">
        <f>+IF(F57="Pasajero",'2.2 OPEX LAP 2023'!I58*'2.1 OPEX TUUA'!$N$7,'2.2 OPEX LAP 2023'!I58*'2.1 OPEX TUUA'!$N$8)</f>
        <v>0</v>
      </c>
      <c r="O57" s="3">
        <f>+IF(F57="Pasajero",'2.2 OPEX LAP 2023'!J58*'2.1 OPEX TUUA'!$O$7,'2.2 OPEX LAP 2023'!J58*'2.1 OPEX TUUA'!$O$8)</f>
        <v>0</v>
      </c>
      <c r="P57" s="3">
        <f>+IF(F57="Pasajero",'2.2 OPEX LAP 2023'!K58*'2.1 OPEX TUUA'!$P$7,'2.2 OPEX LAP 2023'!K58*'2.1 OPEX TUUA'!$P$8)</f>
        <v>0</v>
      </c>
      <c r="Q57" s="3">
        <f>+IF(F57="Pasajero",'2.2 OPEX LAP 2023'!L58*'2.1 OPEX TUUA'!$Q$7,'2.2 OPEX LAP 2023'!L58*'2.1 OPEX TUUA'!$Q$8)</f>
        <v>0</v>
      </c>
      <c r="R57" s="3">
        <f>+IF(F57="Pasajero",'2.2 OPEX LAP 2023'!M58*'2.1 OPEX TUUA'!$R$7,'2.2 OPEX LAP 2023'!M58*'2.1 OPEX TUUA'!$R$8)</f>
        <v>0</v>
      </c>
      <c r="S57" s="3">
        <f>+IF(F57="Pasajero",'2.2 OPEX LAP 2023'!N58*'2.1 OPEX TUUA'!$S$7,'2.2 OPEX LAP 2023'!N58*'2.1 OPEX TUUA'!$S$8)</f>
        <v>0</v>
      </c>
      <c r="AA57" s="6"/>
      <c r="AB57" s="6"/>
      <c r="AC57" s="6"/>
      <c r="AD57" s="6"/>
      <c r="AE57" s="6"/>
      <c r="AF57" s="6"/>
    </row>
    <row r="58" spans="2:32" x14ac:dyDescent="0.25">
      <c r="B58" s="16">
        <v>6342000002</v>
      </c>
      <c r="C58" s="190" t="s">
        <v>13</v>
      </c>
      <c r="D58" s="190" t="s">
        <v>52</v>
      </c>
      <c r="E58" s="190" t="s">
        <v>63</v>
      </c>
      <c r="F58" s="162" t="s">
        <v>190</v>
      </c>
      <c r="G58" s="3">
        <f>+IF(F58="Pasajero",'2.2 OPEX LAP 2023'!I59*'2.1 OPEX TUUA'!$G$7,'2.2 OPEX LAP 2023'!I59*'2.1 OPEX TUUA'!$G$8)</f>
        <v>0</v>
      </c>
      <c r="H58" s="3">
        <f>+IF(F58="Pasajero",'2.2 OPEX LAP 2023'!J59*'2.1 OPEX TUUA'!$H$7,'2.2 OPEX LAP 2023'!J59*'2.1 OPEX TUUA'!$H$8)</f>
        <v>0</v>
      </c>
      <c r="I58" s="3">
        <f>+IF(F58="Pasajero",'2.2 OPEX LAP 2023'!K59*'2.1 OPEX TUUA'!$I$7,'2.2 OPEX LAP 2023'!K59*'2.1 OPEX TUUA'!$I$8)</f>
        <v>0</v>
      </c>
      <c r="J58" s="3">
        <f>+IF(F58="Pasajero",'2.2 OPEX LAP 2023'!L59*'2.1 OPEX TUUA'!$J$7,'2.2 OPEX LAP 2023'!L59*'2.1 OPEX TUUA'!$J$8)</f>
        <v>0</v>
      </c>
      <c r="K58" s="3">
        <f>+IF(F58="Pasajero",'2.2 OPEX LAP 2023'!M59*'2.1 OPEX TUUA'!$K$7,'2.2 OPEX LAP 2023'!M59*'2.1 OPEX TUUA'!$K$8)</f>
        <v>0</v>
      </c>
      <c r="L58" s="3">
        <f>+IF(F58="Pasajero",'2.2 OPEX LAP 2023'!N59*'2.1 OPEX TUUA'!$L$7,'2.2 OPEX LAP 2023'!N59*'2.1 OPEX TUUA'!$L$8)</f>
        <v>0</v>
      </c>
      <c r="M58" s="3"/>
      <c r="N58" s="3">
        <f>+IF(F58="Pasajero",'2.2 OPEX LAP 2023'!I59*'2.1 OPEX TUUA'!$N$7,'2.2 OPEX LAP 2023'!I59*'2.1 OPEX TUUA'!$N$8)</f>
        <v>0</v>
      </c>
      <c r="O58" s="3">
        <f>+IF(F58="Pasajero",'2.2 OPEX LAP 2023'!J59*'2.1 OPEX TUUA'!$O$7,'2.2 OPEX LAP 2023'!J59*'2.1 OPEX TUUA'!$O$8)</f>
        <v>0</v>
      </c>
      <c r="P58" s="3">
        <f>+IF(F58="Pasajero",'2.2 OPEX LAP 2023'!K59*'2.1 OPEX TUUA'!$P$7,'2.2 OPEX LAP 2023'!K59*'2.1 OPEX TUUA'!$P$8)</f>
        <v>0</v>
      </c>
      <c r="Q58" s="3">
        <f>+IF(F58="Pasajero",'2.2 OPEX LAP 2023'!L59*'2.1 OPEX TUUA'!$Q$7,'2.2 OPEX LAP 2023'!L59*'2.1 OPEX TUUA'!$Q$8)</f>
        <v>0</v>
      </c>
      <c r="R58" s="3">
        <f>+IF(F58="Pasajero",'2.2 OPEX LAP 2023'!M59*'2.1 OPEX TUUA'!$R$7,'2.2 OPEX LAP 2023'!M59*'2.1 OPEX TUUA'!$R$8)</f>
        <v>0</v>
      </c>
      <c r="S58" s="3">
        <f>+IF(F58="Pasajero",'2.2 OPEX LAP 2023'!N59*'2.1 OPEX TUUA'!$S$7,'2.2 OPEX LAP 2023'!N59*'2.1 OPEX TUUA'!$S$8)</f>
        <v>0</v>
      </c>
      <c r="AA58" s="6"/>
      <c r="AB58" s="6"/>
      <c r="AC58" s="6"/>
      <c r="AD58" s="6"/>
      <c r="AE58" s="6"/>
      <c r="AF58" s="6"/>
    </row>
    <row r="59" spans="2:32" x14ac:dyDescent="0.25">
      <c r="B59" s="16">
        <v>6343000001</v>
      </c>
      <c r="C59" s="190" t="s">
        <v>13</v>
      </c>
      <c r="D59" s="190" t="s">
        <v>52</v>
      </c>
      <c r="E59" s="190" t="s">
        <v>64</v>
      </c>
      <c r="F59" s="162" t="s">
        <v>190</v>
      </c>
      <c r="G59" s="3">
        <f>+IF(F59="Pasajero",'2.2 OPEX LAP 2023'!I60*'2.1 OPEX TUUA'!$G$7,'2.2 OPEX LAP 2023'!I60*'2.1 OPEX TUUA'!$G$8)</f>
        <v>83113.607472339863</v>
      </c>
      <c r="H59" s="3">
        <f>+IF(F59="Pasajero",'2.2 OPEX LAP 2023'!J60*'2.1 OPEX TUUA'!$H$7,'2.2 OPEX LAP 2023'!J60*'2.1 OPEX TUUA'!$H$8)</f>
        <v>97722.560160874345</v>
      </c>
      <c r="I59" s="3">
        <f>+IF(F59="Pasajero",'2.2 OPEX LAP 2023'!K60*'2.1 OPEX TUUA'!$I$7,'2.2 OPEX LAP 2023'!K60*'2.1 OPEX TUUA'!$I$8)</f>
        <v>110007.97517577423</v>
      </c>
      <c r="J59" s="3">
        <f>+IF(F59="Pasajero",'2.2 OPEX LAP 2023'!L60*'2.1 OPEX TUUA'!$J$7,'2.2 OPEX LAP 2023'!L60*'2.1 OPEX TUUA'!$J$8)</f>
        <v>116728.30721741148</v>
      </c>
      <c r="K59" s="3">
        <f>+IF(F59="Pasajero",'2.2 OPEX LAP 2023'!M60*'2.1 OPEX TUUA'!$K$7,'2.2 OPEX LAP 2023'!M60*'2.1 OPEX TUUA'!$K$8)</f>
        <v>121625.34312190935</v>
      </c>
      <c r="L59" s="3">
        <f>+IF(F59="Pasajero",'2.2 OPEX LAP 2023'!N60*'2.1 OPEX TUUA'!$L$7,'2.2 OPEX LAP 2023'!N60*'2.1 OPEX TUUA'!$L$8)</f>
        <v>127085.11536728531</v>
      </c>
      <c r="M59" s="3"/>
      <c r="N59" s="3">
        <f>+IF(F59="Pasajero",'2.2 OPEX LAP 2023'!I60*'2.1 OPEX TUUA'!$N$7,'2.2 OPEX LAP 2023'!I60*'2.1 OPEX TUUA'!$N$8)</f>
        <v>40993.062748166718</v>
      </c>
      <c r="O59" s="3">
        <f>+IF(F59="Pasajero",'2.2 OPEX LAP 2023'!J60*'2.1 OPEX TUUA'!$O$7,'2.2 OPEX LAP 2023'!J60*'2.1 OPEX TUUA'!$O$8)</f>
        <v>40473.09075209924</v>
      </c>
      <c r="P59" s="3">
        <f>+IF(F59="Pasajero",'2.2 OPEX LAP 2023'!K60*'2.1 OPEX TUUA'!$P$7,'2.2 OPEX LAP 2023'!K60*'2.1 OPEX TUUA'!$P$8)</f>
        <v>40277.074335429752</v>
      </c>
      <c r="Q59" s="3">
        <f>+IF(F59="Pasajero",'2.2 OPEX LAP 2023'!L60*'2.1 OPEX TUUA'!$Q$7,'2.2 OPEX LAP 2023'!L60*'2.1 OPEX TUUA'!$Q$8)</f>
        <v>40074.100273299293</v>
      </c>
      <c r="R59" s="3">
        <f>+IF(F59="Pasajero",'2.2 OPEX LAP 2023'!M60*'2.1 OPEX TUUA'!$R$7,'2.2 OPEX LAP 2023'!M60*'2.1 OPEX TUUA'!$R$8)</f>
        <v>40324.343522686526</v>
      </c>
      <c r="S59" s="3">
        <f>+IF(F59="Pasajero",'2.2 OPEX LAP 2023'!N60*'2.1 OPEX TUUA'!$S$7,'2.2 OPEX LAP 2023'!N60*'2.1 OPEX TUUA'!$S$8)</f>
        <v>40392.179017763148</v>
      </c>
      <c r="AA59" s="6"/>
      <c r="AB59" s="6"/>
      <c r="AC59" s="6"/>
      <c r="AD59" s="6"/>
      <c r="AE59" s="6"/>
      <c r="AF59" s="6"/>
    </row>
    <row r="60" spans="2:32" x14ac:dyDescent="0.25">
      <c r="B60" s="16">
        <v>6343000002</v>
      </c>
      <c r="C60" s="190" t="s">
        <v>13</v>
      </c>
      <c r="D60" s="190" t="s">
        <v>52</v>
      </c>
      <c r="E60" s="190" t="s">
        <v>65</v>
      </c>
      <c r="F60" s="162" t="s">
        <v>190</v>
      </c>
      <c r="G60" s="3">
        <f>+IF(F60="Pasajero",'2.2 OPEX LAP 2023'!I61*'2.1 OPEX TUUA'!$G$7,'2.2 OPEX LAP 2023'!I61*'2.1 OPEX TUUA'!$G$8)</f>
        <v>5063.3997230426439</v>
      </c>
      <c r="H60" s="3">
        <f>+IF(F60="Pasajero",'2.2 OPEX LAP 2023'!J61*'2.1 OPEX TUUA'!$H$7,'2.2 OPEX LAP 2023'!J61*'2.1 OPEX TUUA'!$H$8)</f>
        <v>5953.3979946455966</v>
      </c>
      <c r="I60" s="3">
        <f>+IF(F60="Pasajero",'2.2 OPEX LAP 2023'!K61*'2.1 OPEX TUUA'!$I$7,'2.2 OPEX LAP 2023'!K61*'2.1 OPEX TUUA'!$I$8)</f>
        <v>6701.8430312132859</v>
      </c>
      <c r="J60" s="3">
        <f>+IF(F60="Pasajero",'2.2 OPEX LAP 2023'!L61*'2.1 OPEX TUUA'!$J$7,'2.2 OPEX LAP 2023'!L61*'2.1 OPEX TUUA'!$J$8)</f>
        <v>7111.2552614513379</v>
      </c>
      <c r="K60" s="3">
        <f>+IF(F60="Pasajero",'2.2 OPEX LAP 2023'!M61*'2.1 OPEX TUUA'!$K$7,'2.2 OPEX LAP 2023'!M61*'2.1 OPEX TUUA'!$K$8)</f>
        <v>7409.5896858212154</v>
      </c>
      <c r="L60" s="3">
        <f>+IF(F60="Pasajero",'2.2 OPEX LAP 2023'!N61*'2.1 OPEX TUUA'!$L$7,'2.2 OPEX LAP 2023'!N61*'2.1 OPEX TUUA'!$L$8)</f>
        <v>7742.2068121360953</v>
      </c>
      <c r="M60" s="3"/>
      <c r="N60" s="3">
        <f>+IF(F60="Pasajero",'2.2 OPEX LAP 2023'!I61*'2.1 OPEX TUUA'!$N$7,'2.2 OPEX LAP 2023'!I61*'2.1 OPEX TUUA'!$N$8)</f>
        <v>2497.35595503798</v>
      </c>
      <c r="O60" s="3">
        <f>+IF(F60="Pasajero",'2.2 OPEX LAP 2023'!J61*'2.1 OPEX TUUA'!$O$7,'2.2 OPEX LAP 2023'!J61*'2.1 OPEX TUUA'!$O$8)</f>
        <v>2465.6785180821339</v>
      </c>
      <c r="P60" s="3">
        <f>+IF(F60="Pasajero",'2.2 OPEX LAP 2023'!K61*'2.1 OPEX TUUA'!$P$7,'2.2 OPEX LAP 2023'!K61*'2.1 OPEX TUUA'!$P$8)</f>
        <v>2453.7369179030488</v>
      </c>
      <c r="Q60" s="3">
        <f>+IF(F60="Pasajero",'2.2 OPEX LAP 2023'!L61*'2.1 OPEX TUUA'!$Q$7,'2.2 OPEX LAP 2023'!L61*'2.1 OPEX TUUA'!$Q$8)</f>
        <v>2441.3714480211379</v>
      </c>
      <c r="R60" s="3">
        <f>+IF(F60="Pasajero",'2.2 OPEX LAP 2023'!M61*'2.1 OPEX TUUA'!$R$7,'2.2 OPEX LAP 2023'!M61*'2.1 OPEX TUUA'!$R$8)</f>
        <v>2456.6166243307125</v>
      </c>
      <c r="S60" s="3">
        <f>+IF(F60="Pasajero",'2.2 OPEX LAP 2023'!N61*'2.1 OPEX TUUA'!$S$7,'2.2 OPEX LAP 2023'!N61*'2.1 OPEX TUUA'!$S$8)</f>
        <v>2460.7492596166708</v>
      </c>
      <c r="AA60" s="6"/>
      <c r="AB60" s="6"/>
      <c r="AC60" s="6"/>
      <c r="AD60" s="6"/>
      <c r="AE60" s="6"/>
      <c r="AF60" s="6"/>
    </row>
    <row r="61" spans="2:32" x14ac:dyDescent="0.25">
      <c r="B61" s="16">
        <v>6343100001</v>
      </c>
      <c r="C61" s="190" t="s">
        <v>13</v>
      </c>
      <c r="D61" s="190" t="s">
        <v>52</v>
      </c>
      <c r="E61" s="190" t="s">
        <v>66</v>
      </c>
      <c r="F61" s="162" t="s">
        <v>190</v>
      </c>
      <c r="G61" s="3">
        <f>+IF(F61="Pasajero",'2.2 OPEX LAP 2023'!I62*'2.1 OPEX TUUA'!$G$7,'2.2 OPEX LAP 2023'!I62*'2.1 OPEX TUUA'!$G$8)</f>
        <v>630.65347352110257</v>
      </c>
      <c r="H61" s="3">
        <f>+IF(F61="Pasajero",'2.2 OPEX LAP 2023'!J62*'2.1 OPEX TUUA'!$H$7,'2.2 OPEX LAP 2023'!J62*'2.1 OPEX TUUA'!$H$8)</f>
        <v>741.50399532760548</v>
      </c>
      <c r="I61" s="3">
        <f>+IF(F61="Pasajero",'2.2 OPEX LAP 2023'!K62*'2.1 OPEX TUUA'!$I$7,'2.2 OPEX LAP 2023'!K62*'2.1 OPEX TUUA'!$I$8)</f>
        <v>834.7238649545302</v>
      </c>
      <c r="J61" s="3">
        <f>+IF(F61="Pasajero",'2.2 OPEX LAP 2023'!L62*'2.1 OPEX TUUA'!$J$7,'2.2 OPEX LAP 2023'!L62*'2.1 OPEX TUUA'!$J$8)</f>
        <v>885.71672730482771</v>
      </c>
      <c r="K61" s="3">
        <f>+IF(F61="Pasajero",'2.2 OPEX LAP 2023'!M62*'2.1 OPEX TUUA'!$K$7,'2.2 OPEX LAP 2023'!M62*'2.1 OPEX TUUA'!$K$8)</f>
        <v>922.87469453849565</v>
      </c>
      <c r="L61" s="3">
        <f>+IF(F61="Pasajero",'2.2 OPEX LAP 2023'!N62*'2.1 OPEX TUUA'!$L$7,'2.2 OPEX LAP 2023'!N62*'2.1 OPEX TUUA'!$L$8)</f>
        <v>964.30261995162812</v>
      </c>
      <c r="M61" s="3"/>
      <c r="N61" s="3">
        <f>+IF(F61="Pasajero",'2.2 OPEX LAP 2023'!I62*'2.1 OPEX TUUA'!$N$7,'2.2 OPEX LAP 2023'!I62*'2.1 OPEX TUUA'!$N$8)</f>
        <v>311.04915547076354</v>
      </c>
      <c r="O61" s="3">
        <f>+IF(F61="Pasajero",'2.2 OPEX LAP 2023'!J62*'2.1 OPEX TUUA'!$O$7,'2.2 OPEX LAP 2023'!J62*'2.1 OPEX TUUA'!$O$8)</f>
        <v>307.10368666696041</v>
      </c>
      <c r="P61" s="3">
        <f>+IF(F61="Pasajero",'2.2 OPEX LAP 2023'!K62*'2.1 OPEX TUUA'!$P$7,'2.2 OPEX LAP 2023'!K62*'2.1 OPEX TUUA'!$P$8)</f>
        <v>305.61634376608936</v>
      </c>
      <c r="Q61" s="3">
        <f>+IF(F61="Pasajero",'2.2 OPEX LAP 2023'!L62*'2.1 OPEX TUUA'!$Q$7,'2.2 OPEX LAP 2023'!L62*'2.1 OPEX TUUA'!$Q$8)</f>
        <v>304.07620730456148</v>
      </c>
      <c r="R61" s="3">
        <f>+IF(F61="Pasajero",'2.2 OPEX LAP 2023'!M62*'2.1 OPEX TUUA'!$R$7,'2.2 OPEX LAP 2023'!M62*'2.1 OPEX TUUA'!$R$8)</f>
        <v>305.97501520438448</v>
      </c>
      <c r="S61" s="3">
        <f>+IF(F61="Pasajero",'2.2 OPEX LAP 2023'!N62*'2.1 OPEX TUUA'!$S$7,'2.2 OPEX LAP 2023'!N62*'2.1 OPEX TUUA'!$S$8)</f>
        <v>306.48974067352424</v>
      </c>
      <c r="AA61" s="6"/>
      <c r="AB61" s="6"/>
      <c r="AC61" s="6"/>
      <c r="AD61" s="6"/>
      <c r="AE61" s="6"/>
      <c r="AF61" s="6"/>
    </row>
    <row r="62" spans="2:32" x14ac:dyDescent="0.25">
      <c r="B62" s="16">
        <v>6343100002</v>
      </c>
      <c r="C62" s="190" t="s">
        <v>13</v>
      </c>
      <c r="D62" s="190" t="s">
        <v>52</v>
      </c>
      <c r="E62" s="190" t="s">
        <v>67</v>
      </c>
      <c r="F62" s="162" t="s">
        <v>190</v>
      </c>
      <c r="G62" s="3">
        <f>+IF(F62="Pasajero",'2.2 OPEX LAP 2023'!I63*'2.1 OPEX TUUA'!$G$7,'2.2 OPEX LAP 2023'!I63*'2.1 OPEX TUUA'!$G$8)</f>
        <v>1062.8212556633646</v>
      </c>
      <c r="H62" s="3">
        <f>+IF(F62="Pasajero",'2.2 OPEX LAP 2023'!J63*'2.1 OPEX TUUA'!$H$7,'2.2 OPEX LAP 2023'!J63*'2.1 OPEX TUUA'!$H$8)</f>
        <v>1249.6342928128133</v>
      </c>
      <c r="I62" s="3">
        <f>+IF(F62="Pasajero",'2.2 OPEX LAP 2023'!K63*'2.1 OPEX TUUA'!$I$7,'2.2 OPEX LAP 2023'!K63*'2.1 OPEX TUUA'!$I$8)</f>
        <v>1406.7349242205748</v>
      </c>
      <c r="J62" s="3">
        <f>+IF(F62="Pasajero",'2.2 OPEX LAP 2023'!L63*'2.1 OPEX TUUA'!$J$7,'2.2 OPEX LAP 2023'!L63*'2.1 OPEX TUUA'!$J$8)</f>
        <v>1492.6716553550605</v>
      </c>
      <c r="K62" s="3">
        <f>+IF(F62="Pasajero",'2.2 OPEX LAP 2023'!M63*'2.1 OPEX TUUA'!$K$7,'2.2 OPEX LAP 2023'!M63*'2.1 OPEX TUUA'!$K$8)</f>
        <v>1555.292855509068</v>
      </c>
      <c r="L62" s="3">
        <f>+IF(F62="Pasajero",'2.2 OPEX LAP 2023'!N63*'2.1 OPEX TUUA'!$L$7,'2.2 OPEX LAP 2023'!N63*'2.1 OPEX TUUA'!$L$8)</f>
        <v>1625.1100872469349</v>
      </c>
      <c r="M62" s="3"/>
      <c r="N62" s="3">
        <f>+IF(F62="Pasajero",'2.2 OPEX LAP 2023'!I63*'2.1 OPEX TUUA'!$N$7,'2.2 OPEX LAP 2023'!I63*'2.1 OPEX TUUA'!$N$8)</f>
        <v>524.20174925018318</v>
      </c>
      <c r="O62" s="3">
        <f>+IF(F62="Pasajero",'2.2 OPEX LAP 2023'!J63*'2.1 OPEX TUUA'!$O$7,'2.2 OPEX LAP 2023'!J63*'2.1 OPEX TUUA'!$O$8)</f>
        <v>517.55256981281923</v>
      </c>
      <c r="P62" s="3">
        <f>+IF(F62="Pasajero",'2.2 OPEX LAP 2023'!K63*'2.1 OPEX TUUA'!$P$7,'2.2 OPEX LAP 2023'!K63*'2.1 OPEX TUUA'!$P$8)</f>
        <v>515.04599573390408</v>
      </c>
      <c r="Q62" s="3">
        <f>+IF(F62="Pasajero",'2.2 OPEX LAP 2023'!L63*'2.1 OPEX TUUA'!$Q$7,'2.2 OPEX LAP 2023'!L63*'2.1 OPEX TUUA'!$Q$8)</f>
        <v>512.45045026137268</v>
      </c>
      <c r="R62" s="3">
        <f>+IF(F62="Pasajero",'2.2 OPEX LAP 2023'!M63*'2.1 OPEX TUUA'!$R$7,'2.2 OPEX LAP 2023'!M63*'2.1 OPEX TUUA'!$R$8)</f>
        <v>515.650453878392</v>
      </c>
      <c r="S62" s="3">
        <f>+IF(F62="Pasajero",'2.2 OPEX LAP 2023'!N63*'2.1 OPEX TUUA'!$S$7,'2.2 OPEX LAP 2023'!N63*'2.1 OPEX TUUA'!$S$8)</f>
        <v>516.5179051688425</v>
      </c>
      <c r="AA62" s="6"/>
      <c r="AB62" s="6"/>
      <c r="AC62" s="6"/>
      <c r="AD62" s="6"/>
      <c r="AE62" s="6"/>
      <c r="AF62" s="6"/>
    </row>
    <row r="63" spans="2:32" x14ac:dyDescent="0.25">
      <c r="B63" s="16">
        <v>6343100003</v>
      </c>
      <c r="C63" s="190" t="s">
        <v>13</v>
      </c>
      <c r="D63" s="190" t="s">
        <v>52</v>
      </c>
      <c r="E63" s="190" t="s">
        <v>68</v>
      </c>
      <c r="F63" s="162" t="s">
        <v>190</v>
      </c>
      <c r="G63" s="3">
        <f>+IF(F63="Pasajero",'2.2 OPEX LAP 2023'!I64*'2.1 OPEX TUUA'!$G$7,'2.2 OPEX LAP 2023'!I64*'2.1 OPEX TUUA'!$G$8)</f>
        <v>0</v>
      </c>
      <c r="H63" s="3">
        <f>+IF(F63="Pasajero",'2.2 OPEX LAP 2023'!J64*'2.1 OPEX TUUA'!$H$7,'2.2 OPEX LAP 2023'!J64*'2.1 OPEX TUUA'!$H$8)</f>
        <v>0</v>
      </c>
      <c r="I63" s="3">
        <f>+IF(F63="Pasajero",'2.2 OPEX LAP 2023'!K64*'2.1 OPEX TUUA'!$I$7,'2.2 OPEX LAP 2023'!K64*'2.1 OPEX TUUA'!$I$8)</f>
        <v>0</v>
      </c>
      <c r="J63" s="3">
        <f>+IF(F63="Pasajero",'2.2 OPEX LAP 2023'!L64*'2.1 OPEX TUUA'!$J$7,'2.2 OPEX LAP 2023'!L64*'2.1 OPEX TUUA'!$J$8)</f>
        <v>0</v>
      </c>
      <c r="K63" s="3">
        <f>+IF(F63="Pasajero",'2.2 OPEX LAP 2023'!M64*'2.1 OPEX TUUA'!$K$7,'2.2 OPEX LAP 2023'!M64*'2.1 OPEX TUUA'!$K$8)</f>
        <v>0</v>
      </c>
      <c r="L63" s="3">
        <f>+IF(F63="Pasajero",'2.2 OPEX LAP 2023'!N64*'2.1 OPEX TUUA'!$L$7,'2.2 OPEX LAP 2023'!N64*'2.1 OPEX TUUA'!$L$8)</f>
        <v>0</v>
      </c>
      <c r="M63" s="3"/>
      <c r="N63" s="3">
        <f>+IF(F63="Pasajero",'2.2 OPEX LAP 2023'!I64*'2.1 OPEX TUUA'!$N$7,'2.2 OPEX LAP 2023'!I64*'2.1 OPEX TUUA'!$N$8)</f>
        <v>0</v>
      </c>
      <c r="O63" s="3">
        <f>+IF(F63="Pasajero",'2.2 OPEX LAP 2023'!J64*'2.1 OPEX TUUA'!$O$7,'2.2 OPEX LAP 2023'!J64*'2.1 OPEX TUUA'!$O$8)</f>
        <v>0</v>
      </c>
      <c r="P63" s="3">
        <f>+IF(F63="Pasajero",'2.2 OPEX LAP 2023'!K64*'2.1 OPEX TUUA'!$P$7,'2.2 OPEX LAP 2023'!K64*'2.1 OPEX TUUA'!$P$8)</f>
        <v>0</v>
      </c>
      <c r="Q63" s="3">
        <f>+IF(F63="Pasajero",'2.2 OPEX LAP 2023'!L64*'2.1 OPEX TUUA'!$Q$7,'2.2 OPEX LAP 2023'!L64*'2.1 OPEX TUUA'!$Q$8)</f>
        <v>0</v>
      </c>
      <c r="R63" s="3">
        <f>+IF(F63="Pasajero",'2.2 OPEX LAP 2023'!M64*'2.1 OPEX TUUA'!$R$7,'2.2 OPEX LAP 2023'!M64*'2.1 OPEX TUUA'!$R$8)</f>
        <v>0</v>
      </c>
      <c r="S63" s="3">
        <f>+IF(F63="Pasajero",'2.2 OPEX LAP 2023'!N64*'2.1 OPEX TUUA'!$S$7,'2.2 OPEX LAP 2023'!N64*'2.1 OPEX TUUA'!$S$8)</f>
        <v>0</v>
      </c>
      <c r="AA63" s="6"/>
      <c r="AB63" s="6"/>
      <c r="AC63" s="6"/>
      <c r="AD63" s="6"/>
      <c r="AE63" s="6"/>
      <c r="AF63" s="6"/>
    </row>
    <row r="64" spans="2:32" x14ac:dyDescent="0.25">
      <c r="B64" s="16">
        <v>6343100004</v>
      </c>
      <c r="C64" s="190" t="s">
        <v>13</v>
      </c>
      <c r="D64" s="190" t="s">
        <v>52</v>
      </c>
      <c r="E64" s="190" t="s">
        <v>69</v>
      </c>
      <c r="F64" s="162" t="s">
        <v>190</v>
      </c>
      <c r="G64" s="3">
        <f>+IF(F64="Pasajero",'2.2 OPEX LAP 2023'!I65*'2.1 OPEX TUUA'!$G$7,'2.2 OPEX LAP 2023'!I65*'2.1 OPEX TUUA'!$G$8)</f>
        <v>0</v>
      </c>
      <c r="H64" s="3">
        <f>+IF(F64="Pasajero",'2.2 OPEX LAP 2023'!J65*'2.1 OPEX TUUA'!$H$7,'2.2 OPEX LAP 2023'!J65*'2.1 OPEX TUUA'!$H$8)</f>
        <v>0</v>
      </c>
      <c r="I64" s="3">
        <f>+IF(F64="Pasajero",'2.2 OPEX LAP 2023'!K65*'2.1 OPEX TUUA'!$I$7,'2.2 OPEX LAP 2023'!K65*'2.1 OPEX TUUA'!$I$8)</f>
        <v>0</v>
      </c>
      <c r="J64" s="3">
        <f>+IF(F64="Pasajero",'2.2 OPEX LAP 2023'!L65*'2.1 OPEX TUUA'!$J$7,'2.2 OPEX LAP 2023'!L65*'2.1 OPEX TUUA'!$J$8)</f>
        <v>0</v>
      </c>
      <c r="K64" s="3">
        <f>+IF(F64="Pasajero",'2.2 OPEX LAP 2023'!M65*'2.1 OPEX TUUA'!$K$7,'2.2 OPEX LAP 2023'!M65*'2.1 OPEX TUUA'!$K$8)</f>
        <v>0</v>
      </c>
      <c r="L64" s="3">
        <f>+IF(F64="Pasajero",'2.2 OPEX LAP 2023'!N65*'2.1 OPEX TUUA'!$L$7,'2.2 OPEX LAP 2023'!N65*'2.1 OPEX TUUA'!$L$8)</f>
        <v>0</v>
      </c>
      <c r="M64" s="3"/>
      <c r="N64" s="3">
        <f>+IF(F64="Pasajero",'2.2 OPEX LAP 2023'!I65*'2.1 OPEX TUUA'!$N$7,'2.2 OPEX LAP 2023'!I65*'2.1 OPEX TUUA'!$N$8)</f>
        <v>0</v>
      </c>
      <c r="O64" s="3">
        <f>+IF(F64="Pasajero",'2.2 OPEX LAP 2023'!J65*'2.1 OPEX TUUA'!$O$7,'2.2 OPEX LAP 2023'!J65*'2.1 OPEX TUUA'!$O$8)</f>
        <v>0</v>
      </c>
      <c r="P64" s="3">
        <f>+IF(F64="Pasajero",'2.2 OPEX LAP 2023'!K65*'2.1 OPEX TUUA'!$P$7,'2.2 OPEX LAP 2023'!K65*'2.1 OPEX TUUA'!$P$8)</f>
        <v>0</v>
      </c>
      <c r="Q64" s="3">
        <f>+IF(F64="Pasajero",'2.2 OPEX LAP 2023'!L65*'2.1 OPEX TUUA'!$Q$7,'2.2 OPEX LAP 2023'!L65*'2.1 OPEX TUUA'!$Q$8)</f>
        <v>0</v>
      </c>
      <c r="R64" s="3">
        <f>+IF(F64="Pasajero",'2.2 OPEX LAP 2023'!M65*'2.1 OPEX TUUA'!$R$7,'2.2 OPEX LAP 2023'!M65*'2.1 OPEX TUUA'!$R$8)</f>
        <v>0</v>
      </c>
      <c r="S64" s="3">
        <f>+IF(F64="Pasajero",'2.2 OPEX LAP 2023'!N65*'2.1 OPEX TUUA'!$S$7,'2.2 OPEX LAP 2023'!N65*'2.1 OPEX TUUA'!$S$8)</f>
        <v>0</v>
      </c>
      <c r="AA64" s="6"/>
      <c r="AB64" s="6"/>
      <c r="AC64" s="6"/>
      <c r="AD64" s="6"/>
      <c r="AE64" s="6"/>
      <c r="AF64" s="6"/>
    </row>
    <row r="65" spans="2:32" x14ac:dyDescent="0.25">
      <c r="B65" s="16">
        <v>6343100005</v>
      </c>
      <c r="C65" s="190" t="s">
        <v>13</v>
      </c>
      <c r="D65" s="190" t="s">
        <v>52</v>
      </c>
      <c r="E65" s="190" t="s">
        <v>70</v>
      </c>
      <c r="F65" s="162" t="s">
        <v>190</v>
      </c>
      <c r="G65" s="3">
        <f>+IF(F65="Pasajero",'2.2 OPEX LAP 2023'!I66*'2.1 OPEX TUUA'!$G$7,'2.2 OPEX LAP 2023'!I66*'2.1 OPEX TUUA'!$G$8)</f>
        <v>0</v>
      </c>
      <c r="H65" s="3">
        <f>+IF(F65="Pasajero",'2.2 OPEX LAP 2023'!J66*'2.1 OPEX TUUA'!$H$7,'2.2 OPEX LAP 2023'!J66*'2.1 OPEX TUUA'!$H$8)</f>
        <v>0</v>
      </c>
      <c r="I65" s="3">
        <f>+IF(F65="Pasajero",'2.2 OPEX LAP 2023'!K66*'2.1 OPEX TUUA'!$I$7,'2.2 OPEX LAP 2023'!K66*'2.1 OPEX TUUA'!$I$8)</f>
        <v>0</v>
      </c>
      <c r="J65" s="3">
        <f>+IF(F65="Pasajero",'2.2 OPEX LAP 2023'!L66*'2.1 OPEX TUUA'!$J$7,'2.2 OPEX LAP 2023'!L66*'2.1 OPEX TUUA'!$J$8)</f>
        <v>0</v>
      </c>
      <c r="K65" s="3">
        <f>+IF(F65="Pasajero",'2.2 OPEX LAP 2023'!M66*'2.1 OPEX TUUA'!$K$7,'2.2 OPEX LAP 2023'!M66*'2.1 OPEX TUUA'!$K$8)</f>
        <v>0</v>
      </c>
      <c r="L65" s="3">
        <f>+IF(F65="Pasajero",'2.2 OPEX LAP 2023'!N66*'2.1 OPEX TUUA'!$L$7,'2.2 OPEX LAP 2023'!N66*'2.1 OPEX TUUA'!$L$8)</f>
        <v>0</v>
      </c>
      <c r="M65" s="3"/>
      <c r="N65" s="3">
        <f>+IF(F65="Pasajero",'2.2 OPEX LAP 2023'!I66*'2.1 OPEX TUUA'!$N$7,'2.2 OPEX LAP 2023'!I66*'2.1 OPEX TUUA'!$N$8)</f>
        <v>0</v>
      </c>
      <c r="O65" s="3">
        <f>+IF(F65="Pasajero",'2.2 OPEX LAP 2023'!J66*'2.1 OPEX TUUA'!$O$7,'2.2 OPEX LAP 2023'!J66*'2.1 OPEX TUUA'!$O$8)</f>
        <v>0</v>
      </c>
      <c r="P65" s="3">
        <f>+IF(F65="Pasajero",'2.2 OPEX LAP 2023'!K66*'2.1 OPEX TUUA'!$P$7,'2.2 OPEX LAP 2023'!K66*'2.1 OPEX TUUA'!$P$8)</f>
        <v>0</v>
      </c>
      <c r="Q65" s="3">
        <f>+IF(F65="Pasajero",'2.2 OPEX LAP 2023'!L66*'2.1 OPEX TUUA'!$Q$7,'2.2 OPEX LAP 2023'!L66*'2.1 OPEX TUUA'!$Q$8)</f>
        <v>0</v>
      </c>
      <c r="R65" s="3">
        <f>+IF(F65="Pasajero",'2.2 OPEX LAP 2023'!M66*'2.1 OPEX TUUA'!$R$7,'2.2 OPEX LAP 2023'!M66*'2.1 OPEX TUUA'!$R$8)</f>
        <v>0</v>
      </c>
      <c r="S65" s="3">
        <f>+IF(F65="Pasajero",'2.2 OPEX LAP 2023'!N66*'2.1 OPEX TUUA'!$S$7,'2.2 OPEX LAP 2023'!N66*'2.1 OPEX TUUA'!$S$8)</f>
        <v>0</v>
      </c>
      <c r="AA65" s="6"/>
      <c r="AB65" s="6"/>
      <c r="AC65" s="6"/>
      <c r="AD65" s="6"/>
      <c r="AE65" s="6"/>
      <c r="AF65" s="6"/>
    </row>
    <row r="66" spans="2:32" x14ac:dyDescent="0.25">
      <c r="B66" s="16">
        <v>6343100006</v>
      </c>
      <c r="C66" s="190" t="s">
        <v>13</v>
      </c>
      <c r="D66" s="190" t="s">
        <v>52</v>
      </c>
      <c r="E66" s="190" t="s">
        <v>71</v>
      </c>
      <c r="F66" s="162" t="s">
        <v>190</v>
      </c>
      <c r="G66" s="3">
        <f>+IF(F66="Pasajero",'2.2 OPEX LAP 2023'!I67*'2.1 OPEX TUUA'!$G$7,'2.2 OPEX LAP 2023'!I67*'2.1 OPEX TUUA'!$G$8)</f>
        <v>0</v>
      </c>
      <c r="H66" s="3">
        <f>+IF(F66="Pasajero",'2.2 OPEX LAP 2023'!J67*'2.1 OPEX TUUA'!$H$7,'2.2 OPEX LAP 2023'!J67*'2.1 OPEX TUUA'!$H$8)</f>
        <v>0</v>
      </c>
      <c r="I66" s="3">
        <f>+IF(F66="Pasajero",'2.2 OPEX LAP 2023'!K67*'2.1 OPEX TUUA'!$I$7,'2.2 OPEX LAP 2023'!K67*'2.1 OPEX TUUA'!$I$8)</f>
        <v>0</v>
      </c>
      <c r="J66" s="3">
        <f>+IF(F66="Pasajero",'2.2 OPEX LAP 2023'!L67*'2.1 OPEX TUUA'!$J$7,'2.2 OPEX LAP 2023'!L67*'2.1 OPEX TUUA'!$J$8)</f>
        <v>0</v>
      </c>
      <c r="K66" s="3">
        <f>+IF(F66="Pasajero",'2.2 OPEX LAP 2023'!M67*'2.1 OPEX TUUA'!$K$7,'2.2 OPEX LAP 2023'!M67*'2.1 OPEX TUUA'!$K$8)</f>
        <v>0</v>
      </c>
      <c r="L66" s="3">
        <f>+IF(F66="Pasajero",'2.2 OPEX LAP 2023'!N67*'2.1 OPEX TUUA'!$L$7,'2.2 OPEX LAP 2023'!N67*'2.1 OPEX TUUA'!$L$8)</f>
        <v>0</v>
      </c>
      <c r="M66" s="3"/>
      <c r="N66" s="3">
        <f>+IF(F66="Pasajero",'2.2 OPEX LAP 2023'!I67*'2.1 OPEX TUUA'!$N$7,'2.2 OPEX LAP 2023'!I67*'2.1 OPEX TUUA'!$N$8)</f>
        <v>0</v>
      </c>
      <c r="O66" s="3">
        <f>+IF(F66="Pasajero",'2.2 OPEX LAP 2023'!J67*'2.1 OPEX TUUA'!$O$7,'2.2 OPEX LAP 2023'!J67*'2.1 OPEX TUUA'!$O$8)</f>
        <v>0</v>
      </c>
      <c r="P66" s="3">
        <f>+IF(F66="Pasajero",'2.2 OPEX LAP 2023'!K67*'2.1 OPEX TUUA'!$P$7,'2.2 OPEX LAP 2023'!K67*'2.1 OPEX TUUA'!$P$8)</f>
        <v>0</v>
      </c>
      <c r="Q66" s="3">
        <f>+IF(F66="Pasajero",'2.2 OPEX LAP 2023'!L67*'2.1 OPEX TUUA'!$Q$7,'2.2 OPEX LAP 2023'!L67*'2.1 OPEX TUUA'!$Q$8)</f>
        <v>0</v>
      </c>
      <c r="R66" s="3">
        <f>+IF(F66="Pasajero",'2.2 OPEX LAP 2023'!M67*'2.1 OPEX TUUA'!$R$7,'2.2 OPEX LAP 2023'!M67*'2.1 OPEX TUUA'!$R$8)</f>
        <v>0</v>
      </c>
      <c r="S66" s="3">
        <f>+IF(F66="Pasajero",'2.2 OPEX LAP 2023'!N67*'2.1 OPEX TUUA'!$S$7,'2.2 OPEX LAP 2023'!N67*'2.1 OPEX TUUA'!$S$8)</f>
        <v>0</v>
      </c>
      <c r="AA66" s="6"/>
      <c r="AB66" s="6"/>
      <c r="AC66" s="6"/>
      <c r="AD66" s="6"/>
      <c r="AE66" s="6"/>
      <c r="AF66" s="6"/>
    </row>
    <row r="67" spans="2:32" x14ac:dyDescent="0.25">
      <c r="B67" s="16">
        <v>6343100007</v>
      </c>
      <c r="C67" s="190" t="s">
        <v>13</v>
      </c>
      <c r="D67" s="190" t="s">
        <v>52</v>
      </c>
      <c r="E67" s="190" t="s">
        <v>72</v>
      </c>
      <c r="F67" s="162" t="s">
        <v>190</v>
      </c>
      <c r="G67" s="3">
        <f>+IF(F67="Pasajero",'2.2 OPEX LAP 2023'!I68*'2.1 OPEX TUUA'!$G$7,'2.2 OPEX LAP 2023'!I68*'2.1 OPEX TUUA'!$G$8)</f>
        <v>6274.8590763487582</v>
      </c>
      <c r="H67" s="3">
        <f>+IF(F67="Pasajero",'2.2 OPEX LAP 2023'!J68*'2.1 OPEX TUUA'!$H$7,'2.2 OPEX LAP 2023'!J68*'2.1 OPEX TUUA'!$H$8)</f>
        <v>7377.7966356901416</v>
      </c>
      <c r="I67" s="3">
        <f>+IF(F67="Pasajero",'2.2 OPEX LAP 2023'!K68*'2.1 OPEX TUUA'!$I$7,'2.2 OPEX LAP 2023'!K68*'2.1 OPEX TUUA'!$I$8)</f>
        <v>8305.3132031620935</v>
      </c>
      <c r="J67" s="3">
        <f>+IF(F67="Pasajero",'2.2 OPEX LAP 2023'!L68*'2.1 OPEX TUUA'!$J$7,'2.2 OPEX LAP 2023'!L68*'2.1 OPEX TUUA'!$J$8)</f>
        <v>8812.6806221684055</v>
      </c>
      <c r="K67" s="3">
        <f>+IF(F67="Pasajero",'2.2 OPEX LAP 2023'!M68*'2.1 OPEX TUUA'!$K$7,'2.2 OPEX LAP 2023'!M68*'2.1 OPEX TUUA'!$K$8)</f>
        <v>9182.3939714869339</v>
      </c>
      <c r="L67" s="3">
        <f>+IF(F67="Pasajero",'2.2 OPEX LAP 2023'!N68*'2.1 OPEX TUUA'!$L$7,'2.2 OPEX LAP 2023'!N68*'2.1 OPEX TUUA'!$L$8)</f>
        <v>9594.5924365829887</v>
      </c>
      <c r="M67" s="3"/>
      <c r="N67" s="3">
        <f>+IF(F67="Pasajero",'2.2 OPEX LAP 2023'!I68*'2.1 OPEX TUUA'!$N$7,'2.2 OPEX LAP 2023'!I68*'2.1 OPEX TUUA'!$N$8)</f>
        <v>3094.8685741774912</v>
      </c>
      <c r="O67" s="3">
        <f>+IF(F67="Pasajero",'2.2 OPEX LAP 2023'!J68*'2.1 OPEX TUUA'!$O$7,'2.2 OPEX LAP 2023'!J68*'2.1 OPEX TUUA'!$O$8)</f>
        <v>3055.6120541178002</v>
      </c>
      <c r="P67" s="3">
        <f>+IF(F67="Pasajero",'2.2 OPEX LAP 2023'!K68*'2.1 OPEX TUUA'!$P$7,'2.2 OPEX LAP 2023'!K68*'2.1 OPEX TUUA'!$P$8)</f>
        <v>3040.8133294726063</v>
      </c>
      <c r="Q67" s="3">
        <f>+IF(F67="Pasajero",'2.2 OPEX LAP 2023'!L68*'2.1 OPEX TUUA'!$Q$7,'2.2 OPEX LAP 2023'!L68*'2.1 OPEX TUUA'!$Q$8)</f>
        <v>3025.4893208685212</v>
      </c>
      <c r="R67" s="3">
        <f>+IF(F67="Pasajero",'2.2 OPEX LAP 2023'!M68*'2.1 OPEX TUUA'!$R$7,'2.2 OPEX LAP 2023'!M68*'2.1 OPEX TUUA'!$R$8)</f>
        <v>3044.3820289637033</v>
      </c>
      <c r="S67" s="3">
        <f>+IF(F67="Pasajero",'2.2 OPEX LAP 2023'!N68*'2.1 OPEX TUUA'!$S$7,'2.2 OPEX LAP 2023'!N68*'2.1 OPEX TUUA'!$S$8)</f>
        <v>3049.503430680285</v>
      </c>
      <c r="AA67" s="6"/>
      <c r="AB67" s="6"/>
      <c r="AC67" s="6"/>
      <c r="AD67" s="6"/>
      <c r="AE67" s="6"/>
      <c r="AF67" s="6"/>
    </row>
    <row r="68" spans="2:32" x14ac:dyDescent="0.25">
      <c r="B68" s="16">
        <v>6343100008</v>
      </c>
      <c r="C68" s="190" t="s">
        <v>13</v>
      </c>
      <c r="D68" s="190" t="s">
        <v>52</v>
      </c>
      <c r="E68" s="190" t="s">
        <v>73</v>
      </c>
      <c r="F68" s="162" t="s">
        <v>190</v>
      </c>
      <c r="G68" s="3">
        <f>+IF(F68="Pasajero",'2.2 OPEX LAP 2023'!I69*'2.1 OPEX TUUA'!$G$7,'2.2 OPEX LAP 2023'!I69*'2.1 OPEX TUUA'!$G$8)</f>
        <v>1204.7000094691991</v>
      </c>
      <c r="H68" s="3">
        <f>+IF(F68="Pasajero",'2.2 OPEX LAP 2023'!J69*'2.1 OPEX TUUA'!$H$7,'2.2 OPEX LAP 2023'!J69*'2.1 OPEX TUUA'!$H$8)</f>
        <v>1416.4512013311291</v>
      </c>
      <c r="I68" s="3">
        <f>+IF(F68="Pasajero",'2.2 OPEX LAP 2023'!K69*'2.1 OPEX TUUA'!$I$7,'2.2 OPEX LAP 2023'!K69*'2.1 OPEX TUUA'!$I$8)</f>
        <v>1594.5236016863712</v>
      </c>
      <c r="J68" s="3">
        <f>+IF(F68="Pasajero",'2.2 OPEX LAP 2023'!L69*'2.1 OPEX TUUA'!$J$7,'2.2 OPEX LAP 2023'!L69*'2.1 OPEX TUUA'!$J$8)</f>
        <v>1691.9322489634237</v>
      </c>
      <c r="K68" s="3">
        <f>+IF(F68="Pasajero",'2.2 OPEX LAP 2023'!M69*'2.1 OPEX TUUA'!$K$7,'2.2 OPEX LAP 2023'!M69*'2.1 OPEX TUUA'!$K$8)</f>
        <v>1762.9129148247021</v>
      </c>
      <c r="L68" s="3">
        <f>+IF(F68="Pasajero",'2.2 OPEX LAP 2023'!N69*'2.1 OPEX TUUA'!$L$7,'2.2 OPEX LAP 2023'!N69*'2.1 OPEX TUUA'!$L$8)</f>
        <v>1842.0502291073608</v>
      </c>
      <c r="M68" s="3"/>
      <c r="N68" s="3">
        <f>+IF(F68="Pasajero",'2.2 OPEX LAP 2023'!I69*'2.1 OPEX TUUA'!$N$7,'2.2 OPEX LAP 2023'!I69*'2.1 OPEX TUUA'!$N$8)</f>
        <v>594.17879433669134</v>
      </c>
      <c r="O68" s="3">
        <f>+IF(F68="Pasajero",'2.2 OPEX LAP 2023'!J69*'2.1 OPEX TUUA'!$O$7,'2.2 OPEX LAP 2023'!J69*'2.1 OPEX TUUA'!$O$8)</f>
        <v>586.6419987669085</v>
      </c>
      <c r="P68" s="3">
        <f>+IF(F68="Pasajero",'2.2 OPEX LAP 2023'!K69*'2.1 OPEX TUUA'!$P$7,'2.2 OPEX LAP 2023'!K69*'2.1 OPEX TUUA'!$P$8)</f>
        <v>583.80081564179341</v>
      </c>
      <c r="Q68" s="3">
        <f>+IF(F68="Pasajero",'2.2 OPEX LAP 2023'!L69*'2.1 OPEX TUUA'!$Q$7,'2.2 OPEX LAP 2023'!L69*'2.1 OPEX TUUA'!$Q$8)</f>
        <v>580.85878410198882</v>
      </c>
      <c r="R68" s="3">
        <f>+IF(F68="Pasajero",'2.2 OPEX LAP 2023'!M69*'2.1 OPEX TUUA'!$R$7,'2.2 OPEX LAP 2023'!M69*'2.1 OPEX TUUA'!$R$8)</f>
        <v>584.48596446480394</v>
      </c>
      <c r="S68" s="3">
        <f>+IF(F68="Pasajero",'2.2 OPEX LAP 2023'!N69*'2.1 OPEX TUUA'!$S$7,'2.2 OPEX LAP 2023'!N69*'2.1 OPEX TUUA'!$S$8)</f>
        <v>585.46921406792524</v>
      </c>
      <c r="AA68" s="6"/>
      <c r="AB68" s="6"/>
      <c r="AC68" s="6"/>
      <c r="AD68" s="6"/>
      <c r="AE68" s="6"/>
      <c r="AF68" s="6"/>
    </row>
    <row r="69" spans="2:32" x14ac:dyDescent="0.25">
      <c r="B69" s="16">
        <v>6343100009</v>
      </c>
      <c r="C69" s="190" t="s">
        <v>13</v>
      </c>
      <c r="D69" s="190" t="s">
        <v>52</v>
      </c>
      <c r="E69" s="190" t="s">
        <v>74</v>
      </c>
      <c r="F69" s="162" t="s">
        <v>190</v>
      </c>
      <c r="G69" s="3">
        <f>+IF(F69="Pasajero",'2.2 OPEX LAP 2023'!I70*'2.1 OPEX TUUA'!$G$7,'2.2 OPEX LAP 2023'!I70*'2.1 OPEX TUUA'!$G$8)</f>
        <v>0</v>
      </c>
      <c r="H69" s="3">
        <f>+IF(F69="Pasajero",'2.2 OPEX LAP 2023'!J70*'2.1 OPEX TUUA'!$H$7,'2.2 OPEX LAP 2023'!J70*'2.1 OPEX TUUA'!$H$8)</f>
        <v>0</v>
      </c>
      <c r="I69" s="3">
        <f>+IF(F69="Pasajero",'2.2 OPEX LAP 2023'!K70*'2.1 OPEX TUUA'!$I$7,'2.2 OPEX LAP 2023'!K70*'2.1 OPEX TUUA'!$I$8)</f>
        <v>0</v>
      </c>
      <c r="J69" s="3">
        <f>+IF(F69="Pasajero",'2.2 OPEX LAP 2023'!L70*'2.1 OPEX TUUA'!$J$7,'2.2 OPEX LAP 2023'!L70*'2.1 OPEX TUUA'!$J$8)</f>
        <v>0</v>
      </c>
      <c r="K69" s="3">
        <f>+IF(F69="Pasajero",'2.2 OPEX LAP 2023'!M70*'2.1 OPEX TUUA'!$K$7,'2.2 OPEX LAP 2023'!M70*'2.1 OPEX TUUA'!$K$8)</f>
        <v>0</v>
      </c>
      <c r="L69" s="3">
        <f>+IF(F69="Pasajero",'2.2 OPEX LAP 2023'!N70*'2.1 OPEX TUUA'!$L$7,'2.2 OPEX LAP 2023'!N70*'2.1 OPEX TUUA'!$L$8)</f>
        <v>0</v>
      </c>
      <c r="M69" s="3"/>
      <c r="N69" s="3">
        <f>+IF(F69="Pasajero",'2.2 OPEX LAP 2023'!I70*'2.1 OPEX TUUA'!$N$7,'2.2 OPEX LAP 2023'!I70*'2.1 OPEX TUUA'!$N$8)</f>
        <v>0</v>
      </c>
      <c r="O69" s="3">
        <f>+IF(F69="Pasajero",'2.2 OPEX LAP 2023'!J70*'2.1 OPEX TUUA'!$O$7,'2.2 OPEX LAP 2023'!J70*'2.1 OPEX TUUA'!$O$8)</f>
        <v>0</v>
      </c>
      <c r="P69" s="3">
        <f>+IF(F69="Pasajero",'2.2 OPEX LAP 2023'!K70*'2.1 OPEX TUUA'!$P$7,'2.2 OPEX LAP 2023'!K70*'2.1 OPEX TUUA'!$P$8)</f>
        <v>0</v>
      </c>
      <c r="Q69" s="3">
        <f>+IF(F69="Pasajero",'2.2 OPEX LAP 2023'!L70*'2.1 OPEX TUUA'!$Q$7,'2.2 OPEX LAP 2023'!L70*'2.1 OPEX TUUA'!$Q$8)</f>
        <v>0</v>
      </c>
      <c r="R69" s="3">
        <f>+IF(F69="Pasajero",'2.2 OPEX LAP 2023'!M70*'2.1 OPEX TUUA'!$R$7,'2.2 OPEX LAP 2023'!M70*'2.1 OPEX TUUA'!$R$8)</f>
        <v>0</v>
      </c>
      <c r="S69" s="3">
        <f>+IF(F69="Pasajero",'2.2 OPEX LAP 2023'!N70*'2.1 OPEX TUUA'!$S$7,'2.2 OPEX LAP 2023'!N70*'2.1 OPEX TUUA'!$S$8)</f>
        <v>0</v>
      </c>
      <c r="AA69" s="6"/>
      <c r="AB69" s="6"/>
      <c r="AC69" s="6"/>
      <c r="AD69" s="6"/>
      <c r="AE69" s="6"/>
      <c r="AF69" s="6"/>
    </row>
    <row r="70" spans="2:32" x14ac:dyDescent="0.25">
      <c r="B70" s="16">
        <v>6343100010</v>
      </c>
      <c r="C70" s="190" t="s">
        <v>13</v>
      </c>
      <c r="D70" s="190" t="s">
        <v>52</v>
      </c>
      <c r="E70" s="190" t="s">
        <v>75</v>
      </c>
      <c r="F70" s="162" t="s">
        <v>190</v>
      </c>
      <c r="G70" s="3">
        <f>+IF(F70="Pasajero",'2.2 OPEX LAP 2023'!I71*'2.1 OPEX TUUA'!$G$7,'2.2 OPEX LAP 2023'!I71*'2.1 OPEX TUUA'!$G$8)</f>
        <v>0</v>
      </c>
      <c r="H70" s="3">
        <f>+IF(F70="Pasajero",'2.2 OPEX LAP 2023'!J71*'2.1 OPEX TUUA'!$H$7,'2.2 OPEX LAP 2023'!J71*'2.1 OPEX TUUA'!$H$8)</f>
        <v>0</v>
      </c>
      <c r="I70" s="3">
        <f>+IF(F70="Pasajero",'2.2 OPEX LAP 2023'!K71*'2.1 OPEX TUUA'!$I$7,'2.2 OPEX LAP 2023'!K71*'2.1 OPEX TUUA'!$I$8)</f>
        <v>0</v>
      </c>
      <c r="J70" s="3">
        <f>+IF(F70="Pasajero",'2.2 OPEX LAP 2023'!L71*'2.1 OPEX TUUA'!$J$7,'2.2 OPEX LAP 2023'!L71*'2.1 OPEX TUUA'!$J$8)</f>
        <v>0</v>
      </c>
      <c r="K70" s="3">
        <f>+IF(F70="Pasajero",'2.2 OPEX LAP 2023'!M71*'2.1 OPEX TUUA'!$K$7,'2.2 OPEX LAP 2023'!M71*'2.1 OPEX TUUA'!$K$8)</f>
        <v>0</v>
      </c>
      <c r="L70" s="3">
        <f>+IF(F70="Pasajero",'2.2 OPEX LAP 2023'!N71*'2.1 OPEX TUUA'!$L$7,'2.2 OPEX LAP 2023'!N71*'2.1 OPEX TUUA'!$L$8)</f>
        <v>0</v>
      </c>
      <c r="M70" s="3"/>
      <c r="N70" s="3">
        <f>+IF(F70="Pasajero",'2.2 OPEX LAP 2023'!I71*'2.1 OPEX TUUA'!$N$7,'2.2 OPEX LAP 2023'!I71*'2.1 OPEX TUUA'!$N$8)</f>
        <v>0</v>
      </c>
      <c r="O70" s="3">
        <f>+IF(F70="Pasajero",'2.2 OPEX LAP 2023'!J71*'2.1 OPEX TUUA'!$O$7,'2.2 OPEX LAP 2023'!J71*'2.1 OPEX TUUA'!$O$8)</f>
        <v>0</v>
      </c>
      <c r="P70" s="3">
        <f>+IF(F70="Pasajero",'2.2 OPEX LAP 2023'!K71*'2.1 OPEX TUUA'!$P$7,'2.2 OPEX LAP 2023'!K71*'2.1 OPEX TUUA'!$P$8)</f>
        <v>0</v>
      </c>
      <c r="Q70" s="3">
        <f>+IF(F70="Pasajero",'2.2 OPEX LAP 2023'!L71*'2.1 OPEX TUUA'!$Q$7,'2.2 OPEX LAP 2023'!L71*'2.1 OPEX TUUA'!$Q$8)</f>
        <v>0</v>
      </c>
      <c r="R70" s="3">
        <f>+IF(F70="Pasajero",'2.2 OPEX LAP 2023'!M71*'2.1 OPEX TUUA'!$R$7,'2.2 OPEX LAP 2023'!M71*'2.1 OPEX TUUA'!$R$8)</f>
        <v>0</v>
      </c>
      <c r="S70" s="3">
        <f>+IF(F70="Pasajero",'2.2 OPEX LAP 2023'!N71*'2.1 OPEX TUUA'!$S$7,'2.2 OPEX LAP 2023'!N71*'2.1 OPEX TUUA'!$S$8)</f>
        <v>0</v>
      </c>
      <c r="AA70" s="6"/>
      <c r="AB70" s="6"/>
      <c r="AC70" s="6"/>
      <c r="AD70" s="6"/>
      <c r="AE70" s="6"/>
      <c r="AF70" s="6"/>
    </row>
    <row r="71" spans="2:32" x14ac:dyDescent="0.25">
      <c r="B71" s="16">
        <v>6343100011</v>
      </c>
      <c r="C71" s="190" t="s">
        <v>13</v>
      </c>
      <c r="D71" s="190" t="s">
        <v>52</v>
      </c>
      <c r="E71" s="190" t="s">
        <v>76</v>
      </c>
      <c r="F71" s="162" t="s">
        <v>190</v>
      </c>
      <c r="G71" s="3">
        <f>+IF(F71="Pasajero",'2.2 OPEX LAP 2023'!I72*'2.1 OPEX TUUA'!$G$7,'2.2 OPEX LAP 2023'!I72*'2.1 OPEX TUUA'!$G$8)</f>
        <v>0</v>
      </c>
      <c r="H71" s="3">
        <f>+IF(F71="Pasajero",'2.2 OPEX LAP 2023'!J72*'2.1 OPEX TUUA'!$H$7,'2.2 OPEX LAP 2023'!J72*'2.1 OPEX TUUA'!$H$8)</f>
        <v>0</v>
      </c>
      <c r="I71" s="3">
        <f>+IF(F71="Pasajero",'2.2 OPEX LAP 2023'!K72*'2.1 OPEX TUUA'!$I$7,'2.2 OPEX LAP 2023'!K72*'2.1 OPEX TUUA'!$I$8)</f>
        <v>0</v>
      </c>
      <c r="J71" s="3">
        <f>+IF(F71="Pasajero",'2.2 OPEX LAP 2023'!L72*'2.1 OPEX TUUA'!$J$7,'2.2 OPEX LAP 2023'!L72*'2.1 OPEX TUUA'!$J$8)</f>
        <v>0</v>
      </c>
      <c r="K71" s="3">
        <f>+IF(F71="Pasajero",'2.2 OPEX LAP 2023'!M72*'2.1 OPEX TUUA'!$K$7,'2.2 OPEX LAP 2023'!M72*'2.1 OPEX TUUA'!$K$8)</f>
        <v>0</v>
      </c>
      <c r="L71" s="3">
        <f>+IF(F71="Pasajero",'2.2 OPEX LAP 2023'!N72*'2.1 OPEX TUUA'!$L$7,'2.2 OPEX LAP 2023'!N72*'2.1 OPEX TUUA'!$L$8)</f>
        <v>0</v>
      </c>
      <c r="M71" s="3"/>
      <c r="N71" s="3">
        <f>+IF(F71="Pasajero",'2.2 OPEX LAP 2023'!I72*'2.1 OPEX TUUA'!$N$7,'2.2 OPEX LAP 2023'!I72*'2.1 OPEX TUUA'!$N$8)</f>
        <v>0</v>
      </c>
      <c r="O71" s="3">
        <f>+IF(F71="Pasajero",'2.2 OPEX LAP 2023'!J72*'2.1 OPEX TUUA'!$O$7,'2.2 OPEX LAP 2023'!J72*'2.1 OPEX TUUA'!$O$8)</f>
        <v>0</v>
      </c>
      <c r="P71" s="3">
        <f>+IF(F71="Pasajero",'2.2 OPEX LAP 2023'!K72*'2.1 OPEX TUUA'!$P$7,'2.2 OPEX LAP 2023'!K72*'2.1 OPEX TUUA'!$P$8)</f>
        <v>0</v>
      </c>
      <c r="Q71" s="3">
        <f>+IF(F71="Pasajero",'2.2 OPEX LAP 2023'!L72*'2.1 OPEX TUUA'!$Q$7,'2.2 OPEX LAP 2023'!L72*'2.1 OPEX TUUA'!$Q$8)</f>
        <v>0</v>
      </c>
      <c r="R71" s="3">
        <f>+IF(F71="Pasajero",'2.2 OPEX LAP 2023'!M72*'2.1 OPEX TUUA'!$R$7,'2.2 OPEX LAP 2023'!M72*'2.1 OPEX TUUA'!$R$8)</f>
        <v>0</v>
      </c>
      <c r="S71" s="3">
        <f>+IF(F71="Pasajero",'2.2 OPEX LAP 2023'!N72*'2.1 OPEX TUUA'!$S$7,'2.2 OPEX LAP 2023'!N72*'2.1 OPEX TUUA'!$S$8)</f>
        <v>0</v>
      </c>
      <c r="AA71" s="6"/>
      <c r="AB71" s="6"/>
      <c r="AC71" s="6"/>
      <c r="AD71" s="6"/>
      <c r="AE71" s="6"/>
      <c r="AF71" s="6"/>
    </row>
    <row r="72" spans="2:32" x14ac:dyDescent="0.25">
      <c r="B72" s="16">
        <v>6343100012</v>
      </c>
      <c r="C72" s="190" t="s">
        <v>13</v>
      </c>
      <c r="D72" s="190" t="s">
        <v>52</v>
      </c>
      <c r="E72" s="190" t="s">
        <v>77</v>
      </c>
      <c r="F72" s="162" t="s">
        <v>190</v>
      </c>
      <c r="G72" s="3">
        <f>+IF(F72="Pasajero",'2.2 OPEX LAP 2023'!I73*'2.1 OPEX TUUA'!$G$7,'2.2 OPEX LAP 2023'!I73*'2.1 OPEX TUUA'!$G$8)</f>
        <v>0</v>
      </c>
      <c r="H72" s="3">
        <f>+IF(F72="Pasajero",'2.2 OPEX LAP 2023'!J73*'2.1 OPEX TUUA'!$H$7,'2.2 OPEX LAP 2023'!J73*'2.1 OPEX TUUA'!$H$8)</f>
        <v>0</v>
      </c>
      <c r="I72" s="3">
        <f>+IF(F72="Pasajero",'2.2 OPEX LAP 2023'!K73*'2.1 OPEX TUUA'!$I$7,'2.2 OPEX LAP 2023'!K73*'2.1 OPEX TUUA'!$I$8)</f>
        <v>0</v>
      </c>
      <c r="J72" s="3">
        <f>+IF(F72="Pasajero",'2.2 OPEX LAP 2023'!L73*'2.1 OPEX TUUA'!$J$7,'2.2 OPEX LAP 2023'!L73*'2.1 OPEX TUUA'!$J$8)</f>
        <v>0</v>
      </c>
      <c r="K72" s="3">
        <f>+IF(F72="Pasajero",'2.2 OPEX LAP 2023'!M73*'2.1 OPEX TUUA'!$K$7,'2.2 OPEX LAP 2023'!M73*'2.1 OPEX TUUA'!$K$8)</f>
        <v>0</v>
      </c>
      <c r="L72" s="3">
        <f>+IF(F72="Pasajero",'2.2 OPEX LAP 2023'!N73*'2.1 OPEX TUUA'!$L$7,'2.2 OPEX LAP 2023'!N73*'2.1 OPEX TUUA'!$L$8)</f>
        <v>0</v>
      </c>
      <c r="M72" s="3"/>
      <c r="N72" s="3">
        <f>+IF(F72="Pasajero",'2.2 OPEX LAP 2023'!I73*'2.1 OPEX TUUA'!$N$7,'2.2 OPEX LAP 2023'!I73*'2.1 OPEX TUUA'!$N$8)</f>
        <v>0</v>
      </c>
      <c r="O72" s="3">
        <f>+IF(F72="Pasajero",'2.2 OPEX LAP 2023'!J73*'2.1 OPEX TUUA'!$O$7,'2.2 OPEX LAP 2023'!J73*'2.1 OPEX TUUA'!$O$8)</f>
        <v>0</v>
      </c>
      <c r="P72" s="3">
        <f>+IF(F72="Pasajero",'2.2 OPEX LAP 2023'!K73*'2.1 OPEX TUUA'!$P$7,'2.2 OPEX LAP 2023'!K73*'2.1 OPEX TUUA'!$P$8)</f>
        <v>0</v>
      </c>
      <c r="Q72" s="3">
        <f>+IF(F72="Pasajero",'2.2 OPEX LAP 2023'!L73*'2.1 OPEX TUUA'!$Q$7,'2.2 OPEX LAP 2023'!L73*'2.1 OPEX TUUA'!$Q$8)</f>
        <v>0</v>
      </c>
      <c r="R72" s="3">
        <f>+IF(F72="Pasajero",'2.2 OPEX LAP 2023'!M73*'2.1 OPEX TUUA'!$R$7,'2.2 OPEX LAP 2023'!M73*'2.1 OPEX TUUA'!$R$8)</f>
        <v>0</v>
      </c>
      <c r="S72" s="3">
        <f>+IF(F72="Pasajero",'2.2 OPEX LAP 2023'!N73*'2.1 OPEX TUUA'!$S$7,'2.2 OPEX LAP 2023'!N73*'2.1 OPEX TUUA'!$S$8)</f>
        <v>0</v>
      </c>
      <c r="AA72" s="6"/>
      <c r="AB72" s="6"/>
      <c r="AC72" s="6"/>
      <c r="AD72" s="6"/>
      <c r="AE72" s="6"/>
      <c r="AF72" s="6"/>
    </row>
    <row r="73" spans="2:32" x14ac:dyDescent="0.25">
      <c r="B73" s="16">
        <v>6343100013</v>
      </c>
      <c r="C73" s="190" t="s">
        <v>13</v>
      </c>
      <c r="D73" s="190" t="s">
        <v>52</v>
      </c>
      <c r="E73" s="190" t="s">
        <v>78</v>
      </c>
      <c r="F73" s="162" t="s">
        <v>190</v>
      </c>
      <c r="G73" s="3">
        <f>+IF(F73="Pasajero",'2.2 OPEX LAP 2023'!I74*'2.1 OPEX TUUA'!$G$7,'2.2 OPEX LAP 2023'!I74*'2.1 OPEX TUUA'!$G$8)</f>
        <v>0</v>
      </c>
      <c r="H73" s="3">
        <f>+IF(F73="Pasajero",'2.2 OPEX LAP 2023'!J74*'2.1 OPEX TUUA'!$H$7,'2.2 OPEX LAP 2023'!J74*'2.1 OPEX TUUA'!$H$8)</f>
        <v>0</v>
      </c>
      <c r="I73" s="3">
        <f>+IF(F73="Pasajero",'2.2 OPEX LAP 2023'!K74*'2.1 OPEX TUUA'!$I$7,'2.2 OPEX LAP 2023'!K74*'2.1 OPEX TUUA'!$I$8)</f>
        <v>0</v>
      </c>
      <c r="J73" s="3">
        <f>+IF(F73="Pasajero",'2.2 OPEX LAP 2023'!L74*'2.1 OPEX TUUA'!$J$7,'2.2 OPEX LAP 2023'!L74*'2.1 OPEX TUUA'!$J$8)</f>
        <v>0</v>
      </c>
      <c r="K73" s="3">
        <f>+IF(F73="Pasajero",'2.2 OPEX LAP 2023'!M74*'2.1 OPEX TUUA'!$K$7,'2.2 OPEX LAP 2023'!M74*'2.1 OPEX TUUA'!$K$8)</f>
        <v>0</v>
      </c>
      <c r="L73" s="3">
        <f>+IF(F73="Pasajero",'2.2 OPEX LAP 2023'!N74*'2.1 OPEX TUUA'!$L$7,'2.2 OPEX LAP 2023'!N74*'2.1 OPEX TUUA'!$L$8)</f>
        <v>0</v>
      </c>
      <c r="M73" s="3"/>
      <c r="N73" s="3">
        <f>+IF(F73="Pasajero",'2.2 OPEX LAP 2023'!I74*'2.1 OPEX TUUA'!$N$7,'2.2 OPEX LAP 2023'!I74*'2.1 OPEX TUUA'!$N$8)</f>
        <v>0</v>
      </c>
      <c r="O73" s="3">
        <f>+IF(F73="Pasajero",'2.2 OPEX LAP 2023'!J74*'2.1 OPEX TUUA'!$O$7,'2.2 OPEX LAP 2023'!J74*'2.1 OPEX TUUA'!$O$8)</f>
        <v>0</v>
      </c>
      <c r="P73" s="3">
        <f>+IF(F73="Pasajero",'2.2 OPEX LAP 2023'!K74*'2.1 OPEX TUUA'!$P$7,'2.2 OPEX LAP 2023'!K74*'2.1 OPEX TUUA'!$P$8)</f>
        <v>0</v>
      </c>
      <c r="Q73" s="3">
        <f>+IF(F73="Pasajero",'2.2 OPEX LAP 2023'!L74*'2.1 OPEX TUUA'!$Q$7,'2.2 OPEX LAP 2023'!L74*'2.1 OPEX TUUA'!$Q$8)</f>
        <v>0</v>
      </c>
      <c r="R73" s="3">
        <f>+IF(F73="Pasajero",'2.2 OPEX LAP 2023'!M74*'2.1 OPEX TUUA'!$R$7,'2.2 OPEX LAP 2023'!M74*'2.1 OPEX TUUA'!$R$8)</f>
        <v>0</v>
      </c>
      <c r="S73" s="3">
        <f>+IF(F73="Pasajero",'2.2 OPEX LAP 2023'!N74*'2.1 OPEX TUUA'!$S$7,'2.2 OPEX LAP 2023'!N74*'2.1 OPEX TUUA'!$S$8)</f>
        <v>0</v>
      </c>
      <c r="AA73" s="6"/>
      <c r="AB73" s="6"/>
      <c r="AC73" s="6"/>
      <c r="AD73" s="6"/>
      <c r="AE73" s="6"/>
      <c r="AF73" s="6"/>
    </row>
    <row r="74" spans="2:32" x14ac:dyDescent="0.25">
      <c r="B74" s="16">
        <v>6343100014</v>
      </c>
      <c r="C74" s="190" t="s">
        <v>13</v>
      </c>
      <c r="D74" s="190" t="s">
        <v>52</v>
      </c>
      <c r="E74" s="190" t="s">
        <v>79</v>
      </c>
      <c r="F74" s="162" t="s">
        <v>190</v>
      </c>
      <c r="G74" s="3">
        <f>+IF(F74="Pasajero",'2.2 OPEX LAP 2023'!I75*'2.1 OPEX TUUA'!$G$7,'2.2 OPEX LAP 2023'!I75*'2.1 OPEX TUUA'!$G$8)</f>
        <v>0</v>
      </c>
      <c r="H74" s="3">
        <f>+IF(F74="Pasajero",'2.2 OPEX LAP 2023'!J75*'2.1 OPEX TUUA'!$H$7,'2.2 OPEX LAP 2023'!J75*'2.1 OPEX TUUA'!$H$8)</f>
        <v>0</v>
      </c>
      <c r="I74" s="3">
        <f>+IF(F74="Pasajero",'2.2 OPEX LAP 2023'!K75*'2.1 OPEX TUUA'!$I$7,'2.2 OPEX LAP 2023'!K75*'2.1 OPEX TUUA'!$I$8)</f>
        <v>0</v>
      </c>
      <c r="J74" s="3">
        <f>+IF(F74="Pasajero",'2.2 OPEX LAP 2023'!L75*'2.1 OPEX TUUA'!$J$7,'2.2 OPEX LAP 2023'!L75*'2.1 OPEX TUUA'!$J$8)</f>
        <v>0</v>
      </c>
      <c r="K74" s="3">
        <f>+IF(F74="Pasajero",'2.2 OPEX LAP 2023'!M75*'2.1 OPEX TUUA'!$K$7,'2.2 OPEX LAP 2023'!M75*'2.1 OPEX TUUA'!$K$8)</f>
        <v>0</v>
      </c>
      <c r="L74" s="3">
        <f>+IF(F74="Pasajero",'2.2 OPEX LAP 2023'!N75*'2.1 OPEX TUUA'!$L$7,'2.2 OPEX LAP 2023'!N75*'2.1 OPEX TUUA'!$L$8)</f>
        <v>0</v>
      </c>
      <c r="M74" s="3"/>
      <c r="N74" s="3">
        <f>+IF(F74="Pasajero",'2.2 OPEX LAP 2023'!I75*'2.1 OPEX TUUA'!$N$7,'2.2 OPEX LAP 2023'!I75*'2.1 OPEX TUUA'!$N$8)</f>
        <v>0</v>
      </c>
      <c r="O74" s="3">
        <f>+IF(F74="Pasajero",'2.2 OPEX LAP 2023'!J75*'2.1 OPEX TUUA'!$O$7,'2.2 OPEX LAP 2023'!J75*'2.1 OPEX TUUA'!$O$8)</f>
        <v>0</v>
      </c>
      <c r="P74" s="3">
        <f>+IF(F74="Pasajero",'2.2 OPEX LAP 2023'!K75*'2.1 OPEX TUUA'!$P$7,'2.2 OPEX LAP 2023'!K75*'2.1 OPEX TUUA'!$P$8)</f>
        <v>0</v>
      </c>
      <c r="Q74" s="3">
        <f>+IF(F74="Pasajero",'2.2 OPEX LAP 2023'!L75*'2.1 OPEX TUUA'!$Q$7,'2.2 OPEX LAP 2023'!L75*'2.1 OPEX TUUA'!$Q$8)</f>
        <v>0</v>
      </c>
      <c r="R74" s="3">
        <f>+IF(F74="Pasajero",'2.2 OPEX LAP 2023'!M75*'2.1 OPEX TUUA'!$R$7,'2.2 OPEX LAP 2023'!M75*'2.1 OPEX TUUA'!$R$8)</f>
        <v>0</v>
      </c>
      <c r="S74" s="3">
        <f>+IF(F74="Pasajero",'2.2 OPEX LAP 2023'!N75*'2.1 OPEX TUUA'!$S$7,'2.2 OPEX LAP 2023'!N75*'2.1 OPEX TUUA'!$S$8)</f>
        <v>0</v>
      </c>
      <c r="AA74" s="6"/>
      <c r="AB74" s="6"/>
      <c r="AC74" s="6"/>
      <c r="AD74" s="6"/>
      <c r="AE74" s="6"/>
      <c r="AF74" s="6"/>
    </row>
    <row r="75" spans="2:32" x14ac:dyDescent="0.25">
      <c r="B75" s="16">
        <v>6343100015</v>
      </c>
      <c r="C75" s="190" t="s">
        <v>13</v>
      </c>
      <c r="D75" s="190" t="s">
        <v>52</v>
      </c>
      <c r="E75" s="190" t="s">
        <v>80</v>
      </c>
      <c r="F75" s="162" t="s">
        <v>190</v>
      </c>
      <c r="G75" s="3">
        <f>+IF(F75="Pasajero",'2.2 OPEX LAP 2023'!I76*'2.1 OPEX TUUA'!$G$7,'2.2 OPEX LAP 2023'!I76*'2.1 OPEX TUUA'!$G$8)</f>
        <v>133.45198442285238</v>
      </c>
      <c r="H75" s="3">
        <f>+IF(F75="Pasajero",'2.2 OPEX LAP 2023'!J76*'2.1 OPEX TUUA'!$H$7,'2.2 OPEX LAP 2023'!J76*'2.1 OPEX TUUA'!$H$8)</f>
        <v>156.90895838795569</v>
      </c>
      <c r="I75" s="3">
        <f>+IF(F75="Pasajero",'2.2 OPEX LAP 2023'!K76*'2.1 OPEX TUUA'!$I$7,'2.2 OPEX LAP 2023'!K76*'2.1 OPEX TUUA'!$I$8)</f>
        <v>176.63512673821441</v>
      </c>
      <c r="J75" s="3">
        <f>+IF(F75="Pasajero",'2.2 OPEX LAP 2023'!L76*'2.1 OPEX TUUA'!$J$7,'2.2 OPEX LAP 2023'!L76*'2.1 OPEX TUUA'!$J$8)</f>
        <v>187.42567805961428</v>
      </c>
      <c r="K75" s="3">
        <f>+IF(F75="Pasajero",'2.2 OPEX LAP 2023'!M76*'2.1 OPEX TUUA'!$K$7,'2.2 OPEX LAP 2023'!M76*'2.1 OPEX TUUA'!$K$8)</f>
        <v>195.28864032439978</v>
      </c>
      <c r="L75" s="3">
        <f>+IF(F75="Pasajero",'2.2 OPEX LAP 2023'!N76*'2.1 OPEX TUUA'!$L$7,'2.2 OPEX LAP 2023'!N76*'2.1 OPEX TUUA'!$L$8)</f>
        <v>204.05516439670308</v>
      </c>
      <c r="M75" s="3"/>
      <c r="N75" s="3">
        <f>+IF(F75="Pasajero",'2.2 OPEX LAP 2023'!I76*'2.1 OPEX TUUA'!$N$7,'2.2 OPEX LAP 2023'!I76*'2.1 OPEX TUUA'!$N$8)</f>
        <v>65.820817284750504</v>
      </c>
      <c r="O75" s="3">
        <f>+IF(F75="Pasajero",'2.2 OPEX LAP 2023'!J76*'2.1 OPEX TUUA'!$O$7,'2.2 OPEX LAP 2023'!J76*'2.1 OPEX TUUA'!$O$8)</f>
        <v>64.985920366786615</v>
      </c>
      <c r="P75" s="3">
        <f>+IF(F75="Pasajero",'2.2 OPEX LAP 2023'!K76*'2.1 OPEX TUUA'!$P$7,'2.2 OPEX LAP 2023'!K76*'2.1 OPEX TUUA'!$P$8)</f>
        <v>64.671185143764262</v>
      </c>
      <c r="Q75" s="3">
        <f>+IF(F75="Pasajero",'2.2 OPEX LAP 2023'!L76*'2.1 OPEX TUUA'!$Q$7,'2.2 OPEX LAP 2023'!L76*'2.1 OPEX TUUA'!$Q$8)</f>
        <v>64.345278325356787</v>
      </c>
      <c r="R75" s="3">
        <f>+IF(F75="Pasajero",'2.2 OPEX LAP 2023'!M76*'2.1 OPEX TUUA'!$R$7,'2.2 OPEX LAP 2023'!M76*'2.1 OPEX TUUA'!$R$8)</f>
        <v>64.74708326722822</v>
      </c>
      <c r="S75" s="3">
        <f>+IF(F75="Pasajero",'2.2 OPEX LAP 2023'!N76*'2.1 OPEX TUUA'!$S$7,'2.2 OPEX LAP 2023'!N76*'2.1 OPEX TUUA'!$S$8)</f>
        <v>64.856003836405719</v>
      </c>
      <c r="AA75" s="6"/>
      <c r="AB75" s="6"/>
      <c r="AC75" s="6"/>
      <c r="AD75" s="6"/>
      <c r="AE75" s="6"/>
      <c r="AF75" s="6"/>
    </row>
    <row r="76" spans="2:32" x14ac:dyDescent="0.25">
      <c r="B76" s="16">
        <v>6343100016</v>
      </c>
      <c r="C76" s="190" t="s">
        <v>13</v>
      </c>
      <c r="D76" s="190" t="s">
        <v>52</v>
      </c>
      <c r="E76" s="190" t="s">
        <v>81</v>
      </c>
      <c r="F76" s="162" t="s">
        <v>190</v>
      </c>
      <c r="G76" s="3">
        <f>+IF(F76="Pasajero",'2.2 OPEX LAP 2023'!I77*'2.1 OPEX TUUA'!$G$7,'2.2 OPEX LAP 2023'!I77*'2.1 OPEX TUUA'!$G$8)</f>
        <v>0</v>
      </c>
      <c r="H76" s="3">
        <f>+IF(F76="Pasajero",'2.2 OPEX LAP 2023'!J77*'2.1 OPEX TUUA'!$H$7,'2.2 OPEX LAP 2023'!J77*'2.1 OPEX TUUA'!$H$8)</f>
        <v>0</v>
      </c>
      <c r="I76" s="3">
        <f>+IF(F76="Pasajero",'2.2 OPEX LAP 2023'!K77*'2.1 OPEX TUUA'!$I$7,'2.2 OPEX LAP 2023'!K77*'2.1 OPEX TUUA'!$I$8)</f>
        <v>0</v>
      </c>
      <c r="J76" s="3">
        <f>+IF(F76="Pasajero",'2.2 OPEX LAP 2023'!L77*'2.1 OPEX TUUA'!$J$7,'2.2 OPEX LAP 2023'!L77*'2.1 OPEX TUUA'!$J$8)</f>
        <v>0</v>
      </c>
      <c r="K76" s="3">
        <f>+IF(F76="Pasajero",'2.2 OPEX LAP 2023'!M77*'2.1 OPEX TUUA'!$K$7,'2.2 OPEX LAP 2023'!M77*'2.1 OPEX TUUA'!$K$8)</f>
        <v>0</v>
      </c>
      <c r="L76" s="3">
        <f>+IF(F76="Pasajero",'2.2 OPEX LAP 2023'!N77*'2.1 OPEX TUUA'!$L$7,'2.2 OPEX LAP 2023'!N77*'2.1 OPEX TUUA'!$L$8)</f>
        <v>0</v>
      </c>
      <c r="M76" s="3"/>
      <c r="N76" s="3">
        <f>+IF(F76="Pasajero",'2.2 OPEX LAP 2023'!I77*'2.1 OPEX TUUA'!$N$7,'2.2 OPEX LAP 2023'!I77*'2.1 OPEX TUUA'!$N$8)</f>
        <v>0</v>
      </c>
      <c r="O76" s="3">
        <f>+IF(F76="Pasajero",'2.2 OPEX LAP 2023'!J77*'2.1 OPEX TUUA'!$O$7,'2.2 OPEX LAP 2023'!J77*'2.1 OPEX TUUA'!$O$8)</f>
        <v>0</v>
      </c>
      <c r="P76" s="3">
        <f>+IF(F76="Pasajero",'2.2 OPEX LAP 2023'!K77*'2.1 OPEX TUUA'!$P$7,'2.2 OPEX LAP 2023'!K77*'2.1 OPEX TUUA'!$P$8)</f>
        <v>0</v>
      </c>
      <c r="Q76" s="3">
        <f>+IF(F76="Pasajero",'2.2 OPEX LAP 2023'!L77*'2.1 OPEX TUUA'!$Q$7,'2.2 OPEX LAP 2023'!L77*'2.1 OPEX TUUA'!$Q$8)</f>
        <v>0</v>
      </c>
      <c r="R76" s="3">
        <f>+IF(F76="Pasajero",'2.2 OPEX LAP 2023'!M77*'2.1 OPEX TUUA'!$R$7,'2.2 OPEX LAP 2023'!M77*'2.1 OPEX TUUA'!$R$8)</f>
        <v>0</v>
      </c>
      <c r="S76" s="3">
        <f>+IF(F76="Pasajero",'2.2 OPEX LAP 2023'!N77*'2.1 OPEX TUUA'!$S$7,'2.2 OPEX LAP 2023'!N77*'2.1 OPEX TUUA'!$S$8)</f>
        <v>0</v>
      </c>
      <c r="AA76" s="6"/>
      <c r="AB76" s="6"/>
      <c r="AC76" s="6"/>
      <c r="AD76" s="6"/>
      <c r="AE76" s="6"/>
      <c r="AF76" s="6"/>
    </row>
    <row r="77" spans="2:32" x14ac:dyDescent="0.25">
      <c r="B77" s="16">
        <v>6343100017</v>
      </c>
      <c r="C77" s="190" t="s">
        <v>13</v>
      </c>
      <c r="D77" s="190" t="s">
        <v>52</v>
      </c>
      <c r="E77" s="190" t="s">
        <v>82</v>
      </c>
      <c r="F77" s="162" t="s">
        <v>190</v>
      </c>
      <c r="G77" s="3">
        <f>+IF(F77="Pasajero",'2.2 OPEX LAP 2023'!I78*'2.1 OPEX TUUA'!$G$7,'2.2 OPEX LAP 2023'!I78*'2.1 OPEX TUUA'!$G$8)</f>
        <v>0</v>
      </c>
      <c r="H77" s="3">
        <f>+IF(F77="Pasajero",'2.2 OPEX LAP 2023'!J78*'2.1 OPEX TUUA'!$H$7,'2.2 OPEX LAP 2023'!J78*'2.1 OPEX TUUA'!$H$8)</f>
        <v>0</v>
      </c>
      <c r="I77" s="3">
        <f>+IF(F77="Pasajero",'2.2 OPEX LAP 2023'!K78*'2.1 OPEX TUUA'!$I$7,'2.2 OPEX LAP 2023'!K78*'2.1 OPEX TUUA'!$I$8)</f>
        <v>0</v>
      </c>
      <c r="J77" s="3">
        <f>+IF(F77="Pasajero",'2.2 OPEX LAP 2023'!L78*'2.1 OPEX TUUA'!$J$7,'2.2 OPEX LAP 2023'!L78*'2.1 OPEX TUUA'!$J$8)</f>
        <v>0</v>
      </c>
      <c r="K77" s="3">
        <f>+IF(F77="Pasajero",'2.2 OPEX LAP 2023'!M78*'2.1 OPEX TUUA'!$K$7,'2.2 OPEX LAP 2023'!M78*'2.1 OPEX TUUA'!$K$8)</f>
        <v>0</v>
      </c>
      <c r="L77" s="3">
        <f>+IF(F77="Pasajero",'2.2 OPEX LAP 2023'!N78*'2.1 OPEX TUUA'!$L$7,'2.2 OPEX LAP 2023'!N78*'2.1 OPEX TUUA'!$L$8)</f>
        <v>0</v>
      </c>
      <c r="M77" s="3"/>
      <c r="N77" s="3">
        <f>+IF(F77="Pasajero",'2.2 OPEX LAP 2023'!I78*'2.1 OPEX TUUA'!$N$7,'2.2 OPEX LAP 2023'!I78*'2.1 OPEX TUUA'!$N$8)</f>
        <v>0</v>
      </c>
      <c r="O77" s="3">
        <f>+IF(F77="Pasajero",'2.2 OPEX LAP 2023'!J78*'2.1 OPEX TUUA'!$O$7,'2.2 OPEX LAP 2023'!J78*'2.1 OPEX TUUA'!$O$8)</f>
        <v>0</v>
      </c>
      <c r="P77" s="3">
        <f>+IF(F77="Pasajero",'2.2 OPEX LAP 2023'!K78*'2.1 OPEX TUUA'!$P$7,'2.2 OPEX LAP 2023'!K78*'2.1 OPEX TUUA'!$P$8)</f>
        <v>0</v>
      </c>
      <c r="Q77" s="3">
        <f>+IF(F77="Pasajero",'2.2 OPEX LAP 2023'!L78*'2.1 OPEX TUUA'!$Q$7,'2.2 OPEX LAP 2023'!L78*'2.1 OPEX TUUA'!$Q$8)</f>
        <v>0</v>
      </c>
      <c r="R77" s="3">
        <f>+IF(F77="Pasajero",'2.2 OPEX LAP 2023'!M78*'2.1 OPEX TUUA'!$R$7,'2.2 OPEX LAP 2023'!M78*'2.1 OPEX TUUA'!$R$8)</f>
        <v>0</v>
      </c>
      <c r="S77" s="3">
        <f>+IF(F77="Pasajero",'2.2 OPEX LAP 2023'!N78*'2.1 OPEX TUUA'!$S$7,'2.2 OPEX LAP 2023'!N78*'2.1 OPEX TUUA'!$S$8)</f>
        <v>0</v>
      </c>
      <c r="AA77" s="6"/>
      <c r="AB77" s="6"/>
      <c r="AC77" s="6"/>
      <c r="AD77" s="6"/>
      <c r="AE77" s="6"/>
      <c r="AF77" s="6"/>
    </row>
    <row r="78" spans="2:32" x14ac:dyDescent="0.25">
      <c r="B78" s="16">
        <v>6344000001</v>
      </c>
      <c r="C78" s="190" t="s">
        <v>13</v>
      </c>
      <c r="D78" s="190" t="s">
        <v>52</v>
      </c>
      <c r="E78" s="190" t="s">
        <v>83</v>
      </c>
      <c r="F78" s="162" t="s">
        <v>190</v>
      </c>
      <c r="G78" s="3">
        <f>+IF(F78="Pasajero",'2.2 OPEX LAP 2023'!I79*'2.1 OPEX TUUA'!$G$7,'2.2 OPEX LAP 2023'!I79*'2.1 OPEX TUUA'!$G$8)</f>
        <v>0</v>
      </c>
      <c r="H78" s="3">
        <f>+IF(F78="Pasajero",'2.2 OPEX LAP 2023'!J79*'2.1 OPEX TUUA'!$H$7,'2.2 OPEX LAP 2023'!J79*'2.1 OPEX TUUA'!$H$8)</f>
        <v>0</v>
      </c>
      <c r="I78" s="3">
        <f>+IF(F78="Pasajero",'2.2 OPEX LAP 2023'!K79*'2.1 OPEX TUUA'!$I$7,'2.2 OPEX LAP 2023'!K79*'2.1 OPEX TUUA'!$I$8)</f>
        <v>0</v>
      </c>
      <c r="J78" s="3">
        <f>+IF(F78="Pasajero",'2.2 OPEX LAP 2023'!L79*'2.1 OPEX TUUA'!$J$7,'2.2 OPEX LAP 2023'!L79*'2.1 OPEX TUUA'!$J$8)</f>
        <v>0</v>
      </c>
      <c r="K78" s="3">
        <f>+IF(F78="Pasajero",'2.2 OPEX LAP 2023'!M79*'2.1 OPEX TUUA'!$K$7,'2.2 OPEX LAP 2023'!M79*'2.1 OPEX TUUA'!$K$8)</f>
        <v>0</v>
      </c>
      <c r="L78" s="3">
        <f>+IF(F78="Pasajero",'2.2 OPEX LAP 2023'!N79*'2.1 OPEX TUUA'!$L$7,'2.2 OPEX LAP 2023'!N79*'2.1 OPEX TUUA'!$L$8)</f>
        <v>0</v>
      </c>
      <c r="M78" s="3"/>
      <c r="N78" s="3">
        <f>+IF(F78="Pasajero",'2.2 OPEX LAP 2023'!I79*'2.1 OPEX TUUA'!$N$7,'2.2 OPEX LAP 2023'!I79*'2.1 OPEX TUUA'!$N$8)</f>
        <v>0</v>
      </c>
      <c r="O78" s="3">
        <f>+IF(F78="Pasajero",'2.2 OPEX LAP 2023'!J79*'2.1 OPEX TUUA'!$O$7,'2.2 OPEX LAP 2023'!J79*'2.1 OPEX TUUA'!$O$8)</f>
        <v>0</v>
      </c>
      <c r="P78" s="3">
        <f>+IF(F78="Pasajero",'2.2 OPEX LAP 2023'!K79*'2.1 OPEX TUUA'!$P$7,'2.2 OPEX LAP 2023'!K79*'2.1 OPEX TUUA'!$P$8)</f>
        <v>0</v>
      </c>
      <c r="Q78" s="3">
        <f>+IF(F78="Pasajero",'2.2 OPEX LAP 2023'!L79*'2.1 OPEX TUUA'!$Q$7,'2.2 OPEX LAP 2023'!L79*'2.1 OPEX TUUA'!$Q$8)</f>
        <v>0</v>
      </c>
      <c r="R78" s="3">
        <f>+IF(F78="Pasajero",'2.2 OPEX LAP 2023'!M79*'2.1 OPEX TUUA'!$R$7,'2.2 OPEX LAP 2023'!M79*'2.1 OPEX TUUA'!$R$8)</f>
        <v>0</v>
      </c>
      <c r="S78" s="3">
        <f>+IF(F78="Pasajero",'2.2 OPEX LAP 2023'!N79*'2.1 OPEX TUUA'!$S$7,'2.2 OPEX LAP 2023'!N79*'2.1 OPEX TUUA'!$S$8)</f>
        <v>0</v>
      </c>
      <c r="AA78" s="6"/>
      <c r="AB78" s="6"/>
      <c r="AC78" s="6"/>
      <c r="AD78" s="6"/>
      <c r="AE78" s="6"/>
      <c r="AF78" s="6"/>
    </row>
    <row r="79" spans="2:32" x14ac:dyDescent="0.25">
      <c r="B79" s="16">
        <v>6344000002</v>
      </c>
      <c r="C79" s="190" t="s">
        <v>13</v>
      </c>
      <c r="D79" s="190" t="s">
        <v>52</v>
      </c>
      <c r="E79" s="190" t="s">
        <v>84</v>
      </c>
      <c r="F79" s="162" t="s">
        <v>190</v>
      </c>
      <c r="G79" s="3">
        <f>+IF(F79="Pasajero",'2.2 OPEX LAP 2023'!I80*'2.1 OPEX TUUA'!$G$7,'2.2 OPEX LAP 2023'!I80*'2.1 OPEX TUUA'!$G$8)</f>
        <v>0</v>
      </c>
      <c r="H79" s="3">
        <f>+IF(F79="Pasajero",'2.2 OPEX LAP 2023'!J80*'2.1 OPEX TUUA'!$H$7,'2.2 OPEX LAP 2023'!J80*'2.1 OPEX TUUA'!$H$8)</f>
        <v>0</v>
      </c>
      <c r="I79" s="3">
        <f>+IF(F79="Pasajero",'2.2 OPEX LAP 2023'!K80*'2.1 OPEX TUUA'!$I$7,'2.2 OPEX LAP 2023'!K80*'2.1 OPEX TUUA'!$I$8)</f>
        <v>0</v>
      </c>
      <c r="J79" s="3">
        <f>+IF(F79="Pasajero",'2.2 OPEX LAP 2023'!L80*'2.1 OPEX TUUA'!$J$7,'2.2 OPEX LAP 2023'!L80*'2.1 OPEX TUUA'!$J$8)</f>
        <v>0</v>
      </c>
      <c r="K79" s="3">
        <f>+IF(F79="Pasajero",'2.2 OPEX LAP 2023'!M80*'2.1 OPEX TUUA'!$K$7,'2.2 OPEX LAP 2023'!M80*'2.1 OPEX TUUA'!$K$8)</f>
        <v>0</v>
      </c>
      <c r="L79" s="3">
        <f>+IF(F79="Pasajero",'2.2 OPEX LAP 2023'!N80*'2.1 OPEX TUUA'!$L$7,'2.2 OPEX LAP 2023'!N80*'2.1 OPEX TUUA'!$L$8)</f>
        <v>0</v>
      </c>
      <c r="M79" s="3"/>
      <c r="N79" s="3">
        <f>+IF(F79="Pasajero",'2.2 OPEX LAP 2023'!I80*'2.1 OPEX TUUA'!$N$7,'2.2 OPEX LAP 2023'!I80*'2.1 OPEX TUUA'!$N$8)</f>
        <v>0</v>
      </c>
      <c r="O79" s="3">
        <f>+IF(F79="Pasajero",'2.2 OPEX LAP 2023'!J80*'2.1 OPEX TUUA'!$O$7,'2.2 OPEX LAP 2023'!J80*'2.1 OPEX TUUA'!$O$8)</f>
        <v>0</v>
      </c>
      <c r="P79" s="3">
        <f>+IF(F79="Pasajero",'2.2 OPEX LAP 2023'!K80*'2.1 OPEX TUUA'!$P$7,'2.2 OPEX LAP 2023'!K80*'2.1 OPEX TUUA'!$P$8)</f>
        <v>0</v>
      </c>
      <c r="Q79" s="3">
        <f>+IF(F79="Pasajero",'2.2 OPEX LAP 2023'!L80*'2.1 OPEX TUUA'!$Q$7,'2.2 OPEX LAP 2023'!L80*'2.1 OPEX TUUA'!$Q$8)</f>
        <v>0</v>
      </c>
      <c r="R79" s="3">
        <f>+IF(F79="Pasajero",'2.2 OPEX LAP 2023'!M80*'2.1 OPEX TUUA'!$R$7,'2.2 OPEX LAP 2023'!M80*'2.1 OPEX TUUA'!$R$8)</f>
        <v>0</v>
      </c>
      <c r="S79" s="3">
        <f>+IF(F79="Pasajero",'2.2 OPEX LAP 2023'!N80*'2.1 OPEX TUUA'!$S$7,'2.2 OPEX LAP 2023'!N80*'2.1 OPEX TUUA'!$S$8)</f>
        <v>0</v>
      </c>
      <c r="AA79" s="6"/>
      <c r="AB79" s="6"/>
      <c r="AC79" s="6"/>
      <c r="AD79" s="6"/>
      <c r="AE79" s="6"/>
      <c r="AF79" s="6"/>
    </row>
    <row r="80" spans="2:32" x14ac:dyDescent="0.25">
      <c r="B80" s="16">
        <v>6344000003</v>
      </c>
      <c r="C80" s="190" t="s">
        <v>13</v>
      </c>
      <c r="D80" s="190" t="s">
        <v>52</v>
      </c>
      <c r="E80" s="190" t="s">
        <v>85</v>
      </c>
      <c r="F80" s="162" t="s">
        <v>190</v>
      </c>
      <c r="G80" s="3">
        <f>+IF(F80="Pasajero",'2.2 OPEX LAP 2023'!I81*'2.1 OPEX TUUA'!$G$7,'2.2 OPEX LAP 2023'!I81*'2.1 OPEX TUUA'!$G$8)</f>
        <v>0</v>
      </c>
      <c r="H80" s="3">
        <f>+IF(F80="Pasajero",'2.2 OPEX LAP 2023'!J81*'2.1 OPEX TUUA'!$H$7,'2.2 OPEX LAP 2023'!J81*'2.1 OPEX TUUA'!$H$8)</f>
        <v>0</v>
      </c>
      <c r="I80" s="3">
        <f>+IF(F80="Pasajero",'2.2 OPEX LAP 2023'!K81*'2.1 OPEX TUUA'!$I$7,'2.2 OPEX LAP 2023'!K81*'2.1 OPEX TUUA'!$I$8)</f>
        <v>0</v>
      </c>
      <c r="J80" s="3">
        <f>+IF(F80="Pasajero",'2.2 OPEX LAP 2023'!L81*'2.1 OPEX TUUA'!$J$7,'2.2 OPEX LAP 2023'!L81*'2.1 OPEX TUUA'!$J$8)</f>
        <v>0</v>
      </c>
      <c r="K80" s="3">
        <f>+IF(F80="Pasajero",'2.2 OPEX LAP 2023'!M81*'2.1 OPEX TUUA'!$K$7,'2.2 OPEX LAP 2023'!M81*'2.1 OPEX TUUA'!$K$8)</f>
        <v>0</v>
      </c>
      <c r="L80" s="3">
        <f>+IF(F80="Pasajero",'2.2 OPEX LAP 2023'!N81*'2.1 OPEX TUUA'!$L$7,'2.2 OPEX LAP 2023'!N81*'2.1 OPEX TUUA'!$L$8)</f>
        <v>0</v>
      </c>
      <c r="M80" s="3"/>
      <c r="N80" s="3">
        <f>+IF(F80="Pasajero",'2.2 OPEX LAP 2023'!I81*'2.1 OPEX TUUA'!$N$7,'2.2 OPEX LAP 2023'!I81*'2.1 OPEX TUUA'!$N$8)</f>
        <v>0</v>
      </c>
      <c r="O80" s="3">
        <f>+IF(F80="Pasajero",'2.2 OPEX LAP 2023'!J81*'2.1 OPEX TUUA'!$O$7,'2.2 OPEX LAP 2023'!J81*'2.1 OPEX TUUA'!$O$8)</f>
        <v>0</v>
      </c>
      <c r="P80" s="3">
        <f>+IF(F80="Pasajero",'2.2 OPEX LAP 2023'!K81*'2.1 OPEX TUUA'!$P$7,'2.2 OPEX LAP 2023'!K81*'2.1 OPEX TUUA'!$P$8)</f>
        <v>0</v>
      </c>
      <c r="Q80" s="3">
        <f>+IF(F80="Pasajero",'2.2 OPEX LAP 2023'!L81*'2.1 OPEX TUUA'!$Q$7,'2.2 OPEX LAP 2023'!L81*'2.1 OPEX TUUA'!$Q$8)</f>
        <v>0</v>
      </c>
      <c r="R80" s="3">
        <f>+IF(F80="Pasajero",'2.2 OPEX LAP 2023'!M81*'2.1 OPEX TUUA'!$R$7,'2.2 OPEX LAP 2023'!M81*'2.1 OPEX TUUA'!$R$8)</f>
        <v>0</v>
      </c>
      <c r="S80" s="3">
        <f>+IF(F80="Pasajero",'2.2 OPEX LAP 2023'!N81*'2.1 OPEX TUUA'!$S$7,'2.2 OPEX LAP 2023'!N81*'2.1 OPEX TUUA'!$S$8)</f>
        <v>0</v>
      </c>
      <c r="AA80" s="6"/>
      <c r="AB80" s="6"/>
      <c r="AC80" s="6"/>
      <c r="AD80" s="6"/>
      <c r="AE80" s="6"/>
      <c r="AF80" s="6"/>
    </row>
    <row r="81" spans="2:32" x14ac:dyDescent="0.25">
      <c r="B81" s="16">
        <v>6345000001</v>
      </c>
      <c r="C81" s="190" t="s">
        <v>13</v>
      </c>
      <c r="D81" s="190" t="s">
        <v>52</v>
      </c>
      <c r="E81" s="190" t="s">
        <v>86</v>
      </c>
      <c r="F81" s="162" t="s">
        <v>190</v>
      </c>
      <c r="G81" s="3">
        <f>+IF(F81="Pasajero",'2.2 OPEX LAP 2023'!I82*'2.1 OPEX TUUA'!$G$7,'2.2 OPEX LAP 2023'!I82*'2.1 OPEX TUUA'!$G$8)</f>
        <v>0</v>
      </c>
      <c r="H81" s="3">
        <f>+IF(F81="Pasajero",'2.2 OPEX LAP 2023'!J82*'2.1 OPEX TUUA'!$H$7,'2.2 OPEX LAP 2023'!J82*'2.1 OPEX TUUA'!$H$8)</f>
        <v>0</v>
      </c>
      <c r="I81" s="3">
        <f>+IF(F81="Pasajero",'2.2 OPEX LAP 2023'!K82*'2.1 OPEX TUUA'!$I$7,'2.2 OPEX LAP 2023'!K82*'2.1 OPEX TUUA'!$I$8)</f>
        <v>0</v>
      </c>
      <c r="J81" s="3">
        <f>+IF(F81="Pasajero",'2.2 OPEX LAP 2023'!L82*'2.1 OPEX TUUA'!$J$7,'2.2 OPEX LAP 2023'!L82*'2.1 OPEX TUUA'!$J$8)</f>
        <v>0</v>
      </c>
      <c r="K81" s="3">
        <f>+IF(F81="Pasajero",'2.2 OPEX LAP 2023'!M82*'2.1 OPEX TUUA'!$K$7,'2.2 OPEX LAP 2023'!M82*'2.1 OPEX TUUA'!$K$8)</f>
        <v>0</v>
      </c>
      <c r="L81" s="3">
        <f>+IF(F81="Pasajero",'2.2 OPEX LAP 2023'!N82*'2.1 OPEX TUUA'!$L$7,'2.2 OPEX LAP 2023'!N82*'2.1 OPEX TUUA'!$L$8)</f>
        <v>0</v>
      </c>
      <c r="M81" s="3"/>
      <c r="N81" s="3">
        <f>+IF(F81="Pasajero",'2.2 OPEX LAP 2023'!I82*'2.1 OPEX TUUA'!$N$7,'2.2 OPEX LAP 2023'!I82*'2.1 OPEX TUUA'!$N$8)</f>
        <v>0</v>
      </c>
      <c r="O81" s="3">
        <f>+IF(F81="Pasajero",'2.2 OPEX LAP 2023'!J82*'2.1 OPEX TUUA'!$O$7,'2.2 OPEX LAP 2023'!J82*'2.1 OPEX TUUA'!$O$8)</f>
        <v>0</v>
      </c>
      <c r="P81" s="3">
        <f>+IF(F81="Pasajero",'2.2 OPEX LAP 2023'!K82*'2.1 OPEX TUUA'!$P$7,'2.2 OPEX LAP 2023'!K82*'2.1 OPEX TUUA'!$P$8)</f>
        <v>0</v>
      </c>
      <c r="Q81" s="3">
        <f>+IF(F81="Pasajero",'2.2 OPEX LAP 2023'!L82*'2.1 OPEX TUUA'!$Q$7,'2.2 OPEX LAP 2023'!L82*'2.1 OPEX TUUA'!$Q$8)</f>
        <v>0</v>
      </c>
      <c r="R81" s="3">
        <f>+IF(F81="Pasajero",'2.2 OPEX LAP 2023'!M82*'2.1 OPEX TUUA'!$R$7,'2.2 OPEX LAP 2023'!M82*'2.1 OPEX TUUA'!$R$8)</f>
        <v>0</v>
      </c>
      <c r="S81" s="3">
        <f>+IF(F81="Pasajero",'2.2 OPEX LAP 2023'!N82*'2.1 OPEX TUUA'!$S$7,'2.2 OPEX LAP 2023'!N82*'2.1 OPEX TUUA'!$S$8)</f>
        <v>0</v>
      </c>
      <c r="AA81" s="6"/>
      <c r="AB81" s="6"/>
      <c r="AC81" s="6"/>
      <c r="AD81" s="6"/>
      <c r="AE81" s="6"/>
      <c r="AF81" s="6"/>
    </row>
    <row r="82" spans="2:32" x14ac:dyDescent="0.25">
      <c r="B82" s="16">
        <v>6346000001</v>
      </c>
      <c r="C82" s="190" t="s">
        <v>13</v>
      </c>
      <c r="D82" s="190" t="s">
        <v>52</v>
      </c>
      <c r="E82" s="190" t="s">
        <v>87</v>
      </c>
      <c r="F82" s="162" t="s">
        <v>190</v>
      </c>
      <c r="G82" s="3">
        <f>+IF(F82="Pasajero",'2.2 OPEX LAP 2023'!I83*'2.1 OPEX TUUA'!$G$7,'2.2 OPEX LAP 2023'!I83*'2.1 OPEX TUUA'!$G$8)</f>
        <v>0</v>
      </c>
      <c r="H82" s="3">
        <f>+IF(F82="Pasajero",'2.2 OPEX LAP 2023'!J83*'2.1 OPEX TUUA'!$H$7,'2.2 OPEX LAP 2023'!J83*'2.1 OPEX TUUA'!$H$8)</f>
        <v>0</v>
      </c>
      <c r="I82" s="3">
        <f>+IF(F82="Pasajero",'2.2 OPEX LAP 2023'!K83*'2.1 OPEX TUUA'!$I$7,'2.2 OPEX LAP 2023'!K83*'2.1 OPEX TUUA'!$I$8)</f>
        <v>0</v>
      </c>
      <c r="J82" s="3">
        <f>+IF(F82="Pasajero",'2.2 OPEX LAP 2023'!L83*'2.1 OPEX TUUA'!$J$7,'2.2 OPEX LAP 2023'!L83*'2.1 OPEX TUUA'!$J$8)</f>
        <v>0</v>
      </c>
      <c r="K82" s="3">
        <f>+IF(F82="Pasajero",'2.2 OPEX LAP 2023'!M83*'2.1 OPEX TUUA'!$K$7,'2.2 OPEX LAP 2023'!M83*'2.1 OPEX TUUA'!$K$8)</f>
        <v>0</v>
      </c>
      <c r="L82" s="3">
        <f>+IF(F82="Pasajero",'2.2 OPEX LAP 2023'!N83*'2.1 OPEX TUUA'!$L$7,'2.2 OPEX LAP 2023'!N83*'2.1 OPEX TUUA'!$L$8)</f>
        <v>0</v>
      </c>
      <c r="M82" s="3"/>
      <c r="N82" s="3">
        <f>+IF(F82="Pasajero",'2.2 OPEX LAP 2023'!I83*'2.1 OPEX TUUA'!$N$7,'2.2 OPEX LAP 2023'!I83*'2.1 OPEX TUUA'!$N$8)</f>
        <v>0</v>
      </c>
      <c r="O82" s="3">
        <f>+IF(F82="Pasajero",'2.2 OPEX LAP 2023'!J83*'2.1 OPEX TUUA'!$O$7,'2.2 OPEX LAP 2023'!J83*'2.1 OPEX TUUA'!$O$8)</f>
        <v>0</v>
      </c>
      <c r="P82" s="3">
        <f>+IF(F82="Pasajero",'2.2 OPEX LAP 2023'!K83*'2.1 OPEX TUUA'!$P$7,'2.2 OPEX LAP 2023'!K83*'2.1 OPEX TUUA'!$P$8)</f>
        <v>0</v>
      </c>
      <c r="Q82" s="3">
        <f>+IF(F82="Pasajero",'2.2 OPEX LAP 2023'!L83*'2.1 OPEX TUUA'!$Q$7,'2.2 OPEX LAP 2023'!L83*'2.1 OPEX TUUA'!$Q$8)</f>
        <v>0</v>
      </c>
      <c r="R82" s="3">
        <f>+IF(F82="Pasajero",'2.2 OPEX LAP 2023'!M83*'2.1 OPEX TUUA'!$R$7,'2.2 OPEX LAP 2023'!M83*'2.1 OPEX TUUA'!$R$8)</f>
        <v>0</v>
      </c>
      <c r="S82" s="3">
        <f>+IF(F82="Pasajero",'2.2 OPEX LAP 2023'!N83*'2.1 OPEX TUUA'!$S$7,'2.2 OPEX LAP 2023'!N83*'2.1 OPEX TUUA'!$S$8)</f>
        <v>0</v>
      </c>
      <c r="AA82" s="6"/>
      <c r="AB82" s="6"/>
      <c r="AC82" s="6"/>
      <c r="AD82" s="6"/>
      <c r="AE82" s="6"/>
      <c r="AF82" s="6"/>
    </row>
    <row r="83" spans="2:32" x14ac:dyDescent="0.25">
      <c r="B83" s="16">
        <v>6347000001</v>
      </c>
      <c r="C83" s="190" t="s">
        <v>13</v>
      </c>
      <c r="D83" s="190" t="s">
        <v>52</v>
      </c>
      <c r="E83" s="190" t="s">
        <v>88</v>
      </c>
      <c r="F83" s="162" t="s">
        <v>190</v>
      </c>
      <c r="G83" s="3">
        <f>+IF(F83="Pasajero",'2.2 OPEX LAP 2023'!I84*'2.1 OPEX TUUA'!$G$7,'2.2 OPEX LAP 2023'!I84*'2.1 OPEX TUUA'!$G$8)</f>
        <v>3449.2086349293027</v>
      </c>
      <c r="H83" s="3">
        <f>+IF(F83="Pasajero",'2.2 OPEX LAP 2023'!J84*'2.1 OPEX TUUA'!$H$7,'2.2 OPEX LAP 2023'!J84*'2.1 OPEX TUUA'!$H$8)</f>
        <v>4055.479103664959</v>
      </c>
      <c r="I83" s="3">
        <f>+IF(F83="Pasajero",'2.2 OPEX LAP 2023'!K84*'2.1 OPEX TUUA'!$I$7,'2.2 OPEX LAP 2023'!K84*'2.1 OPEX TUUA'!$I$8)</f>
        <v>4565.3229287833083</v>
      </c>
      <c r="J83" s="3">
        <f>+IF(F83="Pasajero",'2.2 OPEX LAP 2023'!L84*'2.1 OPEX TUUA'!$J$7,'2.2 OPEX LAP 2023'!L84*'2.1 OPEX TUUA'!$J$8)</f>
        <v>4844.2162172899043</v>
      </c>
      <c r="K83" s="3">
        <f>+IF(F83="Pasajero",'2.2 OPEX LAP 2023'!M84*'2.1 OPEX TUUA'!$K$7,'2.2 OPEX LAP 2023'!M84*'2.1 OPEX TUUA'!$K$8)</f>
        <v>5047.4428493786891</v>
      </c>
      <c r="L83" s="3">
        <f>+IF(F83="Pasajero",'2.2 OPEX LAP 2023'!N84*'2.1 OPEX TUUA'!$L$7,'2.2 OPEX LAP 2023'!N84*'2.1 OPEX TUUA'!$L$8)</f>
        <v>5274.0229984808129</v>
      </c>
      <c r="M83" s="3"/>
      <c r="N83" s="3">
        <f>+IF(F83="Pasajero",'2.2 OPEX LAP 2023'!I84*'2.1 OPEX TUUA'!$N$7,'2.2 OPEX LAP 2023'!I84*'2.1 OPEX TUUA'!$N$8)</f>
        <v>1701.2091076690549</v>
      </c>
      <c r="O83" s="3">
        <f>+IF(F83="Pasajero",'2.2 OPEX LAP 2023'!J84*'2.1 OPEX TUUA'!$O$7,'2.2 OPEX LAP 2023'!J84*'2.1 OPEX TUUA'!$O$8)</f>
        <v>1679.6303078395053</v>
      </c>
      <c r="P83" s="3">
        <f>+IF(F83="Pasajero",'2.2 OPEX LAP 2023'!K84*'2.1 OPEX TUUA'!$P$7,'2.2 OPEX LAP 2023'!K84*'2.1 OPEX TUUA'!$P$8)</f>
        <v>1671.4956408755031</v>
      </c>
      <c r="Q83" s="3">
        <f>+IF(F83="Pasajero",'2.2 OPEX LAP 2023'!L84*'2.1 OPEX TUUA'!$Q$7,'2.2 OPEX LAP 2023'!L84*'2.1 OPEX TUUA'!$Q$8)</f>
        <v>1663.0722321334383</v>
      </c>
      <c r="R83" s="3">
        <f>+IF(F83="Pasajero",'2.2 OPEX LAP 2023'!M84*'2.1 OPEX TUUA'!$R$7,'2.2 OPEX LAP 2023'!M84*'2.1 OPEX TUUA'!$R$8)</f>
        <v>1673.4573086915273</v>
      </c>
      <c r="S83" s="3">
        <f>+IF(F83="Pasajero",'2.2 OPEX LAP 2023'!N84*'2.1 OPEX TUUA'!$S$7,'2.2 OPEX LAP 2023'!N84*'2.1 OPEX TUUA'!$S$8)</f>
        <v>1676.2724767787849</v>
      </c>
      <c r="AA83" s="6"/>
      <c r="AB83" s="6"/>
      <c r="AC83" s="6"/>
      <c r="AD83" s="6"/>
      <c r="AE83" s="6"/>
      <c r="AF83" s="6"/>
    </row>
    <row r="84" spans="2:32" x14ac:dyDescent="0.25">
      <c r="B84" s="16">
        <v>6348000001</v>
      </c>
      <c r="C84" s="190" t="s">
        <v>13</v>
      </c>
      <c r="D84" s="190" t="s">
        <v>52</v>
      </c>
      <c r="E84" s="190" t="s">
        <v>89</v>
      </c>
      <c r="F84" s="162" t="s">
        <v>190</v>
      </c>
      <c r="G84" s="3">
        <f>+IF(F84="Pasajero",'2.2 OPEX LAP 2023'!I85*'2.1 OPEX TUUA'!$G$7,'2.2 OPEX LAP 2023'!I85*'2.1 OPEX TUUA'!$G$8)</f>
        <v>55.875423973787036</v>
      </c>
      <c r="H84" s="3">
        <f>+IF(F84="Pasajero",'2.2 OPEX LAP 2023'!J85*'2.1 OPEX TUUA'!$H$7,'2.2 OPEX LAP 2023'!J85*'2.1 OPEX TUUA'!$H$8)</f>
        <v>65.696696929079209</v>
      </c>
      <c r="I84" s="3">
        <f>+IF(F84="Pasajero",'2.2 OPEX LAP 2023'!K85*'2.1 OPEX TUUA'!$I$7,'2.2 OPEX LAP 2023'!K85*'2.1 OPEX TUUA'!$I$8)</f>
        <v>73.955907346337426</v>
      </c>
      <c r="J84" s="3">
        <f>+IF(F84="Pasajero",'2.2 OPEX LAP 2023'!L85*'2.1 OPEX TUUA'!$J$7,'2.2 OPEX LAP 2023'!L85*'2.1 OPEX TUUA'!$J$8)</f>
        <v>78.473836642043594</v>
      </c>
      <c r="K84" s="3">
        <f>+IF(F84="Pasajero",'2.2 OPEX LAP 2023'!M85*'2.1 OPEX TUUA'!$K$7,'2.2 OPEX LAP 2023'!M85*'2.1 OPEX TUUA'!$K$8)</f>
        <v>81.76600462391994</v>
      </c>
      <c r="L84" s="3">
        <f>+IF(F84="Pasajero",'2.2 OPEX LAP 2023'!N85*'2.1 OPEX TUUA'!$L$7,'2.2 OPEX LAP 2023'!N85*'2.1 OPEX TUUA'!$L$8)</f>
        <v>85.436487692678853</v>
      </c>
      <c r="M84" s="3"/>
      <c r="N84" s="3">
        <f>+IF(F84="Pasajero",'2.2 OPEX LAP 2023'!I85*'2.1 OPEX TUUA'!$N$7,'2.2 OPEX LAP 2023'!I85*'2.1 OPEX TUUA'!$N$8)</f>
        <v>27.558721498163212</v>
      </c>
      <c r="O84" s="3">
        <f>+IF(F84="Pasajero",'2.2 OPEX LAP 2023'!J85*'2.1 OPEX TUUA'!$O$7,'2.2 OPEX LAP 2023'!J85*'2.1 OPEX TUUA'!$O$8)</f>
        <v>27.209155926190707</v>
      </c>
      <c r="P84" s="3">
        <f>+IF(F84="Pasajero",'2.2 OPEX LAP 2023'!K85*'2.1 OPEX TUUA'!$P$7,'2.2 OPEX LAP 2023'!K85*'2.1 OPEX TUUA'!$P$8)</f>
        <v>27.077378462544033</v>
      </c>
      <c r="Q84" s="3">
        <f>+IF(F84="Pasajero",'2.2 OPEX LAP 2023'!L85*'2.1 OPEX TUUA'!$Q$7,'2.2 OPEX LAP 2023'!L85*'2.1 OPEX TUUA'!$Q$8)</f>
        <v>26.940923529084486</v>
      </c>
      <c r="R84" s="3">
        <f>+IF(F84="Pasajero",'2.2 OPEX LAP 2023'!M85*'2.1 OPEX TUUA'!$R$7,'2.2 OPEX LAP 2023'!M85*'2.1 OPEX TUUA'!$R$8)</f>
        <v>27.109156482524067</v>
      </c>
      <c r="S84" s="3">
        <f>+IF(F84="Pasajero",'2.2 OPEX LAP 2023'!N85*'2.1 OPEX TUUA'!$S$7,'2.2 OPEX LAP 2023'!N85*'2.1 OPEX TUUA'!$S$8)</f>
        <v>27.154760772400902</v>
      </c>
      <c r="AA84" s="6"/>
      <c r="AB84" s="6"/>
      <c r="AC84" s="6"/>
      <c r="AD84" s="6"/>
      <c r="AE84" s="6"/>
      <c r="AF84" s="6"/>
    </row>
    <row r="85" spans="2:32" x14ac:dyDescent="0.25">
      <c r="B85" s="16">
        <v>6354000001</v>
      </c>
      <c r="C85" s="190" t="s">
        <v>13</v>
      </c>
      <c r="D85" s="190" t="s">
        <v>40</v>
      </c>
      <c r="E85" s="190" t="s">
        <v>90</v>
      </c>
      <c r="F85" s="162" t="s">
        <v>190</v>
      </c>
      <c r="G85" s="3">
        <f>+IF(F85="Pasajero",'2.2 OPEX LAP 2023'!I86*'2.1 OPEX TUUA'!$G$7,'2.2 OPEX LAP 2023'!I86*'2.1 OPEX TUUA'!$G$8)</f>
        <v>0</v>
      </c>
      <c r="H85" s="3">
        <f>+IF(F85="Pasajero",'2.2 OPEX LAP 2023'!J86*'2.1 OPEX TUUA'!$H$7,'2.2 OPEX LAP 2023'!J86*'2.1 OPEX TUUA'!$H$8)</f>
        <v>0</v>
      </c>
      <c r="I85" s="3">
        <f>+IF(F85="Pasajero",'2.2 OPEX LAP 2023'!K86*'2.1 OPEX TUUA'!$I$7,'2.2 OPEX LAP 2023'!K86*'2.1 OPEX TUUA'!$I$8)</f>
        <v>0</v>
      </c>
      <c r="J85" s="3">
        <f>+IF(F85="Pasajero",'2.2 OPEX LAP 2023'!L86*'2.1 OPEX TUUA'!$J$7,'2.2 OPEX LAP 2023'!L86*'2.1 OPEX TUUA'!$J$8)</f>
        <v>0</v>
      </c>
      <c r="K85" s="3">
        <f>+IF(F85="Pasajero",'2.2 OPEX LAP 2023'!M86*'2.1 OPEX TUUA'!$K$7,'2.2 OPEX LAP 2023'!M86*'2.1 OPEX TUUA'!$K$8)</f>
        <v>0</v>
      </c>
      <c r="L85" s="3">
        <f>+IF(F85="Pasajero",'2.2 OPEX LAP 2023'!N86*'2.1 OPEX TUUA'!$L$7,'2.2 OPEX LAP 2023'!N86*'2.1 OPEX TUUA'!$L$8)</f>
        <v>0</v>
      </c>
      <c r="M85" s="3"/>
      <c r="N85" s="3">
        <f>+IF(F85="Pasajero",'2.2 OPEX LAP 2023'!I86*'2.1 OPEX TUUA'!$N$7,'2.2 OPEX LAP 2023'!I86*'2.1 OPEX TUUA'!$N$8)</f>
        <v>0</v>
      </c>
      <c r="O85" s="3">
        <f>+IF(F85="Pasajero",'2.2 OPEX LAP 2023'!J86*'2.1 OPEX TUUA'!$O$7,'2.2 OPEX LAP 2023'!J86*'2.1 OPEX TUUA'!$O$8)</f>
        <v>0</v>
      </c>
      <c r="P85" s="3">
        <f>+IF(F85="Pasajero",'2.2 OPEX LAP 2023'!K86*'2.1 OPEX TUUA'!$P$7,'2.2 OPEX LAP 2023'!K86*'2.1 OPEX TUUA'!$P$8)</f>
        <v>0</v>
      </c>
      <c r="Q85" s="3">
        <f>+IF(F85="Pasajero",'2.2 OPEX LAP 2023'!L86*'2.1 OPEX TUUA'!$Q$7,'2.2 OPEX LAP 2023'!L86*'2.1 OPEX TUUA'!$Q$8)</f>
        <v>0</v>
      </c>
      <c r="R85" s="3">
        <f>+IF(F85="Pasajero",'2.2 OPEX LAP 2023'!M86*'2.1 OPEX TUUA'!$R$7,'2.2 OPEX LAP 2023'!M86*'2.1 OPEX TUUA'!$R$8)</f>
        <v>0</v>
      </c>
      <c r="S85" s="3">
        <f>+IF(F85="Pasajero",'2.2 OPEX LAP 2023'!N86*'2.1 OPEX TUUA'!$S$7,'2.2 OPEX LAP 2023'!N86*'2.1 OPEX TUUA'!$S$8)</f>
        <v>0</v>
      </c>
      <c r="AA85" s="6"/>
      <c r="AB85" s="6"/>
      <c r="AC85" s="6"/>
      <c r="AD85" s="6"/>
      <c r="AE85" s="6"/>
      <c r="AF85" s="6"/>
    </row>
    <row r="86" spans="2:32" x14ac:dyDescent="0.25">
      <c r="B86" s="16">
        <v>6356000001</v>
      </c>
      <c r="C86" s="190" t="s">
        <v>13</v>
      </c>
      <c r="D86" s="190" t="s">
        <v>40</v>
      </c>
      <c r="E86" s="190" t="s">
        <v>91</v>
      </c>
      <c r="F86" s="162" t="s">
        <v>190</v>
      </c>
      <c r="G86" s="3">
        <f>+IF(F86="Pasajero",'2.2 OPEX LAP 2023'!I87*'2.1 OPEX TUUA'!$G$7,'2.2 OPEX LAP 2023'!I87*'2.1 OPEX TUUA'!$G$8)</f>
        <v>0</v>
      </c>
      <c r="H86" s="3">
        <f>+IF(F86="Pasajero",'2.2 OPEX LAP 2023'!J87*'2.1 OPEX TUUA'!$H$7,'2.2 OPEX LAP 2023'!J87*'2.1 OPEX TUUA'!$H$8)</f>
        <v>0</v>
      </c>
      <c r="I86" s="3">
        <f>+IF(F86="Pasajero",'2.2 OPEX LAP 2023'!K87*'2.1 OPEX TUUA'!$I$7,'2.2 OPEX LAP 2023'!K87*'2.1 OPEX TUUA'!$I$8)</f>
        <v>0</v>
      </c>
      <c r="J86" s="3">
        <f>+IF(F86="Pasajero",'2.2 OPEX LAP 2023'!L87*'2.1 OPEX TUUA'!$J$7,'2.2 OPEX LAP 2023'!L87*'2.1 OPEX TUUA'!$J$8)</f>
        <v>0</v>
      </c>
      <c r="K86" s="3">
        <f>+IF(F86="Pasajero",'2.2 OPEX LAP 2023'!M87*'2.1 OPEX TUUA'!$K$7,'2.2 OPEX LAP 2023'!M87*'2.1 OPEX TUUA'!$K$8)</f>
        <v>0</v>
      </c>
      <c r="L86" s="3">
        <f>+IF(F86="Pasajero",'2.2 OPEX LAP 2023'!N87*'2.1 OPEX TUUA'!$L$7,'2.2 OPEX LAP 2023'!N87*'2.1 OPEX TUUA'!$L$8)</f>
        <v>0</v>
      </c>
      <c r="M86" s="3"/>
      <c r="N86" s="3">
        <f>+IF(F86="Pasajero",'2.2 OPEX LAP 2023'!I87*'2.1 OPEX TUUA'!$N$7,'2.2 OPEX LAP 2023'!I87*'2.1 OPEX TUUA'!$N$8)</f>
        <v>0</v>
      </c>
      <c r="O86" s="3">
        <f>+IF(F86="Pasajero",'2.2 OPEX LAP 2023'!J87*'2.1 OPEX TUUA'!$O$7,'2.2 OPEX LAP 2023'!J87*'2.1 OPEX TUUA'!$O$8)</f>
        <v>0</v>
      </c>
      <c r="P86" s="3">
        <f>+IF(F86="Pasajero",'2.2 OPEX LAP 2023'!K87*'2.1 OPEX TUUA'!$P$7,'2.2 OPEX LAP 2023'!K87*'2.1 OPEX TUUA'!$P$8)</f>
        <v>0</v>
      </c>
      <c r="Q86" s="3">
        <f>+IF(F86="Pasajero",'2.2 OPEX LAP 2023'!L87*'2.1 OPEX TUUA'!$Q$7,'2.2 OPEX LAP 2023'!L87*'2.1 OPEX TUUA'!$Q$8)</f>
        <v>0</v>
      </c>
      <c r="R86" s="3">
        <f>+IF(F86="Pasajero",'2.2 OPEX LAP 2023'!M87*'2.1 OPEX TUUA'!$R$7,'2.2 OPEX LAP 2023'!M87*'2.1 OPEX TUUA'!$R$8)</f>
        <v>0</v>
      </c>
      <c r="S86" s="3">
        <f>+IF(F86="Pasajero",'2.2 OPEX LAP 2023'!N87*'2.1 OPEX TUUA'!$S$7,'2.2 OPEX LAP 2023'!N87*'2.1 OPEX TUUA'!$S$8)</f>
        <v>0</v>
      </c>
      <c r="AA86" s="6"/>
      <c r="AB86" s="6"/>
      <c r="AC86" s="6"/>
      <c r="AD86" s="6"/>
      <c r="AE86" s="6"/>
      <c r="AF86" s="6"/>
    </row>
    <row r="87" spans="2:32" x14ac:dyDescent="0.25">
      <c r="B87" s="16">
        <v>6356000002</v>
      </c>
      <c r="C87" s="190" t="s">
        <v>13</v>
      </c>
      <c r="D87" s="190" t="s">
        <v>40</v>
      </c>
      <c r="E87" s="190" t="s">
        <v>92</v>
      </c>
      <c r="F87" s="162" t="s">
        <v>190</v>
      </c>
      <c r="G87" s="3">
        <f>+IF(F87="Pasajero",'2.2 OPEX LAP 2023'!I88*'2.1 OPEX TUUA'!$G$7,'2.2 OPEX LAP 2023'!I88*'2.1 OPEX TUUA'!$G$8)</f>
        <v>0</v>
      </c>
      <c r="H87" s="3">
        <f>+IF(F87="Pasajero",'2.2 OPEX LAP 2023'!J88*'2.1 OPEX TUUA'!$H$7,'2.2 OPEX LAP 2023'!J88*'2.1 OPEX TUUA'!$H$8)</f>
        <v>0</v>
      </c>
      <c r="I87" s="3">
        <f>+IF(F87="Pasajero",'2.2 OPEX LAP 2023'!K88*'2.1 OPEX TUUA'!$I$7,'2.2 OPEX LAP 2023'!K88*'2.1 OPEX TUUA'!$I$8)</f>
        <v>0</v>
      </c>
      <c r="J87" s="3">
        <f>+IF(F87="Pasajero",'2.2 OPEX LAP 2023'!L88*'2.1 OPEX TUUA'!$J$7,'2.2 OPEX LAP 2023'!L88*'2.1 OPEX TUUA'!$J$8)</f>
        <v>0</v>
      </c>
      <c r="K87" s="3">
        <f>+IF(F87="Pasajero",'2.2 OPEX LAP 2023'!M88*'2.1 OPEX TUUA'!$K$7,'2.2 OPEX LAP 2023'!M88*'2.1 OPEX TUUA'!$K$8)</f>
        <v>0</v>
      </c>
      <c r="L87" s="3">
        <f>+IF(F87="Pasajero",'2.2 OPEX LAP 2023'!N88*'2.1 OPEX TUUA'!$L$7,'2.2 OPEX LAP 2023'!N88*'2.1 OPEX TUUA'!$L$8)</f>
        <v>0</v>
      </c>
      <c r="M87" s="3"/>
      <c r="N87" s="3">
        <f>+IF(F87="Pasajero",'2.2 OPEX LAP 2023'!I88*'2.1 OPEX TUUA'!$N$7,'2.2 OPEX LAP 2023'!I88*'2.1 OPEX TUUA'!$N$8)</f>
        <v>0</v>
      </c>
      <c r="O87" s="3">
        <f>+IF(F87="Pasajero",'2.2 OPEX LAP 2023'!J88*'2.1 OPEX TUUA'!$O$7,'2.2 OPEX LAP 2023'!J88*'2.1 OPEX TUUA'!$O$8)</f>
        <v>0</v>
      </c>
      <c r="P87" s="3">
        <f>+IF(F87="Pasajero",'2.2 OPEX LAP 2023'!K88*'2.1 OPEX TUUA'!$P$7,'2.2 OPEX LAP 2023'!K88*'2.1 OPEX TUUA'!$P$8)</f>
        <v>0</v>
      </c>
      <c r="Q87" s="3">
        <f>+IF(F87="Pasajero",'2.2 OPEX LAP 2023'!L88*'2.1 OPEX TUUA'!$Q$7,'2.2 OPEX LAP 2023'!L88*'2.1 OPEX TUUA'!$Q$8)</f>
        <v>0</v>
      </c>
      <c r="R87" s="3">
        <f>+IF(F87="Pasajero",'2.2 OPEX LAP 2023'!M88*'2.1 OPEX TUUA'!$R$7,'2.2 OPEX LAP 2023'!M88*'2.1 OPEX TUUA'!$R$8)</f>
        <v>0</v>
      </c>
      <c r="S87" s="3">
        <f>+IF(F87="Pasajero",'2.2 OPEX LAP 2023'!N88*'2.1 OPEX TUUA'!$S$7,'2.2 OPEX LAP 2023'!N88*'2.1 OPEX TUUA'!$S$8)</f>
        <v>0</v>
      </c>
      <c r="AA87" s="6"/>
      <c r="AB87" s="6"/>
      <c r="AC87" s="6"/>
      <c r="AD87" s="6"/>
      <c r="AE87" s="6"/>
      <c r="AF87" s="6"/>
    </row>
    <row r="88" spans="2:32" x14ac:dyDescent="0.25">
      <c r="B88" s="16">
        <v>6357000001</v>
      </c>
      <c r="C88" s="190" t="s">
        <v>13</v>
      </c>
      <c r="D88" s="190" t="s">
        <v>40</v>
      </c>
      <c r="E88" s="190" t="s">
        <v>93</v>
      </c>
      <c r="F88" s="162" t="s">
        <v>190</v>
      </c>
      <c r="G88" s="3">
        <f>+IF(F88="Pasajero",'2.2 OPEX LAP 2023'!I89*'2.1 OPEX TUUA'!$G$7,'2.2 OPEX LAP 2023'!I89*'2.1 OPEX TUUA'!$G$8)</f>
        <v>0</v>
      </c>
      <c r="H88" s="3">
        <f>+IF(F88="Pasajero",'2.2 OPEX LAP 2023'!J89*'2.1 OPEX TUUA'!$H$7,'2.2 OPEX LAP 2023'!J89*'2.1 OPEX TUUA'!$H$8)</f>
        <v>0</v>
      </c>
      <c r="I88" s="3">
        <f>+IF(F88="Pasajero",'2.2 OPEX LAP 2023'!K89*'2.1 OPEX TUUA'!$I$7,'2.2 OPEX LAP 2023'!K89*'2.1 OPEX TUUA'!$I$8)</f>
        <v>0</v>
      </c>
      <c r="J88" s="3">
        <f>+IF(F88="Pasajero",'2.2 OPEX LAP 2023'!L89*'2.1 OPEX TUUA'!$J$7,'2.2 OPEX LAP 2023'!L89*'2.1 OPEX TUUA'!$J$8)</f>
        <v>0</v>
      </c>
      <c r="K88" s="3">
        <f>+IF(F88="Pasajero",'2.2 OPEX LAP 2023'!M89*'2.1 OPEX TUUA'!$K$7,'2.2 OPEX LAP 2023'!M89*'2.1 OPEX TUUA'!$K$8)</f>
        <v>0</v>
      </c>
      <c r="L88" s="3">
        <f>+IF(F88="Pasajero",'2.2 OPEX LAP 2023'!N89*'2.1 OPEX TUUA'!$L$7,'2.2 OPEX LAP 2023'!N89*'2.1 OPEX TUUA'!$L$8)</f>
        <v>0</v>
      </c>
      <c r="M88" s="3"/>
      <c r="N88" s="3">
        <f>+IF(F88="Pasajero",'2.2 OPEX LAP 2023'!I89*'2.1 OPEX TUUA'!$N$7,'2.2 OPEX LAP 2023'!I89*'2.1 OPEX TUUA'!$N$8)</f>
        <v>0</v>
      </c>
      <c r="O88" s="3">
        <f>+IF(F88="Pasajero",'2.2 OPEX LAP 2023'!J89*'2.1 OPEX TUUA'!$O$7,'2.2 OPEX LAP 2023'!J89*'2.1 OPEX TUUA'!$O$8)</f>
        <v>0</v>
      </c>
      <c r="P88" s="3">
        <f>+IF(F88="Pasajero",'2.2 OPEX LAP 2023'!K89*'2.1 OPEX TUUA'!$P$7,'2.2 OPEX LAP 2023'!K89*'2.1 OPEX TUUA'!$P$8)</f>
        <v>0</v>
      </c>
      <c r="Q88" s="3">
        <f>+IF(F88="Pasajero",'2.2 OPEX LAP 2023'!L89*'2.1 OPEX TUUA'!$Q$7,'2.2 OPEX LAP 2023'!L89*'2.1 OPEX TUUA'!$Q$8)</f>
        <v>0</v>
      </c>
      <c r="R88" s="3">
        <f>+IF(F88="Pasajero",'2.2 OPEX LAP 2023'!M89*'2.1 OPEX TUUA'!$R$7,'2.2 OPEX LAP 2023'!M89*'2.1 OPEX TUUA'!$R$8)</f>
        <v>0</v>
      </c>
      <c r="S88" s="3">
        <f>+IF(F88="Pasajero",'2.2 OPEX LAP 2023'!N89*'2.1 OPEX TUUA'!$S$7,'2.2 OPEX LAP 2023'!N89*'2.1 OPEX TUUA'!$S$8)</f>
        <v>0</v>
      </c>
      <c r="AA88" s="6"/>
      <c r="AB88" s="6"/>
      <c r="AC88" s="6"/>
      <c r="AD88" s="6"/>
      <c r="AE88" s="6"/>
      <c r="AF88" s="6"/>
    </row>
    <row r="89" spans="2:32" x14ac:dyDescent="0.25">
      <c r="B89" s="16">
        <v>6358000001</v>
      </c>
      <c r="C89" s="190" t="s">
        <v>13</v>
      </c>
      <c r="D89" s="190" t="s">
        <v>40</v>
      </c>
      <c r="E89" s="190" t="s">
        <v>94</v>
      </c>
      <c r="F89" s="162" t="s">
        <v>190</v>
      </c>
      <c r="G89" s="3">
        <f>+IF(F89="Pasajero",'2.2 OPEX LAP 2023'!I90*'2.1 OPEX TUUA'!$G$7,'2.2 OPEX LAP 2023'!I90*'2.1 OPEX TUUA'!$G$8)</f>
        <v>0</v>
      </c>
      <c r="H89" s="3">
        <f>+IF(F89="Pasajero",'2.2 OPEX LAP 2023'!J90*'2.1 OPEX TUUA'!$H$7,'2.2 OPEX LAP 2023'!J90*'2.1 OPEX TUUA'!$H$8)</f>
        <v>0</v>
      </c>
      <c r="I89" s="3">
        <f>+IF(F89="Pasajero",'2.2 OPEX LAP 2023'!K90*'2.1 OPEX TUUA'!$I$7,'2.2 OPEX LAP 2023'!K90*'2.1 OPEX TUUA'!$I$8)</f>
        <v>0</v>
      </c>
      <c r="J89" s="3">
        <f>+IF(F89="Pasajero",'2.2 OPEX LAP 2023'!L90*'2.1 OPEX TUUA'!$J$7,'2.2 OPEX LAP 2023'!L90*'2.1 OPEX TUUA'!$J$8)</f>
        <v>0</v>
      </c>
      <c r="K89" s="3">
        <f>+IF(F89="Pasajero",'2.2 OPEX LAP 2023'!M90*'2.1 OPEX TUUA'!$K$7,'2.2 OPEX LAP 2023'!M90*'2.1 OPEX TUUA'!$K$8)</f>
        <v>0</v>
      </c>
      <c r="L89" s="3">
        <f>+IF(F89="Pasajero",'2.2 OPEX LAP 2023'!N90*'2.1 OPEX TUUA'!$L$7,'2.2 OPEX LAP 2023'!N90*'2.1 OPEX TUUA'!$L$8)</f>
        <v>0</v>
      </c>
      <c r="M89" s="3"/>
      <c r="N89" s="3">
        <f>+IF(F89="Pasajero",'2.2 OPEX LAP 2023'!I90*'2.1 OPEX TUUA'!$N$7,'2.2 OPEX LAP 2023'!I90*'2.1 OPEX TUUA'!$N$8)</f>
        <v>0</v>
      </c>
      <c r="O89" s="3">
        <f>+IF(F89="Pasajero",'2.2 OPEX LAP 2023'!J90*'2.1 OPEX TUUA'!$O$7,'2.2 OPEX LAP 2023'!J90*'2.1 OPEX TUUA'!$O$8)</f>
        <v>0</v>
      </c>
      <c r="P89" s="3">
        <f>+IF(F89="Pasajero",'2.2 OPEX LAP 2023'!K90*'2.1 OPEX TUUA'!$P$7,'2.2 OPEX LAP 2023'!K90*'2.1 OPEX TUUA'!$P$8)</f>
        <v>0</v>
      </c>
      <c r="Q89" s="3">
        <f>+IF(F89="Pasajero",'2.2 OPEX LAP 2023'!L90*'2.1 OPEX TUUA'!$Q$7,'2.2 OPEX LAP 2023'!L90*'2.1 OPEX TUUA'!$Q$8)</f>
        <v>0</v>
      </c>
      <c r="R89" s="3">
        <f>+IF(F89="Pasajero",'2.2 OPEX LAP 2023'!M90*'2.1 OPEX TUUA'!$R$7,'2.2 OPEX LAP 2023'!M90*'2.1 OPEX TUUA'!$R$8)</f>
        <v>0</v>
      </c>
      <c r="S89" s="3">
        <f>+IF(F89="Pasajero",'2.2 OPEX LAP 2023'!N90*'2.1 OPEX TUUA'!$S$7,'2.2 OPEX LAP 2023'!N90*'2.1 OPEX TUUA'!$S$8)</f>
        <v>0</v>
      </c>
      <c r="AA89" s="6"/>
      <c r="AB89" s="6"/>
      <c r="AC89" s="6"/>
      <c r="AD89" s="6"/>
      <c r="AE89" s="6"/>
      <c r="AF89" s="6"/>
    </row>
    <row r="90" spans="2:32" x14ac:dyDescent="0.25">
      <c r="B90" s="16">
        <v>6360000001</v>
      </c>
      <c r="C90" s="190" t="s">
        <v>13</v>
      </c>
      <c r="D90" s="190" t="s">
        <v>40</v>
      </c>
      <c r="E90" s="190" t="s">
        <v>95</v>
      </c>
      <c r="F90" s="162" t="s">
        <v>190</v>
      </c>
      <c r="G90" s="3">
        <f>+IF(F90="Pasajero",'2.2 OPEX LAP 2023'!I91*'2.1 OPEX TUUA'!$G$7,'2.2 OPEX LAP 2023'!I91*'2.1 OPEX TUUA'!$G$8)</f>
        <v>499.82416346541862</v>
      </c>
      <c r="H90" s="3">
        <f>+IF(F90="Pasajero",'2.2 OPEX LAP 2023'!J91*'2.1 OPEX TUUA'!$H$7,'2.2 OPEX LAP 2023'!J91*'2.1 OPEX TUUA'!$H$8)</f>
        <v>587.67870111237016</v>
      </c>
      <c r="I90" s="3">
        <f>+IF(F90="Pasajero",'2.2 OPEX LAP 2023'!K91*'2.1 OPEX TUUA'!$I$7,'2.2 OPEX LAP 2023'!K91*'2.1 OPEX TUUA'!$I$8)</f>
        <v>661.56007227883515</v>
      </c>
      <c r="J90" s="3">
        <f>+IF(F90="Pasajero",'2.2 OPEX LAP 2023'!L91*'2.1 OPEX TUUA'!$J$7,'2.2 OPEX LAP 2023'!L91*'2.1 OPEX TUUA'!$J$8)</f>
        <v>701.97444536496369</v>
      </c>
      <c r="K90" s="3">
        <f>+IF(F90="Pasajero",'2.2 OPEX LAP 2023'!M91*'2.1 OPEX TUUA'!$K$7,'2.2 OPEX LAP 2023'!M91*'2.1 OPEX TUUA'!$K$8)</f>
        <v>731.42397774436802</v>
      </c>
      <c r="L90" s="3">
        <f>+IF(F90="Pasajero",'2.2 OPEX LAP 2023'!N91*'2.1 OPEX TUUA'!$L$7,'2.2 OPEX LAP 2023'!N91*'2.1 OPEX TUUA'!$L$8)</f>
        <v>764.25766380672474</v>
      </c>
      <c r="M90" s="3"/>
      <c r="N90" s="3">
        <f>+IF(F90="Pasajero",'2.2 OPEX LAP 2023'!I91*'2.1 OPEX TUUA'!$N$7,'2.2 OPEX LAP 2023'!I91*'2.1 OPEX TUUA'!$N$8)</f>
        <v>246.52188635665556</v>
      </c>
      <c r="O90" s="3">
        <f>+IF(F90="Pasajero",'2.2 OPEX LAP 2023'!J91*'2.1 OPEX TUUA'!$O$7,'2.2 OPEX LAP 2023'!J91*'2.1 OPEX TUUA'!$O$8)</f>
        <v>243.39490660130849</v>
      </c>
      <c r="P90" s="3">
        <f>+IF(F90="Pasajero",'2.2 OPEX LAP 2023'!K91*'2.1 OPEX TUUA'!$P$7,'2.2 OPEX LAP 2023'!K91*'2.1 OPEX TUUA'!$P$8)</f>
        <v>242.21611356768975</v>
      </c>
      <c r="Q90" s="3">
        <f>+IF(F90="Pasajero",'2.2 OPEX LAP 2023'!L91*'2.1 OPEX TUUA'!$Q$7,'2.2 OPEX LAP 2023'!L91*'2.1 OPEX TUUA'!$Q$8)</f>
        <v>240.99547901824729</v>
      </c>
      <c r="R90" s="3">
        <f>+IF(F90="Pasajero",'2.2 OPEX LAP 2023'!M91*'2.1 OPEX TUUA'!$R$7,'2.2 OPEX LAP 2023'!M91*'2.1 OPEX TUUA'!$R$8)</f>
        <v>242.50037847564923</v>
      </c>
      <c r="S90" s="3">
        <f>+IF(F90="Pasajero",'2.2 OPEX LAP 2023'!N91*'2.1 OPEX TUUA'!$S$7,'2.2 OPEX LAP 2023'!N91*'2.1 OPEX TUUA'!$S$8)</f>
        <v>242.90832394464144</v>
      </c>
      <c r="AA90" s="6"/>
      <c r="AB90" s="6"/>
      <c r="AC90" s="6"/>
      <c r="AD90" s="6"/>
      <c r="AE90" s="6"/>
      <c r="AF90" s="6"/>
    </row>
    <row r="91" spans="2:32" x14ac:dyDescent="0.25">
      <c r="B91" s="16">
        <v>6360000002</v>
      </c>
      <c r="C91" s="190" t="s">
        <v>13</v>
      </c>
      <c r="D91" s="190" t="s">
        <v>40</v>
      </c>
      <c r="E91" s="190" t="s">
        <v>96</v>
      </c>
      <c r="F91" s="162" t="s">
        <v>191</v>
      </c>
      <c r="G91" s="3">
        <f>+IF(F91="Pasajero",'2.2 OPEX LAP 2023'!I92*'2.1 OPEX TUUA'!$G$7,'2.2 OPEX LAP 2023'!I92*'2.1 OPEX TUUA'!$G$8)</f>
        <v>127035.47552304994</v>
      </c>
      <c r="H91" s="3">
        <f>+IF(F91="Pasajero",'2.2 OPEX LAP 2023'!J92*'2.1 OPEX TUUA'!$H$7,'2.2 OPEX LAP 2023'!J92*'2.1 OPEX TUUA'!$H$8)</f>
        <v>130206.64241556966</v>
      </c>
      <c r="I91" s="3">
        <f>+IF(F91="Pasajero",'2.2 OPEX LAP 2023'!K92*'2.1 OPEX TUUA'!$I$7,'2.2 OPEX LAP 2023'!K92*'2.1 OPEX TUUA'!$I$8)</f>
        <v>132586.09193465169</v>
      </c>
      <c r="J91" s="3">
        <f>+IF(F91="Pasajero",'2.2 OPEX LAP 2023'!L92*'2.1 OPEX TUUA'!$J$7,'2.2 OPEX LAP 2023'!L92*'2.1 OPEX TUUA'!$J$8)</f>
        <v>134999.70319223846</v>
      </c>
      <c r="K91" s="3">
        <f>+IF(F91="Pasajero",'2.2 OPEX LAP 2023'!M92*'2.1 OPEX TUUA'!$K$7,'2.2 OPEX LAP 2023'!M92*'2.1 OPEX TUUA'!$K$8)</f>
        <v>137585.4781590887</v>
      </c>
      <c r="L91" s="3">
        <f>+IF(F91="Pasajero",'2.2 OPEX LAP 2023'!N92*'2.1 OPEX TUUA'!$L$7,'2.2 OPEX LAP 2023'!N92*'2.1 OPEX TUUA'!$L$8)</f>
        <v>140022.18549504149</v>
      </c>
      <c r="M91" s="3"/>
      <c r="N91" s="3">
        <f>+IF(F91="Pasajero",'2.2 OPEX LAP 2023'!I92*'2.1 OPEX TUUA'!$N$7,'2.2 OPEX LAP 2023'!I92*'2.1 OPEX TUUA'!$N$8)</f>
        <v>23739.847488937823</v>
      </c>
      <c r="O91" s="3">
        <f>+IF(F91="Pasajero",'2.2 OPEX LAP 2023'!J92*'2.1 OPEX TUUA'!$O$7,'2.2 OPEX LAP 2023'!J92*'2.1 OPEX TUUA'!$O$8)</f>
        <v>24332.461623536212</v>
      </c>
      <c r="P91" s="3">
        <f>+IF(F91="Pasajero",'2.2 OPEX LAP 2023'!K92*'2.1 OPEX TUUA'!$P$7,'2.2 OPEX LAP 2023'!K92*'2.1 OPEX TUUA'!$P$8)</f>
        <v>24777.122994370253</v>
      </c>
      <c r="Q91" s="3">
        <f>+IF(F91="Pasajero",'2.2 OPEX LAP 2023'!L92*'2.1 OPEX TUUA'!$Q$7,'2.2 OPEX LAP 2023'!L92*'2.1 OPEX TUUA'!$Q$8)</f>
        <v>25228.168365096615</v>
      </c>
      <c r="R91" s="3">
        <f>+IF(F91="Pasajero",'2.2 OPEX LAP 2023'!M92*'2.1 OPEX TUUA'!$R$7,'2.2 OPEX LAP 2023'!M92*'2.1 OPEX TUUA'!$R$8)</f>
        <v>25711.386955029786</v>
      </c>
      <c r="S91" s="3">
        <f>+IF(F91="Pasajero",'2.2 OPEX LAP 2023'!N92*'2.1 OPEX TUUA'!$S$7,'2.2 OPEX LAP 2023'!N92*'2.1 OPEX TUUA'!$S$8)</f>
        <v>26166.748422309051</v>
      </c>
      <c r="AA91" s="6"/>
      <c r="AB91" s="6"/>
      <c r="AC91" s="6"/>
      <c r="AD91" s="6"/>
      <c r="AE91" s="6"/>
      <c r="AF91" s="6"/>
    </row>
    <row r="92" spans="2:32" x14ac:dyDescent="0.25">
      <c r="B92" s="16">
        <v>6360000003</v>
      </c>
      <c r="C92" s="190" t="s">
        <v>13</v>
      </c>
      <c r="D92" s="190" t="s">
        <v>40</v>
      </c>
      <c r="E92" s="190" t="s">
        <v>97</v>
      </c>
      <c r="F92" s="162" t="s">
        <v>191</v>
      </c>
      <c r="G92" s="3">
        <f>+IF(F92="Pasajero",'2.2 OPEX LAP 2023'!I93*'2.1 OPEX TUUA'!$G$7,'2.2 OPEX LAP 2023'!I93*'2.1 OPEX TUUA'!$G$8)</f>
        <v>30961.266283325625</v>
      </c>
      <c r="H92" s="3">
        <f>+IF(F92="Pasajero",'2.2 OPEX LAP 2023'!J93*'2.1 OPEX TUUA'!$H$7,'2.2 OPEX LAP 2023'!J93*'2.1 OPEX TUUA'!$H$8)</f>
        <v>31734.147576396826</v>
      </c>
      <c r="I92" s="3">
        <f>+IF(F92="Pasajero",'2.2 OPEX LAP 2023'!K93*'2.1 OPEX TUUA'!$I$7,'2.2 OPEX LAP 2023'!K93*'2.1 OPEX TUUA'!$I$8)</f>
        <v>32314.070388231088</v>
      </c>
      <c r="J92" s="3">
        <f>+IF(F92="Pasajero",'2.2 OPEX LAP 2023'!L93*'2.1 OPEX TUUA'!$J$7,'2.2 OPEX LAP 2023'!L93*'2.1 OPEX TUUA'!$J$8)</f>
        <v>32902.319147429203</v>
      </c>
      <c r="K92" s="3">
        <f>+IF(F92="Pasajero",'2.2 OPEX LAP 2023'!M93*'2.1 OPEX TUUA'!$K$7,'2.2 OPEX LAP 2023'!M93*'2.1 OPEX TUUA'!$K$8)</f>
        <v>33532.527890048361</v>
      </c>
      <c r="L92" s="3">
        <f>+IF(F92="Pasajero",'2.2 OPEX LAP 2023'!N93*'2.1 OPEX TUUA'!$L$7,'2.2 OPEX LAP 2023'!N93*'2.1 OPEX TUUA'!$L$8)</f>
        <v>34126.405658225638</v>
      </c>
      <c r="M92" s="3"/>
      <c r="N92" s="3">
        <f>+IF(F92="Pasajero",'2.2 OPEX LAP 2023'!I93*'2.1 OPEX TUUA'!$N$7,'2.2 OPEX LAP 2023'!I93*'2.1 OPEX TUUA'!$N$8)</f>
        <v>5785.9093029267897</v>
      </c>
      <c r="O92" s="3">
        <f>+IF(F92="Pasajero",'2.2 OPEX LAP 2023'!J93*'2.1 OPEX TUUA'!$O$7,'2.2 OPEX LAP 2023'!J93*'2.1 OPEX TUUA'!$O$8)</f>
        <v>5930.3420603830664</v>
      </c>
      <c r="P92" s="3">
        <f>+IF(F92="Pasajero",'2.2 OPEX LAP 2023'!K93*'2.1 OPEX TUUA'!$P$7,'2.2 OPEX LAP 2023'!K93*'2.1 OPEX TUUA'!$P$8)</f>
        <v>6038.7155603964802</v>
      </c>
      <c r="Q92" s="3">
        <f>+IF(F92="Pasajero",'2.2 OPEX LAP 2023'!L93*'2.1 OPEX TUUA'!$Q$7,'2.2 OPEX LAP 2023'!L93*'2.1 OPEX TUUA'!$Q$8)</f>
        <v>6148.6449779188042</v>
      </c>
      <c r="R92" s="3">
        <f>+IF(F92="Pasajero",'2.2 OPEX LAP 2023'!M93*'2.1 OPEX TUUA'!$R$7,'2.2 OPEX LAP 2023'!M93*'2.1 OPEX TUUA'!$R$8)</f>
        <v>6266.4156980611424</v>
      </c>
      <c r="S92" s="3">
        <f>+IF(F92="Pasajero",'2.2 OPEX LAP 2023'!N93*'2.1 OPEX TUUA'!$S$7,'2.2 OPEX LAP 2023'!N93*'2.1 OPEX TUUA'!$S$8)</f>
        <v>6377.3970407573497</v>
      </c>
      <c r="AA92" s="6"/>
      <c r="AB92" s="6"/>
      <c r="AC92" s="6"/>
      <c r="AD92" s="6"/>
      <c r="AE92" s="6"/>
      <c r="AF92" s="6"/>
    </row>
    <row r="93" spans="2:32" x14ac:dyDescent="0.25">
      <c r="B93" s="16">
        <v>6360000004</v>
      </c>
      <c r="C93" s="190" t="s">
        <v>13</v>
      </c>
      <c r="D93" s="190" t="s">
        <v>40</v>
      </c>
      <c r="E93" s="190" t="s">
        <v>98</v>
      </c>
      <c r="F93" s="162" t="s">
        <v>190</v>
      </c>
      <c r="G93" s="3">
        <f>+IF(F93="Pasajero",'2.2 OPEX LAP 2023'!I94*'2.1 OPEX TUUA'!$G$7,'2.2 OPEX LAP 2023'!I94*'2.1 OPEX TUUA'!$G$8)</f>
        <v>0</v>
      </c>
      <c r="H93" s="3">
        <f>+IF(F93="Pasajero",'2.2 OPEX LAP 2023'!J94*'2.1 OPEX TUUA'!$H$7,'2.2 OPEX LAP 2023'!J94*'2.1 OPEX TUUA'!$H$8)</f>
        <v>0</v>
      </c>
      <c r="I93" s="3">
        <f>+IF(F93="Pasajero",'2.2 OPEX LAP 2023'!K94*'2.1 OPEX TUUA'!$I$7,'2.2 OPEX LAP 2023'!K94*'2.1 OPEX TUUA'!$I$8)</f>
        <v>0</v>
      </c>
      <c r="J93" s="3">
        <f>+IF(F93="Pasajero",'2.2 OPEX LAP 2023'!L94*'2.1 OPEX TUUA'!$J$7,'2.2 OPEX LAP 2023'!L94*'2.1 OPEX TUUA'!$J$8)</f>
        <v>0</v>
      </c>
      <c r="K93" s="3">
        <f>+IF(F93="Pasajero",'2.2 OPEX LAP 2023'!M94*'2.1 OPEX TUUA'!$K$7,'2.2 OPEX LAP 2023'!M94*'2.1 OPEX TUUA'!$K$8)</f>
        <v>0</v>
      </c>
      <c r="L93" s="3">
        <f>+IF(F93="Pasajero",'2.2 OPEX LAP 2023'!N94*'2.1 OPEX TUUA'!$L$7,'2.2 OPEX LAP 2023'!N94*'2.1 OPEX TUUA'!$L$8)</f>
        <v>0</v>
      </c>
      <c r="M93" s="3"/>
      <c r="N93" s="3">
        <f>+IF(F93="Pasajero",'2.2 OPEX LAP 2023'!I94*'2.1 OPEX TUUA'!$N$7,'2.2 OPEX LAP 2023'!I94*'2.1 OPEX TUUA'!$N$8)</f>
        <v>0</v>
      </c>
      <c r="O93" s="3">
        <f>+IF(F93="Pasajero",'2.2 OPEX LAP 2023'!J94*'2.1 OPEX TUUA'!$O$7,'2.2 OPEX LAP 2023'!J94*'2.1 OPEX TUUA'!$O$8)</f>
        <v>0</v>
      </c>
      <c r="P93" s="3">
        <f>+IF(F93="Pasajero",'2.2 OPEX LAP 2023'!K94*'2.1 OPEX TUUA'!$P$7,'2.2 OPEX LAP 2023'!K94*'2.1 OPEX TUUA'!$P$8)</f>
        <v>0</v>
      </c>
      <c r="Q93" s="3">
        <f>+IF(F93="Pasajero",'2.2 OPEX LAP 2023'!L94*'2.1 OPEX TUUA'!$Q$7,'2.2 OPEX LAP 2023'!L94*'2.1 OPEX TUUA'!$Q$8)</f>
        <v>0</v>
      </c>
      <c r="R93" s="3">
        <f>+IF(F93="Pasajero",'2.2 OPEX LAP 2023'!M94*'2.1 OPEX TUUA'!$R$7,'2.2 OPEX LAP 2023'!M94*'2.1 OPEX TUUA'!$R$8)</f>
        <v>0</v>
      </c>
      <c r="S93" s="3">
        <f>+IF(F93="Pasajero",'2.2 OPEX LAP 2023'!N94*'2.1 OPEX TUUA'!$S$7,'2.2 OPEX LAP 2023'!N94*'2.1 OPEX TUUA'!$S$8)</f>
        <v>0</v>
      </c>
      <c r="AA93" s="6"/>
      <c r="AB93" s="6"/>
      <c r="AC93" s="6"/>
      <c r="AD93" s="6"/>
      <c r="AE93" s="6"/>
      <c r="AF93" s="6"/>
    </row>
    <row r="94" spans="2:32" x14ac:dyDescent="0.25">
      <c r="B94" s="16">
        <v>6360000005</v>
      </c>
      <c r="C94" s="190" t="s">
        <v>13</v>
      </c>
      <c r="D94" s="190" t="s">
        <v>40</v>
      </c>
      <c r="E94" s="190" t="s">
        <v>99</v>
      </c>
      <c r="F94" s="162" t="s">
        <v>190</v>
      </c>
      <c r="G94" s="3">
        <f>+IF(F94="Pasajero",'2.2 OPEX LAP 2023'!I95*'2.1 OPEX TUUA'!$G$7,'2.2 OPEX LAP 2023'!I95*'2.1 OPEX TUUA'!$G$8)</f>
        <v>0</v>
      </c>
      <c r="H94" s="3">
        <f>+IF(F94="Pasajero",'2.2 OPEX LAP 2023'!J95*'2.1 OPEX TUUA'!$H$7,'2.2 OPEX LAP 2023'!J95*'2.1 OPEX TUUA'!$H$8)</f>
        <v>0</v>
      </c>
      <c r="I94" s="3">
        <f>+IF(F94="Pasajero",'2.2 OPEX LAP 2023'!K95*'2.1 OPEX TUUA'!$I$7,'2.2 OPEX LAP 2023'!K95*'2.1 OPEX TUUA'!$I$8)</f>
        <v>0</v>
      </c>
      <c r="J94" s="3">
        <f>+IF(F94="Pasajero",'2.2 OPEX LAP 2023'!L95*'2.1 OPEX TUUA'!$J$7,'2.2 OPEX LAP 2023'!L95*'2.1 OPEX TUUA'!$J$8)</f>
        <v>0</v>
      </c>
      <c r="K94" s="3">
        <f>+IF(F94="Pasajero",'2.2 OPEX LAP 2023'!M95*'2.1 OPEX TUUA'!$K$7,'2.2 OPEX LAP 2023'!M95*'2.1 OPEX TUUA'!$K$8)</f>
        <v>0</v>
      </c>
      <c r="L94" s="3">
        <f>+IF(F94="Pasajero",'2.2 OPEX LAP 2023'!N95*'2.1 OPEX TUUA'!$L$7,'2.2 OPEX LAP 2023'!N95*'2.1 OPEX TUUA'!$L$8)</f>
        <v>0</v>
      </c>
      <c r="M94" s="3"/>
      <c r="N94" s="3">
        <f>+IF(F94="Pasajero",'2.2 OPEX LAP 2023'!I95*'2.1 OPEX TUUA'!$N$7,'2.2 OPEX LAP 2023'!I95*'2.1 OPEX TUUA'!$N$8)</f>
        <v>0</v>
      </c>
      <c r="O94" s="3">
        <f>+IF(F94="Pasajero",'2.2 OPEX LAP 2023'!J95*'2.1 OPEX TUUA'!$O$7,'2.2 OPEX LAP 2023'!J95*'2.1 OPEX TUUA'!$O$8)</f>
        <v>0</v>
      </c>
      <c r="P94" s="3">
        <f>+IF(F94="Pasajero",'2.2 OPEX LAP 2023'!K95*'2.1 OPEX TUUA'!$P$7,'2.2 OPEX LAP 2023'!K95*'2.1 OPEX TUUA'!$P$8)</f>
        <v>0</v>
      </c>
      <c r="Q94" s="3">
        <f>+IF(F94="Pasajero",'2.2 OPEX LAP 2023'!L95*'2.1 OPEX TUUA'!$Q$7,'2.2 OPEX LAP 2023'!L95*'2.1 OPEX TUUA'!$Q$8)</f>
        <v>0</v>
      </c>
      <c r="R94" s="3">
        <f>+IF(F94="Pasajero",'2.2 OPEX LAP 2023'!M95*'2.1 OPEX TUUA'!$R$7,'2.2 OPEX LAP 2023'!M95*'2.1 OPEX TUUA'!$R$8)</f>
        <v>0</v>
      </c>
      <c r="S94" s="3">
        <f>+IF(F94="Pasajero",'2.2 OPEX LAP 2023'!N95*'2.1 OPEX TUUA'!$S$7,'2.2 OPEX LAP 2023'!N95*'2.1 OPEX TUUA'!$S$8)</f>
        <v>0</v>
      </c>
      <c r="AA94" s="6"/>
      <c r="AB94" s="6"/>
      <c r="AC94" s="6"/>
      <c r="AD94" s="6"/>
      <c r="AE94" s="6"/>
      <c r="AF94" s="6"/>
    </row>
    <row r="95" spans="2:32" x14ac:dyDescent="0.25">
      <c r="B95" s="16">
        <v>6370000001</v>
      </c>
      <c r="C95" s="190" t="s">
        <v>13</v>
      </c>
      <c r="D95" s="190" t="s">
        <v>40</v>
      </c>
      <c r="E95" s="190" t="s">
        <v>100</v>
      </c>
      <c r="F95" s="162" t="s">
        <v>190</v>
      </c>
      <c r="G95" s="3">
        <f>+IF(F95="Pasajero",'2.2 OPEX LAP 2023'!I96*'2.1 OPEX TUUA'!$G$7,'2.2 OPEX LAP 2023'!I96*'2.1 OPEX TUUA'!$G$8)</f>
        <v>0</v>
      </c>
      <c r="H95" s="3">
        <f>+IF(F95="Pasajero",'2.2 OPEX LAP 2023'!J96*'2.1 OPEX TUUA'!$H$7,'2.2 OPEX LAP 2023'!J96*'2.1 OPEX TUUA'!$H$8)</f>
        <v>0</v>
      </c>
      <c r="I95" s="3">
        <f>+IF(F95="Pasajero",'2.2 OPEX LAP 2023'!K96*'2.1 OPEX TUUA'!$I$7,'2.2 OPEX LAP 2023'!K96*'2.1 OPEX TUUA'!$I$8)</f>
        <v>0</v>
      </c>
      <c r="J95" s="3">
        <f>+IF(F95="Pasajero",'2.2 OPEX LAP 2023'!L96*'2.1 OPEX TUUA'!$J$7,'2.2 OPEX LAP 2023'!L96*'2.1 OPEX TUUA'!$J$8)</f>
        <v>0</v>
      </c>
      <c r="K95" s="3">
        <f>+IF(F95="Pasajero",'2.2 OPEX LAP 2023'!M96*'2.1 OPEX TUUA'!$K$7,'2.2 OPEX LAP 2023'!M96*'2.1 OPEX TUUA'!$K$8)</f>
        <v>0</v>
      </c>
      <c r="L95" s="3">
        <f>+IF(F95="Pasajero",'2.2 OPEX LAP 2023'!N96*'2.1 OPEX TUUA'!$L$7,'2.2 OPEX LAP 2023'!N96*'2.1 OPEX TUUA'!$L$8)</f>
        <v>0</v>
      </c>
      <c r="M95" s="3"/>
      <c r="N95" s="3">
        <f>+IF(F95="Pasajero",'2.2 OPEX LAP 2023'!I96*'2.1 OPEX TUUA'!$N$7,'2.2 OPEX LAP 2023'!I96*'2.1 OPEX TUUA'!$N$8)</f>
        <v>0</v>
      </c>
      <c r="O95" s="3">
        <f>+IF(F95="Pasajero",'2.2 OPEX LAP 2023'!J96*'2.1 OPEX TUUA'!$O$7,'2.2 OPEX LAP 2023'!J96*'2.1 OPEX TUUA'!$O$8)</f>
        <v>0</v>
      </c>
      <c r="P95" s="3">
        <f>+IF(F95="Pasajero",'2.2 OPEX LAP 2023'!K96*'2.1 OPEX TUUA'!$P$7,'2.2 OPEX LAP 2023'!K96*'2.1 OPEX TUUA'!$P$8)</f>
        <v>0</v>
      </c>
      <c r="Q95" s="3">
        <f>+IF(F95="Pasajero",'2.2 OPEX LAP 2023'!L96*'2.1 OPEX TUUA'!$Q$7,'2.2 OPEX LAP 2023'!L96*'2.1 OPEX TUUA'!$Q$8)</f>
        <v>0</v>
      </c>
      <c r="R95" s="3">
        <f>+IF(F95="Pasajero",'2.2 OPEX LAP 2023'!M96*'2.1 OPEX TUUA'!$R$7,'2.2 OPEX LAP 2023'!M96*'2.1 OPEX TUUA'!$R$8)</f>
        <v>0</v>
      </c>
      <c r="S95" s="3">
        <f>+IF(F95="Pasajero",'2.2 OPEX LAP 2023'!N96*'2.1 OPEX TUUA'!$S$7,'2.2 OPEX LAP 2023'!N96*'2.1 OPEX TUUA'!$S$8)</f>
        <v>0</v>
      </c>
      <c r="AA95" s="6"/>
      <c r="AB95" s="6"/>
      <c r="AC95" s="6"/>
      <c r="AD95" s="6"/>
      <c r="AE95" s="6"/>
      <c r="AF95" s="6"/>
    </row>
    <row r="96" spans="2:32" x14ac:dyDescent="0.25">
      <c r="B96" s="16">
        <v>6370000002</v>
      </c>
      <c r="C96" s="190" t="s">
        <v>13</v>
      </c>
      <c r="D96" s="190" t="s">
        <v>40</v>
      </c>
      <c r="E96" s="190" t="s">
        <v>101</v>
      </c>
      <c r="F96" s="162" t="s">
        <v>190</v>
      </c>
      <c r="G96" s="3">
        <f>+IF(F96="Pasajero",'2.2 OPEX LAP 2023'!I97*'2.1 OPEX TUUA'!$G$7,'2.2 OPEX LAP 2023'!I97*'2.1 OPEX TUUA'!$G$8)</f>
        <v>0</v>
      </c>
      <c r="H96" s="3">
        <f>+IF(F96="Pasajero",'2.2 OPEX LAP 2023'!J97*'2.1 OPEX TUUA'!$H$7,'2.2 OPEX LAP 2023'!J97*'2.1 OPEX TUUA'!$H$8)</f>
        <v>0</v>
      </c>
      <c r="I96" s="3">
        <f>+IF(F96="Pasajero",'2.2 OPEX LAP 2023'!K97*'2.1 OPEX TUUA'!$I$7,'2.2 OPEX LAP 2023'!K97*'2.1 OPEX TUUA'!$I$8)</f>
        <v>0</v>
      </c>
      <c r="J96" s="3">
        <f>+IF(F96="Pasajero",'2.2 OPEX LAP 2023'!L97*'2.1 OPEX TUUA'!$J$7,'2.2 OPEX LAP 2023'!L97*'2.1 OPEX TUUA'!$J$8)</f>
        <v>0</v>
      </c>
      <c r="K96" s="3">
        <f>+IF(F96="Pasajero",'2.2 OPEX LAP 2023'!M97*'2.1 OPEX TUUA'!$K$7,'2.2 OPEX LAP 2023'!M97*'2.1 OPEX TUUA'!$K$8)</f>
        <v>0</v>
      </c>
      <c r="L96" s="3">
        <f>+IF(F96="Pasajero",'2.2 OPEX LAP 2023'!N97*'2.1 OPEX TUUA'!$L$7,'2.2 OPEX LAP 2023'!N97*'2.1 OPEX TUUA'!$L$8)</f>
        <v>0</v>
      </c>
      <c r="M96" s="3"/>
      <c r="N96" s="3">
        <f>+IF(F96="Pasajero",'2.2 OPEX LAP 2023'!I97*'2.1 OPEX TUUA'!$N$7,'2.2 OPEX LAP 2023'!I97*'2.1 OPEX TUUA'!$N$8)</f>
        <v>0</v>
      </c>
      <c r="O96" s="3">
        <f>+IF(F96="Pasajero",'2.2 OPEX LAP 2023'!J97*'2.1 OPEX TUUA'!$O$7,'2.2 OPEX LAP 2023'!J97*'2.1 OPEX TUUA'!$O$8)</f>
        <v>0</v>
      </c>
      <c r="P96" s="3">
        <f>+IF(F96="Pasajero",'2.2 OPEX LAP 2023'!K97*'2.1 OPEX TUUA'!$P$7,'2.2 OPEX LAP 2023'!K97*'2.1 OPEX TUUA'!$P$8)</f>
        <v>0</v>
      </c>
      <c r="Q96" s="3">
        <f>+IF(F96="Pasajero",'2.2 OPEX LAP 2023'!L97*'2.1 OPEX TUUA'!$Q$7,'2.2 OPEX LAP 2023'!L97*'2.1 OPEX TUUA'!$Q$8)</f>
        <v>0</v>
      </c>
      <c r="R96" s="3">
        <f>+IF(F96="Pasajero",'2.2 OPEX LAP 2023'!M97*'2.1 OPEX TUUA'!$R$7,'2.2 OPEX LAP 2023'!M97*'2.1 OPEX TUUA'!$R$8)</f>
        <v>0</v>
      </c>
      <c r="S96" s="3">
        <f>+IF(F96="Pasajero",'2.2 OPEX LAP 2023'!N97*'2.1 OPEX TUUA'!$S$7,'2.2 OPEX LAP 2023'!N97*'2.1 OPEX TUUA'!$S$8)</f>
        <v>0</v>
      </c>
      <c r="AA96" s="6"/>
      <c r="AB96" s="6"/>
      <c r="AC96" s="6"/>
      <c r="AD96" s="6"/>
      <c r="AE96" s="6"/>
      <c r="AF96" s="6"/>
    </row>
    <row r="97" spans="2:32" x14ac:dyDescent="0.25">
      <c r="B97" s="16">
        <v>6370000003</v>
      </c>
      <c r="C97" s="190" t="s">
        <v>13</v>
      </c>
      <c r="D97" s="190" t="s">
        <v>40</v>
      </c>
      <c r="E97" s="190" t="s">
        <v>102</v>
      </c>
      <c r="F97" s="162" t="s">
        <v>190</v>
      </c>
      <c r="G97" s="3">
        <f>+IF(F97="Pasajero",'2.2 OPEX LAP 2023'!I98*'2.1 OPEX TUUA'!$G$7,'2.2 OPEX LAP 2023'!I98*'2.1 OPEX TUUA'!$G$8)</f>
        <v>0</v>
      </c>
      <c r="H97" s="3">
        <f>+IF(F97="Pasajero",'2.2 OPEX LAP 2023'!J98*'2.1 OPEX TUUA'!$H$7,'2.2 OPEX LAP 2023'!J98*'2.1 OPEX TUUA'!$H$8)</f>
        <v>0</v>
      </c>
      <c r="I97" s="3">
        <f>+IF(F97="Pasajero",'2.2 OPEX LAP 2023'!K98*'2.1 OPEX TUUA'!$I$7,'2.2 OPEX LAP 2023'!K98*'2.1 OPEX TUUA'!$I$8)</f>
        <v>0</v>
      </c>
      <c r="J97" s="3">
        <f>+IF(F97="Pasajero",'2.2 OPEX LAP 2023'!L98*'2.1 OPEX TUUA'!$J$7,'2.2 OPEX LAP 2023'!L98*'2.1 OPEX TUUA'!$J$8)</f>
        <v>0</v>
      </c>
      <c r="K97" s="3">
        <f>+IF(F97="Pasajero",'2.2 OPEX LAP 2023'!M98*'2.1 OPEX TUUA'!$K$7,'2.2 OPEX LAP 2023'!M98*'2.1 OPEX TUUA'!$K$8)</f>
        <v>0</v>
      </c>
      <c r="L97" s="3">
        <f>+IF(F97="Pasajero",'2.2 OPEX LAP 2023'!N98*'2.1 OPEX TUUA'!$L$7,'2.2 OPEX LAP 2023'!N98*'2.1 OPEX TUUA'!$L$8)</f>
        <v>0</v>
      </c>
      <c r="M97" s="3"/>
      <c r="N97" s="3">
        <f>+IF(F97="Pasajero",'2.2 OPEX LAP 2023'!I98*'2.1 OPEX TUUA'!$N$7,'2.2 OPEX LAP 2023'!I98*'2.1 OPEX TUUA'!$N$8)</f>
        <v>0</v>
      </c>
      <c r="O97" s="3">
        <f>+IF(F97="Pasajero",'2.2 OPEX LAP 2023'!J98*'2.1 OPEX TUUA'!$O$7,'2.2 OPEX LAP 2023'!J98*'2.1 OPEX TUUA'!$O$8)</f>
        <v>0</v>
      </c>
      <c r="P97" s="3">
        <f>+IF(F97="Pasajero",'2.2 OPEX LAP 2023'!K98*'2.1 OPEX TUUA'!$P$7,'2.2 OPEX LAP 2023'!K98*'2.1 OPEX TUUA'!$P$8)</f>
        <v>0</v>
      </c>
      <c r="Q97" s="3">
        <f>+IF(F97="Pasajero",'2.2 OPEX LAP 2023'!L98*'2.1 OPEX TUUA'!$Q$7,'2.2 OPEX LAP 2023'!L98*'2.1 OPEX TUUA'!$Q$8)</f>
        <v>0</v>
      </c>
      <c r="R97" s="3">
        <f>+IF(F97="Pasajero",'2.2 OPEX LAP 2023'!M98*'2.1 OPEX TUUA'!$R$7,'2.2 OPEX LAP 2023'!M98*'2.1 OPEX TUUA'!$R$8)</f>
        <v>0</v>
      </c>
      <c r="S97" s="3">
        <f>+IF(F97="Pasajero",'2.2 OPEX LAP 2023'!N98*'2.1 OPEX TUUA'!$S$7,'2.2 OPEX LAP 2023'!N98*'2.1 OPEX TUUA'!$S$8)</f>
        <v>0</v>
      </c>
      <c r="AA97" s="6"/>
      <c r="AB97" s="6"/>
      <c r="AC97" s="6"/>
      <c r="AD97" s="6"/>
      <c r="AE97" s="6"/>
      <c r="AF97" s="6"/>
    </row>
    <row r="98" spans="2:32" x14ac:dyDescent="0.25">
      <c r="B98" s="16">
        <v>6380000002</v>
      </c>
      <c r="C98" s="190" t="s">
        <v>13</v>
      </c>
      <c r="D98" s="190" t="s">
        <v>40</v>
      </c>
      <c r="E98" s="190" t="s">
        <v>103</v>
      </c>
      <c r="F98" s="162" t="s">
        <v>190</v>
      </c>
      <c r="G98" s="3">
        <f>+IF(F98="Pasajero",'2.2 OPEX LAP 2023'!I99*'2.1 OPEX TUUA'!$G$7,'2.2 OPEX LAP 2023'!I99*'2.1 OPEX TUUA'!$G$8)</f>
        <v>0</v>
      </c>
      <c r="H98" s="3">
        <f>+IF(F98="Pasajero",'2.2 OPEX LAP 2023'!J99*'2.1 OPEX TUUA'!$H$7,'2.2 OPEX LAP 2023'!J99*'2.1 OPEX TUUA'!$H$8)</f>
        <v>0</v>
      </c>
      <c r="I98" s="3">
        <f>+IF(F98="Pasajero",'2.2 OPEX LAP 2023'!K99*'2.1 OPEX TUUA'!$I$7,'2.2 OPEX LAP 2023'!K99*'2.1 OPEX TUUA'!$I$8)</f>
        <v>0</v>
      </c>
      <c r="J98" s="3">
        <f>+IF(F98="Pasajero",'2.2 OPEX LAP 2023'!L99*'2.1 OPEX TUUA'!$J$7,'2.2 OPEX LAP 2023'!L99*'2.1 OPEX TUUA'!$J$8)</f>
        <v>0</v>
      </c>
      <c r="K98" s="3">
        <f>+IF(F98="Pasajero",'2.2 OPEX LAP 2023'!M99*'2.1 OPEX TUUA'!$K$7,'2.2 OPEX LAP 2023'!M99*'2.1 OPEX TUUA'!$K$8)</f>
        <v>0</v>
      </c>
      <c r="L98" s="3">
        <f>+IF(F98="Pasajero",'2.2 OPEX LAP 2023'!N99*'2.1 OPEX TUUA'!$L$7,'2.2 OPEX LAP 2023'!N99*'2.1 OPEX TUUA'!$L$8)</f>
        <v>0</v>
      </c>
      <c r="M98" s="3"/>
      <c r="N98" s="3">
        <f>+IF(F98="Pasajero",'2.2 OPEX LAP 2023'!I99*'2.1 OPEX TUUA'!$N$7,'2.2 OPEX LAP 2023'!I99*'2.1 OPEX TUUA'!$N$8)</f>
        <v>0</v>
      </c>
      <c r="O98" s="3">
        <f>+IF(F98="Pasajero",'2.2 OPEX LAP 2023'!J99*'2.1 OPEX TUUA'!$O$7,'2.2 OPEX LAP 2023'!J99*'2.1 OPEX TUUA'!$O$8)</f>
        <v>0</v>
      </c>
      <c r="P98" s="3">
        <f>+IF(F98="Pasajero",'2.2 OPEX LAP 2023'!K99*'2.1 OPEX TUUA'!$P$7,'2.2 OPEX LAP 2023'!K99*'2.1 OPEX TUUA'!$P$8)</f>
        <v>0</v>
      </c>
      <c r="Q98" s="3">
        <f>+IF(F98="Pasajero",'2.2 OPEX LAP 2023'!L99*'2.1 OPEX TUUA'!$Q$7,'2.2 OPEX LAP 2023'!L99*'2.1 OPEX TUUA'!$Q$8)</f>
        <v>0</v>
      </c>
      <c r="R98" s="3">
        <f>+IF(F98="Pasajero",'2.2 OPEX LAP 2023'!M99*'2.1 OPEX TUUA'!$R$7,'2.2 OPEX LAP 2023'!M99*'2.1 OPEX TUUA'!$R$8)</f>
        <v>0</v>
      </c>
      <c r="S98" s="3">
        <f>+IF(F98="Pasajero",'2.2 OPEX LAP 2023'!N99*'2.1 OPEX TUUA'!$S$7,'2.2 OPEX LAP 2023'!N99*'2.1 OPEX TUUA'!$S$8)</f>
        <v>0</v>
      </c>
      <c r="AA98" s="6"/>
      <c r="AB98" s="6"/>
      <c r="AC98" s="6"/>
      <c r="AD98" s="6"/>
      <c r="AE98" s="6"/>
      <c r="AF98" s="6"/>
    </row>
    <row r="99" spans="2:32" x14ac:dyDescent="0.25">
      <c r="B99" s="16">
        <v>6380000003</v>
      </c>
      <c r="C99" s="190" t="s">
        <v>13</v>
      </c>
      <c r="D99" s="190" t="s">
        <v>38</v>
      </c>
      <c r="E99" s="190" t="s">
        <v>104</v>
      </c>
      <c r="F99" s="162" t="s">
        <v>190</v>
      </c>
      <c r="G99" s="3">
        <f>+IF(F99="Pasajero",'2.2 OPEX LAP 2023'!I100*'2.1 OPEX TUUA'!$G$7,'2.2 OPEX LAP 2023'!I100*'2.1 OPEX TUUA'!$G$8)</f>
        <v>0</v>
      </c>
      <c r="H99" s="3">
        <f>+IF(F99="Pasajero",'2.2 OPEX LAP 2023'!J100*'2.1 OPEX TUUA'!$H$7,'2.2 OPEX LAP 2023'!J100*'2.1 OPEX TUUA'!$H$8)</f>
        <v>0</v>
      </c>
      <c r="I99" s="3">
        <f>+IF(F99="Pasajero",'2.2 OPEX LAP 2023'!K100*'2.1 OPEX TUUA'!$I$7,'2.2 OPEX LAP 2023'!K100*'2.1 OPEX TUUA'!$I$8)</f>
        <v>0</v>
      </c>
      <c r="J99" s="3">
        <f>+IF(F99="Pasajero",'2.2 OPEX LAP 2023'!L100*'2.1 OPEX TUUA'!$J$7,'2.2 OPEX LAP 2023'!L100*'2.1 OPEX TUUA'!$J$8)</f>
        <v>0</v>
      </c>
      <c r="K99" s="3">
        <f>+IF(F99="Pasajero",'2.2 OPEX LAP 2023'!M100*'2.1 OPEX TUUA'!$K$7,'2.2 OPEX LAP 2023'!M100*'2.1 OPEX TUUA'!$K$8)</f>
        <v>0</v>
      </c>
      <c r="L99" s="3">
        <f>+IF(F99="Pasajero",'2.2 OPEX LAP 2023'!N100*'2.1 OPEX TUUA'!$L$7,'2.2 OPEX LAP 2023'!N100*'2.1 OPEX TUUA'!$L$8)</f>
        <v>0</v>
      </c>
      <c r="M99" s="3"/>
      <c r="N99" s="3">
        <f>+IF(F99="Pasajero",'2.2 OPEX LAP 2023'!I100*'2.1 OPEX TUUA'!$N$7,'2.2 OPEX LAP 2023'!I100*'2.1 OPEX TUUA'!$N$8)</f>
        <v>0</v>
      </c>
      <c r="O99" s="3">
        <f>+IF(F99="Pasajero",'2.2 OPEX LAP 2023'!J100*'2.1 OPEX TUUA'!$O$7,'2.2 OPEX LAP 2023'!J100*'2.1 OPEX TUUA'!$O$8)</f>
        <v>0</v>
      </c>
      <c r="P99" s="3">
        <f>+IF(F99="Pasajero",'2.2 OPEX LAP 2023'!K100*'2.1 OPEX TUUA'!$P$7,'2.2 OPEX LAP 2023'!K100*'2.1 OPEX TUUA'!$P$8)</f>
        <v>0</v>
      </c>
      <c r="Q99" s="3">
        <f>+IF(F99="Pasajero",'2.2 OPEX LAP 2023'!L100*'2.1 OPEX TUUA'!$Q$7,'2.2 OPEX LAP 2023'!L100*'2.1 OPEX TUUA'!$Q$8)</f>
        <v>0</v>
      </c>
      <c r="R99" s="3">
        <f>+IF(F99="Pasajero",'2.2 OPEX LAP 2023'!M100*'2.1 OPEX TUUA'!$R$7,'2.2 OPEX LAP 2023'!M100*'2.1 OPEX TUUA'!$R$8)</f>
        <v>0</v>
      </c>
      <c r="S99" s="3">
        <f>+IF(F99="Pasajero",'2.2 OPEX LAP 2023'!N100*'2.1 OPEX TUUA'!$S$7,'2.2 OPEX LAP 2023'!N100*'2.1 OPEX TUUA'!$S$8)</f>
        <v>0</v>
      </c>
      <c r="AA99" s="6"/>
      <c r="AB99" s="6"/>
      <c r="AC99" s="6"/>
      <c r="AD99" s="6"/>
      <c r="AE99" s="6"/>
      <c r="AF99" s="6"/>
    </row>
    <row r="100" spans="2:32" x14ac:dyDescent="0.25">
      <c r="B100" s="16">
        <v>6380000004</v>
      </c>
      <c r="C100" s="190" t="s">
        <v>13</v>
      </c>
      <c r="D100" s="190" t="s">
        <v>49</v>
      </c>
      <c r="E100" s="190" t="s">
        <v>105</v>
      </c>
      <c r="F100" s="162" t="s">
        <v>191</v>
      </c>
      <c r="G100" s="3">
        <f>+IF(F100="Pasajero",'2.2 OPEX LAP 2023'!I101*'2.1 OPEX TUUA'!$G$7,'2.2 OPEX LAP 2023'!I101*'2.1 OPEX TUUA'!$G$8)</f>
        <v>203287.2379795115</v>
      </c>
      <c r="H100" s="3">
        <f>+IF(F100="Pasajero",'2.2 OPEX LAP 2023'!J101*'2.1 OPEX TUUA'!$H$7,'2.2 OPEX LAP 2023'!J101*'2.1 OPEX TUUA'!$H$8)</f>
        <v>208361.86580373239</v>
      </c>
      <c r="I100" s="3">
        <f>+IF(F100="Pasajero",'2.2 OPEX LAP 2023'!K101*'2.1 OPEX TUUA'!$I$7,'2.2 OPEX LAP 2023'!K101*'2.1 OPEX TUUA'!$I$8)</f>
        <v>212169.55588915342</v>
      </c>
      <c r="J100" s="3">
        <f>+IF(F100="Pasajero",'2.2 OPEX LAP 2023'!L101*'2.1 OPEX TUUA'!$J$7,'2.2 OPEX LAP 2023'!L101*'2.1 OPEX TUUA'!$J$8)</f>
        <v>216031.91295194131</v>
      </c>
      <c r="K100" s="3">
        <f>+IF(F100="Pasajero",'2.2 OPEX LAP 2023'!M101*'2.1 OPEX TUUA'!$K$7,'2.2 OPEX LAP 2023'!M101*'2.1 OPEX TUUA'!$K$8)</f>
        <v>220169.77325342988</v>
      </c>
      <c r="L100" s="3">
        <f>+IF(F100="Pasajero",'2.2 OPEX LAP 2023'!N101*'2.1 OPEX TUUA'!$L$7,'2.2 OPEX LAP 2023'!N101*'2.1 OPEX TUUA'!$L$8)</f>
        <v>224069.08958259478</v>
      </c>
      <c r="M100" s="3"/>
      <c r="N100" s="3">
        <f>+IF(F100="Pasajero",'2.2 OPEX LAP 2023'!I101*'2.1 OPEX TUUA'!$N$7,'2.2 OPEX LAP 2023'!I101*'2.1 OPEX TUUA'!$N$8)</f>
        <v>37989.451420641613</v>
      </c>
      <c r="O100" s="3">
        <f>+IF(F100="Pasajero",'2.2 OPEX LAP 2023'!J101*'2.1 OPEX TUUA'!$O$7,'2.2 OPEX LAP 2023'!J101*'2.1 OPEX TUUA'!$O$8)</f>
        <v>38937.77621034388</v>
      </c>
      <c r="P100" s="3">
        <f>+IF(F100="Pasajero",'2.2 OPEX LAP 2023'!K101*'2.1 OPEX TUUA'!$P$7,'2.2 OPEX LAP 2023'!K101*'2.1 OPEX TUUA'!$P$8)</f>
        <v>39649.341082603787</v>
      </c>
      <c r="Q100" s="3">
        <f>+IF(F100="Pasajero",'2.2 OPEX LAP 2023'!L101*'2.1 OPEX TUUA'!$Q$7,'2.2 OPEX LAP 2023'!L101*'2.1 OPEX TUUA'!$Q$8)</f>
        <v>40371.121886279921</v>
      </c>
      <c r="R100" s="3">
        <f>+IF(F100="Pasajero",'2.2 OPEX LAP 2023'!M101*'2.1 OPEX TUUA'!$R$7,'2.2 OPEX LAP 2023'!M101*'2.1 OPEX TUUA'!$R$8)</f>
        <v>41144.387559379596</v>
      </c>
      <c r="S100" s="3">
        <f>+IF(F100="Pasajero",'2.2 OPEX LAP 2023'!N101*'2.1 OPEX TUUA'!$S$7,'2.2 OPEX LAP 2023'!N101*'2.1 OPEX TUUA'!$S$8)</f>
        <v>41873.075153017206</v>
      </c>
      <c r="AA100" s="6"/>
      <c r="AB100" s="6"/>
      <c r="AC100" s="6"/>
      <c r="AD100" s="6"/>
      <c r="AE100" s="6"/>
      <c r="AF100" s="6"/>
    </row>
    <row r="101" spans="2:32" x14ac:dyDescent="0.25">
      <c r="B101" s="16">
        <v>6380000005</v>
      </c>
      <c r="C101" s="190" t="s">
        <v>13</v>
      </c>
      <c r="D101" s="190" t="s">
        <v>38</v>
      </c>
      <c r="E101" s="190" t="s">
        <v>106</v>
      </c>
      <c r="F101" s="162" t="s">
        <v>190</v>
      </c>
      <c r="G101" s="3">
        <f>+IF(F101="Pasajero",'2.2 OPEX LAP 2023'!I102*'2.1 OPEX TUUA'!$G$7,'2.2 OPEX LAP 2023'!I102*'2.1 OPEX TUUA'!$G$8)</f>
        <v>24484.711101211818</v>
      </c>
      <c r="H101" s="3">
        <f>+IF(F101="Pasajero",'2.2 OPEX LAP 2023'!J102*'2.1 OPEX TUUA'!$H$7,'2.2 OPEX LAP 2023'!J102*'2.1 OPEX TUUA'!$H$8)</f>
        <v>28788.4105428355</v>
      </c>
      <c r="I101" s="3">
        <f>+IF(F101="Pasajero",'2.2 OPEX LAP 2023'!K102*'2.1 OPEX TUUA'!$I$7,'2.2 OPEX LAP 2023'!K102*'2.1 OPEX TUUA'!$I$8)</f>
        <v>32407.611375844957</v>
      </c>
      <c r="J101" s="3">
        <f>+IF(F101="Pasajero",'2.2 OPEX LAP 2023'!L102*'2.1 OPEX TUUA'!$J$7,'2.2 OPEX LAP 2023'!L102*'2.1 OPEX TUUA'!$J$8)</f>
        <v>34387.376104484196</v>
      </c>
      <c r="K101" s="3">
        <f>+IF(F101="Pasajero",'2.2 OPEX LAP 2023'!M102*'2.1 OPEX TUUA'!$K$7,'2.2 OPEX LAP 2023'!M102*'2.1 OPEX TUUA'!$K$8)</f>
        <v>35830.010024733601</v>
      </c>
      <c r="L101" s="3">
        <f>+IF(F101="Pasajero",'2.2 OPEX LAP 2023'!N102*'2.1 OPEX TUUA'!$L$7,'2.2 OPEX LAP 2023'!N102*'2.1 OPEX TUUA'!$L$8)</f>
        <v>37438.422295262637</v>
      </c>
      <c r="M101" s="3"/>
      <c r="N101" s="3">
        <f>+IF(F101="Pasajero",'2.2 OPEX LAP 2023'!I102*'2.1 OPEX TUUA'!$N$7,'2.2 OPEX LAP 2023'!I102*'2.1 OPEX TUUA'!$N$8)</f>
        <v>12076.281238024014</v>
      </c>
      <c r="O101" s="3">
        <f>+IF(F101="Pasajero",'2.2 OPEX LAP 2023'!J102*'2.1 OPEX TUUA'!$O$7,'2.2 OPEX LAP 2023'!J102*'2.1 OPEX TUUA'!$O$8)</f>
        <v>11923.10097679339</v>
      </c>
      <c r="P101" s="3">
        <f>+IF(F101="Pasajero",'2.2 OPEX LAP 2023'!K102*'2.1 OPEX TUUA'!$P$7,'2.2 OPEX LAP 2023'!K102*'2.1 OPEX TUUA'!$P$8)</f>
        <v>11865.355855636852</v>
      </c>
      <c r="Q101" s="3">
        <f>+IF(F101="Pasajero",'2.2 OPEX LAP 2023'!L102*'2.1 OPEX TUUA'!$Q$7,'2.2 OPEX LAP 2023'!L102*'2.1 OPEX TUUA'!$Q$8)</f>
        <v>11805.561058810621</v>
      </c>
      <c r="R101" s="3">
        <f>+IF(F101="Pasajero",'2.2 OPEX LAP 2023'!M102*'2.1 OPEX TUUA'!$R$7,'2.2 OPEX LAP 2023'!M102*'2.1 OPEX TUUA'!$R$8)</f>
        <v>11879.281041044746</v>
      </c>
      <c r="S101" s="3">
        <f>+IF(F101="Pasajero",'2.2 OPEX LAP 2023'!N102*'2.1 OPEX TUUA'!$S$7,'2.2 OPEX LAP 2023'!N102*'2.1 OPEX TUUA'!$S$8)</f>
        <v>11899.264922744402</v>
      </c>
      <c r="AA101" s="6"/>
      <c r="AB101" s="6"/>
      <c r="AC101" s="6"/>
      <c r="AD101" s="6"/>
      <c r="AE101" s="6"/>
      <c r="AF101" s="6"/>
    </row>
    <row r="102" spans="2:32" x14ac:dyDescent="0.25">
      <c r="B102" s="16">
        <v>6380000007</v>
      </c>
      <c r="C102" s="190" t="s">
        <v>13</v>
      </c>
      <c r="D102" s="190" t="s">
        <v>40</v>
      </c>
      <c r="E102" s="190" t="s">
        <v>107</v>
      </c>
      <c r="F102" s="162" t="s">
        <v>191</v>
      </c>
      <c r="G102" s="3">
        <f>+IF(F102="Pasajero",'2.2 OPEX LAP 2023'!I103*'2.1 OPEX TUUA'!$G$7,'2.2 OPEX LAP 2023'!I103*'2.1 OPEX TUUA'!$G$8)</f>
        <v>598.21360619321968</v>
      </c>
      <c r="H102" s="3">
        <f>+IF(F102="Pasajero",'2.2 OPEX LAP 2023'!J103*'2.1 OPEX TUUA'!$H$7,'2.2 OPEX LAP 2023'!J103*'2.1 OPEX TUUA'!$H$8)</f>
        <v>613.14671975700173</v>
      </c>
      <c r="I102" s="3">
        <f>+IF(F102="Pasajero",'2.2 OPEX LAP 2023'!K103*'2.1 OPEX TUUA'!$I$7,'2.2 OPEX LAP 2023'!K103*'2.1 OPEX TUUA'!$I$8)</f>
        <v>624.35161407257817</v>
      </c>
      <c r="J102" s="3">
        <f>+IF(F102="Pasajero",'2.2 OPEX LAP 2023'!L103*'2.1 OPEX TUUA'!$J$7,'2.2 OPEX LAP 2023'!L103*'2.1 OPEX TUUA'!$J$8)</f>
        <v>635.71737696994762</v>
      </c>
      <c r="K102" s="3">
        <f>+IF(F102="Pasajero",'2.2 OPEX LAP 2023'!M103*'2.1 OPEX TUUA'!$K$7,'2.2 OPEX LAP 2023'!M103*'2.1 OPEX TUUA'!$K$8)</f>
        <v>647.89386358799436</v>
      </c>
      <c r="L102" s="3">
        <f>+IF(F102="Pasajero",'2.2 OPEX LAP 2023'!N103*'2.1 OPEX TUUA'!$L$7,'2.2 OPEX LAP 2023'!N103*'2.1 OPEX TUUA'!$L$8)</f>
        <v>659.36838656416342</v>
      </c>
      <c r="M102" s="3"/>
      <c r="N102" s="3">
        <f>+IF(F102="Pasajero",'2.2 OPEX LAP 2023'!I103*'2.1 OPEX TUUA'!$N$7,'2.2 OPEX LAP 2023'!I103*'2.1 OPEX TUUA'!$N$8)</f>
        <v>111.79160559963233</v>
      </c>
      <c r="O102" s="3">
        <f>+IF(F102="Pasajero",'2.2 OPEX LAP 2023'!J103*'2.1 OPEX TUUA'!$O$7,'2.2 OPEX LAP 2023'!J103*'2.1 OPEX TUUA'!$O$8)</f>
        <v>114.58224212914925</v>
      </c>
      <c r="P102" s="3">
        <f>+IF(F102="Pasajero",'2.2 OPEX LAP 2023'!K103*'2.1 OPEX TUUA'!$P$7,'2.2 OPEX LAP 2023'!K103*'2.1 OPEX TUUA'!$P$8)</f>
        <v>116.67616495729018</v>
      </c>
      <c r="Q102" s="3">
        <f>+IF(F102="Pasajero",'2.2 OPEX LAP 2023'!L103*'2.1 OPEX TUUA'!$Q$7,'2.2 OPEX LAP 2023'!L103*'2.1 OPEX TUUA'!$Q$8)</f>
        <v>118.80015021942287</v>
      </c>
      <c r="R102" s="3">
        <f>+IF(F102="Pasajero",'2.2 OPEX LAP 2023'!M103*'2.1 OPEX TUUA'!$R$7,'2.2 OPEX LAP 2023'!M103*'2.1 OPEX TUUA'!$R$8)</f>
        <v>121.07564007037458</v>
      </c>
      <c r="S102" s="3">
        <f>+IF(F102="Pasajero",'2.2 OPEX LAP 2023'!N103*'2.1 OPEX TUUA'!$S$7,'2.2 OPEX LAP 2023'!N103*'2.1 OPEX TUUA'!$S$8)</f>
        <v>123.21994995185442</v>
      </c>
      <c r="AA102" s="6"/>
      <c r="AB102" s="6"/>
      <c r="AC102" s="6"/>
      <c r="AD102" s="6"/>
      <c r="AE102" s="6"/>
      <c r="AF102" s="6"/>
    </row>
    <row r="103" spans="2:32" x14ac:dyDescent="0.25">
      <c r="B103" s="16">
        <v>6380000008</v>
      </c>
      <c r="C103" s="190" t="s">
        <v>13</v>
      </c>
      <c r="D103" s="190" t="s">
        <v>40</v>
      </c>
      <c r="E103" s="190" t="s">
        <v>108</v>
      </c>
      <c r="F103" s="162" t="s">
        <v>190</v>
      </c>
      <c r="G103" s="3">
        <f>+IF(F103="Pasajero",'2.2 OPEX LAP 2023'!I104*'2.1 OPEX TUUA'!$G$7,'2.2 OPEX LAP 2023'!I104*'2.1 OPEX TUUA'!$G$8)</f>
        <v>47043.759422665062</v>
      </c>
      <c r="H103" s="3">
        <f>+IF(F103="Pasajero",'2.2 OPEX LAP 2023'!J104*'2.1 OPEX TUUA'!$H$7,'2.2 OPEX LAP 2023'!J104*'2.1 OPEX TUUA'!$H$8)</f>
        <v>55312.682846849631</v>
      </c>
      <c r="I103" s="3">
        <f>+IF(F103="Pasajero",'2.2 OPEX LAP 2023'!K104*'2.1 OPEX TUUA'!$I$7,'2.2 OPEX LAP 2023'!K104*'2.1 OPEX TUUA'!$I$8)</f>
        <v>62266.443199038513</v>
      </c>
      <c r="J103" s="3">
        <f>+IF(F103="Pasajero",'2.2 OPEX LAP 2023'!L104*'2.1 OPEX TUUA'!$J$7,'2.2 OPEX LAP 2023'!L104*'2.1 OPEX TUUA'!$J$8)</f>
        <v>66070.26899149282</v>
      </c>
      <c r="K103" s="3">
        <f>+IF(F103="Pasajero",'2.2 OPEX LAP 2023'!M104*'2.1 OPEX TUUA'!$K$7,'2.2 OPEX LAP 2023'!M104*'2.1 OPEX TUUA'!$K$8)</f>
        <v>68842.07719452407</v>
      </c>
      <c r="L103" s="3">
        <f>+IF(F103="Pasajero",'2.2 OPEX LAP 2023'!N104*'2.1 OPEX TUUA'!$L$7,'2.2 OPEX LAP 2023'!N104*'2.1 OPEX TUUA'!$L$8)</f>
        <v>71932.404035402564</v>
      </c>
      <c r="M103" s="3"/>
      <c r="N103" s="3">
        <f>+IF(F103="Pasajero",'2.2 OPEX LAP 2023'!I104*'2.1 OPEX TUUA'!$N$7,'2.2 OPEX LAP 2023'!I104*'2.1 OPEX TUUA'!$N$8)</f>
        <v>23202.792425593616</v>
      </c>
      <c r="O103" s="3">
        <f>+IF(F103="Pasajero",'2.2 OPEX LAP 2023'!J104*'2.1 OPEX TUUA'!$O$7,'2.2 OPEX LAP 2023'!J104*'2.1 OPEX TUUA'!$O$8)</f>
        <v>22908.479156882928</v>
      </c>
      <c r="P103" s="3">
        <f>+IF(F103="Pasajero",'2.2 OPEX LAP 2023'!K104*'2.1 OPEX TUUA'!$P$7,'2.2 OPEX LAP 2023'!K104*'2.1 OPEX TUUA'!$P$8)</f>
        <v>22797.530427437378</v>
      </c>
      <c r="Q103" s="3">
        <f>+IF(F103="Pasajero",'2.2 OPEX LAP 2023'!L104*'2.1 OPEX TUUA'!$Q$7,'2.2 OPEX LAP 2023'!L104*'2.1 OPEX TUUA'!$Q$8)</f>
        <v>22682.643548642176</v>
      </c>
      <c r="R103" s="3">
        <f>+IF(F103="Pasajero",'2.2 OPEX LAP 2023'!M104*'2.1 OPEX TUUA'!$R$7,'2.2 OPEX LAP 2023'!M104*'2.1 OPEX TUUA'!$R$8)</f>
        <v>22824.285616401499</v>
      </c>
      <c r="S103" s="3">
        <f>+IF(F103="Pasajero",'2.2 OPEX LAP 2023'!N104*'2.1 OPEX TUUA'!$S$7,'2.2 OPEX LAP 2023'!N104*'2.1 OPEX TUUA'!$S$8)</f>
        <v>22862.681696270418</v>
      </c>
      <c r="AA103" s="6"/>
      <c r="AB103" s="6"/>
      <c r="AC103" s="6"/>
      <c r="AD103" s="6"/>
      <c r="AE103" s="6"/>
      <c r="AF103" s="6"/>
    </row>
    <row r="104" spans="2:32" x14ac:dyDescent="0.25">
      <c r="B104" s="16">
        <v>6380000009</v>
      </c>
      <c r="C104" s="190" t="s">
        <v>13</v>
      </c>
      <c r="D104" s="190" t="s">
        <v>40</v>
      </c>
      <c r="E104" s="190" t="s">
        <v>109</v>
      </c>
      <c r="F104" s="162" t="s">
        <v>190</v>
      </c>
      <c r="G104" s="3">
        <f>+IF(F104="Pasajero",'2.2 OPEX LAP 2023'!I105*'2.1 OPEX TUUA'!$G$7,'2.2 OPEX LAP 2023'!I105*'2.1 OPEX TUUA'!$G$8)</f>
        <v>102557.51638427313</v>
      </c>
      <c r="H104" s="3">
        <f>+IF(F104="Pasajero",'2.2 OPEX LAP 2023'!J105*'2.1 OPEX TUUA'!$H$7,'2.2 OPEX LAP 2023'!J105*'2.1 OPEX TUUA'!$H$8)</f>
        <v>120584.1422314314</v>
      </c>
      <c r="I104" s="3">
        <f>+IF(F104="Pasajero",'2.2 OPEX LAP 2023'!K105*'2.1 OPEX TUUA'!$I$7,'2.2 OPEX LAP 2023'!K105*'2.1 OPEX TUUA'!$I$8)</f>
        <v>135743.65329100733</v>
      </c>
      <c r="J104" s="3">
        <f>+IF(F104="Pasajero",'2.2 OPEX LAP 2023'!L105*'2.1 OPEX TUUA'!$J$7,'2.2 OPEX LAP 2023'!L105*'2.1 OPEX TUUA'!$J$8)</f>
        <v>144036.165003934</v>
      </c>
      <c r="K104" s="3">
        <f>+IF(F104="Pasajero",'2.2 OPEX LAP 2023'!M105*'2.1 OPEX TUUA'!$K$7,'2.2 OPEX LAP 2023'!M105*'2.1 OPEX TUUA'!$K$8)</f>
        <v>150078.83184614818</v>
      </c>
      <c r="L104" s="3">
        <f>+IF(F104="Pasajero",'2.2 OPEX LAP 2023'!N105*'2.1 OPEX TUUA'!$L$7,'2.2 OPEX LAP 2023'!N105*'2.1 OPEX TUUA'!$L$8)</f>
        <v>156815.88367843564</v>
      </c>
      <c r="M104" s="3"/>
      <c r="N104" s="3">
        <f>+IF(F104="Pasajero",'2.2 OPEX LAP 2023'!I105*'2.1 OPEX TUUA'!$N$7,'2.2 OPEX LAP 2023'!I105*'2.1 OPEX TUUA'!$N$8)</f>
        <v>50583.133524023506</v>
      </c>
      <c r="O104" s="3">
        <f>+IF(F104="Pasajero",'2.2 OPEX LAP 2023'!J105*'2.1 OPEX TUUA'!$O$7,'2.2 OPEX LAP 2023'!J105*'2.1 OPEX TUUA'!$O$8)</f>
        <v>49941.517329902701</v>
      </c>
      <c r="P104" s="3">
        <f>+IF(F104="Pasajero",'2.2 OPEX LAP 2023'!K105*'2.1 OPEX TUUA'!$P$7,'2.2 OPEX LAP 2023'!K105*'2.1 OPEX TUUA'!$P$8)</f>
        <v>49699.644097882803</v>
      </c>
      <c r="Q104" s="3">
        <f>+IF(F104="Pasajero",'2.2 OPEX LAP 2023'!L105*'2.1 OPEX TUUA'!$Q$7,'2.2 OPEX LAP 2023'!L105*'2.1 OPEX TUUA'!$Q$8)</f>
        <v>49449.185522739688</v>
      </c>
      <c r="R104" s="3">
        <f>+IF(F104="Pasajero",'2.2 OPEX LAP 2023'!M105*'2.1 OPEX TUUA'!$R$7,'2.2 OPEX LAP 2023'!M105*'2.1 OPEX TUUA'!$R$8)</f>
        <v>49757.971616011178</v>
      </c>
      <c r="S104" s="3">
        <f>+IF(F104="Pasajero",'2.2 OPEX LAP 2023'!N105*'2.1 OPEX TUUA'!$S$7,'2.2 OPEX LAP 2023'!N105*'2.1 OPEX TUUA'!$S$8)</f>
        <v>49841.676801110647</v>
      </c>
      <c r="AA104" s="6"/>
      <c r="AB104" s="6"/>
      <c r="AC104" s="6"/>
      <c r="AD104" s="6"/>
      <c r="AE104" s="6"/>
      <c r="AF104" s="6"/>
    </row>
    <row r="105" spans="2:32" x14ac:dyDescent="0.25">
      <c r="B105" s="16">
        <v>6380000010</v>
      </c>
      <c r="C105" s="190" t="s">
        <v>13</v>
      </c>
      <c r="D105" s="190" t="s">
        <v>40</v>
      </c>
      <c r="E105" s="190" t="s">
        <v>110</v>
      </c>
      <c r="F105" s="162" t="s">
        <v>190</v>
      </c>
      <c r="G105" s="3">
        <f>+IF(F105="Pasajero",'2.2 OPEX LAP 2023'!I106*'2.1 OPEX TUUA'!$G$7,'2.2 OPEX LAP 2023'!I106*'2.1 OPEX TUUA'!$G$8)</f>
        <v>1.0434392841899001</v>
      </c>
      <c r="H105" s="3">
        <f>+IF(F105="Pasajero",'2.2 OPEX LAP 2023'!J106*'2.1 OPEX TUUA'!$H$7,'2.2 OPEX LAP 2023'!J106*'2.1 OPEX TUUA'!$H$8)</f>
        <v>1.2268455349793583</v>
      </c>
      <c r="I105" s="3">
        <f>+IF(F105="Pasajero",'2.2 OPEX LAP 2023'!K106*'2.1 OPEX TUUA'!$I$7,'2.2 OPEX LAP 2023'!K106*'2.1 OPEX TUUA'!$I$8)</f>
        <v>1.3810812256078653</v>
      </c>
      <c r="J105" s="3">
        <f>+IF(F105="Pasajero",'2.2 OPEX LAP 2023'!L106*'2.1 OPEX TUUA'!$J$7,'2.2 OPEX LAP 2023'!L106*'2.1 OPEX TUUA'!$J$8)</f>
        <v>1.4654507851577632</v>
      </c>
      <c r="K105" s="3">
        <f>+IF(F105="Pasajero",'2.2 OPEX LAP 2023'!M106*'2.1 OPEX TUUA'!$K$7,'2.2 OPEX LAP 2023'!M106*'2.1 OPEX TUUA'!$K$8)</f>
        <v>1.5269300037146285</v>
      </c>
      <c r="L105" s="3">
        <f>+IF(F105="Pasajero",'2.2 OPEX LAP 2023'!N106*'2.1 OPEX TUUA'!$L$7,'2.2 OPEX LAP 2023'!N106*'2.1 OPEX TUUA'!$L$8)</f>
        <v>1.5954740245652563</v>
      </c>
      <c r="M105" s="3"/>
      <c r="N105" s="3">
        <f>+IF(F105="Pasajero",'2.2 OPEX LAP 2023'!I106*'2.1 OPEX TUUA'!$N$7,'2.2 OPEX LAP 2023'!I106*'2.1 OPEX TUUA'!$N$8)</f>
        <v>0.51464222708578511</v>
      </c>
      <c r="O105" s="3">
        <f>+IF(F105="Pasajero",'2.2 OPEX LAP 2023'!J106*'2.1 OPEX TUUA'!$O$7,'2.2 OPEX LAP 2023'!J106*'2.1 OPEX TUUA'!$O$8)</f>
        <v>0.50811430435597216</v>
      </c>
      <c r="P105" s="3">
        <f>+IF(F105="Pasajero",'2.2 OPEX LAP 2023'!K106*'2.1 OPEX TUUA'!$P$7,'2.2 OPEX LAP 2023'!K106*'2.1 OPEX TUUA'!$P$8)</f>
        <v>0.50565344101819509</v>
      </c>
      <c r="Q105" s="3">
        <f>+IF(F105="Pasajero",'2.2 OPEX LAP 2023'!L106*'2.1 OPEX TUUA'!$Q$7,'2.2 OPEX LAP 2023'!L106*'2.1 OPEX TUUA'!$Q$8)</f>
        <v>0.5031052287995279</v>
      </c>
      <c r="R105" s="3">
        <f>+IF(F105="Pasajero",'2.2 OPEX LAP 2023'!M106*'2.1 OPEX TUUA'!$R$7,'2.2 OPEX LAP 2023'!M106*'2.1 OPEX TUUA'!$R$8)</f>
        <v>0.50624687605747976</v>
      </c>
      <c r="S105" s="3">
        <f>+IF(F105="Pasajero",'2.2 OPEX LAP 2023'!N106*'2.1 OPEX TUUA'!$S$7,'2.2 OPEX LAP 2023'!N106*'2.1 OPEX TUUA'!$S$8)</f>
        <v>0.50709850820988001</v>
      </c>
      <c r="AA105" s="6"/>
      <c r="AB105" s="6"/>
      <c r="AC105" s="6"/>
      <c r="AD105" s="6"/>
      <c r="AE105" s="6"/>
      <c r="AF105" s="6"/>
    </row>
    <row r="106" spans="2:32" x14ac:dyDescent="0.25">
      <c r="B106" s="16">
        <v>6380000012</v>
      </c>
      <c r="C106" s="190" t="s">
        <v>13</v>
      </c>
      <c r="D106" s="190" t="s">
        <v>40</v>
      </c>
      <c r="E106" s="190" t="s">
        <v>111</v>
      </c>
      <c r="F106" s="162" t="s">
        <v>190</v>
      </c>
      <c r="G106" s="3">
        <f>+IF(F106="Pasajero",'2.2 OPEX LAP 2023'!I107*'2.1 OPEX TUUA'!$G$7,'2.2 OPEX LAP 2023'!I107*'2.1 OPEX TUUA'!$G$8)</f>
        <v>0</v>
      </c>
      <c r="H106" s="3">
        <f>+IF(F106="Pasajero",'2.2 OPEX LAP 2023'!J107*'2.1 OPEX TUUA'!$H$7,'2.2 OPEX LAP 2023'!J107*'2.1 OPEX TUUA'!$H$8)</f>
        <v>0</v>
      </c>
      <c r="I106" s="3">
        <f>+IF(F106="Pasajero",'2.2 OPEX LAP 2023'!K107*'2.1 OPEX TUUA'!$I$7,'2.2 OPEX LAP 2023'!K107*'2.1 OPEX TUUA'!$I$8)</f>
        <v>0</v>
      </c>
      <c r="J106" s="3">
        <f>+IF(F106="Pasajero",'2.2 OPEX LAP 2023'!L107*'2.1 OPEX TUUA'!$J$7,'2.2 OPEX LAP 2023'!L107*'2.1 OPEX TUUA'!$J$8)</f>
        <v>0</v>
      </c>
      <c r="K106" s="3">
        <f>+IF(F106="Pasajero",'2.2 OPEX LAP 2023'!M107*'2.1 OPEX TUUA'!$K$7,'2.2 OPEX LAP 2023'!M107*'2.1 OPEX TUUA'!$K$8)</f>
        <v>0</v>
      </c>
      <c r="L106" s="3">
        <f>+IF(F106="Pasajero",'2.2 OPEX LAP 2023'!N107*'2.1 OPEX TUUA'!$L$7,'2.2 OPEX LAP 2023'!N107*'2.1 OPEX TUUA'!$L$8)</f>
        <v>0</v>
      </c>
      <c r="M106" s="3"/>
      <c r="N106" s="3">
        <f>+IF(F106="Pasajero",'2.2 OPEX LAP 2023'!I107*'2.1 OPEX TUUA'!$N$7,'2.2 OPEX LAP 2023'!I107*'2.1 OPEX TUUA'!$N$8)</f>
        <v>0</v>
      </c>
      <c r="O106" s="3">
        <f>+IF(F106="Pasajero",'2.2 OPEX LAP 2023'!J107*'2.1 OPEX TUUA'!$O$7,'2.2 OPEX LAP 2023'!J107*'2.1 OPEX TUUA'!$O$8)</f>
        <v>0</v>
      </c>
      <c r="P106" s="3">
        <f>+IF(F106="Pasajero",'2.2 OPEX LAP 2023'!K107*'2.1 OPEX TUUA'!$P$7,'2.2 OPEX LAP 2023'!K107*'2.1 OPEX TUUA'!$P$8)</f>
        <v>0</v>
      </c>
      <c r="Q106" s="3">
        <f>+IF(F106="Pasajero",'2.2 OPEX LAP 2023'!L107*'2.1 OPEX TUUA'!$Q$7,'2.2 OPEX LAP 2023'!L107*'2.1 OPEX TUUA'!$Q$8)</f>
        <v>0</v>
      </c>
      <c r="R106" s="3">
        <f>+IF(F106="Pasajero",'2.2 OPEX LAP 2023'!M107*'2.1 OPEX TUUA'!$R$7,'2.2 OPEX LAP 2023'!M107*'2.1 OPEX TUUA'!$R$8)</f>
        <v>0</v>
      </c>
      <c r="S106" s="3">
        <f>+IF(F106="Pasajero",'2.2 OPEX LAP 2023'!N107*'2.1 OPEX TUUA'!$S$7,'2.2 OPEX LAP 2023'!N107*'2.1 OPEX TUUA'!$S$8)</f>
        <v>0</v>
      </c>
      <c r="AA106" s="6"/>
      <c r="AB106" s="6"/>
      <c r="AC106" s="6"/>
      <c r="AD106" s="6"/>
      <c r="AE106" s="6"/>
      <c r="AF106" s="6"/>
    </row>
    <row r="107" spans="2:32" x14ac:dyDescent="0.25">
      <c r="B107" s="16">
        <v>6380000014</v>
      </c>
      <c r="C107" s="190" t="s">
        <v>13</v>
      </c>
      <c r="D107" s="190" t="s">
        <v>49</v>
      </c>
      <c r="E107" s="190" t="s">
        <v>112</v>
      </c>
      <c r="F107" s="162" t="s">
        <v>190</v>
      </c>
      <c r="G107" s="3">
        <f>+IF(F107="Pasajero",'2.2 OPEX LAP 2023'!I108*'2.1 OPEX TUUA'!$G$7,'2.2 OPEX LAP 2023'!I108*'2.1 OPEX TUUA'!$G$8)</f>
        <v>0</v>
      </c>
      <c r="H107" s="3">
        <f>+IF(F107="Pasajero",'2.2 OPEX LAP 2023'!J108*'2.1 OPEX TUUA'!$H$7,'2.2 OPEX LAP 2023'!J108*'2.1 OPEX TUUA'!$H$8)</f>
        <v>0</v>
      </c>
      <c r="I107" s="3">
        <f>+IF(F107="Pasajero",'2.2 OPEX LAP 2023'!K108*'2.1 OPEX TUUA'!$I$7,'2.2 OPEX LAP 2023'!K108*'2.1 OPEX TUUA'!$I$8)</f>
        <v>0</v>
      </c>
      <c r="J107" s="3">
        <f>+IF(F107="Pasajero",'2.2 OPEX LAP 2023'!L108*'2.1 OPEX TUUA'!$J$7,'2.2 OPEX LAP 2023'!L108*'2.1 OPEX TUUA'!$J$8)</f>
        <v>0</v>
      </c>
      <c r="K107" s="3">
        <f>+IF(F107="Pasajero",'2.2 OPEX LAP 2023'!M108*'2.1 OPEX TUUA'!$K$7,'2.2 OPEX LAP 2023'!M108*'2.1 OPEX TUUA'!$K$8)</f>
        <v>0</v>
      </c>
      <c r="L107" s="3">
        <f>+IF(F107="Pasajero",'2.2 OPEX LAP 2023'!N108*'2.1 OPEX TUUA'!$L$7,'2.2 OPEX LAP 2023'!N108*'2.1 OPEX TUUA'!$L$8)</f>
        <v>0</v>
      </c>
      <c r="M107" s="3"/>
      <c r="N107" s="3">
        <f>+IF(F107="Pasajero",'2.2 OPEX LAP 2023'!I108*'2.1 OPEX TUUA'!$N$7,'2.2 OPEX LAP 2023'!I108*'2.1 OPEX TUUA'!$N$8)</f>
        <v>0</v>
      </c>
      <c r="O107" s="3">
        <f>+IF(F107="Pasajero",'2.2 OPEX LAP 2023'!J108*'2.1 OPEX TUUA'!$O$7,'2.2 OPEX LAP 2023'!J108*'2.1 OPEX TUUA'!$O$8)</f>
        <v>0</v>
      </c>
      <c r="P107" s="3">
        <f>+IF(F107="Pasajero",'2.2 OPEX LAP 2023'!K108*'2.1 OPEX TUUA'!$P$7,'2.2 OPEX LAP 2023'!K108*'2.1 OPEX TUUA'!$P$8)</f>
        <v>0</v>
      </c>
      <c r="Q107" s="3">
        <f>+IF(F107="Pasajero",'2.2 OPEX LAP 2023'!L108*'2.1 OPEX TUUA'!$Q$7,'2.2 OPEX LAP 2023'!L108*'2.1 OPEX TUUA'!$Q$8)</f>
        <v>0</v>
      </c>
      <c r="R107" s="3">
        <f>+IF(F107="Pasajero",'2.2 OPEX LAP 2023'!M108*'2.1 OPEX TUUA'!$R$7,'2.2 OPEX LAP 2023'!M108*'2.1 OPEX TUUA'!$R$8)</f>
        <v>0</v>
      </c>
      <c r="S107" s="3">
        <f>+IF(F107="Pasajero",'2.2 OPEX LAP 2023'!N108*'2.1 OPEX TUUA'!$S$7,'2.2 OPEX LAP 2023'!N108*'2.1 OPEX TUUA'!$S$8)</f>
        <v>0</v>
      </c>
      <c r="AA107" s="6"/>
      <c r="AB107" s="6"/>
      <c r="AC107" s="6"/>
      <c r="AD107" s="6"/>
      <c r="AE107" s="6"/>
      <c r="AF107" s="6"/>
    </row>
    <row r="108" spans="2:32" x14ac:dyDescent="0.25">
      <c r="B108" s="16">
        <v>6380000015</v>
      </c>
      <c r="C108" s="190" t="s">
        <v>13</v>
      </c>
      <c r="D108" s="190" t="s">
        <v>40</v>
      </c>
      <c r="E108" s="190" t="s">
        <v>113</v>
      </c>
      <c r="F108" s="162" t="s">
        <v>190</v>
      </c>
      <c r="G108" s="3">
        <f>+IF(F108="Pasajero",'2.2 OPEX LAP 2023'!I109*'2.1 OPEX TUUA'!$G$7,'2.2 OPEX LAP 2023'!I109*'2.1 OPEX TUUA'!$G$8)</f>
        <v>3671.5492415078088</v>
      </c>
      <c r="H108" s="3">
        <f>+IF(F108="Pasajero",'2.2 OPEX LAP 2023'!J109*'2.1 OPEX TUUA'!$H$7,'2.2 OPEX LAP 2023'!J109*'2.1 OPEX TUUA'!$H$8)</f>
        <v>4316.9007163630276</v>
      </c>
      <c r="I108" s="3">
        <f>+IF(F108="Pasajero",'2.2 OPEX LAP 2023'!K109*'2.1 OPEX TUUA'!$I$7,'2.2 OPEX LAP 2023'!K109*'2.1 OPEX TUUA'!$I$8)</f>
        <v>4859.6097570526126</v>
      </c>
      <c r="J108" s="3">
        <f>+IF(F108="Pasajero",'2.2 OPEX LAP 2023'!L109*'2.1 OPEX TUUA'!$J$7,'2.2 OPEX LAP 2023'!L109*'2.1 OPEX TUUA'!$J$8)</f>
        <v>5156.4808803324595</v>
      </c>
      <c r="K108" s="3">
        <f>+IF(F108="Pasajero",'2.2 OPEX LAP 2023'!M109*'2.1 OPEX TUUA'!$K$7,'2.2 OPEX LAP 2023'!M109*'2.1 OPEX TUUA'!$K$8)</f>
        <v>5372.8077732155452</v>
      </c>
      <c r="L108" s="3">
        <f>+IF(F108="Pasajero",'2.2 OPEX LAP 2023'!N109*'2.1 OPEX TUUA'!$L$7,'2.2 OPEX LAP 2023'!N109*'2.1 OPEX TUUA'!$L$8)</f>
        <v>5613.9935820854917</v>
      </c>
      <c r="M108" s="3"/>
      <c r="N108" s="3">
        <f>+IF(F108="Pasajero",'2.2 OPEX LAP 2023'!I109*'2.1 OPEX TUUA'!$N$7,'2.2 OPEX LAP 2023'!I109*'2.1 OPEX TUUA'!$N$8)</f>
        <v>1810.8713244122207</v>
      </c>
      <c r="O108" s="3">
        <f>+IF(F108="Pasajero",'2.2 OPEX LAP 2023'!J109*'2.1 OPEX TUUA'!$O$7,'2.2 OPEX LAP 2023'!J109*'2.1 OPEX TUUA'!$O$8)</f>
        <v>1787.9015262548949</v>
      </c>
      <c r="P108" s="3">
        <f>+IF(F108="Pasajero",'2.2 OPEX LAP 2023'!K109*'2.1 OPEX TUUA'!$P$7,'2.2 OPEX LAP 2023'!K109*'2.1 OPEX TUUA'!$P$8)</f>
        <v>1779.2424877672988</v>
      </c>
      <c r="Q108" s="3">
        <f>+IF(F108="Pasajero",'2.2 OPEX LAP 2023'!L109*'2.1 OPEX TUUA'!$Q$7,'2.2 OPEX LAP 2023'!L109*'2.1 OPEX TUUA'!$Q$8)</f>
        <v>1770.2760948200446</v>
      </c>
      <c r="R108" s="3">
        <f>+IF(F108="Pasajero",'2.2 OPEX LAP 2023'!M109*'2.1 OPEX TUUA'!$R$7,'2.2 OPEX LAP 2023'!M109*'2.1 OPEX TUUA'!$R$8)</f>
        <v>1781.3306073171216</v>
      </c>
      <c r="S108" s="3">
        <f>+IF(F108="Pasajero",'2.2 OPEX LAP 2023'!N109*'2.1 OPEX TUUA'!$S$7,'2.2 OPEX LAP 2023'!N109*'2.1 OPEX TUUA'!$S$8)</f>
        <v>1784.3272449083702</v>
      </c>
      <c r="AA108" s="6"/>
      <c r="AB108" s="6"/>
      <c r="AC108" s="6"/>
      <c r="AD108" s="6"/>
      <c r="AE108" s="6"/>
      <c r="AF108" s="6"/>
    </row>
    <row r="109" spans="2:32" x14ac:dyDescent="0.25">
      <c r="B109" s="16">
        <v>6380000016</v>
      </c>
      <c r="C109" s="190" t="s">
        <v>13</v>
      </c>
      <c r="D109" s="190" t="s">
        <v>49</v>
      </c>
      <c r="E109" s="190" t="s">
        <v>114</v>
      </c>
      <c r="F109" s="162" t="s">
        <v>190</v>
      </c>
      <c r="G109" s="3">
        <f>+IF(F109="Pasajero",'2.2 OPEX LAP 2023'!I110*'2.1 OPEX TUUA'!$G$7,'2.2 OPEX LAP 2023'!I110*'2.1 OPEX TUUA'!$G$8)</f>
        <v>0</v>
      </c>
      <c r="H109" s="3">
        <f>+IF(F109="Pasajero",'2.2 OPEX LAP 2023'!J110*'2.1 OPEX TUUA'!$H$7,'2.2 OPEX LAP 2023'!J110*'2.1 OPEX TUUA'!$H$8)</f>
        <v>0</v>
      </c>
      <c r="I109" s="3">
        <f>+IF(F109="Pasajero",'2.2 OPEX LAP 2023'!K110*'2.1 OPEX TUUA'!$I$7,'2.2 OPEX LAP 2023'!K110*'2.1 OPEX TUUA'!$I$8)</f>
        <v>0</v>
      </c>
      <c r="J109" s="3">
        <f>+IF(F109="Pasajero",'2.2 OPEX LAP 2023'!L110*'2.1 OPEX TUUA'!$J$7,'2.2 OPEX LAP 2023'!L110*'2.1 OPEX TUUA'!$J$8)</f>
        <v>0</v>
      </c>
      <c r="K109" s="3">
        <f>+IF(F109="Pasajero",'2.2 OPEX LAP 2023'!M110*'2.1 OPEX TUUA'!$K$7,'2.2 OPEX LAP 2023'!M110*'2.1 OPEX TUUA'!$K$8)</f>
        <v>0</v>
      </c>
      <c r="L109" s="3">
        <f>+IF(F109="Pasajero",'2.2 OPEX LAP 2023'!N110*'2.1 OPEX TUUA'!$L$7,'2.2 OPEX LAP 2023'!N110*'2.1 OPEX TUUA'!$L$8)</f>
        <v>0</v>
      </c>
      <c r="M109" s="3"/>
      <c r="N109" s="3">
        <f>+IF(F109="Pasajero",'2.2 OPEX LAP 2023'!I110*'2.1 OPEX TUUA'!$N$7,'2.2 OPEX LAP 2023'!I110*'2.1 OPEX TUUA'!$N$8)</f>
        <v>0</v>
      </c>
      <c r="O109" s="3">
        <f>+IF(F109="Pasajero",'2.2 OPEX LAP 2023'!J110*'2.1 OPEX TUUA'!$O$7,'2.2 OPEX LAP 2023'!J110*'2.1 OPEX TUUA'!$O$8)</f>
        <v>0</v>
      </c>
      <c r="P109" s="3">
        <f>+IF(F109="Pasajero",'2.2 OPEX LAP 2023'!K110*'2.1 OPEX TUUA'!$P$7,'2.2 OPEX LAP 2023'!K110*'2.1 OPEX TUUA'!$P$8)</f>
        <v>0</v>
      </c>
      <c r="Q109" s="3">
        <f>+IF(F109="Pasajero",'2.2 OPEX LAP 2023'!L110*'2.1 OPEX TUUA'!$Q$7,'2.2 OPEX LAP 2023'!L110*'2.1 OPEX TUUA'!$Q$8)</f>
        <v>0</v>
      </c>
      <c r="R109" s="3">
        <f>+IF(F109="Pasajero",'2.2 OPEX LAP 2023'!M110*'2.1 OPEX TUUA'!$R$7,'2.2 OPEX LAP 2023'!M110*'2.1 OPEX TUUA'!$R$8)</f>
        <v>0</v>
      </c>
      <c r="S109" s="3">
        <f>+IF(F109="Pasajero",'2.2 OPEX LAP 2023'!N110*'2.1 OPEX TUUA'!$S$7,'2.2 OPEX LAP 2023'!N110*'2.1 OPEX TUUA'!$S$8)</f>
        <v>0</v>
      </c>
      <c r="AA109" s="6"/>
      <c r="AB109" s="6"/>
      <c r="AC109" s="6"/>
      <c r="AD109" s="6"/>
      <c r="AE109" s="6"/>
      <c r="AF109" s="6"/>
    </row>
    <row r="110" spans="2:32" x14ac:dyDescent="0.25">
      <c r="B110" s="16">
        <v>6380000017</v>
      </c>
      <c r="C110" s="190" t="s">
        <v>13</v>
      </c>
      <c r="D110" s="190" t="s">
        <v>49</v>
      </c>
      <c r="E110" s="190" t="s">
        <v>115</v>
      </c>
      <c r="F110" s="162" t="s">
        <v>190</v>
      </c>
      <c r="G110" s="3">
        <f>+IF(F110="Pasajero",'2.2 OPEX LAP 2023'!I111*'2.1 OPEX TUUA'!$G$7,'2.2 OPEX LAP 2023'!I111*'2.1 OPEX TUUA'!$G$8)</f>
        <v>0</v>
      </c>
      <c r="H110" s="3">
        <f>+IF(F110="Pasajero",'2.2 OPEX LAP 2023'!J111*'2.1 OPEX TUUA'!$H$7,'2.2 OPEX LAP 2023'!J111*'2.1 OPEX TUUA'!$H$8)</f>
        <v>0</v>
      </c>
      <c r="I110" s="3">
        <f>+IF(F110="Pasajero",'2.2 OPEX LAP 2023'!K111*'2.1 OPEX TUUA'!$I$7,'2.2 OPEX LAP 2023'!K111*'2.1 OPEX TUUA'!$I$8)</f>
        <v>0</v>
      </c>
      <c r="J110" s="3">
        <f>+IF(F110="Pasajero",'2.2 OPEX LAP 2023'!L111*'2.1 OPEX TUUA'!$J$7,'2.2 OPEX LAP 2023'!L111*'2.1 OPEX TUUA'!$J$8)</f>
        <v>0</v>
      </c>
      <c r="K110" s="3">
        <f>+IF(F110="Pasajero",'2.2 OPEX LAP 2023'!M111*'2.1 OPEX TUUA'!$K$7,'2.2 OPEX LAP 2023'!M111*'2.1 OPEX TUUA'!$K$8)</f>
        <v>0</v>
      </c>
      <c r="L110" s="3">
        <f>+IF(F110="Pasajero",'2.2 OPEX LAP 2023'!N111*'2.1 OPEX TUUA'!$L$7,'2.2 OPEX LAP 2023'!N111*'2.1 OPEX TUUA'!$L$8)</f>
        <v>0</v>
      </c>
      <c r="M110" s="3"/>
      <c r="N110" s="3">
        <f>+IF(F110="Pasajero",'2.2 OPEX LAP 2023'!I111*'2.1 OPEX TUUA'!$N$7,'2.2 OPEX LAP 2023'!I111*'2.1 OPEX TUUA'!$N$8)</f>
        <v>0</v>
      </c>
      <c r="O110" s="3">
        <f>+IF(F110="Pasajero",'2.2 OPEX LAP 2023'!J111*'2.1 OPEX TUUA'!$O$7,'2.2 OPEX LAP 2023'!J111*'2.1 OPEX TUUA'!$O$8)</f>
        <v>0</v>
      </c>
      <c r="P110" s="3">
        <f>+IF(F110="Pasajero",'2.2 OPEX LAP 2023'!K111*'2.1 OPEX TUUA'!$P$7,'2.2 OPEX LAP 2023'!K111*'2.1 OPEX TUUA'!$P$8)</f>
        <v>0</v>
      </c>
      <c r="Q110" s="3">
        <f>+IF(F110="Pasajero",'2.2 OPEX LAP 2023'!L111*'2.1 OPEX TUUA'!$Q$7,'2.2 OPEX LAP 2023'!L111*'2.1 OPEX TUUA'!$Q$8)</f>
        <v>0</v>
      </c>
      <c r="R110" s="3">
        <f>+IF(F110="Pasajero",'2.2 OPEX LAP 2023'!M111*'2.1 OPEX TUUA'!$R$7,'2.2 OPEX LAP 2023'!M111*'2.1 OPEX TUUA'!$R$8)</f>
        <v>0</v>
      </c>
      <c r="S110" s="3">
        <f>+IF(F110="Pasajero",'2.2 OPEX LAP 2023'!N111*'2.1 OPEX TUUA'!$S$7,'2.2 OPEX LAP 2023'!N111*'2.1 OPEX TUUA'!$S$8)</f>
        <v>0</v>
      </c>
      <c r="AA110" s="6"/>
      <c r="AB110" s="6"/>
      <c r="AC110" s="6"/>
      <c r="AD110" s="6"/>
      <c r="AE110" s="6"/>
      <c r="AF110" s="6"/>
    </row>
    <row r="111" spans="2:32" x14ac:dyDescent="0.25">
      <c r="B111" s="16">
        <v>6380000018</v>
      </c>
      <c r="C111" s="190" t="s">
        <v>13</v>
      </c>
      <c r="D111" s="190" t="s">
        <v>49</v>
      </c>
      <c r="E111" s="190" t="s">
        <v>116</v>
      </c>
      <c r="F111" s="162" t="s">
        <v>190</v>
      </c>
      <c r="G111" s="3">
        <f>+IF(F111="Pasajero",'2.2 OPEX LAP 2023'!I112*'2.1 OPEX TUUA'!$G$7,'2.2 OPEX LAP 2023'!I112*'2.1 OPEX TUUA'!$G$8)</f>
        <v>0</v>
      </c>
      <c r="H111" s="3">
        <f>+IF(F111="Pasajero",'2.2 OPEX LAP 2023'!J112*'2.1 OPEX TUUA'!$H$7,'2.2 OPEX LAP 2023'!J112*'2.1 OPEX TUUA'!$H$8)</f>
        <v>0</v>
      </c>
      <c r="I111" s="3">
        <f>+IF(F111="Pasajero",'2.2 OPEX LAP 2023'!K112*'2.1 OPEX TUUA'!$I$7,'2.2 OPEX LAP 2023'!K112*'2.1 OPEX TUUA'!$I$8)</f>
        <v>0</v>
      </c>
      <c r="J111" s="3">
        <f>+IF(F111="Pasajero",'2.2 OPEX LAP 2023'!L112*'2.1 OPEX TUUA'!$J$7,'2.2 OPEX LAP 2023'!L112*'2.1 OPEX TUUA'!$J$8)</f>
        <v>0</v>
      </c>
      <c r="K111" s="3">
        <f>+IF(F111="Pasajero",'2.2 OPEX LAP 2023'!M112*'2.1 OPEX TUUA'!$K$7,'2.2 OPEX LAP 2023'!M112*'2.1 OPEX TUUA'!$K$8)</f>
        <v>0</v>
      </c>
      <c r="L111" s="3">
        <f>+IF(F111="Pasajero",'2.2 OPEX LAP 2023'!N112*'2.1 OPEX TUUA'!$L$7,'2.2 OPEX LAP 2023'!N112*'2.1 OPEX TUUA'!$L$8)</f>
        <v>0</v>
      </c>
      <c r="M111" s="3"/>
      <c r="N111" s="3">
        <f>+IF(F111="Pasajero",'2.2 OPEX LAP 2023'!I112*'2.1 OPEX TUUA'!$N$7,'2.2 OPEX LAP 2023'!I112*'2.1 OPEX TUUA'!$N$8)</f>
        <v>0</v>
      </c>
      <c r="O111" s="3">
        <f>+IF(F111="Pasajero",'2.2 OPEX LAP 2023'!J112*'2.1 OPEX TUUA'!$O$7,'2.2 OPEX LAP 2023'!J112*'2.1 OPEX TUUA'!$O$8)</f>
        <v>0</v>
      </c>
      <c r="P111" s="3">
        <f>+IF(F111="Pasajero",'2.2 OPEX LAP 2023'!K112*'2.1 OPEX TUUA'!$P$7,'2.2 OPEX LAP 2023'!K112*'2.1 OPEX TUUA'!$P$8)</f>
        <v>0</v>
      </c>
      <c r="Q111" s="3">
        <f>+IF(F111="Pasajero",'2.2 OPEX LAP 2023'!L112*'2.1 OPEX TUUA'!$Q$7,'2.2 OPEX LAP 2023'!L112*'2.1 OPEX TUUA'!$Q$8)</f>
        <v>0</v>
      </c>
      <c r="R111" s="3">
        <f>+IF(F111="Pasajero",'2.2 OPEX LAP 2023'!M112*'2.1 OPEX TUUA'!$R$7,'2.2 OPEX LAP 2023'!M112*'2.1 OPEX TUUA'!$R$8)</f>
        <v>0</v>
      </c>
      <c r="S111" s="3">
        <f>+IF(F111="Pasajero",'2.2 OPEX LAP 2023'!N112*'2.1 OPEX TUUA'!$S$7,'2.2 OPEX LAP 2023'!N112*'2.1 OPEX TUUA'!$S$8)</f>
        <v>0</v>
      </c>
      <c r="AA111" s="6"/>
      <c r="AB111" s="6"/>
      <c r="AC111" s="6"/>
      <c r="AD111" s="6"/>
      <c r="AE111" s="6"/>
      <c r="AF111" s="6"/>
    </row>
    <row r="112" spans="2:32" x14ac:dyDescent="0.25">
      <c r="B112" s="16">
        <v>6380000019</v>
      </c>
      <c r="C112" s="190" t="s">
        <v>13</v>
      </c>
      <c r="D112" s="190" t="s">
        <v>40</v>
      </c>
      <c r="E112" s="190" t="s">
        <v>117</v>
      </c>
      <c r="F112" s="162" t="s">
        <v>190</v>
      </c>
      <c r="G112" s="3">
        <f>+IF(F112="Pasajero",'2.2 OPEX LAP 2023'!I113*'2.1 OPEX TUUA'!$G$7,'2.2 OPEX LAP 2023'!I113*'2.1 OPEX TUUA'!$G$8)</f>
        <v>0</v>
      </c>
      <c r="H112" s="3">
        <f>+IF(F112="Pasajero",'2.2 OPEX LAP 2023'!J113*'2.1 OPEX TUUA'!$H$7,'2.2 OPEX LAP 2023'!J113*'2.1 OPEX TUUA'!$H$8)</f>
        <v>0</v>
      </c>
      <c r="I112" s="3">
        <f>+IF(F112="Pasajero",'2.2 OPEX LAP 2023'!K113*'2.1 OPEX TUUA'!$I$7,'2.2 OPEX LAP 2023'!K113*'2.1 OPEX TUUA'!$I$8)</f>
        <v>0</v>
      </c>
      <c r="J112" s="3">
        <f>+IF(F112="Pasajero",'2.2 OPEX LAP 2023'!L113*'2.1 OPEX TUUA'!$J$7,'2.2 OPEX LAP 2023'!L113*'2.1 OPEX TUUA'!$J$8)</f>
        <v>0</v>
      </c>
      <c r="K112" s="3">
        <f>+IF(F112="Pasajero",'2.2 OPEX LAP 2023'!M113*'2.1 OPEX TUUA'!$K$7,'2.2 OPEX LAP 2023'!M113*'2.1 OPEX TUUA'!$K$8)</f>
        <v>0</v>
      </c>
      <c r="L112" s="3">
        <f>+IF(F112="Pasajero",'2.2 OPEX LAP 2023'!N113*'2.1 OPEX TUUA'!$L$7,'2.2 OPEX LAP 2023'!N113*'2.1 OPEX TUUA'!$L$8)</f>
        <v>0</v>
      </c>
      <c r="M112" s="3"/>
      <c r="N112" s="3">
        <f>+IF(F112="Pasajero",'2.2 OPEX LAP 2023'!I113*'2.1 OPEX TUUA'!$N$7,'2.2 OPEX LAP 2023'!I113*'2.1 OPEX TUUA'!$N$8)</f>
        <v>0</v>
      </c>
      <c r="O112" s="3">
        <f>+IF(F112="Pasajero",'2.2 OPEX LAP 2023'!J113*'2.1 OPEX TUUA'!$O$7,'2.2 OPEX LAP 2023'!J113*'2.1 OPEX TUUA'!$O$8)</f>
        <v>0</v>
      </c>
      <c r="P112" s="3">
        <f>+IF(F112="Pasajero",'2.2 OPEX LAP 2023'!K113*'2.1 OPEX TUUA'!$P$7,'2.2 OPEX LAP 2023'!K113*'2.1 OPEX TUUA'!$P$8)</f>
        <v>0</v>
      </c>
      <c r="Q112" s="3">
        <f>+IF(F112="Pasajero",'2.2 OPEX LAP 2023'!L113*'2.1 OPEX TUUA'!$Q$7,'2.2 OPEX LAP 2023'!L113*'2.1 OPEX TUUA'!$Q$8)</f>
        <v>0</v>
      </c>
      <c r="R112" s="3">
        <f>+IF(F112="Pasajero",'2.2 OPEX LAP 2023'!M113*'2.1 OPEX TUUA'!$R$7,'2.2 OPEX LAP 2023'!M113*'2.1 OPEX TUUA'!$R$8)</f>
        <v>0</v>
      </c>
      <c r="S112" s="3">
        <f>+IF(F112="Pasajero",'2.2 OPEX LAP 2023'!N113*'2.1 OPEX TUUA'!$S$7,'2.2 OPEX LAP 2023'!N113*'2.1 OPEX TUUA'!$S$8)</f>
        <v>0</v>
      </c>
      <c r="AA112" s="6"/>
      <c r="AB112" s="6"/>
      <c r="AC112" s="6"/>
      <c r="AD112" s="6"/>
      <c r="AE112" s="6"/>
      <c r="AF112" s="6"/>
    </row>
    <row r="113" spans="2:32" x14ac:dyDescent="0.25">
      <c r="B113" s="16">
        <v>6380000020</v>
      </c>
      <c r="C113" s="190" t="s">
        <v>13</v>
      </c>
      <c r="D113" s="190" t="s">
        <v>49</v>
      </c>
      <c r="E113" s="190" t="s">
        <v>118</v>
      </c>
      <c r="F113" s="162" t="s">
        <v>190</v>
      </c>
      <c r="G113" s="3">
        <f>+IF(F113="Pasajero",'2.2 OPEX LAP 2023'!I114*'2.1 OPEX TUUA'!$G$7,'2.2 OPEX LAP 2023'!I114*'2.1 OPEX TUUA'!$G$8)</f>
        <v>1952.4416768060678</v>
      </c>
      <c r="H113" s="3">
        <f>+IF(F113="Pasajero",'2.2 OPEX LAP 2023'!J114*'2.1 OPEX TUUA'!$H$7,'2.2 OPEX LAP 2023'!J114*'2.1 OPEX TUUA'!$H$8)</f>
        <v>2295.6240864142087</v>
      </c>
      <c r="I113" s="3">
        <f>+IF(F113="Pasajero",'2.2 OPEX LAP 2023'!K114*'2.1 OPEX TUUA'!$I$7,'2.2 OPEX LAP 2023'!K114*'2.1 OPEX TUUA'!$I$8)</f>
        <v>2584.2237155415123</v>
      </c>
      <c r="J113" s="3">
        <f>+IF(F113="Pasajero",'2.2 OPEX LAP 2023'!L114*'2.1 OPEX TUUA'!$J$7,'2.2 OPEX LAP 2023'!L114*'2.1 OPEX TUUA'!$J$8)</f>
        <v>2742.0926465036828</v>
      </c>
      <c r="K113" s="3">
        <f>+IF(F113="Pasajero",'2.2 OPEX LAP 2023'!M114*'2.1 OPEX TUUA'!$K$7,'2.2 OPEX LAP 2023'!M114*'2.1 OPEX TUUA'!$K$8)</f>
        <v>2857.1300908347971</v>
      </c>
      <c r="L113" s="3">
        <f>+IF(F113="Pasajero",'2.2 OPEX LAP 2023'!N114*'2.1 OPEX TUUA'!$L$7,'2.2 OPEX LAP 2023'!N114*'2.1 OPEX TUUA'!$L$8)</f>
        <v>2985.3869094464621</v>
      </c>
      <c r="M113" s="3"/>
      <c r="N113" s="3">
        <f>+IF(F113="Pasajero",'2.2 OPEX LAP 2023'!I114*'2.1 OPEX TUUA'!$N$7,'2.2 OPEX LAP 2023'!I114*'2.1 OPEX TUUA'!$N$8)</f>
        <v>962.9778637160357</v>
      </c>
      <c r="O113" s="3">
        <f>+IF(F113="Pasajero",'2.2 OPEX LAP 2023'!J114*'2.1 OPEX TUUA'!$O$7,'2.2 OPEX LAP 2023'!J114*'2.1 OPEX TUUA'!$O$8)</f>
        <v>950.76307691073373</v>
      </c>
      <c r="P113" s="3">
        <f>+IF(F113="Pasajero",'2.2 OPEX LAP 2023'!K114*'2.1 OPEX TUUA'!$P$7,'2.2 OPEX LAP 2023'!K114*'2.1 OPEX TUUA'!$P$8)</f>
        <v>946.15840827845159</v>
      </c>
      <c r="Q113" s="3">
        <f>+IF(F113="Pasajero",'2.2 OPEX LAP 2023'!L114*'2.1 OPEX TUUA'!$Q$7,'2.2 OPEX LAP 2023'!L114*'2.1 OPEX TUUA'!$Q$8)</f>
        <v>941.39029592878592</v>
      </c>
      <c r="R113" s="3">
        <f>+IF(F113="Pasajero",'2.2 OPEX LAP 2023'!M114*'2.1 OPEX TUUA'!$R$7,'2.2 OPEX LAP 2023'!M114*'2.1 OPEX TUUA'!$R$8)</f>
        <v>947.26882008748771</v>
      </c>
      <c r="S113" s="3">
        <f>+IF(F113="Pasajero",'2.2 OPEX LAP 2023'!N114*'2.1 OPEX TUUA'!$S$7,'2.2 OPEX LAP 2023'!N114*'2.1 OPEX TUUA'!$S$8)</f>
        <v>948.86235996359574</v>
      </c>
      <c r="AA113" s="6"/>
      <c r="AB113" s="6"/>
      <c r="AC113" s="6"/>
      <c r="AD113" s="6"/>
      <c r="AE113" s="6"/>
      <c r="AF113" s="6"/>
    </row>
    <row r="114" spans="2:32" x14ac:dyDescent="0.25">
      <c r="B114" s="16">
        <v>6380000021</v>
      </c>
      <c r="C114" s="190" t="s">
        <v>13</v>
      </c>
      <c r="D114" s="190" t="s">
        <v>40</v>
      </c>
      <c r="E114" s="190" t="s">
        <v>119</v>
      </c>
      <c r="F114" s="162" t="s">
        <v>190</v>
      </c>
      <c r="G114" s="3">
        <f>+IF(F114="Pasajero",'2.2 OPEX LAP 2023'!I115*'2.1 OPEX TUUA'!$G$7,'2.2 OPEX LAP 2023'!I115*'2.1 OPEX TUUA'!$G$8)</f>
        <v>696.54382782207119</v>
      </c>
      <c r="H114" s="3">
        <f>+IF(F114="Pasajero",'2.2 OPEX LAP 2023'!J115*'2.1 OPEX TUUA'!$H$7,'2.2 OPEX LAP 2023'!J115*'2.1 OPEX TUUA'!$H$8)</f>
        <v>818.9759557925704</v>
      </c>
      <c r="I114" s="3">
        <f>+IF(F114="Pasajero",'2.2 OPEX LAP 2023'!K115*'2.1 OPEX TUUA'!$I$7,'2.2 OPEX LAP 2023'!K115*'2.1 OPEX TUUA'!$I$8)</f>
        <v>921.93539000686542</v>
      </c>
      <c r="J114" s="3">
        <f>+IF(F114="Pasajero",'2.2 OPEX LAP 2023'!L115*'2.1 OPEX TUUA'!$J$7,'2.2 OPEX LAP 2023'!L115*'2.1 OPEX TUUA'!$J$8)</f>
        <v>978.25596069169774</v>
      </c>
      <c r="K114" s="3">
        <f>+IF(F114="Pasajero",'2.2 OPEX LAP 2023'!M115*'2.1 OPEX TUUA'!$K$7,'2.2 OPEX LAP 2023'!M115*'2.1 OPEX TUUA'!$K$8)</f>
        <v>1019.2961734515186</v>
      </c>
      <c r="L114" s="3">
        <f>+IF(F114="Pasajero",'2.2 OPEX LAP 2023'!N115*'2.1 OPEX TUUA'!$L$7,'2.2 OPEX LAP 2023'!N115*'2.1 OPEX TUUA'!$L$8)</f>
        <v>1065.0524674506271</v>
      </c>
      <c r="M114" s="3"/>
      <c r="N114" s="3">
        <f>+IF(F114="Pasajero",'2.2 OPEX LAP 2023'!I115*'2.1 OPEX TUUA'!$N$7,'2.2 OPEX LAP 2023'!I115*'2.1 OPEX TUUA'!$N$8)</f>
        <v>343.54741310273374</v>
      </c>
      <c r="O114" s="3">
        <f>+IF(F114="Pasajero",'2.2 OPEX LAP 2023'!J115*'2.1 OPEX TUUA'!$O$7,'2.2 OPEX LAP 2023'!J115*'2.1 OPEX TUUA'!$O$8)</f>
        <v>339.18972372411235</v>
      </c>
      <c r="P114" s="3">
        <f>+IF(F114="Pasajero",'2.2 OPEX LAP 2023'!K115*'2.1 OPEX TUUA'!$P$7,'2.2 OPEX LAP 2023'!K115*'2.1 OPEX TUUA'!$P$8)</f>
        <v>337.54698399309575</v>
      </c>
      <c r="Q114" s="3">
        <f>+IF(F114="Pasajero",'2.2 OPEX LAP 2023'!L115*'2.1 OPEX TUUA'!$Q$7,'2.2 OPEX LAP 2023'!L115*'2.1 OPEX TUUA'!$Q$8)</f>
        <v>335.84593485704431</v>
      </c>
      <c r="R114" s="3">
        <f>+IF(F114="Pasajero",'2.2 OPEX LAP 2023'!M115*'2.1 OPEX TUUA'!$R$7,'2.2 OPEX LAP 2023'!M115*'2.1 OPEX TUUA'!$R$8)</f>
        <v>337.94312924092208</v>
      </c>
      <c r="S114" s="3">
        <f>+IF(F114="Pasajero",'2.2 OPEX LAP 2023'!N115*'2.1 OPEX TUUA'!$S$7,'2.2 OPEX LAP 2023'!N115*'2.1 OPEX TUUA'!$S$8)</f>
        <v>338.51163296540068</v>
      </c>
      <c r="AA114" s="6"/>
      <c r="AB114" s="6"/>
      <c r="AC114" s="6"/>
      <c r="AD114" s="6"/>
      <c r="AE114" s="6"/>
      <c r="AF114" s="6"/>
    </row>
    <row r="115" spans="2:32" x14ac:dyDescent="0.25">
      <c r="B115" s="16">
        <v>6380000022</v>
      </c>
      <c r="C115" s="190" t="s">
        <v>13</v>
      </c>
      <c r="D115" s="190" t="s">
        <v>40</v>
      </c>
      <c r="E115" s="190" t="s">
        <v>120</v>
      </c>
      <c r="F115" s="162" t="s">
        <v>190</v>
      </c>
      <c r="G115" s="3">
        <f>+IF(F115="Pasajero",'2.2 OPEX LAP 2023'!I116*'2.1 OPEX TUUA'!$G$7,'2.2 OPEX LAP 2023'!I116*'2.1 OPEX TUUA'!$G$8)</f>
        <v>1562.8935624720818</v>
      </c>
      <c r="H115" s="3">
        <f>+IF(F115="Pasajero",'2.2 OPEX LAP 2023'!J116*'2.1 OPEX TUUA'!$H$7,'2.2 OPEX LAP 2023'!J116*'2.1 OPEX TUUA'!$H$8)</f>
        <v>1837.6047536445783</v>
      </c>
      <c r="I115" s="3">
        <f>+IF(F115="Pasajero",'2.2 OPEX LAP 2023'!K116*'2.1 OPEX TUUA'!$I$7,'2.2 OPEX LAP 2023'!K116*'2.1 OPEX TUUA'!$I$8)</f>
        <v>2068.6234354588032</v>
      </c>
      <c r="J115" s="3">
        <f>+IF(F115="Pasajero",'2.2 OPEX LAP 2023'!L116*'2.1 OPEX TUUA'!$J$7,'2.2 OPEX LAP 2023'!L116*'2.1 OPEX TUUA'!$J$8)</f>
        <v>2194.994603850756</v>
      </c>
      <c r="K115" s="3">
        <f>+IF(F115="Pasajero",'2.2 OPEX LAP 2023'!M116*'2.1 OPEX TUUA'!$K$7,'2.2 OPEX LAP 2023'!M116*'2.1 OPEX TUUA'!$K$8)</f>
        <v>2287.0799569366686</v>
      </c>
      <c r="L115" s="3">
        <f>+IF(F115="Pasajero",'2.2 OPEX LAP 2023'!N116*'2.1 OPEX TUUA'!$L$7,'2.2 OPEX LAP 2023'!N116*'2.1 OPEX TUUA'!$L$8)</f>
        <v>2389.7471753906584</v>
      </c>
      <c r="M115" s="3"/>
      <c r="N115" s="3">
        <f>+IF(F115="Pasajero",'2.2 OPEX LAP 2023'!I116*'2.1 OPEX TUUA'!$N$7,'2.2 OPEX LAP 2023'!I116*'2.1 OPEX TUUA'!$N$8)</f>
        <v>770.8460241777567</v>
      </c>
      <c r="O115" s="3">
        <f>+IF(F115="Pasajero",'2.2 OPEX LAP 2023'!J116*'2.1 OPEX TUUA'!$O$7,'2.2 OPEX LAP 2023'!J116*'2.1 OPEX TUUA'!$O$8)</f>
        <v>761.06831256067812</v>
      </c>
      <c r="P115" s="3">
        <f>+IF(F115="Pasajero",'2.2 OPEX LAP 2023'!K116*'2.1 OPEX TUUA'!$P$7,'2.2 OPEX LAP 2023'!K116*'2.1 OPEX TUUA'!$P$8)</f>
        <v>757.38236022304739</v>
      </c>
      <c r="Q115" s="3">
        <f>+IF(F115="Pasajero",'2.2 OPEX LAP 2023'!L116*'2.1 OPEX TUUA'!$Q$7,'2.2 OPEX LAP 2023'!L116*'2.1 OPEX TUUA'!$Q$8)</f>
        <v>753.56557420328431</v>
      </c>
      <c r="R115" s="3">
        <f>+IF(F115="Pasajero",'2.2 OPEX LAP 2023'!M116*'2.1 OPEX TUUA'!$R$7,'2.2 OPEX LAP 2023'!M116*'2.1 OPEX TUUA'!$R$8)</f>
        <v>758.27122440201447</v>
      </c>
      <c r="S115" s="3">
        <f>+IF(F115="Pasajero",'2.2 OPEX LAP 2023'!N116*'2.1 OPEX TUUA'!$S$7,'2.2 OPEX LAP 2023'!N116*'2.1 OPEX TUUA'!$S$8)</f>
        <v>759.54682369058651</v>
      </c>
      <c r="AA115" s="6"/>
      <c r="AB115" s="6"/>
      <c r="AC115" s="6"/>
      <c r="AD115" s="6"/>
      <c r="AE115" s="6"/>
      <c r="AF115" s="6"/>
    </row>
    <row r="116" spans="2:32" x14ac:dyDescent="0.25">
      <c r="B116" s="16">
        <v>6380000023</v>
      </c>
      <c r="C116" s="190" t="s">
        <v>13</v>
      </c>
      <c r="D116" s="190" t="s">
        <v>49</v>
      </c>
      <c r="E116" s="190" t="s">
        <v>121</v>
      </c>
      <c r="F116" s="162" t="s">
        <v>190</v>
      </c>
      <c r="G116" s="3">
        <f>+IF(F116="Pasajero",'2.2 OPEX LAP 2023'!I117*'2.1 OPEX TUUA'!$G$7,'2.2 OPEX LAP 2023'!I117*'2.1 OPEX TUUA'!$G$8)</f>
        <v>2946.0040090481111</v>
      </c>
      <c r="H116" s="3">
        <f>+IF(F116="Pasajero",'2.2 OPEX LAP 2023'!J117*'2.1 OPEX TUUA'!$H$7,'2.2 OPEX LAP 2023'!J117*'2.1 OPEX TUUA'!$H$8)</f>
        <v>3463.8257532521493</v>
      </c>
      <c r="I116" s="3">
        <f>+IF(F116="Pasajero",'2.2 OPEX LAP 2023'!K117*'2.1 OPEX TUUA'!$I$7,'2.2 OPEX LAP 2023'!K117*'2.1 OPEX TUUA'!$I$8)</f>
        <v>3899.2885250823801</v>
      </c>
      <c r="J116" s="3">
        <f>+IF(F116="Pasajero",'2.2 OPEX LAP 2023'!L117*'2.1 OPEX TUUA'!$J$7,'2.2 OPEX LAP 2023'!L117*'2.1 OPEX TUUA'!$J$8)</f>
        <v>4137.4941058398581</v>
      </c>
      <c r="K116" s="3">
        <f>+IF(F116="Pasajero",'2.2 OPEX LAP 2023'!M117*'2.1 OPEX TUUA'!$K$7,'2.2 OPEX LAP 2023'!M117*'2.1 OPEX TUUA'!$K$8)</f>
        <v>4311.0720294296207</v>
      </c>
      <c r="L116" s="3">
        <f>+IF(F116="Pasajero",'2.2 OPEX LAP 2023'!N117*'2.1 OPEX TUUA'!$L$7,'2.2 OPEX LAP 2023'!N117*'2.1 OPEX TUUA'!$L$8)</f>
        <v>4504.5964282919858</v>
      </c>
      <c r="M116" s="3"/>
      <c r="N116" s="3">
        <f>+IF(F116="Pasajero",'2.2 OPEX LAP 2023'!I117*'2.1 OPEX TUUA'!$N$7,'2.2 OPEX LAP 2023'!I117*'2.1 OPEX TUUA'!$N$8)</f>
        <v>1453.019919024098</v>
      </c>
      <c r="O116" s="3">
        <f>+IF(F116="Pasajero",'2.2 OPEX LAP 2023'!J117*'2.1 OPEX TUUA'!$O$7,'2.2 OPEX LAP 2023'!J117*'2.1 OPEX TUUA'!$O$8)</f>
        <v>1434.589247662404</v>
      </c>
      <c r="P116" s="3">
        <f>+IF(F116="Pasajero",'2.2 OPEX LAP 2023'!K117*'2.1 OPEX TUUA'!$P$7,'2.2 OPEX LAP 2023'!K117*'2.1 OPEX TUUA'!$P$8)</f>
        <v>1427.6413462668386</v>
      </c>
      <c r="Q116" s="3">
        <f>+IF(F116="Pasajero",'2.2 OPEX LAP 2023'!L117*'2.1 OPEX TUUA'!$Q$7,'2.2 OPEX LAP 2023'!L117*'2.1 OPEX TUUA'!$Q$8)</f>
        <v>1420.4468275958964</v>
      </c>
      <c r="R116" s="3">
        <f>+IF(F116="Pasajero",'2.2 OPEX LAP 2023'!M117*'2.1 OPEX TUUA'!$R$7,'2.2 OPEX LAP 2023'!M117*'2.1 OPEX TUUA'!$R$8)</f>
        <v>1429.3168266051121</v>
      </c>
      <c r="S116" s="3">
        <f>+IF(F116="Pasajero",'2.2 OPEX LAP 2023'!N117*'2.1 OPEX TUUA'!$S$7,'2.2 OPEX LAP 2023'!N117*'2.1 OPEX TUUA'!$S$8)</f>
        <v>1431.7212901644398</v>
      </c>
      <c r="AA116" s="6"/>
      <c r="AB116" s="6"/>
      <c r="AC116" s="6"/>
      <c r="AD116" s="6"/>
      <c r="AE116" s="6"/>
      <c r="AF116" s="6"/>
    </row>
    <row r="117" spans="2:32" x14ac:dyDescent="0.25">
      <c r="B117" s="16">
        <v>6380000024</v>
      </c>
      <c r="C117" s="190" t="s">
        <v>13</v>
      </c>
      <c r="D117" s="190" t="s">
        <v>49</v>
      </c>
      <c r="E117" s="190" t="s">
        <v>122</v>
      </c>
      <c r="F117" s="162" t="s">
        <v>190</v>
      </c>
      <c r="G117" s="3">
        <f>+IF(F117="Pasajero",'2.2 OPEX LAP 2023'!I118*'2.1 OPEX TUUA'!$G$7,'2.2 OPEX LAP 2023'!I118*'2.1 OPEX TUUA'!$G$8)</f>
        <v>4798.1814344174327</v>
      </c>
      <c r="H117" s="3">
        <f>+IF(F117="Pasajero",'2.2 OPEX LAP 2023'!J118*'2.1 OPEX TUUA'!$H$7,'2.2 OPEX LAP 2023'!J118*'2.1 OPEX TUUA'!$H$8)</f>
        <v>5641.5620516014105</v>
      </c>
      <c r="I117" s="3">
        <f>+IF(F117="Pasajero",'2.2 OPEX LAP 2023'!K118*'2.1 OPEX TUUA'!$I$7,'2.2 OPEX LAP 2023'!K118*'2.1 OPEX TUUA'!$I$8)</f>
        <v>6350.8039198264605</v>
      </c>
      <c r="J117" s="3">
        <f>+IF(F117="Pasajero",'2.2 OPEX LAP 2023'!L118*'2.1 OPEX TUUA'!$J$7,'2.2 OPEX LAP 2023'!L118*'2.1 OPEX TUUA'!$J$8)</f>
        <v>6738.7713467731928</v>
      </c>
      <c r="K117" s="3">
        <f>+IF(F117="Pasajero",'2.2 OPEX LAP 2023'!M118*'2.1 OPEX TUUA'!$K$7,'2.2 OPEX LAP 2023'!M118*'2.1 OPEX TUUA'!$K$8)</f>
        <v>7021.4791665301082</v>
      </c>
      <c r="L117" s="3">
        <f>+IF(F117="Pasajero",'2.2 OPEX LAP 2023'!N118*'2.1 OPEX TUUA'!$L$7,'2.2 OPEX LAP 2023'!N118*'2.1 OPEX TUUA'!$L$8)</f>
        <v>7336.6739778325646</v>
      </c>
      <c r="M117" s="3"/>
      <c r="N117" s="3">
        <f>+IF(F117="Pasajero",'2.2 OPEX LAP 2023'!I118*'2.1 OPEX TUUA'!$N$7,'2.2 OPEX LAP 2023'!I118*'2.1 OPEX TUUA'!$N$8)</f>
        <v>2366.5457269872613</v>
      </c>
      <c r="O117" s="3">
        <f>+IF(F117="Pasajero",'2.2 OPEX LAP 2023'!J118*'2.1 OPEX TUUA'!$O$7,'2.2 OPEX LAP 2023'!J118*'2.1 OPEX TUUA'!$O$8)</f>
        <v>2336.5275379827926</v>
      </c>
      <c r="P117" s="3">
        <f>+IF(F117="Pasajero",'2.2 OPEX LAP 2023'!K118*'2.1 OPEX TUUA'!$P$7,'2.2 OPEX LAP 2023'!K118*'2.1 OPEX TUUA'!$P$8)</f>
        <v>2325.2114327154623</v>
      </c>
      <c r="Q117" s="3">
        <f>+IF(F117="Pasajero",'2.2 OPEX LAP 2023'!L118*'2.1 OPEX TUUA'!$Q$7,'2.2 OPEX LAP 2023'!L118*'2.1 OPEX TUUA'!$Q$8)</f>
        <v>2313.4936598236191</v>
      </c>
      <c r="R117" s="3">
        <f>+IF(F117="Pasajero",'2.2 OPEX LAP 2023'!M118*'2.1 OPEX TUUA'!$R$7,'2.2 OPEX LAP 2023'!M118*'2.1 OPEX TUUA'!$R$8)</f>
        <v>2327.940301592811</v>
      </c>
      <c r="S117" s="3">
        <f>+IF(F117="Pasajero",'2.2 OPEX LAP 2023'!N118*'2.1 OPEX TUUA'!$S$7,'2.2 OPEX LAP 2023'!N118*'2.1 OPEX TUUA'!$S$8)</f>
        <v>2331.8564715554671</v>
      </c>
      <c r="AA117" s="6"/>
      <c r="AB117" s="6"/>
      <c r="AC117" s="6"/>
      <c r="AD117" s="6"/>
      <c r="AE117" s="6"/>
      <c r="AF117" s="6"/>
    </row>
    <row r="118" spans="2:32" x14ac:dyDescent="0.25">
      <c r="B118" s="16">
        <v>6380000025</v>
      </c>
      <c r="C118" s="190" t="s">
        <v>13</v>
      </c>
      <c r="D118" s="190" t="s">
        <v>49</v>
      </c>
      <c r="E118" s="190" t="s">
        <v>123</v>
      </c>
      <c r="F118" s="162" t="s">
        <v>190</v>
      </c>
      <c r="G118" s="3">
        <f>+IF(F118="Pasajero",'2.2 OPEX LAP 2023'!I119*'2.1 OPEX TUUA'!$G$7,'2.2 OPEX LAP 2023'!I119*'2.1 OPEX TUUA'!$G$8)</f>
        <v>0</v>
      </c>
      <c r="H118" s="3">
        <f>+IF(F118="Pasajero",'2.2 OPEX LAP 2023'!J119*'2.1 OPEX TUUA'!$H$7,'2.2 OPEX LAP 2023'!J119*'2.1 OPEX TUUA'!$H$8)</f>
        <v>0</v>
      </c>
      <c r="I118" s="3">
        <f>+IF(F118="Pasajero",'2.2 OPEX LAP 2023'!K119*'2.1 OPEX TUUA'!$I$7,'2.2 OPEX LAP 2023'!K119*'2.1 OPEX TUUA'!$I$8)</f>
        <v>0</v>
      </c>
      <c r="J118" s="3">
        <f>+IF(F118="Pasajero",'2.2 OPEX LAP 2023'!L119*'2.1 OPEX TUUA'!$J$7,'2.2 OPEX LAP 2023'!L119*'2.1 OPEX TUUA'!$J$8)</f>
        <v>0</v>
      </c>
      <c r="K118" s="3">
        <f>+IF(F118="Pasajero",'2.2 OPEX LAP 2023'!M119*'2.1 OPEX TUUA'!$K$7,'2.2 OPEX LAP 2023'!M119*'2.1 OPEX TUUA'!$K$8)</f>
        <v>0</v>
      </c>
      <c r="L118" s="3">
        <f>+IF(F118="Pasajero",'2.2 OPEX LAP 2023'!N119*'2.1 OPEX TUUA'!$L$7,'2.2 OPEX LAP 2023'!N119*'2.1 OPEX TUUA'!$L$8)</f>
        <v>0</v>
      </c>
      <c r="M118" s="3"/>
      <c r="N118" s="3">
        <f>+IF(F118="Pasajero",'2.2 OPEX LAP 2023'!I119*'2.1 OPEX TUUA'!$N$7,'2.2 OPEX LAP 2023'!I119*'2.1 OPEX TUUA'!$N$8)</f>
        <v>0</v>
      </c>
      <c r="O118" s="3">
        <f>+IF(F118="Pasajero",'2.2 OPEX LAP 2023'!J119*'2.1 OPEX TUUA'!$O$7,'2.2 OPEX LAP 2023'!J119*'2.1 OPEX TUUA'!$O$8)</f>
        <v>0</v>
      </c>
      <c r="P118" s="3">
        <f>+IF(F118="Pasajero",'2.2 OPEX LAP 2023'!K119*'2.1 OPEX TUUA'!$P$7,'2.2 OPEX LAP 2023'!K119*'2.1 OPEX TUUA'!$P$8)</f>
        <v>0</v>
      </c>
      <c r="Q118" s="3">
        <f>+IF(F118="Pasajero",'2.2 OPEX LAP 2023'!L119*'2.1 OPEX TUUA'!$Q$7,'2.2 OPEX LAP 2023'!L119*'2.1 OPEX TUUA'!$Q$8)</f>
        <v>0</v>
      </c>
      <c r="R118" s="3">
        <f>+IF(F118="Pasajero",'2.2 OPEX LAP 2023'!M119*'2.1 OPEX TUUA'!$R$7,'2.2 OPEX LAP 2023'!M119*'2.1 OPEX TUUA'!$R$8)</f>
        <v>0</v>
      </c>
      <c r="S118" s="3">
        <f>+IF(F118="Pasajero",'2.2 OPEX LAP 2023'!N119*'2.1 OPEX TUUA'!$S$7,'2.2 OPEX LAP 2023'!N119*'2.1 OPEX TUUA'!$S$8)</f>
        <v>0</v>
      </c>
      <c r="AA118" s="6"/>
      <c r="AB118" s="6"/>
      <c r="AC118" s="6"/>
      <c r="AD118" s="6"/>
      <c r="AE118" s="6"/>
      <c r="AF118" s="6"/>
    </row>
    <row r="119" spans="2:32" x14ac:dyDescent="0.25">
      <c r="B119" s="16">
        <v>6380000026</v>
      </c>
      <c r="C119" s="190" t="s">
        <v>13</v>
      </c>
      <c r="D119" s="190" t="s">
        <v>49</v>
      </c>
      <c r="E119" s="190" t="s">
        <v>124</v>
      </c>
      <c r="F119" s="162" t="s">
        <v>190</v>
      </c>
      <c r="G119" s="3">
        <f>+IF(F119="Pasajero",'2.2 OPEX LAP 2023'!I120*'2.1 OPEX TUUA'!$G$7,'2.2 OPEX LAP 2023'!I120*'2.1 OPEX TUUA'!$G$8)</f>
        <v>0</v>
      </c>
      <c r="H119" s="3">
        <f>+IF(F119="Pasajero",'2.2 OPEX LAP 2023'!J120*'2.1 OPEX TUUA'!$H$7,'2.2 OPEX LAP 2023'!J120*'2.1 OPEX TUUA'!$H$8)</f>
        <v>0</v>
      </c>
      <c r="I119" s="3">
        <f>+IF(F119="Pasajero",'2.2 OPEX LAP 2023'!K120*'2.1 OPEX TUUA'!$I$7,'2.2 OPEX LAP 2023'!K120*'2.1 OPEX TUUA'!$I$8)</f>
        <v>0</v>
      </c>
      <c r="J119" s="3">
        <f>+IF(F119="Pasajero",'2.2 OPEX LAP 2023'!L120*'2.1 OPEX TUUA'!$J$7,'2.2 OPEX LAP 2023'!L120*'2.1 OPEX TUUA'!$J$8)</f>
        <v>0</v>
      </c>
      <c r="K119" s="3">
        <f>+IF(F119="Pasajero",'2.2 OPEX LAP 2023'!M120*'2.1 OPEX TUUA'!$K$7,'2.2 OPEX LAP 2023'!M120*'2.1 OPEX TUUA'!$K$8)</f>
        <v>0</v>
      </c>
      <c r="L119" s="3">
        <f>+IF(F119="Pasajero",'2.2 OPEX LAP 2023'!N120*'2.1 OPEX TUUA'!$L$7,'2.2 OPEX LAP 2023'!N120*'2.1 OPEX TUUA'!$L$8)</f>
        <v>0</v>
      </c>
      <c r="M119" s="3"/>
      <c r="N119" s="3">
        <f>+IF(F119="Pasajero",'2.2 OPEX LAP 2023'!I120*'2.1 OPEX TUUA'!$N$7,'2.2 OPEX LAP 2023'!I120*'2.1 OPEX TUUA'!$N$8)</f>
        <v>0</v>
      </c>
      <c r="O119" s="3">
        <f>+IF(F119="Pasajero",'2.2 OPEX LAP 2023'!J120*'2.1 OPEX TUUA'!$O$7,'2.2 OPEX LAP 2023'!J120*'2.1 OPEX TUUA'!$O$8)</f>
        <v>0</v>
      </c>
      <c r="P119" s="3">
        <f>+IF(F119="Pasajero",'2.2 OPEX LAP 2023'!K120*'2.1 OPEX TUUA'!$P$7,'2.2 OPEX LAP 2023'!K120*'2.1 OPEX TUUA'!$P$8)</f>
        <v>0</v>
      </c>
      <c r="Q119" s="3">
        <f>+IF(F119="Pasajero",'2.2 OPEX LAP 2023'!L120*'2.1 OPEX TUUA'!$Q$7,'2.2 OPEX LAP 2023'!L120*'2.1 OPEX TUUA'!$Q$8)</f>
        <v>0</v>
      </c>
      <c r="R119" s="3">
        <f>+IF(F119="Pasajero",'2.2 OPEX LAP 2023'!M120*'2.1 OPEX TUUA'!$R$7,'2.2 OPEX LAP 2023'!M120*'2.1 OPEX TUUA'!$R$8)</f>
        <v>0</v>
      </c>
      <c r="S119" s="3">
        <f>+IF(F119="Pasajero",'2.2 OPEX LAP 2023'!N120*'2.1 OPEX TUUA'!$S$7,'2.2 OPEX LAP 2023'!N120*'2.1 OPEX TUUA'!$S$8)</f>
        <v>0</v>
      </c>
      <c r="AA119" s="6"/>
      <c r="AB119" s="6"/>
      <c r="AC119" s="6"/>
      <c r="AD119" s="6"/>
      <c r="AE119" s="6"/>
      <c r="AF119" s="6"/>
    </row>
    <row r="120" spans="2:32" x14ac:dyDescent="0.25">
      <c r="B120" s="16">
        <v>6380000027</v>
      </c>
      <c r="C120" s="190" t="s">
        <v>13</v>
      </c>
      <c r="D120" s="190" t="s">
        <v>49</v>
      </c>
      <c r="E120" s="190" t="s">
        <v>125</v>
      </c>
      <c r="F120" s="162" t="s">
        <v>190</v>
      </c>
      <c r="G120" s="3">
        <f>+IF(F120="Pasajero",'2.2 OPEX LAP 2023'!I121*'2.1 OPEX TUUA'!$G$7,'2.2 OPEX LAP 2023'!I121*'2.1 OPEX TUUA'!$G$8)</f>
        <v>0</v>
      </c>
      <c r="H120" s="3">
        <f>+IF(F120="Pasajero",'2.2 OPEX LAP 2023'!J121*'2.1 OPEX TUUA'!$H$7,'2.2 OPEX LAP 2023'!J121*'2.1 OPEX TUUA'!$H$8)</f>
        <v>0</v>
      </c>
      <c r="I120" s="3">
        <f>+IF(F120="Pasajero",'2.2 OPEX LAP 2023'!K121*'2.1 OPEX TUUA'!$I$7,'2.2 OPEX LAP 2023'!K121*'2.1 OPEX TUUA'!$I$8)</f>
        <v>0</v>
      </c>
      <c r="J120" s="3">
        <f>+IF(F120="Pasajero",'2.2 OPEX LAP 2023'!L121*'2.1 OPEX TUUA'!$J$7,'2.2 OPEX LAP 2023'!L121*'2.1 OPEX TUUA'!$J$8)</f>
        <v>0</v>
      </c>
      <c r="K120" s="3">
        <f>+IF(F120="Pasajero",'2.2 OPEX LAP 2023'!M121*'2.1 OPEX TUUA'!$K$7,'2.2 OPEX LAP 2023'!M121*'2.1 OPEX TUUA'!$K$8)</f>
        <v>0</v>
      </c>
      <c r="L120" s="3">
        <f>+IF(F120="Pasajero",'2.2 OPEX LAP 2023'!N121*'2.1 OPEX TUUA'!$L$7,'2.2 OPEX LAP 2023'!N121*'2.1 OPEX TUUA'!$L$8)</f>
        <v>0</v>
      </c>
      <c r="M120" s="3"/>
      <c r="N120" s="3">
        <f>+IF(F120="Pasajero",'2.2 OPEX LAP 2023'!I121*'2.1 OPEX TUUA'!$N$7,'2.2 OPEX LAP 2023'!I121*'2.1 OPEX TUUA'!$N$8)</f>
        <v>0</v>
      </c>
      <c r="O120" s="3">
        <f>+IF(F120="Pasajero",'2.2 OPEX LAP 2023'!J121*'2.1 OPEX TUUA'!$O$7,'2.2 OPEX LAP 2023'!J121*'2.1 OPEX TUUA'!$O$8)</f>
        <v>0</v>
      </c>
      <c r="P120" s="3">
        <f>+IF(F120="Pasajero",'2.2 OPEX LAP 2023'!K121*'2.1 OPEX TUUA'!$P$7,'2.2 OPEX LAP 2023'!K121*'2.1 OPEX TUUA'!$P$8)</f>
        <v>0</v>
      </c>
      <c r="Q120" s="3">
        <f>+IF(F120="Pasajero",'2.2 OPEX LAP 2023'!L121*'2.1 OPEX TUUA'!$Q$7,'2.2 OPEX LAP 2023'!L121*'2.1 OPEX TUUA'!$Q$8)</f>
        <v>0</v>
      </c>
      <c r="R120" s="3">
        <f>+IF(F120="Pasajero",'2.2 OPEX LAP 2023'!M121*'2.1 OPEX TUUA'!$R$7,'2.2 OPEX LAP 2023'!M121*'2.1 OPEX TUUA'!$R$8)</f>
        <v>0</v>
      </c>
      <c r="S120" s="3">
        <f>+IF(F120="Pasajero",'2.2 OPEX LAP 2023'!N121*'2.1 OPEX TUUA'!$S$7,'2.2 OPEX LAP 2023'!N121*'2.1 OPEX TUUA'!$S$8)</f>
        <v>0</v>
      </c>
      <c r="AA120" s="6"/>
      <c r="AB120" s="6"/>
      <c r="AC120" s="6"/>
      <c r="AD120" s="6"/>
      <c r="AE120" s="6"/>
      <c r="AF120" s="6"/>
    </row>
    <row r="121" spans="2:32" x14ac:dyDescent="0.25">
      <c r="B121" s="16">
        <v>6380000028</v>
      </c>
      <c r="C121" s="190" t="s">
        <v>13</v>
      </c>
      <c r="D121" s="190" t="s">
        <v>49</v>
      </c>
      <c r="E121" s="190" t="s">
        <v>126</v>
      </c>
      <c r="F121" s="162" t="s">
        <v>190</v>
      </c>
      <c r="G121" s="3">
        <f>+IF(F121="Pasajero",'2.2 OPEX LAP 2023'!I122*'2.1 OPEX TUUA'!$G$7,'2.2 OPEX LAP 2023'!I122*'2.1 OPEX TUUA'!$G$8)</f>
        <v>9553.7008599589917</v>
      </c>
      <c r="H121" s="3">
        <f>+IF(F121="Pasajero",'2.2 OPEX LAP 2023'!J122*'2.1 OPEX TUUA'!$H$7,'2.2 OPEX LAP 2023'!J122*'2.1 OPEX TUUA'!$H$8)</f>
        <v>11232.963355092546</v>
      </c>
      <c r="I121" s="3">
        <f>+IF(F121="Pasajero",'2.2 OPEX LAP 2023'!K122*'2.1 OPEX TUUA'!$I$7,'2.2 OPEX LAP 2023'!K122*'2.1 OPEX TUUA'!$I$8)</f>
        <v>12645.141018441631</v>
      </c>
      <c r="J121" s="3">
        <f>+IF(F121="Pasajero",'2.2 OPEX LAP 2023'!L122*'2.1 OPEX TUUA'!$J$7,'2.2 OPEX LAP 2023'!L122*'2.1 OPEX TUUA'!$J$8)</f>
        <v>13417.62634254174</v>
      </c>
      <c r="K121" s="3">
        <f>+IF(F121="Pasajero",'2.2 OPEX LAP 2023'!M122*'2.1 OPEX TUUA'!$K$7,'2.2 OPEX LAP 2023'!M122*'2.1 OPEX TUUA'!$K$8)</f>
        <v>13980.528345653822</v>
      </c>
      <c r="L121" s="3">
        <f>+IF(F121="Pasajero",'2.2 OPEX LAP 2023'!N122*'2.1 OPEX TUUA'!$L$7,'2.2 OPEX LAP 2023'!N122*'2.1 OPEX TUUA'!$L$8)</f>
        <v>14608.115480686887</v>
      </c>
      <c r="M121" s="3"/>
      <c r="N121" s="3">
        <f>+IF(F121="Pasajero",'2.2 OPEX LAP 2023'!I122*'2.1 OPEX TUUA'!$N$7,'2.2 OPEX LAP 2023'!I122*'2.1 OPEX TUUA'!$N$8)</f>
        <v>4712.0498163895636</v>
      </c>
      <c r="O121" s="3">
        <f>+IF(F121="Pasajero",'2.2 OPEX LAP 2023'!J122*'2.1 OPEX TUUA'!$O$7,'2.2 OPEX LAP 2023'!J122*'2.1 OPEX TUUA'!$O$8)</f>
        <v>4652.2803387184413</v>
      </c>
      <c r="P121" s="3">
        <f>+IF(F121="Pasajero",'2.2 OPEX LAP 2023'!K122*'2.1 OPEX TUUA'!$P$7,'2.2 OPEX LAP 2023'!K122*'2.1 OPEX TUUA'!$P$8)</f>
        <v>4629.7487429250014</v>
      </c>
      <c r="Q121" s="3">
        <f>+IF(F121="Pasajero",'2.2 OPEX LAP 2023'!L122*'2.1 OPEX TUUA'!$Q$7,'2.2 OPEX LAP 2023'!L122*'2.1 OPEX TUUA'!$Q$8)</f>
        <v>4606.4173832247197</v>
      </c>
      <c r="R121" s="3">
        <f>+IF(F121="Pasajero",'2.2 OPEX LAP 2023'!M122*'2.1 OPEX TUUA'!$R$7,'2.2 OPEX LAP 2023'!M122*'2.1 OPEX TUUA'!$R$8)</f>
        <v>4635.1822175229463</v>
      </c>
      <c r="S121" s="3">
        <f>+IF(F121="Pasajero",'2.2 OPEX LAP 2023'!N122*'2.1 OPEX TUUA'!$S$7,'2.2 OPEX LAP 2023'!N122*'2.1 OPEX TUUA'!$S$8)</f>
        <v>4642.9797376566385</v>
      </c>
      <c r="AA121" s="6"/>
      <c r="AB121" s="6"/>
      <c r="AC121" s="6"/>
      <c r="AD121" s="6"/>
      <c r="AE121" s="6"/>
      <c r="AF121" s="6"/>
    </row>
    <row r="122" spans="2:32" x14ac:dyDescent="0.25">
      <c r="B122" s="16">
        <v>6380000029</v>
      </c>
      <c r="C122" s="190" t="s">
        <v>13</v>
      </c>
      <c r="D122" s="190" t="s">
        <v>40</v>
      </c>
      <c r="E122" s="190" t="s">
        <v>127</v>
      </c>
      <c r="F122" s="162" t="s">
        <v>190</v>
      </c>
      <c r="G122" s="3">
        <f>+IF(F122="Pasajero",'2.2 OPEX LAP 2023'!I123*'2.1 OPEX TUUA'!$G$7,'2.2 OPEX LAP 2023'!I123*'2.1 OPEX TUUA'!$G$8)</f>
        <v>0</v>
      </c>
      <c r="H122" s="3">
        <f>+IF(F122="Pasajero",'2.2 OPEX LAP 2023'!J123*'2.1 OPEX TUUA'!$H$7,'2.2 OPEX LAP 2023'!J123*'2.1 OPEX TUUA'!$H$8)</f>
        <v>0</v>
      </c>
      <c r="I122" s="3">
        <f>+IF(F122="Pasajero",'2.2 OPEX LAP 2023'!K123*'2.1 OPEX TUUA'!$I$7,'2.2 OPEX LAP 2023'!K123*'2.1 OPEX TUUA'!$I$8)</f>
        <v>0</v>
      </c>
      <c r="J122" s="3">
        <f>+IF(F122="Pasajero",'2.2 OPEX LAP 2023'!L123*'2.1 OPEX TUUA'!$J$7,'2.2 OPEX LAP 2023'!L123*'2.1 OPEX TUUA'!$J$8)</f>
        <v>0</v>
      </c>
      <c r="K122" s="3">
        <f>+IF(F122="Pasajero",'2.2 OPEX LAP 2023'!M123*'2.1 OPEX TUUA'!$K$7,'2.2 OPEX LAP 2023'!M123*'2.1 OPEX TUUA'!$K$8)</f>
        <v>0</v>
      </c>
      <c r="L122" s="3">
        <f>+IF(F122="Pasajero",'2.2 OPEX LAP 2023'!N123*'2.1 OPEX TUUA'!$L$7,'2.2 OPEX LAP 2023'!N123*'2.1 OPEX TUUA'!$L$8)</f>
        <v>0</v>
      </c>
      <c r="M122" s="3"/>
      <c r="N122" s="3">
        <f>+IF(F122="Pasajero",'2.2 OPEX LAP 2023'!I123*'2.1 OPEX TUUA'!$N$7,'2.2 OPEX LAP 2023'!I123*'2.1 OPEX TUUA'!$N$8)</f>
        <v>0</v>
      </c>
      <c r="O122" s="3">
        <f>+IF(F122="Pasajero",'2.2 OPEX LAP 2023'!J123*'2.1 OPEX TUUA'!$O$7,'2.2 OPEX LAP 2023'!J123*'2.1 OPEX TUUA'!$O$8)</f>
        <v>0</v>
      </c>
      <c r="P122" s="3">
        <f>+IF(F122="Pasajero",'2.2 OPEX LAP 2023'!K123*'2.1 OPEX TUUA'!$P$7,'2.2 OPEX LAP 2023'!K123*'2.1 OPEX TUUA'!$P$8)</f>
        <v>0</v>
      </c>
      <c r="Q122" s="3">
        <f>+IF(F122="Pasajero",'2.2 OPEX LAP 2023'!L123*'2.1 OPEX TUUA'!$Q$7,'2.2 OPEX LAP 2023'!L123*'2.1 OPEX TUUA'!$Q$8)</f>
        <v>0</v>
      </c>
      <c r="R122" s="3">
        <f>+IF(F122="Pasajero",'2.2 OPEX LAP 2023'!M123*'2.1 OPEX TUUA'!$R$7,'2.2 OPEX LAP 2023'!M123*'2.1 OPEX TUUA'!$R$8)</f>
        <v>0</v>
      </c>
      <c r="S122" s="3">
        <f>+IF(F122="Pasajero",'2.2 OPEX LAP 2023'!N123*'2.1 OPEX TUUA'!$S$7,'2.2 OPEX LAP 2023'!N123*'2.1 OPEX TUUA'!$S$8)</f>
        <v>0</v>
      </c>
      <c r="AA122" s="6"/>
      <c r="AB122" s="6"/>
      <c r="AC122" s="6"/>
      <c r="AD122" s="6"/>
      <c r="AE122" s="6"/>
      <c r="AF122" s="6"/>
    </row>
    <row r="123" spans="2:32" x14ac:dyDescent="0.25">
      <c r="B123" s="16">
        <v>6380000030</v>
      </c>
      <c r="C123" s="190" t="s">
        <v>13</v>
      </c>
      <c r="D123" s="190" t="s">
        <v>40</v>
      </c>
      <c r="E123" s="190" t="s">
        <v>128</v>
      </c>
      <c r="F123" s="162" t="s">
        <v>190</v>
      </c>
      <c r="G123" s="3">
        <f>+IF(F123="Pasajero",'2.2 OPEX LAP 2023'!I124*'2.1 OPEX TUUA'!$G$7,'2.2 OPEX LAP 2023'!I124*'2.1 OPEX TUUA'!$G$8)</f>
        <v>26474.643034052511</v>
      </c>
      <c r="H123" s="3">
        <f>+IF(F123="Pasajero",'2.2 OPEX LAP 2023'!J124*'2.1 OPEX TUUA'!$H$7,'2.2 OPEX LAP 2023'!J124*'2.1 OPEX TUUA'!$H$8)</f>
        <v>31128.1145809232</v>
      </c>
      <c r="I123" s="3">
        <f>+IF(F123="Pasajero",'2.2 OPEX LAP 2023'!K124*'2.1 OPEX TUUA'!$I$7,'2.2 OPEX LAP 2023'!K124*'2.1 OPEX TUUA'!$I$8)</f>
        <v>35041.456654938054</v>
      </c>
      <c r="J123" s="3">
        <f>+IF(F123="Pasajero",'2.2 OPEX LAP 2023'!L124*'2.1 OPEX TUUA'!$J$7,'2.2 OPEX LAP 2023'!L124*'2.1 OPEX TUUA'!$J$8)</f>
        <v>37182.121670974841</v>
      </c>
      <c r="K123" s="3">
        <f>+IF(F123="Pasajero",'2.2 OPEX LAP 2023'!M124*'2.1 OPEX TUUA'!$K$7,'2.2 OPEX LAP 2023'!M124*'2.1 OPEX TUUA'!$K$8)</f>
        <v>38742.001953390281</v>
      </c>
      <c r="L123" s="3">
        <f>+IF(F123="Pasajero",'2.2 OPEX LAP 2023'!N124*'2.1 OPEX TUUA'!$L$7,'2.2 OPEX LAP 2023'!N124*'2.1 OPEX TUUA'!$L$8)</f>
        <v>40481.133795208851</v>
      </c>
      <c r="M123" s="3"/>
      <c r="N123" s="3">
        <f>+IF(F123="Pasajero",'2.2 OPEX LAP 2023'!I124*'2.1 OPEX TUUA'!$N$7,'2.2 OPEX LAP 2023'!I124*'2.1 OPEX TUUA'!$N$8)</f>
        <v>13057.749941745806</v>
      </c>
      <c r="O123" s="3">
        <f>+IF(F123="Pasajero",'2.2 OPEX LAP 2023'!J124*'2.1 OPEX TUUA'!$O$7,'2.2 OPEX LAP 2023'!J124*'2.1 OPEX TUUA'!$O$8)</f>
        <v>12892.120348683424</v>
      </c>
      <c r="P123" s="3">
        <f>+IF(F123="Pasajero",'2.2 OPEX LAP 2023'!K124*'2.1 OPEX TUUA'!$P$7,'2.2 OPEX LAP 2023'!K124*'2.1 OPEX TUUA'!$P$8)</f>
        <v>12829.68214129523</v>
      </c>
      <c r="Q123" s="3">
        <f>+IF(F123="Pasajero",'2.2 OPEX LAP 2023'!L124*'2.1 OPEX TUUA'!$Q$7,'2.2 OPEX LAP 2023'!L124*'2.1 OPEX TUUA'!$Q$8)</f>
        <v>12765.027676117987</v>
      </c>
      <c r="R123" s="3">
        <f>+IF(F123="Pasajero",'2.2 OPEX LAP 2023'!M124*'2.1 OPEX TUUA'!$R$7,'2.2 OPEX LAP 2023'!M124*'2.1 OPEX TUUA'!$R$8)</f>
        <v>12844.739060338834</v>
      </c>
      <c r="S123" s="3">
        <f>+IF(F123="Pasajero",'2.2 OPEX LAP 2023'!N124*'2.1 OPEX TUUA'!$S$7,'2.2 OPEX LAP 2023'!N124*'2.1 OPEX TUUA'!$S$8)</f>
        <v>12866.347080635505</v>
      </c>
      <c r="AA123" s="6"/>
      <c r="AB123" s="6"/>
      <c r="AC123" s="6"/>
      <c r="AD123" s="6"/>
      <c r="AE123" s="6"/>
      <c r="AF123" s="6"/>
    </row>
    <row r="124" spans="2:32" x14ac:dyDescent="0.25">
      <c r="B124" s="16">
        <v>6380000031</v>
      </c>
      <c r="C124" s="190" t="s">
        <v>13</v>
      </c>
      <c r="D124" s="190" t="s">
        <v>49</v>
      </c>
      <c r="E124" s="190" t="s">
        <v>129</v>
      </c>
      <c r="F124" s="162" t="s">
        <v>190</v>
      </c>
      <c r="G124" s="3">
        <f>+IF(F124="Pasajero",'2.2 OPEX LAP 2023'!I125*'2.1 OPEX TUUA'!$G$7,'2.2 OPEX LAP 2023'!I125*'2.1 OPEX TUUA'!$G$8)</f>
        <v>0</v>
      </c>
      <c r="H124" s="3">
        <f>+IF(F124="Pasajero",'2.2 OPEX LAP 2023'!J125*'2.1 OPEX TUUA'!$H$7,'2.2 OPEX LAP 2023'!J125*'2.1 OPEX TUUA'!$H$8)</f>
        <v>0</v>
      </c>
      <c r="I124" s="3">
        <f>+IF(F124="Pasajero",'2.2 OPEX LAP 2023'!K125*'2.1 OPEX TUUA'!$I$7,'2.2 OPEX LAP 2023'!K125*'2.1 OPEX TUUA'!$I$8)</f>
        <v>0</v>
      </c>
      <c r="J124" s="3">
        <f>+IF(F124="Pasajero",'2.2 OPEX LAP 2023'!L125*'2.1 OPEX TUUA'!$J$7,'2.2 OPEX LAP 2023'!L125*'2.1 OPEX TUUA'!$J$8)</f>
        <v>0</v>
      </c>
      <c r="K124" s="3">
        <f>+IF(F124="Pasajero",'2.2 OPEX LAP 2023'!M125*'2.1 OPEX TUUA'!$K$7,'2.2 OPEX LAP 2023'!M125*'2.1 OPEX TUUA'!$K$8)</f>
        <v>0</v>
      </c>
      <c r="L124" s="3">
        <f>+IF(F124="Pasajero",'2.2 OPEX LAP 2023'!N125*'2.1 OPEX TUUA'!$L$7,'2.2 OPEX LAP 2023'!N125*'2.1 OPEX TUUA'!$L$8)</f>
        <v>0</v>
      </c>
      <c r="M124" s="3"/>
      <c r="N124" s="3">
        <f>+IF(F124="Pasajero",'2.2 OPEX LAP 2023'!I125*'2.1 OPEX TUUA'!$N$7,'2.2 OPEX LAP 2023'!I125*'2.1 OPEX TUUA'!$N$8)</f>
        <v>0</v>
      </c>
      <c r="O124" s="3">
        <f>+IF(F124="Pasajero",'2.2 OPEX LAP 2023'!J125*'2.1 OPEX TUUA'!$O$7,'2.2 OPEX LAP 2023'!J125*'2.1 OPEX TUUA'!$O$8)</f>
        <v>0</v>
      </c>
      <c r="P124" s="3">
        <f>+IF(F124="Pasajero",'2.2 OPEX LAP 2023'!K125*'2.1 OPEX TUUA'!$P$7,'2.2 OPEX LAP 2023'!K125*'2.1 OPEX TUUA'!$P$8)</f>
        <v>0</v>
      </c>
      <c r="Q124" s="3">
        <f>+IF(F124="Pasajero",'2.2 OPEX LAP 2023'!L125*'2.1 OPEX TUUA'!$Q$7,'2.2 OPEX LAP 2023'!L125*'2.1 OPEX TUUA'!$Q$8)</f>
        <v>0</v>
      </c>
      <c r="R124" s="3">
        <f>+IF(F124="Pasajero",'2.2 OPEX LAP 2023'!M125*'2.1 OPEX TUUA'!$R$7,'2.2 OPEX LAP 2023'!M125*'2.1 OPEX TUUA'!$R$8)</f>
        <v>0</v>
      </c>
      <c r="S124" s="3">
        <f>+IF(F124="Pasajero",'2.2 OPEX LAP 2023'!N125*'2.1 OPEX TUUA'!$S$7,'2.2 OPEX LAP 2023'!N125*'2.1 OPEX TUUA'!$S$8)</f>
        <v>0</v>
      </c>
      <c r="AA124" s="6"/>
      <c r="AB124" s="6"/>
      <c r="AC124" s="6"/>
      <c r="AD124" s="6"/>
      <c r="AE124" s="6"/>
      <c r="AF124" s="6"/>
    </row>
    <row r="125" spans="2:32" x14ac:dyDescent="0.25">
      <c r="B125" s="16">
        <v>6381000001</v>
      </c>
      <c r="C125" s="190" t="s">
        <v>13</v>
      </c>
      <c r="D125" s="190" t="s">
        <v>49</v>
      </c>
      <c r="E125" s="190" t="s">
        <v>130</v>
      </c>
      <c r="F125" s="162" t="s">
        <v>190</v>
      </c>
      <c r="G125" s="3">
        <f>+IF(F125="Pasajero",'2.2 OPEX LAP 2023'!I126*'2.1 OPEX TUUA'!$G$7,'2.2 OPEX LAP 2023'!I126*'2.1 OPEX TUUA'!$G$8)</f>
        <v>0</v>
      </c>
      <c r="H125" s="3">
        <f>+IF(F125="Pasajero",'2.2 OPEX LAP 2023'!J126*'2.1 OPEX TUUA'!$H$7,'2.2 OPEX LAP 2023'!J126*'2.1 OPEX TUUA'!$H$8)</f>
        <v>0</v>
      </c>
      <c r="I125" s="3">
        <f>+IF(F125="Pasajero",'2.2 OPEX LAP 2023'!K126*'2.1 OPEX TUUA'!$I$7,'2.2 OPEX LAP 2023'!K126*'2.1 OPEX TUUA'!$I$8)</f>
        <v>0</v>
      </c>
      <c r="J125" s="3">
        <f>+IF(F125="Pasajero",'2.2 OPEX LAP 2023'!L126*'2.1 OPEX TUUA'!$J$7,'2.2 OPEX LAP 2023'!L126*'2.1 OPEX TUUA'!$J$8)</f>
        <v>0</v>
      </c>
      <c r="K125" s="3">
        <f>+IF(F125="Pasajero",'2.2 OPEX LAP 2023'!M126*'2.1 OPEX TUUA'!$K$7,'2.2 OPEX LAP 2023'!M126*'2.1 OPEX TUUA'!$K$8)</f>
        <v>0</v>
      </c>
      <c r="L125" s="3">
        <f>+IF(F125="Pasajero",'2.2 OPEX LAP 2023'!N126*'2.1 OPEX TUUA'!$L$7,'2.2 OPEX LAP 2023'!N126*'2.1 OPEX TUUA'!$L$8)</f>
        <v>0</v>
      </c>
      <c r="M125" s="3"/>
      <c r="N125" s="3">
        <f>+IF(F125="Pasajero",'2.2 OPEX LAP 2023'!I126*'2.1 OPEX TUUA'!$N$7,'2.2 OPEX LAP 2023'!I126*'2.1 OPEX TUUA'!$N$8)</f>
        <v>0</v>
      </c>
      <c r="O125" s="3">
        <f>+IF(F125="Pasajero",'2.2 OPEX LAP 2023'!J126*'2.1 OPEX TUUA'!$O$7,'2.2 OPEX LAP 2023'!J126*'2.1 OPEX TUUA'!$O$8)</f>
        <v>0</v>
      </c>
      <c r="P125" s="3">
        <f>+IF(F125="Pasajero",'2.2 OPEX LAP 2023'!K126*'2.1 OPEX TUUA'!$P$7,'2.2 OPEX LAP 2023'!K126*'2.1 OPEX TUUA'!$P$8)</f>
        <v>0</v>
      </c>
      <c r="Q125" s="3">
        <f>+IF(F125="Pasajero",'2.2 OPEX LAP 2023'!L126*'2.1 OPEX TUUA'!$Q$7,'2.2 OPEX LAP 2023'!L126*'2.1 OPEX TUUA'!$Q$8)</f>
        <v>0</v>
      </c>
      <c r="R125" s="3">
        <f>+IF(F125="Pasajero",'2.2 OPEX LAP 2023'!M126*'2.1 OPEX TUUA'!$R$7,'2.2 OPEX LAP 2023'!M126*'2.1 OPEX TUUA'!$R$8)</f>
        <v>0</v>
      </c>
      <c r="S125" s="3">
        <f>+IF(F125="Pasajero",'2.2 OPEX LAP 2023'!N126*'2.1 OPEX TUUA'!$S$7,'2.2 OPEX LAP 2023'!N126*'2.1 OPEX TUUA'!$S$8)</f>
        <v>0</v>
      </c>
      <c r="AA125" s="6"/>
      <c r="AB125" s="6"/>
      <c r="AC125" s="6"/>
      <c r="AD125" s="6"/>
      <c r="AE125" s="6"/>
      <c r="AF125" s="6"/>
    </row>
    <row r="126" spans="2:32" x14ac:dyDescent="0.25">
      <c r="B126" s="16">
        <v>6381000002</v>
      </c>
      <c r="C126" s="190" t="s">
        <v>13</v>
      </c>
      <c r="D126" s="190" t="s">
        <v>49</v>
      </c>
      <c r="E126" s="190" t="s">
        <v>131</v>
      </c>
      <c r="F126" s="162" t="s">
        <v>190</v>
      </c>
      <c r="G126" s="3">
        <f>+IF(F126="Pasajero",'2.2 OPEX LAP 2023'!I127*'2.1 OPEX TUUA'!$G$7,'2.2 OPEX LAP 2023'!I127*'2.1 OPEX TUUA'!$G$8)</f>
        <v>94374.588438078179</v>
      </c>
      <c r="H126" s="3">
        <f>+IF(F126="Pasajero",'2.2 OPEX LAP 2023'!J127*'2.1 OPEX TUUA'!$H$7,'2.2 OPEX LAP 2023'!J127*'2.1 OPEX TUUA'!$H$8)</f>
        <v>110962.89376402176</v>
      </c>
      <c r="I126" s="3">
        <f>+IF(F126="Pasajero",'2.2 OPEX LAP 2023'!K127*'2.1 OPEX TUUA'!$I$7,'2.2 OPEX LAP 2023'!K127*'2.1 OPEX TUUA'!$I$8)</f>
        <v>124912.84758124741</v>
      </c>
      <c r="J126" s="3">
        <f>+IF(F126="Pasajero",'2.2 OPEX LAP 2023'!L127*'2.1 OPEX TUUA'!$J$7,'2.2 OPEX LAP 2023'!L127*'2.1 OPEX TUUA'!$J$8)</f>
        <v>132543.71080431007</v>
      </c>
      <c r="K126" s="3">
        <f>+IF(F126="Pasajero",'2.2 OPEX LAP 2023'!M127*'2.1 OPEX TUUA'!$K$7,'2.2 OPEX LAP 2023'!M127*'2.1 OPEX TUUA'!$K$8)</f>
        <v>138104.2412891321</v>
      </c>
      <c r="L126" s="3">
        <f>+IF(F126="Pasajero",'2.2 OPEX LAP 2023'!N127*'2.1 OPEX TUUA'!$L$7,'2.2 OPEX LAP 2023'!N127*'2.1 OPEX TUUA'!$L$8)</f>
        <v>144303.75270842019</v>
      </c>
      <c r="M126" s="3"/>
      <c r="N126" s="3">
        <f>+IF(F126="Pasajero",'2.2 OPEX LAP 2023'!I127*'2.1 OPEX TUUA'!$N$7,'2.2 OPEX LAP 2023'!I127*'2.1 OPEX TUUA'!$N$8)</f>
        <v>46547.172518796629</v>
      </c>
      <c r="O126" s="3">
        <f>+IF(F126="Pasajero",'2.2 OPEX LAP 2023'!J127*'2.1 OPEX TUUA'!$O$7,'2.2 OPEX LAP 2023'!J127*'2.1 OPEX TUUA'!$O$8)</f>
        <v>45956.750028177092</v>
      </c>
      <c r="P126" s="3">
        <f>+IF(F126="Pasajero",'2.2 OPEX LAP 2023'!K127*'2.1 OPEX TUUA'!$P$7,'2.2 OPEX LAP 2023'!K127*'2.1 OPEX TUUA'!$P$8)</f>
        <v>45734.175539920798</v>
      </c>
      <c r="Q126" s="3">
        <f>+IF(F126="Pasajero",'2.2 OPEX LAP 2023'!L127*'2.1 OPEX TUUA'!$Q$7,'2.2 OPEX LAP 2023'!L127*'2.1 OPEX TUUA'!$Q$8)</f>
        <v>45503.700721660243</v>
      </c>
      <c r="R126" s="3">
        <f>+IF(F126="Pasajero",'2.2 OPEX LAP 2023'!M127*'2.1 OPEX TUUA'!$R$7,'2.2 OPEX LAP 2023'!M127*'2.1 OPEX TUUA'!$R$8)</f>
        <v>45787.849182887679</v>
      </c>
      <c r="S126" s="3">
        <f>+IF(F126="Pasajero",'2.2 OPEX LAP 2023'!N127*'2.1 OPEX TUUA'!$S$7,'2.2 OPEX LAP 2023'!N127*'2.1 OPEX TUUA'!$S$8)</f>
        <v>45864.875642501778</v>
      </c>
      <c r="AA126" s="6"/>
      <c r="AB126" s="6"/>
      <c r="AC126" s="6"/>
      <c r="AD126" s="6"/>
      <c r="AE126" s="6"/>
      <c r="AF126" s="6"/>
    </row>
    <row r="127" spans="2:32" x14ac:dyDescent="0.25">
      <c r="B127" s="16">
        <v>6381000003</v>
      </c>
      <c r="C127" s="190" t="s">
        <v>13</v>
      </c>
      <c r="D127" s="190" t="s">
        <v>49</v>
      </c>
      <c r="E127" s="190" t="s">
        <v>132</v>
      </c>
      <c r="F127" s="162" t="s">
        <v>190</v>
      </c>
      <c r="G127" s="3">
        <f>+IF(F127="Pasajero",'2.2 OPEX LAP 2023'!I128*'2.1 OPEX TUUA'!$G$7,'2.2 OPEX LAP 2023'!I128*'2.1 OPEX TUUA'!$G$8)</f>
        <v>0</v>
      </c>
      <c r="H127" s="3">
        <f>+IF(F127="Pasajero",'2.2 OPEX LAP 2023'!J128*'2.1 OPEX TUUA'!$H$7,'2.2 OPEX LAP 2023'!J128*'2.1 OPEX TUUA'!$H$8)</f>
        <v>0</v>
      </c>
      <c r="I127" s="3">
        <f>+IF(F127="Pasajero",'2.2 OPEX LAP 2023'!K128*'2.1 OPEX TUUA'!$I$7,'2.2 OPEX LAP 2023'!K128*'2.1 OPEX TUUA'!$I$8)</f>
        <v>0</v>
      </c>
      <c r="J127" s="3">
        <f>+IF(F127="Pasajero",'2.2 OPEX LAP 2023'!L128*'2.1 OPEX TUUA'!$J$7,'2.2 OPEX LAP 2023'!L128*'2.1 OPEX TUUA'!$J$8)</f>
        <v>0</v>
      </c>
      <c r="K127" s="3">
        <f>+IF(F127="Pasajero",'2.2 OPEX LAP 2023'!M128*'2.1 OPEX TUUA'!$K$7,'2.2 OPEX LAP 2023'!M128*'2.1 OPEX TUUA'!$K$8)</f>
        <v>0</v>
      </c>
      <c r="L127" s="3">
        <f>+IF(F127="Pasajero",'2.2 OPEX LAP 2023'!N128*'2.1 OPEX TUUA'!$L$7,'2.2 OPEX LAP 2023'!N128*'2.1 OPEX TUUA'!$L$8)</f>
        <v>0</v>
      </c>
      <c r="M127" s="3"/>
      <c r="N127" s="3">
        <f>+IF(F127="Pasajero",'2.2 OPEX LAP 2023'!I128*'2.1 OPEX TUUA'!$N$7,'2.2 OPEX LAP 2023'!I128*'2.1 OPEX TUUA'!$N$8)</f>
        <v>0</v>
      </c>
      <c r="O127" s="3">
        <f>+IF(F127="Pasajero",'2.2 OPEX LAP 2023'!J128*'2.1 OPEX TUUA'!$O$7,'2.2 OPEX LAP 2023'!J128*'2.1 OPEX TUUA'!$O$8)</f>
        <v>0</v>
      </c>
      <c r="P127" s="3">
        <f>+IF(F127="Pasajero",'2.2 OPEX LAP 2023'!K128*'2.1 OPEX TUUA'!$P$7,'2.2 OPEX LAP 2023'!K128*'2.1 OPEX TUUA'!$P$8)</f>
        <v>0</v>
      </c>
      <c r="Q127" s="3">
        <f>+IF(F127="Pasajero",'2.2 OPEX LAP 2023'!L128*'2.1 OPEX TUUA'!$Q$7,'2.2 OPEX LAP 2023'!L128*'2.1 OPEX TUUA'!$Q$8)</f>
        <v>0</v>
      </c>
      <c r="R127" s="3">
        <f>+IF(F127="Pasajero",'2.2 OPEX LAP 2023'!M128*'2.1 OPEX TUUA'!$R$7,'2.2 OPEX LAP 2023'!M128*'2.1 OPEX TUUA'!$R$8)</f>
        <v>0</v>
      </c>
      <c r="S127" s="3">
        <f>+IF(F127="Pasajero",'2.2 OPEX LAP 2023'!N128*'2.1 OPEX TUUA'!$S$7,'2.2 OPEX LAP 2023'!N128*'2.1 OPEX TUUA'!$S$8)</f>
        <v>0</v>
      </c>
      <c r="AA127" s="6"/>
      <c r="AB127" s="6"/>
      <c r="AC127" s="6"/>
      <c r="AD127" s="6"/>
      <c r="AE127" s="6"/>
      <c r="AF127" s="6"/>
    </row>
    <row r="128" spans="2:32" x14ac:dyDescent="0.25">
      <c r="B128" s="16">
        <v>6381000004</v>
      </c>
      <c r="C128" s="190" t="s">
        <v>13</v>
      </c>
      <c r="D128" s="190" t="s">
        <v>40</v>
      </c>
      <c r="E128" s="190" t="s">
        <v>133</v>
      </c>
      <c r="F128" s="162" t="s">
        <v>190</v>
      </c>
      <c r="G128" s="3">
        <f>+IF(F128="Pasajero",'2.2 OPEX LAP 2023'!I129*'2.1 OPEX TUUA'!$G$7,'2.2 OPEX LAP 2023'!I129*'2.1 OPEX TUUA'!$G$8)</f>
        <v>0</v>
      </c>
      <c r="H128" s="3">
        <f>+IF(F128="Pasajero",'2.2 OPEX LAP 2023'!J129*'2.1 OPEX TUUA'!$H$7,'2.2 OPEX LAP 2023'!J129*'2.1 OPEX TUUA'!$H$8)</f>
        <v>0</v>
      </c>
      <c r="I128" s="3">
        <f>+IF(F128="Pasajero",'2.2 OPEX LAP 2023'!K129*'2.1 OPEX TUUA'!$I$7,'2.2 OPEX LAP 2023'!K129*'2.1 OPEX TUUA'!$I$8)</f>
        <v>0</v>
      </c>
      <c r="J128" s="3">
        <f>+IF(F128="Pasajero",'2.2 OPEX LAP 2023'!L129*'2.1 OPEX TUUA'!$J$7,'2.2 OPEX LAP 2023'!L129*'2.1 OPEX TUUA'!$J$8)</f>
        <v>0</v>
      </c>
      <c r="K128" s="3">
        <f>+IF(F128="Pasajero",'2.2 OPEX LAP 2023'!M129*'2.1 OPEX TUUA'!$K$7,'2.2 OPEX LAP 2023'!M129*'2.1 OPEX TUUA'!$K$8)</f>
        <v>0</v>
      </c>
      <c r="L128" s="3">
        <f>+IF(F128="Pasajero",'2.2 OPEX LAP 2023'!N129*'2.1 OPEX TUUA'!$L$7,'2.2 OPEX LAP 2023'!N129*'2.1 OPEX TUUA'!$L$8)</f>
        <v>0</v>
      </c>
      <c r="M128" s="3"/>
      <c r="N128" s="3">
        <f>+IF(F128="Pasajero",'2.2 OPEX LAP 2023'!I129*'2.1 OPEX TUUA'!$N$7,'2.2 OPEX LAP 2023'!I129*'2.1 OPEX TUUA'!$N$8)</f>
        <v>0</v>
      </c>
      <c r="O128" s="3">
        <f>+IF(F128="Pasajero",'2.2 OPEX LAP 2023'!J129*'2.1 OPEX TUUA'!$O$7,'2.2 OPEX LAP 2023'!J129*'2.1 OPEX TUUA'!$O$8)</f>
        <v>0</v>
      </c>
      <c r="P128" s="3">
        <f>+IF(F128="Pasajero",'2.2 OPEX LAP 2023'!K129*'2.1 OPEX TUUA'!$P$7,'2.2 OPEX LAP 2023'!K129*'2.1 OPEX TUUA'!$P$8)</f>
        <v>0</v>
      </c>
      <c r="Q128" s="3">
        <f>+IF(F128="Pasajero",'2.2 OPEX LAP 2023'!L129*'2.1 OPEX TUUA'!$Q$7,'2.2 OPEX LAP 2023'!L129*'2.1 OPEX TUUA'!$Q$8)</f>
        <v>0</v>
      </c>
      <c r="R128" s="3">
        <f>+IF(F128="Pasajero",'2.2 OPEX LAP 2023'!M129*'2.1 OPEX TUUA'!$R$7,'2.2 OPEX LAP 2023'!M129*'2.1 OPEX TUUA'!$R$8)</f>
        <v>0</v>
      </c>
      <c r="S128" s="3">
        <f>+IF(F128="Pasajero",'2.2 OPEX LAP 2023'!N129*'2.1 OPEX TUUA'!$S$7,'2.2 OPEX LAP 2023'!N129*'2.1 OPEX TUUA'!$S$8)</f>
        <v>0</v>
      </c>
      <c r="AA128" s="6"/>
      <c r="AB128" s="6"/>
      <c r="AC128" s="6"/>
      <c r="AD128" s="6"/>
      <c r="AE128" s="6"/>
      <c r="AF128" s="6"/>
    </row>
    <row r="129" spans="2:32" x14ac:dyDescent="0.25">
      <c r="B129" s="16">
        <v>6381000005</v>
      </c>
      <c r="C129" s="190" t="s">
        <v>13</v>
      </c>
      <c r="D129" s="190" t="s">
        <v>49</v>
      </c>
      <c r="E129" s="190" t="s">
        <v>134</v>
      </c>
      <c r="F129" s="162" t="s">
        <v>190</v>
      </c>
      <c r="G129" s="3">
        <f>+IF(F129="Pasajero",'2.2 OPEX LAP 2023'!I130*'2.1 OPEX TUUA'!$G$7,'2.2 OPEX LAP 2023'!I130*'2.1 OPEX TUUA'!$G$8)</f>
        <v>0</v>
      </c>
      <c r="H129" s="3">
        <f>+IF(F129="Pasajero",'2.2 OPEX LAP 2023'!J130*'2.1 OPEX TUUA'!$H$7,'2.2 OPEX LAP 2023'!J130*'2.1 OPEX TUUA'!$H$8)</f>
        <v>0</v>
      </c>
      <c r="I129" s="3">
        <f>+IF(F129="Pasajero",'2.2 OPEX LAP 2023'!K130*'2.1 OPEX TUUA'!$I$7,'2.2 OPEX LAP 2023'!K130*'2.1 OPEX TUUA'!$I$8)</f>
        <v>0</v>
      </c>
      <c r="J129" s="3">
        <f>+IF(F129="Pasajero",'2.2 OPEX LAP 2023'!L130*'2.1 OPEX TUUA'!$J$7,'2.2 OPEX LAP 2023'!L130*'2.1 OPEX TUUA'!$J$8)</f>
        <v>0</v>
      </c>
      <c r="K129" s="3">
        <f>+IF(F129="Pasajero",'2.2 OPEX LAP 2023'!M130*'2.1 OPEX TUUA'!$K$7,'2.2 OPEX LAP 2023'!M130*'2.1 OPEX TUUA'!$K$8)</f>
        <v>0</v>
      </c>
      <c r="L129" s="3">
        <f>+IF(F129="Pasajero",'2.2 OPEX LAP 2023'!N130*'2.1 OPEX TUUA'!$L$7,'2.2 OPEX LAP 2023'!N130*'2.1 OPEX TUUA'!$L$8)</f>
        <v>0</v>
      </c>
      <c r="M129" s="3"/>
      <c r="N129" s="3">
        <f>+IF(F129="Pasajero",'2.2 OPEX LAP 2023'!I130*'2.1 OPEX TUUA'!$N$7,'2.2 OPEX LAP 2023'!I130*'2.1 OPEX TUUA'!$N$8)</f>
        <v>0</v>
      </c>
      <c r="O129" s="3">
        <f>+IF(F129="Pasajero",'2.2 OPEX LAP 2023'!J130*'2.1 OPEX TUUA'!$O$7,'2.2 OPEX LAP 2023'!J130*'2.1 OPEX TUUA'!$O$8)</f>
        <v>0</v>
      </c>
      <c r="P129" s="3">
        <f>+IF(F129="Pasajero",'2.2 OPEX LAP 2023'!K130*'2.1 OPEX TUUA'!$P$7,'2.2 OPEX LAP 2023'!K130*'2.1 OPEX TUUA'!$P$8)</f>
        <v>0</v>
      </c>
      <c r="Q129" s="3">
        <f>+IF(F129="Pasajero",'2.2 OPEX LAP 2023'!L130*'2.1 OPEX TUUA'!$Q$7,'2.2 OPEX LAP 2023'!L130*'2.1 OPEX TUUA'!$Q$8)</f>
        <v>0</v>
      </c>
      <c r="R129" s="3">
        <f>+IF(F129="Pasajero",'2.2 OPEX LAP 2023'!M130*'2.1 OPEX TUUA'!$R$7,'2.2 OPEX LAP 2023'!M130*'2.1 OPEX TUUA'!$R$8)</f>
        <v>0</v>
      </c>
      <c r="S129" s="3">
        <f>+IF(F129="Pasajero",'2.2 OPEX LAP 2023'!N130*'2.1 OPEX TUUA'!$S$7,'2.2 OPEX LAP 2023'!N130*'2.1 OPEX TUUA'!$S$8)</f>
        <v>0</v>
      </c>
      <c r="AA129" s="6"/>
      <c r="AB129" s="6"/>
      <c r="AC129" s="6"/>
      <c r="AD129" s="6"/>
      <c r="AE129" s="6"/>
      <c r="AF129" s="6"/>
    </row>
    <row r="130" spans="2:32" x14ac:dyDescent="0.25">
      <c r="B130" s="16">
        <v>6381000006</v>
      </c>
      <c r="C130" s="190" t="s">
        <v>13</v>
      </c>
      <c r="D130" s="190" t="s">
        <v>49</v>
      </c>
      <c r="E130" s="190" t="s">
        <v>135</v>
      </c>
      <c r="F130" s="162" t="s">
        <v>190</v>
      </c>
      <c r="G130" s="3">
        <f>+IF(F130="Pasajero",'2.2 OPEX LAP 2023'!I131*'2.1 OPEX TUUA'!$G$7,'2.2 OPEX LAP 2023'!I131*'2.1 OPEX TUUA'!$G$8)</f>
        <v>0</v>
      </c>
      <c r="H130" s="3">
        <f>+IF(F130="Pasajero",'2.2 OPEX LAP 2023'!J131*'2.1 OPEX TUUA'!$H$7,'2.2 OPEX LAP 2023'!J131*'2.1 OPEX TUUA'!$H$8)</f>
        <v>0</v>
      </c>
      <c r="I130" s="3">
        <f>+IF(F130="Pasajero",'2.2 OPEX LAP 2023'!K131*'2.1 OPEX TUUA'!$I$7,'2.2 OPEX LAP 2023'!K131*'2.1 OPEX TUUA'!$I$8)</f>
        <v>0</v>
      </c>
      <c r="J130" s="3">
        <f>+IF(F130="Pasajero",'2.2 OPEX LAP 2023'!L131*'2.1 OPEX TUUA'!$J$7,'2.2 OPEX LAP 2023'!L131*'2.1 OPEX TUUA'!$J$8)</f>
        <v>0</v>
      </c>
      <c r="K130" s="3">
        <f>+IF(F130="Pasajero",'2.2 OPEX LAP 2023'!M131*'2.1 OPEX TUUA'!$K$7,'2.2 OPEX LAP 2023'!M131*'2.1 OPEX TUUA'!$K$8)</f>
        <v>0</v>
      </c>
      <c r="L130" s="3">
        <f>+IF(F130="Pasajero",'2.2 OPEX LAP 2023'!N131*'2.1 OPEX TUUA'!$L$7,'2.2 OPEX LAP 2023'!N131*'2.1 OPEX TUUA'!$L$8)</f>
        <v>0</v>
      </c>
      <c r="M130" s="3"/>
      <c r="N130" s="3">
        <f>+IF(F130="Pasajero",'2.2 OPEX LAP 2023'!I131*'2.1 OPEX TUUA'!$N$7,'2.2 OPEX LAP 2023'!I131*'2.1 OPEX TUUA'!$N$8)</f>
        <v>0</v>
      </c>
      <c r="O130" s="3">
        <f>+IF(F130="Pasajero",'2.2 OPEX LAP 2023'!J131*'2.1 OPEX TUUA'!$O$7,'2.2 OPEX LAP 2023'!J131*'2.1 OPEX TUUA'!$O$8)</f>
        <v>0</v>
      </c>
      <c r="P130" s="3">
        <f>+IF(F130="Pasajero",'2.2 OPEX LAP 2023'!K131*'2.1 OPEX TUUA'!$P$7,'2.2 OPEX LAP 2023'!K131*'2.1 OPEX TUUA'!$P$8)</f>
        <v>0</v>
      </c>
      <c r="Q130" s="3">
        <f>+IF(F130="Pasajero",'2.2 OPEX LAP 2023'!L131*'2.1 OPEX TUUA'!$Q$7,'2.2 OPEX LAP 2023'!L131*'2.1 OPEX TUUA'!$Q$8)</f>
        <v>0</v>
      </c>
      <c r="R130" s="3">
        <f>+IF(F130="Pasajero",'2.2 OPEX LAP 2023'!M131*'2.1 OPEX TUUA'!$R$7,'2.2 OPEX LAP 2023'!M131*'2.1 OPEX TUUA'!$R$8)</f>
        <v>0</v>
      </c>
      <c r="S130" s="3">
        <f>+IF(F130="Pasajero",'2.2 OPEX LAP 2023'!N131*'2.1 OPEX TUUA'!$S$7,'2.2 OPEX LAP 2023'!N131*'2.1 OPEX TUUA'!$S$8)</f>
        <v>0</v>
      </c>
      <c r="AA130" s="6"/>
      <c r="AB130" s="6"/>
      <c r="AC130" s="6"/>
      <c r="AD130" s="6"/>
      <c r="AE130" s="6"/>
      <c r="AF130" s="6"/>
    </row>
    <row r="131" spans="2:32" x14ac:dyDescent="0.25">
      <c r="B131" s="16">
        <v>6382000001</v>
      </c>
      <c r="C131" s="190" t="s">
        <v>13</v>
      </c>
      <c r="D131" s="190" t="s">
        <v>40</v>
      </c>
      <c r="E131" s="190" t="s">
        <v>136</v>
      </c>
      <c r="F131" s="162" t="s">
        <v>190</v>
      </c>
      <c r="G131" s="3">
        <f>+IF(F131="Pasajero",'2.2 OPEX LAP 2023'!I132*'2.1 OPEX TUUA'!$G$7,'2.2 OPEX LAP 2023'!I132*'2.1 OPEX TUUA'!$G$8)</f>
        <v>0</v>
      </c>
      <c r="H131" s="3">
        <f>+IF(F131="Pasajero",'2.2 OPEX LAP 2023'!J132*'2.1 OPEX TUUA'!$H$7,'2.2 OPEX LAP 2023'!J132*'2.1 OPEX TUUA'!$H$8)</f>
        <v>0</v>
      </c>
      <c r="I131" s="3">
        <f>+IF(F131="Pasajero",'2.2 OPEX LAP 2023'!K132*'2.1 OPEX TUUA'!$I$7,'2.2 OPEX LAP 2023'!K132*'2.1 OPEX TUUA'!$I$8)</f>
        <v>0</v>
      </c>
      <c r="J131" s="3">
        <f>+IF(F131="Pasajero",'2.2 OPEX LAP 2023'!L132*'2.1 OPEX TUUA'!$J$7,'2.2 OPEX LAP 2023'!L132*'2.1 OPEX TUUA'!$J$8)</f>
        <v>0</v>
      </c>
      <c r="K131" s="3">
        <f>+IF(F131="Pasajero",'2.2 OPEX LAP 2023'!M132*'2.1 OPEX TUUA'!$K$7,'2.2 OPEX LAP 2023'!M132*'2.1 OPEX TUUA'!$K$8)</f>
        <v>0</v>
      </c>
      <c r="L131" s="3">
        <f>+IF(F131="Pasajero",'2.2 OPEX LAP 2023'!N132*'2.1 OPEX TUUA'!$L$7,'2.2 OPEX LAP 2023'!N132*'2.1 OPEX TUUA'!$L$8)</f>
        <v>0</v>
      </c>
      <c r="M131" s="3"/>
      <c r="N131" s="3">
        <f>+IF(F131="Pasajero",'2.2 OPEX LAP 2023'!I132*'2.1 OPEX TUUA'!$N$7,'2.2 OPEX LAP 2023'!I132*'2.1 OPEX TUUA'!$N$8)</f>
        <v>0</v>
      </c>
      <c r="O131" s="3">
        <f>+IF(F131="Pasajero",'2.2 OPEX LAP 2023'!J132*'2.1 OPEX TUUA'!$O$7,'2.2 OPEX LAP 2023'!J132*'2.1 OPEX TUUA'!$O$8)</f>
        <v>0</v>
      </c>
      <c r="P131" s="3">
        <f>+IF(F131="Pasajero",'2.2 OPEX LAP 2023'!K132*'2.1 OPEX TUUA'!$P$7,'2.2 OPEX LAP 2023'!K132*'2.1 OPEX TUUA'!$P$8)</f>
        <v>0</v>
      </c>
      <c r="Q131" s="3">
        <f>+IF(F131="Pasajero",'2.2 OPEX LAP 2023'!L132*'2.1 OPEX TUUA'!$Q$7,'2.2 OPEX LAP 2023'!L132*'2.1 OPEX TUUA'!$Q$8)</f>
        <v>0</v>
      </c>
      <c r="R131" s="3">
        <f>+IF(F131="Pasajero",'2.2 OPEX LAP 2023'!M132*'2.1 OPEX TUUA'!$R$7,'2.2 OPEX LAP 2023'!M132*'2.1 OPEX TUUA'!$R$8)</f>
        <v>0</v>
      </c>
      <c r="S131" s="3">
        <f>+IF(F131="Pasajero",'2.2 OPEX LAP 2023'!N132*'2.1 OPEX TUUA'!$S$7,'2.2 OPEX LAP 2023'!N132*'2.1 OPEX TUUA'!$S$8)</f>
        <v>0</v>
      </c>
      <c r="AA131" s="6"/>
      <c r="AB131" s="6"/>
      <c r="AC131" s="6"/>
      <c r="AD131" s="6"/>
      <c r="AE131" s="6"/>
      <c r="AF131" s="6"/>
    </row>
    <row r="132" spans="2:32" x14ac:dyDescent="0.25">
      <c r="B132" s="16">
        <v>6382000002</v>
      </c>
      <c r="C132" s="190" t="s">
        <v>13</v>
      </c>
      <c r="D132" s="190" t="s">
        <v>40</v>
      </c>
      <c r="E132" s="190" t="s">
        <v>137</v>
      </c>
      <c r="F132" s="162" t="s">
        <v>190</v>
      </c>
      <c r="G132" s="3">
        <f>+IF(F132="Pasajero",'2.2 OPEX LAP 2023'!I133*'2.1 OPEX TUUA'!$G$7,'2.2 OPEX LAP 2023'!I133*'2.1 OPEX TUUA'!$G$8)</f>
        <v>0</v>
      </c>
      <c r="H132" s="3">
        <f>+IF(F132="Pasajero",'2.2 OPEX LAP 2023'!J133*'2.1 OPEX TUUA'!$H$7,'2.2 OPEX LAP 2023'!J133*'2.1 OPEX TUUA'!$H$8)</f>
        <v>0</v>
      </c>
      <c r="I132" s="3">
        <f>+IF(F132="Pasajero",'2.2 OPEX LAP 2023'!K133*'2.1 OPEX TUUA'!$I$7,'2.2 OPEX LAP 2023'!K133*'2.1 OPEX TUUA'!$I$8)</f>
        <v>0</v>
      </c>
      <c r="J132" s="3">
        <f>+IF(F132="Pasajero",'2.2 OPEX LAP 2023'!L133*'2.1 OPEX TUUA'!$J$7,'2.2 OPEX LAP 2023'!L133*'2.1 OPEX TUUA'!$J$8)</f>
        <v>0</v>
      </c>
      <c r="K132" s="3">
        <f>+IF(F132="Pasajero",'2.2 OPEX LAP 2023'!M133*'2.1 OPEX TUUA'!$K$7,'2.2 OPEX LAP 2023'!M133*'2.1 OPEX TUUA'!$K$8)</f>
        <v>0</v>
      </c>
      <c r="L132" s="3">
        <f>+IF(F132="Pasajero",'2.2 OPEX LAP 2023'!N133*'2.1 OPEX TUUA'!$L$7,'2.2 OPEX LAP 2023'!N133*'2.1 OPEX TUUA'!$L$8)</f>
        <v>0</v>
      </c>
      <c r="M132" s="3"/>
      <c r="N132" s="3">
        <f>+IF(F132="Pasajero",'2.2 OPEX LAP 2023'!I133*'2.1 OPEX TUUA'!$N$7,'2.2 OPEX LAP 2023'!I133*'2.1 OPEX TUUA'!$N$8)</f>
        <v>0</v>
      </c>
      <c r="O132" s="3">
        <f>+IF(F132="Pasajero",'2.2 OPEX LAP 2023'!J133*'2.1 OPEX TUUA'!$O$7,'2.2 OPEX LAP 2023'!J133*'2.1 OPEX TUUA'!$O$8)</f>
        <v>0</v>
      </c>
      <c r="P132" s="3">
        <f>+IF(F132="Pasajero",'2.2 OPEX LAP 2023'!K133*'2.1 OPEX TUUA'!$P$7,'2.2 OPEX LAP 2023'!K133*'2.1 OPEX TUUA'!$P$8)</f>
        <v>0</v>
      </c>
      <c r="Q132" s="3">
        <f>+IF(F132="Pasajero",'2.2 OPEX LAP 2023'!L133*'2.1 OPEX TUUA'!$Q$7,'2.2 OPEX LAP 2023'!L133*'2.1 OPEX TUUA'!$Q$8)</f>
        <v>0</v>
      </c>
      <c r="R132" s="3">
        <f>+IF(F132="Pasajero",'2.2 OPEX LAP 2023'!M133*'2.1 OPEX TUUA'!$R$7,'2.2 OPEX LAP 2023'!M133*'2.1 OPEX TUUA'!$R$8)</f>
        <v>0</v>
      </c>
      <c r="S132" s="3">
        <f>+IF(F132="Pasajero",'2.2 OPEX LAP 2023'!N133*'2.1 OPEX TUUA'!$S$7,'2.2 OPEX LAP 2023'!N133*'2.1 OPEX TUUA'!$S$8)</f>
        <v>0</v>
      </c>
      <c r="AA132" s="6"/>
      <c r="AB132" s="6"/>
      <c r="AC132" s="6"/>
      <c r="AD132" s="6"/>
      <c r="AE132" s="6"/>
      <c r="AF132" s="6"/>
    </row>
    <row r="133" spans="2:32" x14ac:dyDescent="0.25">
      <c r="B133" s="16">
        <v>6390000001</v>
      </c>
      <c r="C133" s="190" t="s">
        <v>13</v>
      </c>
      <c r="D133" s="190" t="s">
        <v>38</v>
      </c>
      <c r="E133" s="190" t="s">
        <v>138</v>
      </c>
      <c r="F133" s="162" t="s">
        <v>190</v>
      </c>
      <c r="G133" s="3">
        <f>+IF(F133="Pasajero",'2.2 OPEX LAP 2023'!I134*'2.1 OPEX TUUA'!$G$7,'2.2 OPEX LAP 2023'!I134*'2.1 OPEX TUUA'!$G$8)</f>
        <v>0</v>
      </c>
      <c r="H133" s="3">
        <f>+IF(F133="Pasajero",'2.2 OPEX LAP 2023'!J134*'2.1 OPEX TUUA'!$H$7,'2.2 OPEX LAP 2023'!J134*'2.1 OPEX TUUA'!$H$8)</f>
        <v>0</v>
      </c>
      <c r="I133" s="3">
        <f>+IF(F133="Pasajero",'2.2 OPEX LAP 2023'!K134*'2.1 OPEX TUUA'!$I$7,'2.2 OPEX LAP 2023'!K134*'2.1 OPEX TUUA'!$I$8)</f>
        <v>0</v>
      </c>
      <c r="J133" s="3">
        <f>+IF(F133="Pasajero",'2.2 OPEX LAP 2023'!L134*'2.1 OPEX TUUA'!$J$7,'2.2 OPEX LAP 2023'!L134*'2.1 OPEX TUUA'!$J$8)</f>
        <v>0</v>
      </c>
      <c r="K133" s="3">
        <f>+IF(F133="Pasajero",'2.2 OPEX LAP 2023'!M134*'2.1 OPEX TUUA'!$K$7,'2.2 OPEX LAP 2023'!M134*'2.1 OPEX TUUA'!$K$8)</f>
        <v>0</v>
      </c>
      <c r="L133" s="3">
        <f>+IF(F133="Pasajero",'2.2 OPEX LAP 2023'!N134*'2.1 OPEX TUUA'!$L$7,'2.2 OPEX LAP 2023'!N134*'2.1 OPEX TUUA'!$L$8)</f>
        <v>0</v>
      </c>
      <c r="M133" s="3"/>
      <c r="N133" s="3">
        <f>+IF(F133="Pasajero",'2.2 OPEX LAP 2023'!I134*'2.1 OPEX TUUA'!$N$7,'2.2 OPEX LAP 2023'!I134*'2.1 OPEX TUUA'!$N$8)</f>
        <v>0</v>
      </c>
      <c r="O133" s="3">
        <f>+IF(F133="Pasajero",'2.2 OPEX LAP 2023'!J134*'2.1 OPEX TUUA'!$O$7,'2.2 OPEX LAP 2023'!J134*'2.1 OPEX TUUA'!$O$8)</f>
        <v>0</v>
      </c>
      <c r="P133" s="3">
        <f>+IF(F133="Pasajero",'2.2 OPEX LAP 2023'!K134*'2.1 OPEX TUUA'!$P$7,'2.2 OPEX LAP 2023'!K134*'2.1 OPEX TUUA'!$P$8)</f>
        <v>0</v>
      </c>
      <c r="Q133" s="3">
        <f>+IF(F133="Pasajero",'2.2 OPEX LAP 2023'!L134*'2.1 OPEX TUUA'!$Q$7,'2.2 OPEX LAP 2023'!L134*'2.1 OPEX TUUA'!$Q$8)</f>
        <v>0</v>
      </c>
      <c r="R133" s="3">
        <f>+IF(F133="Pasajero",'2.2 OPEX LAP 2023'!M134*'2.1 OPEX TUUA'!$R$7,'2.2 OPEX LAP 2023'!M134*'2.1 OPEX TUUA'!$R$8)</f>
        <v>0</v>
      </c>
      <c r="S133" s="3">
        <f>+IF(F133="Pasajero",'2.2 OPEX LAP 2023'!N134*'2.1 OPEX TUUA'!$S$7,'2.2 OPEX LAP 2023'!N134*'2.1 OPEX TUUA'!$S$8)</f>
        <v>0</v>
      </c>
      <c r="AA133" s="6"/>
      <c r="AB133" s="6"/>
      <c r="AC133" s="6"/>
      <c r="AD133" s="6"/>
      <c r="AE133" s="6"/>
      <c r="AF133" s="6"/>
    </row>
    <row r="134" spans="2:32" x14ac:dyDescent="0.25">
      <c r="B134" s="16">
        <v>6391000001</v>
      </c>
      <c r="C134" s="190" t="s">
        <v>13</v>
      </c>
      <c r="D134" s="190" t="s">
        <v>38</v>
      </c>
      <c r="E134" s="190" t="s">
        <v>139</v>
      </c>
      <c r="F134" s="162" t="s">
        <v>190</v>
      </c>
      <c r="G134" s="3">
        <f>+IF(F134="Pasajero",'2.2 OPEX LAP 2023'!I135*'2.1 OPEX TUUA'!$G$7,'2.2 OPEX LAP 2023'!I135*'2.1 OPEX TUUA'!$G$8)</f>
        <v>48.838538383881321</v>
      </c>
      <c r="H134" s="3">
        <f>+IF(F134="Pasajero",'2.2 OPEX LAP 2023'!J135*'2.1 OPEX TUUA'!$H$7,'2.2 OPEX LAP 2023'!J135*'2.1 OPEX TUUA'!$H$8)</f>
        <v>57.422931701963968</v>
      </c>
      <c r="I134" s="3">
        <f>+IF(F134="Pasajero",'2.2 OPEX LAP 2023'!K135*'2.1 OPEX TUUA'!$I$7,'2.2 OPEX LAP 2023'!K135*'2.1 OPEX TUUA'!$I$8)</f>
        <v>64.641986812365474</v>
      </c>
      <c r="J134" s="3">
        <f>+IF(F134="Pasajero",'2.2 OPEX LAP 2023'!L135*'2.1 OPEX TUUA'!$J$7,'2.2 OPEX LAP 2023'!L135*'2.1 OPEX TUUA'!$J$8)</f>
        <v>68.590933372977176</v>
      </c>
      <c r="K134" s="3">
        <f>+IF(F134="Pasajero",'2.2 OPEX LAP 2023'!M135*'2.1 OPEX TUUA'!$K$7,'2.2 OPEX LAP 2023'!M135*'2.1 OPEX TUUA'!$K$8)</f>
        <v>71.468489566993412</v>
      </c>
      <c r="L134" s="3">
        <f>+IF(F134="Pasajero",'2.2 OPEX LAP 2023'!N135*'2.1 OPEX TUUA'!$L$7,'2.2 OPEX LAP 2023'!N135*'2.1 OPEX TUUA'!$L$8)</f>
        <v>74.6767162880124</v>
      </c>
      <c r="M134" s="3"/>
      <c r="N134" s="3">
        <f>+IF(F134="Pasajero",'2.2 OPEX LAP 2023'!I135*'2.1 OPEX TUUA'!$N$7,'2.2 OPEX LAP 2023'!I135*'2.1 OPEX TUUA'!$N$8)</f>
        <v>24.088008322409461</v>
      </c>
      <c r="O134" s="3">
        <f>+IF(F134="Pasajero",'2.2 OPEX LAP 2023'!J135*'2.1 OPEX TUUA'!$O$7,'2.2 OPEX LAP 2023'!J135*'2.1 OPEX TUUA'!$O$8)</f>
        <v>23.782466630010465</v>
      </c>
      <c r="P134" s="3">
        <f>+IF(F134="Pasajero",'2.2 OPEX LAP 2023'!K135*'2.1 OPEX TUUA'!$P$7,'2.2 OPEX LAP 2023'!K135*'2.1 OPEX TUUA'!$P$8)</f>
        <v>23.667285066118296</v>
      </c>
      <c r="Q134" s="3">
        <f>+IF(F134="Pasajero",'2.2 OPEX LAP 2023'!L135*'2.1 OPEX TUUA'!$Q$7,'2.2 OPEX LAP 2023'!L135*'2.1 OPEX TUUA'!$Q$8)</f>
        <v>23.548015107494621</v>
      </c>
      <c r="R134" s="3">
        <f>+IF(F134="Pasajero",'2.2 OPEX LAP 2023'!M135*'2.1 OPEX TUUA'!$R$7,'2.2 OPEX LAP 2023'!M135*'2.1 OPEX TUUA'!$R$8)</f>
        <v>23.695060999403147</v>
      </c>
      <c r="S134" s="3">
        <f>+IF(F134="Pasajero",'2.2 OPEX LAP 2023'!N135*'2.1 OPEX TUUA'!$S$7,'2.2 OPEX LAP 2023'!N135*'2.1 OPEX TUUA'!$S$8)</f>
        <v>23.734921938313686</v>
      </c>
      <c r="AA134" s="6"/>
      <c r="AB134" s="6"/>
      <c r="AC134" s="6"/>
      <c r="AD134" s="6"/>
      <c r="AE134" s="6"/>
      <c r="AF134" s="6"/>
    </row>
    <row r="135" spans="2:32" x14ac:dyDescent="0.25">
      <c r="B135" s="16">
        <v>6391000003</v>
      </c>
      <c r="C135" s="190" t="s">
        <v>13</v>
      </c>
      <c r="D135" s="190" t="s">
        <v>38</v>
      </c>
      <c r="E135" s="190" t="s">
        <v>140</v>
      </c>
      <c r="F135" s="162" t="s">
        <v>190</v>
      </c>
      <c r="G135" s="3">
        <f>+IF(F135="Pasajero",'2.2 OPEX LAP 2023'!I136*'2.1 OPEX TUUA'!$G$7,'2.2 OPEX LAP 2023'!I136*'2.1 OPEX TUUA'!$G$8)</f>
        <v>0</v>
      </c>
      <c r="H135" s="3">
        <f>+IF(F135="Pasajero",'2.2 OPEX LAP 2023'!J136*'2.1 OPEX TUUA'!$H$7,'2.2 OPEX LAP 2023'!J136*'2.1 OPEX TUUA'!$H$8)</f>
        <v>0</v>
      </c>
      <c r="I135" s="3">
        <f>+IF(F135="Pasajero",'2.2 OPEX LAP 2023'!K136*'2.1 OPEX TUUA'!$I$7,'2.2 OPEX LAP 2023'!K136*'2.1 OPEX TUUA'!$I$8)</f>
        <v>0</v>
      </c>
      <c r="J135" s="3">
        <f>+IF(F135="Pasajero",'2.2 OPEX LAP 2023'!L136*'2.1 OPEX TUUA'!$J$7,'2.2 OPEX LAP 2023'!L136*'2.1 OPEX TUUA'!$J$8)</f>
        <v>0</v>
      </c>
      <c r="K135" s="3">
        <f>+IF(F135="Pasajero",'2.2 OPEX LAP 2023'!M136*'2.1 OPEX TUUA'!$K$7,'2.2 OPEX LAP 2023'!M136*'2.1 OPEX TUUA'!$K$8)</f>
        <v>0</v>
      </c>
      <c r="L135" s="3">
        <f>+IF(F135="Pasajero",'2.2 OPEX LAP 2023'!N136*'2.1 OPEX TUUA'!$L$7,'2.2 OPEX LAP 2023'!N136*'2.1 OPEX TUUA'!$L$8)</f>
        <v>0</v>
      </c>
      <c r="M135" s="3"/>
      <c r="N135" s="3">
        <f>+IF(F135="Pasajero",'2.2 OPEX LAP 2023'!I136*'2.1 OPEX TUUA'!$N$7,'2.2 OPEX LAP 2023'!I136*'2.1 OPEX TUUA'!$N$8)</f>
        <v>0</v>
      </c>
      <c r="O135" s="3">
        <f>+IF(F135="Pasajero",'2.2 OPEX LAP 2023'!J136*'2.1 OPEX TUUA'!$O$7,'2.2 OPEX LAP 2023'!J136*'2.1 OPEX TUUA'!$O$8)</f>
        <v>0</v>
      </c>
      <c r="P135" s="3">
        <f>+IF(F135="Pasajero",'2.2 OPEX LAP 2023'!K136*'2.1 OPEX TUUA'!$P$7,'2.2 OPEX LAP 2023'!K136*'2.1 OPEX TUUA'!$P$8)</f>
        <v>0</v>
      </c>
      <c r="Q135" s="3">
        <f>+IF(F135="Pasajero",'2.2 OPEX LAP 2023'!L136*'2.1 OPEX TUUA'!$Q$7,'2.2 OPEX LAP 2023'!L136*'2.1 OPEX TUUA'!$Q$8)</f>
        <v>0</v>
      </c>
      <c r="R135" s="3">
        <f>+IF(F135="Pasajero",'2.2 OPEX LAP 2023'!M136*'2.1 OPEX TUUA'!$R$7,'2.2 OPEX LAP 2023'!M136*'2.1 OPEX TUUA'!$R$8)</f>
        <v>0</v>
      </c>
      <c r="S135" s="3">
        <f>+IF(F135="Pasajero",'2.2 OPEX LAP 2023'!N136*'2.1 OPEX TUUA'!$S$7,'2.2 OPEX LAP 2023'!N136*'2.1 OPEX TUUA'!$S$8)</f>
        <v>0</v>
      </c>
      <c r="AA135" s="6"/>
      <c r="AB135" s="6"/>
      <c r="AC135" s="6"/>
      <c r="AD135" s="6"/>
      <c r="AE135" s="6"/>
      <c r="AF135" s="6"/>
    </row>
    <row r="136" spans="2:32" x14ac:dyDescent="0.25">
      <c r="B136" s="16">
        <v>6410000001</v>
      </c>
      <c r="C136" s="190" t="s">
        <v>13</v>
      </c>
      <c r="D136" s="190" t="s">
        <v>38</v>
      </c>
      <c r="E136" s="190" t="s">
        <v>141</v>
      </c>
      <c r="F136" s="162" t="s">
        <v>190</v>
      </c>
      <c r="G136" s="3">
        <f>+IF(F136="Pasajero",'2.2 OPEX LAP 2023'!I137*'2.1 OPEX TUUA'!$G$7,'2.2 OPEX LAP 2023'!I137*'2.1 OPEX TUUA'!$G$8)</f>
        <v>0</v>
      </c>
      <c r="H136" s="3">
        <f>+IF(F136="Pasajero",'2.2 OPEX LAP 2023'!J137*'2.1 OPEX TUUA'!$H$7,'2.2 OPEX LAP 2023'!J137*'2.1 OPEX TUUA'!$H$8)</f>
        <v>0</v>
      </c>
      <c r="I136" s="3">
        <f>+IF(F136="Pasajero",'2.2 OPEX LAP 2023'!K137*'2.1 OPEX TUUA'!$I$7,'2.2 OPEX LAP 2023'!K137*'2.1 OPEX TUUA'!$I$8)</f>
        <v>0</v>
      </c>
      <c r="J136" s="3">
        <f>+IF(F136="Pasajero",'2.2 OPEX LAP 2023'!L137*'2.1 OPEX TUUA'!$J$7,'2.2 OPEX LAP 2023'!L137*'2.1 OPEX TUUA'!$J$8)</f>
        <v>0</v>
      </c>
      <c r="K136" s="3">
        <f>+IF(F136="Pasajero",'2.2 OPEX LAP 2023'!M137*'2.1 OPEX TUUA'!$K$7,'2.2 OPEX LAP 2023'!M137*'2.1 OPEX TUUA'!$K$8)</f>
        <v>0</v>
      </c>
      <c r="L136" s="3">
        <f>+IF(F136="Pasajero",'2.2 OPEX LAP 2023'!N137*'2.1 OPEX TUUA'!$L$7,'2.2 OPEX LAP 2023'!N137*'2.1 OPEX TUUA'!$L$8)</f>
        <v>0</v>
      </c>
      <c r="M136" s="3"/>
      <c r="N136" s="3">
        <f>+IF(F136="Pasajero",'2.2 OPEX LAP 2023'!I137*'2.1 OPEX TUUA'!$N$7,'2.2 OPEX LAP 2023'!I137*'2.1 OPEX TUUA'!$N$8)</f>
        <v>0</v>
      </c>
      <c r="O136" s="3">
        <f>+IF(F136="Pasajero",'2.2 OPEX LAP 2023'!J137*'2.1 OPEX TUUA'!$O$7,'2.2 OPEX LAP 2023'!J137*'2.1 OPEX TUUA'!$O$8)</f>
        <v>0</v>
      </c>
      <c r="P136" s="3">
        <f>+IF(F136="Pasajero",'2.2 OPEX LAP 2023'!K137*'2.1 OPEX TUUA'!$P$7,'2.2 OPEX LAP 2023'!K137*'2.1 OPEX TUUA'!$P$8)</f>
        <v>0</v>
      </c>
      <c r="Q136" s="3">
        <f>+IF(F136="Pasajero",'2.2 OPEX LAP 2023'!L137*'2.1 OPEX TUUA'!$Q$7,'2.2 OPEX LAP 2023'!L137*'2.1 OPEX TUUA'!$Q$8)</f>
        <v>0</v>
      </c>
      <c r="R136" s="3">
        <f>+IF(F136="Pasajero",'2.2 OPEX LAP 2023'!M137*'2.1 OPEX TUUA'!$R$7,'2.2 OPEX LAP 2023'!M137*'2.1 OPEX TUUA'!$R$8)</f>
        <v>0</v>
      </c>
      <c r="S136" s="3">
        <f>+IF(F136="Pasajero",'2.2 OPEX LAP 2023'!N137*'2.1 OPEX TUUA'!$S$7,'2.2 OPEX LAP 2023'!N137*'2.1 OPEX TUUA'!$S$8)</f>
        <v>0</v>
      </c>
      <c r="AA136" s="6"/>
      <c r="AB136" s="6"/>
      <c r="AC136" s="6"/>
      <c r="AD136" s="6"/>
      <c r="AE136" s="6"/>
      <c r="AF136" s="6"/>
    </row>
    <row r="137" spans="2:32" x14ac:dyDescent="0.25">
      <c r="B137" s="16">
        <v>6410000002</v>
      </c>
      <c r="C137" s="190" t="s">
        <v>13</v>
      </c>
      <c r="D137" s="190" t="s">
        <v>38</v>
      </c>
      <c r="E137" s="190" t="s">
        <v>142</v>
      </c>
      <c r="F137" s="162" t="s">
        <v>190</v>
      </c>
      <c r="G137" s="3">
        <f>+IF(F137="Pasajero",'2.2 OPEX LAP 2023'!I138*'2.1 OPEX TUUA'!$G$7,'2.2 OPEX LAP 2023'!I138*'2.1 OPEX TUUA'!$G$8)</f>
        <v>2937.8643493667946</v>
      </c>
      <c r="H137" s="3">
        <f>+IF(F137="Pasajero",'2.2 OPEX LAP 2023'!J138*'2.1 OPEX TUUA'!$H$7,'2.2 OPEX LAP 2023'!J138*'2.1 OPEX TUUA'!$H$8)</f>
        <v>3454.2553783510093</v>
      </c>
      <c r="I137" s="3">
        <f>+IF(F137="Pasajero",'2.2 OPEX LAP 2023'!K138*'2.1 OPEX TUUA'!$I$7,'2.2 OPEX LAP 2023'!K138*'2.1 OPEX TUUA'!$I$8)</f>
        <v>3888.5149886255549</v>
      </c>
      <c r="J137" s="3">
        <f>+IF(F137="Pasajero",'2.2 OPEX LAP 2023'!L138*'2.1 OPEX TUUA'!$J$7,'2.2 OPEX LAP 2023'!L138*'2.1 OPEX TUUA'!$J$8)</f>
        <v>4126.0624194431148</v>
      </c>
      <c r="K137" s="3">
        <f>+IF(F137="Pasajero",'2.2 OPEX LAP 2023'!M138*'2.1 OPEX TUUA'!$K$7,'2.2 OPEX LAP 2023'!M138*'2.1 OPEX TUUA'!$K$8)</f>
        <v>4299.16075603236</v>
      </c>
      <c r="L137" s="3">
        <f>+IF(F137="Pasajero",'2.2 OPEX LAP 2023'!N138*'2.1 OPEX TUUA'!$L$7,'2.2 OPEX LAP 2023'!N138*'2.1 OPEX TUUA'!$L$8)</f>
        <v>4492.1504567945422</v>
      </c>
      <c r="M137" s="3"/>
      <c r="N137" s="3">
        <f>+IF(F137="Pasajero",'2.2 OPEX LAP 2023'!I138*'2.1 OPEX TUUA'!$N$7,'2.2 OPEX LAP 2023'!I138*'2.1 OPEX TUUA'!$N$8)</f>
        <v>1449.0052986723588</v>
      </c>
      <c r="O137" s="3">
        <f>+IF(F137="Pasajero",'2.2 OPEX LAP 2023'!J138*'2.1 OPEX TUUA'!$O$7,'2.2 OPEX LAP 2023'!J138*'2.1 OPEX TUUA'!$O$8)</f>
        <v>1430.6255503209939</v>
      </c>
      <c r="P137" s="3">
        <f>+IF(F137="Pasajero",'2.2 OPEX LAP 2023'!K138*'2.1 OPEX TUUA'!$P$7,'2.2 OPEX LAP 2023'!K138*'2.1 OPEX TUUA'!$P$8)</f>
        <v>1423.696845624647</v>
      </c>
      <c r="Q137" s="3">
        <f>+IF(F137="Pasajero",'2.2 OPEX LAP 2023'!L138*'2.1 OPEX TUUA'!$Q$7,'2.2 OPEX LAP 2023'!L138*'2.1 OPEX TUUA'!$Q$8)</f>
        <v>1416.5222050439495</v>
      </c>
      <c r="R137" s="3">
        <f>+IF(F137="Pasajero",'2.2 OPEX LAP 2023'!M138*'2.1 OPEX TUUA'!$R$7,'2.2 OPEX LAP 2023'!M138*'2.1 OPEX TUUA'!$R$8)</f>
        <v>1425.3676966957119</v>
      </c>
      <c r="S137" s="3">
        <f>+IF(F137="Pasajero",'2.2 OPEX LAP 2023'!N138*'2.1 OPEX TUUA'!$S$7,'2.2 OPEX LAP 2023'!N138*'2.1 OPEX TUUA'!$S$8)</f>
        <v>1427.7655168441586</v>
      </c>
      <c r="AA137" s="6"/>
      <c r="AB137" s="6"/>
      <c r="AC137" s="6"/>
      <c r="AD137" s="6"/>
      <c r="AE137" s="6"/>
      <c r="AF137" s="6"/>
    </row>
    <row r="138" spans="2:32" x14ac:dyDescent="0.25">
      <c r="B138" s="16">
        <v>6430000001</v>
      </c>
      <c r="C138" s="190" t="s">
        <v>13</v>
      </c>
      <c r="D138" s="190" t="s">
        <v>38</v>
      </c>
      <c r="E138" s="190" t="s">
        <v>143</v>
      </c>
      <c r="F138" s="162" t="s">
        <v>192</v>
      </c>
      <c r="G138" s="3">
        <f>+IF(F138="Pasajero",'2.2 OPEX LAP 2023'!I139*'2.1 OPEX TUUA'!$G$7,'2.2 OPEX LAP 2023'!I139*'2.1 OPEX TUUA'!$G$8)</f>
        <v>18450.862383516116</v>
      </c>
      <c r="H138" s="3">
        <f>+IF(F138="Pasajero",'2.2 OPEX LAP 2023'!J139*'2.1 OPEX TUUA'!$H$7,'2.2 OPEX LAP 2023'!J139*'2.1 OPEX TUUA'!$H$8)</f>
        <v>18450.862383516116</v>
      </c>
      <c r="I138" s="3">
        <f>+IF(F138="Pasajero",'2.2 OPEX LAP 2023'!K139*'2.1 OPEX TUUA'!$I$7,'2.2 OPEX LAP 2023'!K139*'2.1 OPEX TUUA'!$I$8)</f>
        <v>18450.862383516116</v>
      </c>
      <c r="J138" s="3">
        <f>+IF(F138="Pasajero",'2.2 OPEX LAP 2023'!L139*'2.1 OPEX TUUA'!$J$7,'2.2 OPEX LAP 2023'!L139*'2.1 OPEX TUUA'!$J$8)</f>
        <v>18450.862383516116</v>
      </c>
      <c r="K138" s="3">
        <f>+IF(F138="Pasajero",'2.2 OPEX LAP 2023'!M139*'2.1 OPEX TUUA'!$K$7,'2.2 OPEX LAP 2023'!M139*'2.1 OPEX TUUA'!$K$8)</f>
        <v>18450.862383516116</v>
      </c>
      <c r="L138" s="3">
        <f>+IF(F138="Pasajero",'2.2 OPEX LAP 2023'!N139*'2.1 OPEX TUUA'!$L$7,'2.2 OPEX LAP 2023'!N139*'2.1 OPEX TUUA'!$L$8)</f>
        <v>18450.862383516116</v>
      </c>
      <c r="M138" s="3"/>
      <c r="N138" s="3">
        <f>+IF(F138="Pasajero",'2.2 OPEX LAP 2023'!I139*'2.1 OPEX TUUA'!$N$7,'2.2 OPEX LAP 2023'!I139*'2.1 OPEX TUUA'!$N$8)</f>
        <v>3448.0184154903709</v>
      </c>
      <c r="O138" s="3">
        <f>+IF(F138="Pasajero",'2.2 OPEX LAP 2023'!J139*'2.1 OPEX TUUA'!$O$7,'2.2 OPEX LAP 2023'!J139*'2.1 OPEX TUUA'!$O$8)</f>
        <v>3448.0184154903709</v>
      </c>
      <c r="P138" s="3">
        <f>+IF(F138="Pasajero",'2.2 OPEX LAP 2023'!K139*'2.1 OPEX TUUA'!$P$7,'2.2 OPEX LAP 2023'!K139*'2.1 OPEX TUUA'!$P$8)</f>
        <v>3448.0184154903709</v>
      </c>
      <c r="Q138" s="3">
        <f>+IF(F138="Pasajero",'2.2 OPEX LAP 2023'!L139*'2.1 OPEX TUUA'!$Q$7,'2.2 OPEX LAP 2023'!L139*'2.1 OPEX TUUA'!$Q$8)</f>
        <v>3448.0184154903709</v>
      </c>
      <c r="R138" s="3">
        <f>+IF(F138="Pasajero",'2.2 OPEX LAP 2023'!M139*'2.1 OPEX TUUA'!$R$7,'2.2 OPEX LAP 2023'!M139*'2.1 OPEX TUUA'!$R$8)</f>
        <v>3448.0184154903709</v>
      </c>
      <c r="S138" s="3">
        <f>+IF(F138="Pasajero",'2.2 OPEX LAP 2023'!N139*'2.1 OPEX TUUA'!$S$7,'2.2 OPEX LAP 2023'!N139*'2.1 OPEX TUUA'!$S$8)</f>
        <v>3448.0184154903709</v>
      </c>
      <c r="AA138" s="6"/>
      <c r="AB138" s="6"/>
      <c r="AC138" s="6"/>
      <c r="AD138" s="6"/>
      <c r="AE138" s="6"/>
      <c r="AF138" s="6"/>
    </row>
    <row r="139" spans="2:32" x14ac:dyDescent="0.25">
      <c r="B139" s="16">
        <v>6430000002</v>
      </c>
      <c r="C139" s="190" t="s">
        <v>13</v>
      </c>
      <c r="D139" s="190" t="s">
        <v>38</v>
      </c>
      <c r="E139" s="190" t="s">
        <v>144</v>
      </c>
      <c r="F139" s="162" t="s">
        <v>192</v>
      </c>
      <c r="G139" s="3">
        <f>+IF(F139="Pasajero",'2.2 OPEX LAP 2023'!I140*'2.1 OPEX TUUA'!$G$7,'2.2 OPEX LAP 2023'!I140*'2.1 OPEX TUUA'!$G$8)</f>
        <v>83.910903800153463</v>
      </c>
      <c r="H139" s="3">
        <f>+IF(F139="Pasajero",'2.2 OPEX LAP 2023'!J140*'2.1 OPEX TUUA'!$H$7,'2.2 OPEX LAP 2023'!J140*'2.1 OPEX TUUA'!$H$8)</f>
        <v>83.910903800153463</v>
      </c>
      <c r="I139" s="3">
        <f>+IF(F139="Pasajero",'2.2 OPEX LAP 2023'!K140*'2.1 OPEX TUUA'!$I$7,'2.2 OPEX LAP 2023'!K140*'2.1 OPEX TUUA'!$I$8)</f>
        <v>83.910903800153463</v>
      </c>
      <c r="J139" s="3">
        <f>+IF(F139="Pasajero",'2.2 OPEX LAP 2023'!L140*'2.1 OPEX TUUA'!$J$7,'2.2 OPEX LAP 2023'!L140*'2.1 OPEX TUUA'!$J$8)</f>
        <v>83.910903800153463</v>
      </c>
      <c r="K139" s="3">
        <f>+IF(F139="Pasajero",'2.2 OPEX LAP 2023'!M140*'2.1 OPEX TUUA'!$K$7,'2.2 OPEX LAP 2023'!M140*'2.1 OPEX TUUA'!$K$8)</f>
        <v>83.910903800153463</v>
      </c>
      <c r="L139" s="3">
        <f>+IF(F139="Pasajero",'2.2 OPEX LAP 2023'!N140*'2.1 OPEX TUUA'!$L$7,'2.2 OPEX LAP 2023'!N140*'2.1 OPEX TUUA'!$L$8)</f>
        <v>83.910903800153463</v>
      </c>
      <c r="M139" s="3"/>
      <c r="N139" s="3">
        <f>+IF(F139="Pasajero",'2.2 OPEX LAP 2023'!I140*'2.1 OPEX TUUA'!$N$7,'2.2 OPEX LAP 2023'!I140*'2.1 OPEX TUUA'!$N$8)</f>
        <v>15.680911577436751</v>
      </c>
      <c r="O139" s="3">
        <f>+IF(F139="Pasajero",'2.2 OPEX LAP 2023'!J140*'2.1 OPEX TUUA'!$O$7,'2.2 OPEX LAP 2023'!J140*'2.1 OPEX TUUA'!$O$8)</f>
        <v>15.680911577436751</v>
      </c>
      <c r="P139" s="3">
        <f>+IF(F139="Pasajero",'2.2 OPEX LAP 2023'!K140*'2.1 OPEX TUUA'!$P$7,'2.2 OPEX LAP 2023'!K140*'2.1 OPEX TUUA'!$P$8)</f>
        <v>15.680911577436751</v>
      </c>
      <c r="Q139" s="3">
        <f>+IF(F139="Pasajero",'2.2 OPEX LAP 2023'!L140*'2.1 OPEX TUUA'!$Q$7,'2.2 OPEX LAP 2023'!L140*'2.1 OPEX TUUA'!$Q$8)</f>
        <v>15.680911577436751</v>
      </c>
      <c r="R139" s="3">
        <f>+IF(F139="Pasajero",'2.2 OPEX LAP 2023'!M140*'2.1 OPEX TUUA'!$R$7,'2.2 OPEX LAP 2023'!M140*'2.1 OPEX TUUA'!$R$8)</f>
        <v>15.680911577436751</v>
      </c>
      <c r="S139" s="3">
        <f>+IF(F139="Pasajero",'2.2 OPEX LAP 2023'!N140*'2.1 OPEX TUUA'!$S$7,'2.2 OPEX LAP 2023'!N140*'2.1 OPEX TUUA'!$S$8)</f>
        <v>15.680911577436751</v>
      </c>
      <c r="AA139" s="6"/>
      <c r="AB139" s="6"/>
      <c r="AC139" s="6"/>
      <c r="AD139" s="6"/>
      <c r="AE139" s="6"/>
      <c r="AF139" s="6"/>
    </row>
    <row r="140" spans="2:32" x14ac:dyDescent="0.25">
      <c r="B140" s="16">
        <v>6430000003</v>
      </c>
      <c r="C140" s="190" t="s">
        <v>13</v>
      </c>
      <c r="D140" s="190" t="s">
        <v>38</v>
      </c>
      <c r="E140" s="190" t="s">
        <v>145</v>
      </c>
      <c r="F140" s="162" t="s">
        <v>190</v>
      </c>
      <c r="G140" s="3">
        <f>+IF(F140="Pasajero",'2.2 OPEX LAP 2023'!I141*'2.1 OPEX TUUA'!$G$7,'2.2 OPEX LAP 2023'!I141*'2.1 OPEX TUUA'!$G$8)</f>
        <v>0</v>
      </c>
      <c r="H140" s="3">
        <f>+IF(F140="Pasajero",'2.2 OPEX LAP 2023'!J141*'2.1 OPEX TUUA'!$H$7,'2.2 OPEX LAP 2023'!J141*'2.1 OPEX TUUA'!$H$8)</f>
        <v>0</v>
      </c>
      <c r="I140" s="3">
        <f>+IF(F140="Pasajero",'2.2 OPEX LAP 2023'!K141*'2.1 OPEX TUUA'!$I$7,'2.2 OPEX LAP 2023'!K141*'2.1 OPEX TUUA'!$I$8)</f>
        <v>0</v>
      </c>
      <c r="J140" s="3">
        <f>+IF(F140="Pasajero",'2.2 OPEX LAP 2023'!L141*'2.1 OPEX TUUA'!$J$7,'2.2 OPEX LAP 2023'!L141*'2.1 OPEX TUUA'!$J$8)</f>
        <v>0</v>
      </c>
      <c r="K140" s="3">
        <f>+IF(F140="Pasajero",'2.2 OPEX LAP 2023'!M141*'2.1 OPEX TUUA'!$K$7,'2.2 OPEX LAP 2023'!M141*'2.1 OPEX TUUA'!$K$8)</f>
        <v>0</v>
      </c>
      <c r="L140" s="3">
        <f>+IF(F140="Pasajero",'2.2 OPEX LAP 2023'!N141*'2.1 OPEX TUUA'!$L$7,'2.2 OPEX LAP 2023'!N141*'2.1 OPEX TUUA'!$L$8)</f>
        <v>0</v>
      </c>
      <c r="M140" s="3"/>
      <c r="N140" s="3">
        <f>+IF(F140="Pasajero",'2.2 OPEX LAP 2023'!I141*'2.1 OPEX TUUA'!$N$7,'2.2 OPEX LAP 2023'!I141*'2.1 OPEX TUUA'!$N$8)</f>
        <v>0</v>
      </c>
      <c r="O140" s="3">
        <f>+IF(F140="Pasajero",'2.2 OPEX LAP 2023'!J141*'2.1 OPEX TUUA'!$O$7,'2.2 OPEX LAP 2023'!J141*'2.1 OPEX TUUA'!$O$8)</f>
        <v>0</v>
      </c>
      <c r="P140" s="3">
        <f>+IF(F140="Pasajero",'2.2 OPEX LAP 2023'!K141*'2.1 OPEX TUUA'!$P$7,'2.2 OPEX LAP 2023'!K141*'2.1 OPEX TUUA'!$P$8)</f>
        <v>0</v>
      </c>
      <c r="Q140" s="3">
        <f>+IF(F140="Pasajero",'2.2 OPEX LAP 2023'!L141*'2.1 OPEX TUUA'!$Q$7,'2.2 OPEX LAP 2023'!L141*'2.1 OPEX TUUA'!$Q$8)</f>
        <v>0</v>
      </c>
      <c r="R140" s="3">
        <f>+IF(F140="Pasajero",'2.2 OPEX LAP 2023'!M141*'2.1 OPEX TUUA'!$R$7,'2.2 OPEX LAP 2023'!M141*'2.1 OPEX TUUA'!$R$8)</f>
        <v>0</v>
      </c>
      <c r="S140" s="3">
        <f>+IF(F140="Pasajero",'2.2 OPEX LAP 2023'!N141*'2.1 OPEX TUUA'!$S$7,'2.2 OPEX LAP 2023'!N141*'2.1 OPEX TUUA'!$S$8)</f>
        <v>0</v>
      </c>
      <c r="AA140" s="6"/>
      <c r="AB140" s="6"/>
      <c r="AC140" s="6"/>
      <c r="AD140" s="6"/>
      <c r="AE140" s="6"/>
      <c r="AF140" s="6"/>
    </row>
    <row r="141" spans="2:32" x14ac:dyDescent="0.25">
      <c r="B141" s="16">
        <v>6510000001</v>
      </c>
      <c r="C141" s="190" t="s">
        <v>13</v>
      </c>
      <c r="D141" s="190" t="s">
        <v>38</v>
      </c>
      <c r="E141" s="190" t="s">
        <v>146</v>
      </c>
      <c r="F141" s="162" t="s">
        <v>192</v>
      </c>
      <c r="G141" s="3">
        <f>+IF(F141="Pasajero",'2.2 OPEX LAP 2023'!I142*'2.1 OPEX TUUA'!$G$7,'2.2 OPEX LAP 2023'!I142*'2.1 OPEX TUUA'!$G$8)</f>
        <v>71302.002101278515</v>
      </c>
      <c r="H141" s="3">
        <f>+IF(F141="Pasajero",'2.2 OPEX LAP 2023'!J142*'2.1 OPEX TUUA'!$H$7,'2.2 OPEX LAP 2023'!J142*'2.1 OPEX TUUA'!$H$8)</f>
        <v>71302.002101278515</v>
      </c>
      <c r="I141" s="3">
        <f>+IF(F141="Pasajero",'2.2 OPEX LAP 2023'!K142*'2.1 OPEX TUUA'!$I$7,'2.2 OPEX LAP 2023'!K142*'2.1 OPEX TUUA'!$I$8)</f>
        <v>71302.002101278515</v>
      </c>
      <c r="J141" s="3">
        <f>+IF(F141="Pasajero",'2.2 OPEX LAP 2023'!L142*'2.1 OPEX TUUA'!$J$7,'2.2 OPEX LAP 2023'!L142*'2.1 OPEX TUUA'!$J$8)</f>
        <v>71302.002101278515</v>
      </c>
      <c r="K141" s="3">
        <f>+IF(F141="Pasajero",'2.2 OPEX LAP 2023'!M142*'2.1 OPEX TUUA'!$K$7,'2.2 OPEX LAP 2023'!M142*'2.1 OPEX TUUA'!$K$8)</f>
        <v>71302.002101278515</v>
      </c>
      <c r="L141" s="3">
        <f>+IF(F141="Pasajero",'2.2 OPEX LAP 2023'!N142*'2.1 OPEX TUUA'!$L$7,'2.2 OPEX LAP 2023'!N142*'2.1 OPEX TUUA'!$L$8)</f>
        <v>71302.002101278515</v>
      </c>
      <c r="M141" s="3"/>
      <c r="N141" s="3">
        <f>+IF(F141="Pasajero",'2.2 OPEX LAP 2023'!I142*'2.1 OPEX TUUA'!$N$7,'2.2 OPEX LAP 2023'!I142*'2.1 OPEX TUUA'!$N$8)</f>
        <v>13324.613841691369</v>
      </c>
      <c r="O141" s="3">
        <f>+IF(F141="Pasajero",'2.2 OPEX LAP 2023'!J142*'2.1 OPEX TUUA'!$O$7,'2.2 OPEX LAP 2023'!J142*'2.1 OPEX TUUA'!$O$8)</f>
        <v>13324.613841691369</v>
      </c>
      <c r="P141" s="3">
        <f>+IF(F141="Pasajero",'2.2 OPEX LAP 2023'!K142*'2.1 OPEX TUUA'!$P$7,'2.2 OPEX LAP 2023'!K142*'2.1 OPEX TUUA'!$P$8)</f>
        <v>13324.613841691369</v>
      </c>
      <c r="Q141" s="3">
        <f>+IF(F141="Pasajero",'2.2 OPEX LAP 2023'!L142*'2.1 OPEX TUUA'!$Q$7,'2.2 OPEX LAP 2023'!L142*'2.1 OPEX TUUA'!$Q$8)</f>
        <v>13324.613841691369</v>
      </c>
      <c r="R141" s="3">
        <f>+IF(F141="Pasajero",'2.2 OPEX LAP 2023'!M142*'2.1 OPEX TUUA'!$R$7,'2.2 OPEX LAP 2023'!M142*'2.1 OPEX TUUA'!$R$8)</f>
        <v>13324.613841691369</v>
      </c>
      <c r="S141" s="3">
        <f>+IF(F141="Pasajero",'2.2 OPEX LAP 2023'!N142*'2.1 OPEX TUUA'!$S$7,'2.2 OPEX LAP 2023'!N142*'2.1 OPEX TUUA'!$S$8)</f>
        <v>13324.613841691369</v>
      </c>
      <c r="AA141" s="6"/>
      <c r="AB141" s="6"/>
      <c r="AC141" s="6"/>
      <c r="AD141" s="6"/>
      <c r="AE141" s="6"/>
      <c r="AF141" s="6"/>
    </row>
    <row r="142" spans="2:32" x14ac:dyDescent="0.25">
      <c r="B142" s="16">
        <v>6530000001</v>
      </c>
      <c r="C142" s="190" t="s">
        <v>13</v>
      </c>
      <c r="D142" s="190" t="s">
        <v>38</v>
      </c>
      <c r="E142" s="190" t="s">
        <v>147</v>
      </c>
      <c r="F142" s="162" t="s">
        <v>190</v>
      </c>
      <c r="G142" s="3">
        <f>+IF(F142="Pasajero",'2.2 OPEX LAP 2023'!I143*'2.1 OPEX TUUA'!$G$7,'2.2 OPEX LAP 2023'!I143*'2.1 OPEX TUUA'!$G$8)</f>
        <v>7.3740664363401134</v>
      </c>
      <c r="H142" s="3">
        <f>+IF(F142="Pasajero",'2.2 OPEX LAP 2023'!J143*'2.1 OPEX TUUA'!$H$7,'2.2 OPEX LAP 2023'!J143*'2.1 OPEX TUUA'!$H$8)</f>
        <v>8.6702126507425437</v>
      </c>
      <c r="I142" s="3">
        <f>+IF(F142="Pasajero",'2.2 OPEX LAP 2023'!K143*'2.1 OPEX TUUA'!$I$7,'2.2 OPEX LAP 2023'!K143*'2.1 OPEX TUUA'!$I$8)</f>
        <v>9.7602082516197104</v>
      </c>
      <c r="J142" s="3">
        <f>+IF(F142="Pasajero",'2.2 OPEX LAP 2023'!L143*'2.1 OPEX TUUA'!$J$7,'2.2 OPEX LAP 2023'!L143*'2.1 OPEX TUUA'!$J$8)</f>
        <v>10.356454479600977</v>
      </c>
      <c r="K142" s="3">
        <f>+IF(F142="Pasajero",'2.2 OPEX LAP 2023'!M143*'2.1 OPEX TUUA'!$K$7,'2.2 OPEX LAP 2023'!M143*'2.1 OPEX TUUA'!$K$8)</f>
        <v>10.790932890526985</v>
      </c>
      <c r="L142" s="3">
        <f>+IF(F142="Pasajero",'2.2 OPEX LAP 2023'!N143*'2.1 OPEX TUUA'!$L$7,'2.2 OPEX LAP 2023'!N143*'2.1 OPEX TUUA'!$L$8)</f>
        <v>11.275338807790137</v>
      </c>
      <c r="M142" s="3"/>
      <c r="N142" s="3">
        <f>+IF(F142="Pasajero",'2.2 OPEX LAP 2023'!I143*'2.1 OPEX TUUA'!$N$7,'2.2 OPEX LAP 2023'!I143*'2.1 OPEX TUUA'!$N$8)</f>
        <v>3.6370165767938878</v>
      </c>
      <c r="O142" s="3">
        <f>+IF(F142="Pasajero",'2.2 OPEX LAP 2023'!J143*'2.1 OPEX TUUA'!$O$7,'2.2 OPEX LAP 2023'!J143*'2.1 OPEX TUUA'!$O$8)</f>
        <v>3.5908832400197137</v>
      </c>
      <c r="P142" s="3">
        <f>+IF(F142="Pasajero",'2.2 OPEX LAP 2023'!K143*'2.1 OPEX TUUA'!$P$7,'2.2 OPEX LAP 2023'!K143*'2.1 OPEX TUUA'!$P$8)</f>
        <v>3.5734921277446849</v>
      </c>
      <c r="Q142" s="3">
        <f>+IF(F142="Pasajero",'2.2 OPEX LAP 2023'!L143*'2.1 OPEX TUUA'!$Q$7,'2.2 OPEX LAP 2023'!L143*'2.1 OPEX TUUA'!$Q$8)</f>
        <v>3.555483714146443</v>
      </c>
      <c r="R142" s="3">
        <f>+IF(F142="Pasajero",'2.2 OPEX LAP 2023'!M143*'2.1 OPEX TUUA'!$R$7,'2.2 OPEX LAP 2023'!M143*'2.1 OPEX TUUA'!$R$8)</f>
        <v>3.5776859792429399</v>
      </c>
      <c r="S142" s="3">
        <f>+IF(F142="Pasajero",'2.2 OPEX LAP 2023'!N143*'2.1 OPEX TUUA'!$S$7,'2.2 OPEX LAP 2023'!N143*'2.1 OPEX TUUA'!$S$8)</f>
        <v>3.5837045297865862</v>
      </c>
      <c r="AA142" s="6"/>
      <c r="AB142" s="6"/>
      <c r="AC142" s="6"/>
      <c r="AD142" s="6"/>
      <c r="AE142" s="6"/>
      <c r="AF142" s="6"/>
    </row>
    <row r="143" spans="2:32" x14ac:dyDescent="0.25">
      <c r="B143" s="16">
        <v>6530000002</v>
      </c>
      <c r="C143" s="190" t="s">
        <v>13</v>
      </c>
      <c r="D143" s="190" t="s">
        <v>38</v>
      </c>
      <c r="E143" s="190" t="s">
        <v>148</v>
      </c>
      <c r="F143" s="162" t="s">
        <v>190</v>
      </c>
      <c r="G143" s="3">
        <f>+IF(F143="Pasajero",'2.2 OPEX LAP 2023'!I144*'2.1 OPEX TUUA'!$G$7,'2.2 OPEX LAP 2023'!I144*'2.1 OPEX TUUA'!$G$8)</f>
        <v>51.191256170030584</v>
      </c>
      <c r="H143" s="3">
        <f>+IF(F143="Pasajero",'2.2 OPEX LAP 2023'!J144*'2.1 OPEX TUUA'!$H$7,'2.2 OPEX LAP 2023'!J144*'2.1 OPEX TUUA'!$H$8)</f>
        <v>60.189188785378924</v>
      </c>
      <c r="I143" s="3">
        <f>+IF(F143="Pasajero",'2.2 OPEX LAP 2023'!K144*'2.1 OPEX TUUA'!$I$7,'2.2 OPEX LAP 2023'!K144*'2.1 OPEX TUUA'!$I$8)</f>
        <v>67.756010227850652</v>
      </c>
      <c r="J143" s="3">
        <f>+IF(F143="Pasajero",'2.2 OPEX LAP 2023'!L144*'2.1 OPEX TUUA'!$J$7,'2.2 OPEX LAP 2023'!L144*'2.1 OPEX TUUA'!$J$8)</f>
        <v>71.895190917433965</v>
      </c>
      <c r="K143" s="3">
        <f>+IF(F143="Pasajero",'2.2 OPEX LAP 2023'!M144*'2.1 OPEX TUUA'!$K$7,'2.2 OPEX LAP 2023'!M144*'2.1 OPEX TUUA'!$K$8)</f>
        <v>74.911368738188727</v>
      </c>
      <c r="L143" s="3">
        <f>+IF(F143="Pasajero",'2.2 OPEX LAP 2023'!N144*'2.1 OPEX TUUA'!$L$7,'2.2 OPEX LAP 2023'!N144*'2.1 OPEX TUUA'!$L$8)</f>
        <v>78.274146605051001</v>
      </c>
      <c r="M143" s="3"/>
      <c r="N143" s="3">
        <f>+IF(F143="Pasajero",'2.2 OPEX LAP 2023'!I144*'2.1 OPEX TUUA'!$N$7,'2.2 OPEX LAP 2023'!I144*'2.1 OPEX TUUA'!$N$8)</f>
        <v>25.248409257580533</v>
      </c>
      <c r="O143" s="3">
        <f>+IF(F143="Pasajero",'2.2 OPEX LAP 2023'!J144*'2.1 OPEX TUUA'!$O$7,'2.2 OPEX LAP 2023'!J144*'2.1 OPEX TUUA'!$O$8)</f>
        <v>24.928148587138686</v>
      </c>
      <c r="P143" s="3">
        <f>+IF(F143="Pasajero",'2.2 OPEX LAP 2023'!K144*'2.1 OPEX TUUA'!$P$7,'2.2 OPEX LAP 2023'!K144*'2.1 OPEX TUUA'!$P$8)</f>
        <v>24.807418337250319</v>
      </c>
      <c r="Q143" s="3">
        <f>+IF(F143="Pasajero",'2.2 OPEX LAP 2023'!L144*'2.1 OPEX TUUA'!$Q$7,'2.2 OPEX LAP 2023'!L144*'2.1 OPEX TUUA'!$Q$8)</f>
        <v>24.682402740810829</v>
      </c>
      <c r="R143" s="3">
        <f>+IF(F143="Pasajero",'2.2 OPEX LAP 2023'!M144*'2.1 OPEX TUUA'!$R$7,'2.2 OPEX LAP 2023'!M144*'2.1 OPEX TUUA'!$R$8)</f>
        <v>24.836532331304973</v>
      </c>
      <c r="S143" s="3">
        <f>+IF(F143="Pasajero",'2.2 OPEX LAP 2023'!N144*'2.1 OPEX TUUA'!$S$7,'2.2 OPEX LAP 2023'!N144*'2.1 OPEX TUUA'!$S$8)</f>
        <v>24.878313506632296</v>
      </c>
      <c r="AA143" s="6"/>
      <c r="AB143" s="6"/>
      <c r="AC143" s="6"/>
      <c r="AD143" s="6"/>
      <c r="AE143" s="6"/>
      <c r="AF143" s="6"/>
    </row>
    <row r="144" spans="2:32" x14ac:dyDescent="0.25">
      <c r="B144" s="16">
        <v>6540000001</v>
      </c>
      <c r="C144" s="190" t="s">
        <v>13</v>
      </c>
      <c r="D144" s="190" t="s">
        <v>38</v>
      </c>
      <c r="E144" s="190" t="s">
        <v>149</v>
      </c>
      <c r="F144" s="162" t="s">
        <v>190</v>
      </c>
      <c r="G144" s="3">
        <f>+IF(F144="Pasajero",'2.2 OPEX LAP 2023'!I145*'2.1 OPEX TUUA'!$G$7,'2.2 OPEX LAP 2023'!I145*'2.1 OPEX TUUA'!$G$8)</f>
        <v>1.3357963661015566</v>
      </c>
      <c r="H144" s="3">
        <f>+IF(F144="Pasajero",'2.2 OPEX LAP 2023'!J145*'2.1 OPEX TUUA'!$H$7,'2.2 OPEX LAP 2023'!J145*'2.1 OPEX TUUA'!$H$8)</f>
        <v>1.5705904811372731</v>
      </c>
      <c r="I144" s="3">
        <f>+IF(F144="Pasajero",'2.2 OPEX LAP 2023'!K145*'2.1 OPEX TUUA'!$I$7,'2.2 OPEX LAP 2023'!K145*'2.1 OPEX TUUA'!$I$8)</f>
        <v>1.768040853369212</v>
      </c>
      <c r="J144" s="3">
        <f>+IF(F144="Pasajero",'2.2 OPEX LAP 2023'!L145*'2.1 OPEX TUUA'!$J$7,'2.2 OPEX LAP 2023'!L145*'2.1 OPEX TUUA'!$J$8)</f>
        <v>1.8760495825439434</v>
      </c>
      <c r="K144" s="3">
        <f>+IF(F144="Pasajero",'2.2 OPEX LAP 2023'!M145*'2.1 OPEX TUUA'!$K$7,'2.2 OPEX LAP 2023'!M145*'2.1 OPEX TUUA'!$K$8)</f>
        <v>1.9547544175864375</v>
      </c>
      <c r="L144" s="3">
        <f>+IF(F144="Pasajero",'2.2 OPEX LAP 2023'!N145*'2.1 OPEX TUUA'!$L$7,'2.2 OPEX LAP 2023'!N145*'2.1 OPEX TUUA'!$L$8)</f>
        <v>2.0425035136359924</v>
      </c>
      <c r="M144" s="3"/>
      <c r="N144" s="3">
        <f>+IF(F144="Pasajero",'2.2 OPEX LAP 2023'!I145*'2.1 OPEX TUUA'!$N$7,'2.2 OPEX LAP 2023'!I145*'2.1 OPEX TUUA'!$N$8)</f>
        <v>0.65883777542200583</v>
      </c>
      <c r="O144" s="3">
        <f>+IF(F144="Pasajero",'2.2 OPEX LAP 2023'!J145*'2.1 OPEX TUUA'!$O$7,'2.2 OPEX LAP 2023'!J145*'2.1 OPEX TUUA'!$O$8)</f>
        <v>0.65048082011775366</v>
      </c>
      <c r="P144" s="3">
        <f>+IF(F144="Pasajero",'2.2 OPEX LAP 2023'!K145*'2.1 OPEX TUUA'!$P$7,'2.2 OPEX LAP 2023'!K145*'2.1 OPEX TUUA'!$P$8)</f>
        <v>0.64733045731861161</v>
      </c>
      <c r="Q144" s="3">
        <f>+IF(F144="Pasajero",'2.2 OPEX LAP 2023'!L145*'2.1 OPEX TUUA'!$Q$7,'2.2 OPEX LAP 2023'!L145*'2.1 OPEX TUUA'!$Q$8)</f>
        <v>0.64406827170481828</v>
      </c>
      <c r="R144" s="3">
        <f>+IF(F144="Pasajero",'2.2 OPEX LAP 2023'!M145*'2.1 OPEX TUUA'!$R$7,'2.2 OPEX LAP 2023'!M145*'2.1 OPEX TUUA'!$R$8)</f>
        <v>0.64809016454931012</v>
      </c>
      <c r="S144" s="3">
        <f>+IF(F144="Pasajero",'2.2 OPEX LAP 2023'!N145*'2.1 OPEX TUUA'!$S$7,'2.2 OPEX LAP 2023'!N145*'2.1 OPEX TUUA'!$S$8)</f>
        <v>0.64918041211011068</v>
      </c>
      <c r="AA144" s="6"/>
      <c r="AB144" s="6"/>
      <c r="AC144" s="6"/>
      <c r="AD144" s="6"/>
      <c r="AE144" s="6"/>
      <c r="AF144" s="6"/>
    </row>
    <row r="145" spans="2:32" x14ac:dyDescent="0.25">
      <c r="B145" s="16">
        <v>6561000001</v>
      </c>
      <c r="C145" s="190" t="s">
        <v>13</v>
      </c>
      <c r="D145" s="190" t="s">
        <v>38</v>
      </c>
      <c r="E145" s="190" t="s">
        <v>150</v>
      </c>
      <c r="F145" s="162" t="s">
        <v>190</v>
      </c>
      <c r="G145" s="3">
        <f>+IF(F145="Pasajero",'2.2 OPEX LAP 2023'!I146*'2.1 OPEX TUUA'!$G$7,'2.2 OPEX LAP 2023'!I146*'2.1 OPEX TUUA'!$G$8)</f>
        <v>1117.8544812277344</v>
      </c>
      <c r="H145" s="3">
        <f>+IF(F145="Pasajero",'2.2 OPEX LAP 2023'!J146*'2.1 OPEX TUUA'!$H$7,'2.2 OPEX LAP 2023'!J146*'2.1 OPEX TUUA'!$H$8)</f>
        <v>1314.3407573691845</v>
      </c>
      <c r="I145" s="3">
        <f>+IF(F145="Pasajero",'2.2 OPEX LAP 2023'!K146*'2.1 OPEX TUUA'!$I$7,'2.2 OPEX LAP 2023'!K146*'2.1 OPEX TUUA'!$I$8)</f>
        <v>1479.5761098680971</v>
      </c>
      <c r="J145" s="3">
        <f>+IF(F145="Pasajero",'2.2 OPEX LAP 2023'!L146*'2.1 OPEX TUUA'!$J$7,'2.2 OPEX LAP 2023'!L146*'2.1 OPEX TUUA'!$J$8)</f>
        <v>1569.9626725086684</v>
      </c>
      <c r="K145" s="3">
        <f>+IF(F145="Pasajero",'2.2 OPEX LAP 2023'!M146*'2.1 OPEX TUUA'!$K$7,'2.2 OPEX LAP 2023'!M146*'2.1 OPEX TUUA'!$K$8)</f>
        <v>1635.8264184951227</v>
      </c>
      <c r="L145" s="3">
        <f>+IF(F145="Pasajero",'2.2 OPEX LAP 2023'!N146*'2.1 OPEX TUUA'!$L$7,'2.2 OPEX LAP 2023'!N146*'2.1 OPEX TUUA'!$L$8)</f>
        <v>1709.2588088892885</v>
      </c>
      <c r="M145" s="3"/>
      <c r="N145" s="3">
        <f>+IF(F145="Pasajero",'2.2 OPEX LAP 2023'!I146*'2.1 OPEX TUUA'!$N$7,'2.2 OPEX LAP 2023'!I146*'2.1 OPEX TUUA'!$N$8)</f>
        <v>551.34508398685682</v>
      </c>
      <c r="O145" s="3">
        <f>+IF(F145="Pasajero",'2.2 OPEX LAP 2023'!J146*'2.1 OPEX TUUA'!$O$7,'2.2 OPEX LAP 2023'!J146*'2.1 OPEX TUUA'!$O$8)</f>
        <v>544.35160790521286</v>
      </c>
      <c r="P145" s="3">
        <f>+IF(F145="Pasajero",'2.2 OPEX LAP 2023'!K146*'2.1 OPEX TUUA'!$P$7,'2.2 OPEX LAP 2023'!K146*'2.1 OPEX TUUA'!$P$8)</f>
        <v>541.71524261639888</v>
      </c>
      <c r="Q145" s="3">
        <f>+IF(F145="Pasajero",'2.2 OPEX LAP 2023'!L146*'2.1 OPEX TUUA'!$Q$7,'2.2 OPEX LAP 2023'!L146*'2.1 OPEX TUUA'!$Q$8)</f>
        <v>538.98529896666571</v>
      </c>
      <c r="R145" s="3">
        <f>+IF(F145="Pasajero",'2.2 OPEX LAP 2023'!M146*'2.1 OPEX TUUA'!$R$7,'2.2 OPEX LAP 2023'!M146*'2.1 OPEX TUUA'!$R$8)</f>
        <v>542.35099979751453</v>
      </c>
      <c r="S145" s="3">
        <f>+IF(F145="Pasajero",'2.2 OPEX LAP 2023'!N146*'2.1 OPEX TUUA'!$S$7,'2.2 OPEX LAP 2023'!N146*'2.1 OPEX TUUA'!$S$8)</f>
        <v>543.26336799405738</v>
      </c>
      <c r="AA145" s="6"/>
      <c r="AB145" s="6"/>
      <c r="AC145" s="6"/>
      <c r="AD145" s="6"/>
      <c r="AE145" s="6"/>
      <c r="AF145" s="6"/>
    </row>
    <row r="146" spans="2:32" x14ac:dyDescent="0.25">
      <c r="B146" s="16">
        <v>6561000002</v>
      </c>
      <c r="C146" s="190" t="s">
        <v>13</v>
      </c>
      <c r="D146" s="190" t="s">
        <v>38</v>
      </c>
      <c r="E146" s="190" t="s">
        <v>151</v>
      </c>
      <c r="F146" s="162" t="s">
        <v>190</v>
      </c>
      <c r="G146" s="3">
        <f>+IF(F146="Pasajero",'2.2 OPEX LAP 2023'!I147*'2.1 OPEX TUUA'!$G$7,'2.2 OPEX LAP 2023'!I147*'2.1 OPEX TUUA'!$G$8)</f>
        <v>15136.439739750602</v>
      </c>
      <c r="H146" s="3">
        <f>+IF(F146="Pasajero",'2.2 OPEX LAP 2023'!J147*'2.1 OPEX TUUA'!$H$7,'2.2 OPEX LAP 2023'!J147*'2.1 OPEX TUUA'!$H$8)</f>
        <v>17796.985211855888</v>
      </c>
      <c r="I146" s="3">
        <f>+IF(F146="Pasajero",'2.2 OPEX LAP 2023'!K147*'2.1 OPEX TUUA'!$I$7,'2.2 OPEX LAP 2023'!K147*'2.1 OPEX TUUA'!$I$8)</f>
        <v>20034.373886300633</v>
      </c>
      <c r="J146" s="3">
        <f>+IF(F146="Pasajero",'2.2 OPEX LAP 2023'!L147*'2.1 OPEX TUUA'!$J$7,'2.2 OPEX LAP 2023'!L147*'2.1 OPEX TUUA'!$J$8)</f>
        <v>21258.263741078146</v>
      </c>
      <c r="K146" s="3">
        <f>+IF(F146="Pasajero",'2.2 OPEX LAP 2023'!M147*'2.1 OPEX TUUA'!$K$7,'2.2 OPEX LAP 2023'!M147*'2.1 OPEX TUUA'!$K$8)</f>
        <v>22150.099520153137</v>
      </c>
      <c r="L146" s="3">
        <f>+IF(F146="Pasajero",'2.2 OPEX LAP 2023'!N147*'2.1 OPEX TUUA'!$L$7,'2.2 OPEX LAP 2023'!N147*'2.1 OPEX TUUA'!$L$8)</f>
        <v>23144.419416716395</v>
      </c>
      <c r="M146" s="3"/>
      <c r="N146" s="3">
        <f>+IF(F146="Pasajero",'2.2 OPEX LAP 2023'!I147*'2.1 OPEX TUUA'!$N$7,'2.2 OPEX LAP 2023'!I147*'2.1 OPEX TUUA'!$N$8)</f>
        <v>7465.5527885964875</v>
      </c>
      <c r="O146" s="3">
        <f>+IF(F146="Pasajero",'2.2 OPEX LAP 2023'!J147*'2.1 OPEX TUUA'!$O$7,'2.2 OPEX LAP 2023'!J147*'2.1 OPEX TUUA'!$O$8)</f>
        <v>7370.8568053009431</v>
      </c>
      <c r="P146" s="3">
        <f>+IF(F146="Pasajero",'2.2 OPEX LAP 2023'!K147*'2.1 OPEX TUUA'!$P$7,'2.2 OPEX LAP 2023'!K147*'2.1 OPEX TUUA'!$P$8)</f>
        <v>7335.1587918329678</v>
      </c>
      <c r="Q146" s="3">
        <f>+IF(F146="Pasajero",'2.2 OPEX LAP 2023'!L147*'2.1 OPEX TUUA'!$Q$7,'2.2 OPEX LAP 2023'!L147*'2.1 OPEX TUUA'!$Q$8)</f>
        <v>7298.1936695911918</v>
      </c>
      <c r="R146" s="3">
        <f>+IF(F146="Pasajero",'2.2 OPEX LAP 2023'!M147*'2.1 OPEX TUUA'!$R$7,'2.2 OPEX LAP 2023'!M147*'2.1 OPEX TUUA'!$R$8)</f>
        <v>7343.7673365252103</v>
      </c>
      <c r="S146" s="3">
        <f>+IF(F146="Pasajero",'2.2 OPEX LAP 2023'!N147*'2.1 OPEX TUUA'!$S$7,'2.2 OPEX LAP 2023'!N147*'2.1 OPEX TUUA'!$S$8)</f>
        <v>7356.1213651213729</v>
      </c>
      <c r="AA146" s="6"/>
      <c r="AB146" s="6"/>
      <c r="AC146" s="6"/>
      <c r="AD146" s="6"/>
      <c r="AE146" s="6"/>
      <c r="AF146" s="6"/>
    </row>
    <row r="147" spans="2:32" x14ac:dyDescent="0.25">
      <c r="B147" s="16">
        <v>6561000003</v>
      </c>
      <c r="C147" s="190" t="s">
        <v>13</v>
      </c>
      <c r="D147" s="190" t="s">
        <v>38</v>
      </c>
      <c r="E147" s="190" t="s">
        <v>152</v>
      </c>
      <c r="F147" s="162" t="s">
        <v>190</v>
      </c>
      <c r="G147" s="3">
        <f>+IF(F147="Pasajero",'2.2 OPEX LAP 2023'!I148*'2.1 OPEX TUUA'!$G$7,'2.2 OPEX LAP 2023'!I148*'2.1 OPEX TUUA'!$G$8)</f>
        <v>1655.7384737925188</v>
      </c>
      <c r="H147" s="3">
        <f>+IF(F147="Pasajero",'2.2 OPEX LAP 2023'!J148*'2.1 OPEX TUUA'!$H$7,'2.2 OPEX LAP 2023'!J148*'2.1 OPEX TUUA'!$H$8)</f>
        <v>1946.7690975838295</v>
      </c>
      <c r="I147" s="3">
        <f>+IF(F147="Pasajero",'2.2 OPEX LAP 2023'!K148*'2.1 OPEX TUUA'!$I$7,'2.2 OPEX LAP 2023'!K148*'2.1 OPEX TUUA'!$I$8)</f>
        <v>2191.5116244131168</v>
      </c>
      <c r="J147" s="3">
        <f>+IF(F147="Pasajero",'2.2 OPEX LAP 2023'!L148*'2.1 OPEX TUUA'!$J$7,'2.2 OPEX LAP 2023'!L148*'2.1 OPEX TUUA'!$J$8)</f>
        <v>2325.3899706478473</v>
      </c>
      <c r="K147" s="3">
        <f>+IF(F147="Pasajero",'2.2 OPEX LAP 2023'!M148*'2.1 OPEX TUUA'!$K$7,'2.2 OPEX LAP 2023'!M148*'2.1 OPEX TUUA'!$K$8)</f>
        <v>2422.9457259712926</v>
      </c>
      <c r="L147" s="3">
        <f>+IF(F147="Pasajero",'2.2 OPEX LAP 2023'!N148*'2.1 OPEX TUUA'!$L$7,'2.2 OPEX LAP 2023'!N148*'2.1 OPEX TUUA'!$L$8)</f>
        <v>2531.7119706301114</v>
      </c>
      <c r="M147" s="3"/>
      <c r="N147" s="3">
        <f>+IF(F147="Pasajero",'2.2 OPEX LAP 2023'!I148*'2.1 OPEX TUUA'!$N$7,'2.2 OPEX LAP 2023'!I148*'2.1 OPEX TUUA'!$N$8)</f>
        <v>816.63873359508386</v>
      </c>
      <c r="O147" s="3">
        <f>+IF(F147="Pasajero",'2.2 OPEX LAP 2023'!J148*'2.1 OPEX TUUA'!$O$7,'2.2 OPEX LAP 2023'!J148*'2.1 OPEX TUUA'!$O$8)</f>
        <v>806.28016939162126</v>
      </c>
      <c r="P147" s="3">
        <f>+IF(F147="Pasajero",'2.2 OPEX LAP 2023'!K148*'2.1 OPEX TUUA'!$P$7,'2.2 OPEX LAP 2023'!K148*'2.1 OPEX TUUA'!$P$8)</f>
        <v>802.37525017989492</v>
      </c>
      <c r="Q147" s="3">
        <f>+IF(F147="Pasajero",'2.2 OPEX LAP 2023'!L148*'2.1 OPEX TUUA'!$Q$7,'2.2 OPEX LAP 2023'!L148*'2.1 OPEX TUUA'!$Q$8)</f>
        <v>798.33172500908336</v>
      </c>
      <c r="R147" s="3">
        <f>+IF(F147="Pasajero",'2.2 OPEX LAP 2023'!M148*'2.1 OPEX TUUA'!$R$7,'2.2 OPEX LAP 2023'!M148*'2.1 OPEX TUUA'!$R$8)</f>
        <v>803.31691802883267</v>
      </c>
      <c r="S147" s="3">
        <f>+IF(F147="Pasajero",'2.2 OPEX LAP 2023'!N148*'2.1 OPEX TUUA'!$S$7,'2.2 OPEX LAP 2023'!N148*'2.1 OPEX TUUA'!$S$8)</f>
        <v>804.66829528826042</v>
      </c>
      <c r="AA147" s="6"/>
      <c r="AB147" s="6"/>
      <c r="AC147" s="6"/>
      <c r="AD147" s="6"/>
      <c r="AE147" s="6"/>
      <c r="AF147" s="6"/>
    </row>
    <row r="148" spans="2:32" x14ac:dyDescent="0.25">
      <c r="B148" s="16">
        <v>6561000004</v>
      </c>
      <c r="C148" s="190" t="s">
        <v>13</v>
      </c>
      <c r="D148" s="190" t="s">
        <v>38</v>
      </c>
      <c r="E148" s="190" t="s">
        <v>153</v>
      </c>
      <c r="F148" s="162" t="s">
        <v>190</v>
      </c>
      <c r="G148" s="3">
        <f>+IF(F148="Pasajero",'2.2 OPEX LAP 2023'!I149*'2.1 OPEX TUUA'!$G$7,'2.2 OPEX LAP 2023'!I149*'2.1 OPEX TUUA'!$G$8)</f>
        <v>364.37705151282717</v>
      </c>
      <c r="H148" s="3">
        <f>+IF(F148="Pasajero",'2.2 OPEX LAP 2023'!J149*'2.1 OPEX TUUA'!$H$7,'2.2 OPEX LAP 2023'!J149*'2.1 OPEX TUUA'!$H$8)</f>
        <v>428.42392985474174</v>
      </c>
      <c r="I148" s="3">
        <f>+IF(F148="Pasajero",'2.2 OPEX LAP 2023'!K149*'2.1 OPEX TUUA'!$I$7,'2.2 OPEX LAP 2023'!K149*'2.1 OPEX TUUA'!$I$8)</f>
        <v>482.28422344421705</v>
      </c>
      <c r="J148" s="3">
        <f>+IF(F148="Pasajero",'2.2 OPEX LAP 2023'!L149*'2.1 OPEX TUUA'!$J$7,'2.2 OPEX LAP 2023'!L149*'2.1 OPEX TUUA'!$J$8)</f>
        <v>511.74672482022692</v>
      </c>
      <c r="K148" s="3">
        <f>+IF(F148="Pasajero",'2.2 OPEX LAP 2023'!M149*'2.1 OPEX TUUA'!$K$7,'2.2 OPEX LAP 2023'!M149*'2.1 OPEX TUUA'!$K$8)</f>
        <v>533.21574244922613</v>
      </c>
      <c r="L148" s="3">
        <f>+IF(F148="Pasajero",'2.2 OPEX LAP 2023'!N149*'2.1 OPEX TUUA'!$L$7,'2.2 OPEX LAP 2023'!N149*'2.1 OPEX TUUA'!$L$8)</f>
        <v>557.15184356676855</v>
      </c>
      <c r="M148" s="3"/>
      <c r="N148" s="3">
        <f>+IF(F148="Pasajero",'2.2 OPEX LAP 2023'!I149*'2.1 OPEX TUUA'!$N$7,'2.2 OPEX LAP 2023'!I149*'2.1 OPEX TUUA'!$N$8)</f>
        <v>179.71703781030442</v>
      </c>
      <c r="O148" s="3">
        <f>+IF(F148="Pasajero",'2.2 OPEX LAP 2023'!J149*'2.1 OPEX TUUA'!$O$7,'2.2 OPEX LAP 2023'!J149*'2.1 OPEX TUUA'!$O$8)</f>
        <v>177.43743680923657</v>
      </c>
      <c r="P148" s="3">
        <f>+IF(F148="Pasajero",'2.2 OPEX LAP 2023'!K149*'2.1 OPEX TUUA'!$P$7,'2.2 OPEX LAP 2023'!K149*'2.1 OPEX TUUA'!$P$8)</f>
        <v>176.57808433824789</v>
      </c>
      <c r="Q148" s="3">
        <f>+IF(F148="Pasajero",'2.2 OPEX LAP 2023'!L149*'2.1 OPEX TUUA'!$Q$7,'2.2 OPEX LAP 2023'!L149*'2.1 OPEX TUUA'!$Q$8)</f>
        <v>175.68822896387624</v>
      </c>
      <c r="R148" s="3">
        <f>+IF(F148="Pasajero",'2.2 OPEX LAP 2023'!M149*'2.1 OPEX TUUA'!$R$7,'2.2 OPEX LAP 2023'!M149*'2.1 OPEX TUUA'!$R$8)</f>
        <v>176.78531643421681</v>
      </c>
      <c r="S148" s="3">
        <f>+IF(F148="Pasajero",'2.2 OPEX LAP 2023'!N149*'2.1 OPEX TUUA'!$S$7,'2.2 OPEX LAP 2023'!N149*'2.1 OPEX TUUA'!$S$8)</f>
        <v>177.08271295490275</v>
      </c>
      <c r="AA148" s="6"/>
      <c r="AB148" s="6"/>
      <c r="AC148" s="6"/>
      <c r="AD148" s="6"/>
      <c r="AE148" s="6"/>
      <c r="AF148" s="6"/>
    </row>
    <row r="149" spans="2:32" x14ac:dyDescent="0.25">
      <c r="B149" s="16">
        <v>6561000005</v>
      </c>
      <c r="C149" s="190" t="s">
        <v>13</v>
      </c>
      <c r="D149" s="190" t="s">
        <v>38</v>
      </c>
      <c r="E149" s="190" t="s">
        <v>154</v>
      </c>
      <c r="F149" s="162" t="s">
        <v>190</v>
      </c>
      <c r="G149" s="3">
        <f>+IF(F149="Pasajero",'2.2 OPEX LAP 2023'!I150*'2.1 OPEX TUUA'!$G$7,'2.2 OPEX LAP 2023'!I150*'2.1 OPEX TUUA'!$G$8)</f>
        <v>2.5325004953121448</v>
      </c>
      <c r="H149" s="3">
        <f>+IF(F149="Pasajero",'2.2 OPEX LAP 2023'!J150*'2.1 OPEX TUUA'!$H$7,'2.2 OPEX LAP 2023'!J150*'2.1 OPEX TUUA'!$H$8)</f>
        <v>2.9776403592269429</v>
      </c>
      <c r="I149" s="3">
        <f>+IF(F149="Pasajero",'2.2 OPEX LAP 2023'!K150*'2.1 OPEX TUUA'!$I$7,'2.2 OPEX LAP 2023'!K150*'2.1 OPEX TUUA'!$I$8)</f>
        <v>3.3519812229742363</v>
      </c>
      <c r="J149" s="3">
        <f>+IF(F149="Pasajero",'2.2 OPEX LAP 2023'!L150*'2.1 OPEX TUUA'!$J$7,'2.2 OPEX LAP 2023'!L150*'2.1 OPEX TUUA'!$J$8)</f>
        <v>3.5567520750849742</v>
      </c>
      <c r="K149" s="3">
        <f>+IF(F149="Pasajero",'2.2 OPEX LAP 2023'!M150*'2.1 OPEX TUUA'!$K$7,'2.2 OPEX LAP 2023'!M150*'2.1 OPEX TUUA'!$K$8)</f>
        <v>3.7059664604409406</v>
      </c>
      <c r="L149" s="3">
        <f>+IF(F149="Pasajero",'2.2 OPEX LAP 2023'!N150*'2.1 OPEX TUUA'!$L$7,'2.2 OPEX LAP 2023'!N150*'2.1 OPEX TUUA'!$L$8)</f>
        <v>3.8723276176113557</v>
      </c>
      <c r="M149" s="3"/>
      <c r="N149" s="3">
        <f>+IF(F149="Pasajero",'2.2 OPEX LAP 2023'!I150*'2.1 OPEX TUUA'!$N$7,'2.2 OPEX LAP 2023'!I150*'2.1 OPEX TUUA'!$N$8)</f>
        <v>1.2490728638946826</v>
      </c>
      <c r="O149" s="3">
        <f>+IF(F149="Pasajero",'2.2 OPEX LAP 2023'!J150*'2.1 OPEX TUUA'!$O$7,'2.2 OPEX LAP 2023'!J150*'2.1 OPEX TUUA'!$O$8)</f>
        <v>1.2332291365239563</v>
      </c>
      <c r="P149" s="3">
        <f>+IF(F149="Pasajero",'2.2 OPEX LAP 2023'!K150*'2.1 OPEX TUUA'!$P$7,'2.2 OPEX LAP 2023'!K150*'2.1 OPEX TUUA'!$P$8)</f>
        <v>1.227256448207305</v>
      </c>
      <c r="Q149" s="3">
        <f>+IF(F149="Pasajero",'2.2 OPEX LAP 2023'!L150*'2.1 OPEX TUUA'!$Q$7,'2.2 OPEX LAP 2023'!L150*'2.1 OPEX TUUA'!$Q$8)</f>
        <v>1.2210717580162076</v>
      </c>
      <c r="R149" s="3">
        <f>+IF(F149="Pasajero",'2.2 OPEX LAP 2023'!M150*'2.1 OPEX TUUA'!$R$7,'2.2 OPEX LAP 2023'!M150*'2.1 OPEX TUUA'!$R$8)</f>
        <v>1.2286967567654508</v>
      </c>
      <c r="S149" s="3">
        <f>+IF(F149="Pasajero",'2.2 OPEX LAP 2023'!N150*'2.1 OPEX TUUA'!$S$7,'2.2 OPEX LAP 2023'!N150*'2.1 OPEX TUUA'!$S$8)</f>
        <v>1.2307637278680885</v>
      </c>
      <c r="AA149" s="6"/>
      <c r="AB149" s="6"/>
      <c r="AC149" s="6"/>
      <c r="AD149" s="6"/>
      <c r="AE149" s="6"/>
      <c r="AF149" s="6"/>
    </row>
    <row r="150" spans="2:32" x14ac:dyDescent="0.25">
      <c r="B150" s="16">
        <v>6562000001</v>
      </c>
      <c r="C150" s="190" t="s">
        <v>13</v>
      </c>
      <c r="D150" s="190" t="s">
        <v>38</v>
      </c>
      <c r="E150" s="190" t="s">
        <v>155</v>
      </c>
      <c r="F150" s="162" t="s">
        <v>190</v>
      </c>
      <c r="G150" s="3">
        <f>+IF(F150="Pasajero",'2.2 OPEX LAP 2023'!I151*'2.1 OPEX TUUA'!$G$7,'2.2 OPEX LAP 2023'!I151*'2.1 OPEX TUUA'!$G$8)</f>
        <v>0</v>
      </c>
      <c r="H150" s="3">
        <f>+IF(F150="Pasajero",'2.2 OPEX LAP 2023'!J151*'2.1 OPEX TUUA'!$H$7,'2.2 OPEX LAP 2023'!J151*'2.1 OPEX TUUA'!$H$8)</f>
        <v>0</v>
      </c>
      <c r="I150" s="3">
        <f>+IF(F150="Pasajero",'2.2 OPEX LAP 2023'!K151*'2.1 OPEX TUUA'!$I$7,'2.2 OPEX LAP 2023'!K151*'2.1 OPEX TUUA'!$I$8)</f>
        <v>0</v>
      </c>
      <c r="J150" s="3">
        <f>+IF(F150="Pasajero",'2.2 OPEX LAP 2023'!L151*'2.1 OPEX TUUA'!$J$7,'2.2 OPEX LAP 2023'!L151*'2.1 OPEX TUUA'!$J$8)</f>
        <v>0</v>
      </c>
      <c r="K150" s="3">
        <f>+IF(F150="Pasajero",'2.2 OPEX LAP 2023'!M151*'2.1 OPEX TUUA'!$K$7,'2.2 OPEX LAP 2023'!M151*'2.1 OPEX TUUA'!$K$8)</f>
        <v>0</v>
      </c>
      <c r="L150" s="3">
        <f>+IF(F150="Pasajero",'2.2 OPEX LAP 2023'!N151*'2.1 OPEX TUUA'!$L$7,'2.2 OPEX LAP 2023'!N151*'2.1 OPEX TUUA'!$L$8)</f>
        <v>0</v>
      </c>
      <c r="M150" s="3"/>
      <c r="N150" s="3">
        <f>+IF(F150="Pasajero",'2.2 OPEX LAP 2023'!I151*'2.1 OPEX TUUA'!$N$7,'2.2 OPEX LAP 2023'!I151*'2.1 OPEX TUUA'!$N$8)</f>
        <v>0</v>
      </c>
      <c r="O150" s="3">
        <f>+IF(F150="Pasajero",'2.2 OPEX LAP 2023'!J151*'2.1 OPEX TUUA'!$O$7,'2.2 OPEX LAP 2023'!J151*'2.1 OPEX TUUA'!$O$8)</f>
        <v>0</v>
      </c>
      <c r="P150" s="3">
        <f>+IF(F150="Pasajero",'2.2 OPEX LAP 2023'!K151*'2.1 OPEX TUUA'!$P$7,'2.2 OPEX LAP 2023'!K151*'2.1 OPEX TUUA'!$P$8)</f>
        <v>0</v>
      </c>
      <c r="Q150" s="3">
        <f>+IF(F150="Pasajero",'2.2 OPEX LAP 2023'!L151*'2.1 OPEX TUUA'!$Q$7,'2.2 OPEX LAP 2023'!L151*'2.1 OPEX TUUA'!$Q$8)</f>
        <v>0</v>
      </c>
      <c r="R150" s="3">
        <f>+IF(F150="Pasajero",'2.2 OPEX LAP 2023'!M151*'2.1 OPEX TUUA'!$R$7,'2.2 OPEX LAP 2023'!M151*'2.1 OPEX TUUA'!$R$8)</f>
        <v>0</v>
      </c>
      <c r="S150" s="3">
        <f>+IF(F150="Pasajero",'2.2 OPEX LAP 2023'!N151*'2.1 OPEX TUUA'!$S$7,'2.2 OPEX LAP 2023'!N151*'2.1 OPEX TUUA'!$S$8)</f>
        <v>0</v>
      </c>
      <c r="AA150" s="6"/>
      <c r="AB150" s="6"/>
      <c r="AC150" s="6"/>
      <c r="AD150" s="6"/>
      <c r="AE150" s="6"/>
      <c r="AF150" s="6"/>
    </row>
    <row r="151" spans="2:32" x14ac:dyDescent="0.25">
      <c r="B151" s="16">
        <v>6562000002</v>
      </c>
      <c r="C151" s="190" t="s">
        <v>13</v>
      </c>
      <c r="D151" s="190" t="s">
        <v>38</v>
      </c>
      <c r="E151" s="190" t="s">
        <v>156</v>
      </c>
      <c r="F151" s="162" t="s">
        <v>190</v>
      </c>
      <c r="G151" s="3">
        <f>+IF(F151="Pasajero",'2.2 OPEX LAP 2023'!I152*'2.1 OPEX TUUA'!$G$7,'2.2 OPEX LAP 2023'!I152*'2.1 OPEX TUUA'!$G$8)</f>
        <v>0</v>
      </c>
      <c r="H151" s="3">
        <f>+IF(F151="Pasajero",'2.2 OPEX LAP 2023'!J152*'2.1 OPEX TUUA'!$H$7,'2.2 OPEX LAP 2023'!J152*'2.1 OPEX TUUA'!$H$8)</f>
        <v>0</v>
      </c>
      <c r="I151" s="3">
        <f>+IF(F151="Pasajero",'2.2 OPEX LAP 2023'!K152*'2.1 OPEX TUUA'!$I$7,'2.2 OPEX LAP 2023'!K152*'2.1 OPEX TUUA'!$I$8)</f>
        <v>0</v>
      </c>
      <c r="J151" s="3">
        <f>+IF(F151="Pasajero",'2.2 OPEX LAP 2023'!L152*'2.1 OPEX TUUA'!$J$7,'2.2 OPEX LAP 2023'!L152*'2.1 OPEX TUUA'!$J$8)</f>
        <v>0</v>
      </c>
      <c r="K151" s="3">
        <f>+IF(F151="Pasajero",'2.2 OPEX LAP 2023'!M152*'2.1 OPEX TUUA'!$K$7,'2.2 OPEX LAP 2023'!M152*'2.1 OPEX TUUA'!$K$8)</f>
        <v>0</v>
      </c>
      <c r="L151" s="3">
        <f>+IF(F151="Pasajero",'2.2 OPEX LAP 2023'!N152*'2.1 OPEX TUUA'!$L$7,'2.2 OPEX LAP 2023'!N152*'2.1 OPEX TUUA'!$L$8)</f>
        <v>0</v>
      </c>
      <c r="M151" s="3"/>
      <c r="N151" s="3">
        <f>+IF(F151="Pasajero",'2.2 OPEX LAP 2023'!I152*'2.1 OPEX TUUA'!$N$7,'2.2 OPEX LAP 2023'!I152*'2.1 OPEX TUUA'!$N$8)</f>
        <v>0</v>
      </c>
      <c r="O151" s="3">
        <f>+IF(F151="Pasajero",'2.2 OPEX LAP 2023'!J152*'2.1 OPEX TUUA'!$O$7,'2.2 OPEX LAP 2023'!J152*'2.1 OPEX TUUA'!$O$8)</f>
        <v>0</v>
      </c>
      <c r="P151" s="3">
        <f>+IF(F151="Pasajero",'2.2 OPEX LAP 2023'!K152*'2.1 OPEX TUUA'!$P$7,'2.2 OPEX LAP 2023'!K152*'2.1 OPEX TUUA'!$P$8)</f>
        <v>0</v>
      </c>
      <c r="Q151" s="3">
        <f>+IF(F151="Pasajero",'2.2 OPEX LAP 2023'!L152*'2.1 OPEX TUUA'!$Q$7,'2.2 OPEX LAP 2023'!L152*'2.1 OPEX TUUA'!$Q$8)</f>
        <v>0</v>
      </c>
      <c r="R151" s="3">
        <f>+IF(F151="Pasajero",'2.2 OPEX LAP 2023'!M152*'2.1 OPEX TUUA'!$R$7,'2.2 OPEX LAP 2023'!M152*'2.1 OPEX TUUA'!$R$8)</f>
        <v>0</v>
      </c>
      <c r="S151" s="3">
        <f>+IF(F151="Pasajero",'2.2 OPEX LAP 2023'!N152*'2.1 OPEX TUUA'!$S$7,'2.2 OPEX LAP 2023'!N152*'2.1 OPEX TUUA'!$S$8)</f>
        <v>0</v>
      </c>
      <c r="AA151" s="6"/>
      <c r="AB151" s="6"/>
      <c r="AC151" s="6"/>
      <c r="AD151" s="6"/>
      <c r="AE151" s="6"/>
      <c r="AF151" s="6"/>
    </row>
    <row r="152" spans="2:32" x14ac:dyDescent="0.25">
      <c r="B152" s="16">
        <v>6562000003</v>
      </c>
      <c r="C152" s="190" t="s">
        <v>13</v>
      </c>
      <c r="D152" s="190" t="s">
        <v>38</v>
      </c>
      <c r="E152" s="190" t="s">
        <v>157</v>
      </c>
      <c r="F152" s="162" t="s">
        <v>190</v>
      </c>
      <c r="G152" s="3">
        <f>+IF(F152="Pasajero",'2.2 OPEX LAP 2023'!I153*'2.1 OPEX TUUA'!$G$7,'2.2 OPEX LAP 2023'!I153*'2.1 OPEX TUUA'!$G$8)</f>
        <v>1.044727683894527</v>
      </c>
      <c r="H152" s="3">
        <f>+IF(F152="Pasajero",'2.2 OPEX LAP 2023'!J153*'2.1 OPEX TUUA'!$H$7,'2.2 OPEX LAP 2023'!J153*'2.1 OPEX TUUA'!$H$8)</f>
        <v>1.2283603978456894</v>
      </c>
      <c r="I152" s="3">
        <f>+IF(F152="Pasajero",'2.2 OPEX LAP 2023'!K153*'2.1 OPEX TUUA'!$I$7,'2.2 OPEX LAP 2023'!K153*'2.1 OPEX TUUA'!$I$8)</f>
        <v>1.3827865329219564</v>
      </c>
      <c r="J152" s="3">
        <f>+IF(F152="Pasajero",'2.2 OPEX LAP 2023'!L153*'2.1 OPEX TUUA'!$J$7,'2.2 OPEX LAP 2023'!L153*'2.1 OPEX TUUA'!$J$8)</f>
        <v>1.4672602688405716</v>
      </c>
      <c r="K152" s="3">
        <f>+IF(F152="Pasajero",'2.2 OPEX LAP 2023'!M153*'2.1 OPEX TUUA'!$K$7,'2.2 OPEX LAP 2023'!M153*'2.1 OPEX TUUA'!$K$8)</f>
        <v>1.5288153996313631</v>
      </c>
      <c r="L152" s="3">
        <f>+IF(F152="Pasajero",'2.2 OPEX LAP 2023'!N153*'2.1 OPEX TUUA'!$L$7,'2.2 OPEX LAP 2023'!N153*'2.1 OPEX TUUA'!$L$8)</f>
        <v>1.5974440560688972</v>
      </c>
      <c r="M152" s="3"/>
      <c r="N152" s="3">
        <f>+IF(F152="Pasajero",'2.2 OPEX LAP 2023'!I153*'2.1 OPEX TUUA'!$N$7,'2.2 OPEX LAP 2023'!I153*'2.1 OPEX TUUA'!$N$8)</f>
        <v>0.51527768801141116</v>
      </c>
      <c r="O152" s="3">
        <f>+IF(F152="Pasajero",'2.2 OPEX LAP 2023'!J153*'2.1 OPEX TUUA'!$O$7,'2.2 OPEX LAP 2023'!J153*'2.1 OPEX TUUA'!$O$8)</f>
        <v>0.50874170484737424</v>
      </c>
      <c r="P152" s="3">
        <f>+IF(F152="Pasajero",'2.2 OPEX LAP 2023'!K153*'2.1 OPEX TUUA'!$P$7,'2.2 OPEX LAP 2023'!K153*'2.1 OPEX TUUA'!$P$8)</f>
        <v>0.5062778029278171</v>
      </c>
      <c r="Q152" s="3">
        <f>+IF(F152="Pasajero",'2.2 OPEX LAP 2023'!L153*'2.1 OPEX TUUA'!$Q$7,'2.2 OPEX LAP 2023'!L153*'2.1 OPEX TUUA'!$Q$8)</f>
        <v>0.503726444272247</v>
      </c>
      <c r="R152" s="3">
        <f>+IF(F152="Pasajero",'2.2 OPEX LAP 2023'!M153*'2.1 OPEX TUUA'!$R$7,'2.2 OPEX LAP 2023'!M153*'2.1 OPEX TUUA'!$R$8)</f>
        <v>0.5068719707184377</v>
      </c>
      <c r="S152" s="3">
        <f>+IF(F152="Pasajero",'2.2 OPEX LAP 2023'!N153*'2.1 OPEX TUUA'!$S$7,'2.2 OPEX LAP 2023'!N153*'2.1 OPEX TUUA'!$S$8)</f>
        <v>0.50772465443428805</v>
      </c>
      <c r="AA152" s="6"/>
      <c r="AB152" s="6"/>
      <c r="AC152" s="6"/>
      <c r="AD152" s="6"/>
      <c r="AE152" s="6"/>
      <c r="AF152" s="6"/>
    </row>
    <row r="153" spans="2:32" x14ac:dyDescent="0.25">
      <c r="B153" s="16">
        <v>6562000004</v>
      </c>
      <c r="C153" s="190" t="s">
        <v>13</v>
      </c>
      <c r="D153" s="190" t="s">
        <v>38</v>
      </c>
      <c r="E153" s="190" t="s">
        <v>158</v>
      </c>
      <c r="F153" s="162" t="s">
        <v>190</v>
      </c>
      <c r="G153" s="3">
        <f>+IF(F153="Pasajero",'2.2 OPEX LAP 2023'!I154*'2.1 OPEX TUUA'!$G$7,'2.2 OPEX LAP 2023'!I154*'2.1 OPEX TUUA'!$G$8)</f>
        <v>0</v>
      </c>
      <c r="H153" s="3">
        <f>+IF(F153="Pasajero",'2.2 OPEX LAP 2023'!J154*'2.1 OPEX TUUA'!$H$7,'2.2 OPEX LAP 2023'!J154*'2.1 OPEX TUUA'!$H$8)</f>
        <v>0</v>
      </c>
      <c r="I153" s="3">
        <f>+IF(F153="Pasajero",'2.2 OPEX LAP 2023'!K154*'2.1 OPEX TUUA'!$I$7,'2.2 OPEX LAP 2023'!K154*'2.1 OPEX TUUA'!$I$8)</f>
        <v>0</v>
      </c>
      <c r="J153" s="3">
        <f>+IF(F153="Pasajero",'2.2 OPEX LAP 2023'!L154*'2.1 OPEX TUUA'!$J$7,'2.2 OPEX LAP 2023'!L154*'2.1 OPEX TUUA'!$J$8)</f>
        <v>0</v>
      </c>
      <c r="K153" s="3">
        <f>+IF(F153="Pasajero",'2.2 OPEX LAP 2023'!M154*'2.1 OPEX TUUA'!$K$7,'2.2 OPEX LAP 2023'!M154*'2.1 OPEX TUUA'!$K$8)</f>
        <v>0</v>
      </c>
      <c r="L153" s="3">
        <f>+IF(F153="Pasajero",'2.2 OPEX LAP 2023'!N154*'2.1 OPEX TUUA'!$L$7,'2.2 OPEX LAP 2023'!N154*'2.1 OPEX TUUA'!$L$8)</f>
        <v>0</v>
      </c>
      <c r="M153" s="3"/>
      <c r="N153" s="3">
        <f>+IF(F153="Pasajero",'2.2 OPEX LAP 2023'!I154*'2.1 OPEX TUUA'!$N$7,'2.2 OPEX LAP 2023'!I154*'2.1 OPEX TUUA'!$N$8)</f>
        <v>0</v>
      </c>
      <c r="O153" s="3">
        <f>+IF(F153="Pasajero",'2.2 OPEX LAP 2023'!J154*'2.1 OPEX TUUA'!$O$7,'2.2 OPEX LAP 2023'!J154*'2.1 OPEX TUUA'!$O$8)</f>
        <v>0</v>
      </c>
      <c r="P153" s="3">
        <f>+IF(F153="Pasajero",'2.2 OPEX LAP 2023'!K154*'2.1 OPEX TUUA'!$P$7,'2.2 OPEX LAP 2023'!K154*'2.1 OPEX TUUA'!$P$8)</f>
        <v>0</v>
      </c>
      <c r="Q153" s="3">
        <f>+IF(F153="Pasajero",'2.2 OPEX LAP 2023'!L154*'2.1 OPEX TUUA'!$Q$7,'2.2 OPEX LAP 2023'!L154*'2.1 OPEX TUUA'!$Q$8)</f>
        <v>0</v>
      </c>
      <c r="R153" s="3">
        <f>+IF(F153="Pasajero",'2.2 OPEX LAP 2023'!M154*'2.1 OPEX TUUA'!$R$7,'2.2 OPEX LAP 2023'!M154*'2.1 OPEX TUUA'!$R$8)</f>
        <v>0</v>
      </c>
      <c r="S153" s="3">
        <f>+IF(F153="Pasajero",'2.2 OPEX LAP 2023'!N154*'2.1 OPEX TUUA'!$S$7,'2.2 OPEX LAP 2023'!N154*'2.1 OPEX TUUA'!$S$8)</f>
        <v>0</v>
      </c>
      <c r="AA153" s="6"/>
      <c r="AB153" s="6"/>
      <c r="AC153" s="6"/>
      <c r="AD153" s="6"/>
      <c r="AE153" s="6"/>
      <c r="AF153" s="6"/>
    </row>
    <row r="154" spans="2:32" x14ac:dyDescent="0.25">
      <c r="B154" s="16">
        <v>6562000005</v>
      </c>
      <c r="C154" s="190" t="s">
        <v>13</v>
      </c>
      <c r="D154" s="190" t="s">
        <v>38</v>
      </c>
      <c r="E154" s="190" t="s">
        <v>159</v>
      </c>
      <c r="F154" s="162" t="s">
        <v>190</v>
      </c>
      <c r="G154" s="3">
        <f>+IF(F154="Pasajero",'2.2 OPEX LAP 2023'!I155*'2.1 OPEX TUUA'!$G$7,'2.2 OPEX LAP 2023'!I155*'2.1 OPEX TUUA'!$G$8)</f>
        <v>8.772083095333333E-4</v>
      </c>
      <c r="H154" s="3">
        <f>+IF(F154="Pasajero",'2.2 OPEX LAP 2023'!J155*'2.1 OPEX TUUA'!$H$7,'2.2 OPEX LAP 2023'!J155*'2.1 OPEX TUUA'!$H$8)</f>
        <v>1.031395994097821E-3</v>
      </c>
      <c r="I154" s="3">
        <f>+IF(F154="Pasajero",'2.2 OPEX LAP 2023'!K155*'2.1 OPEX TUUA'!$I$7,'2.2 OPEX LAP 2023'!K155*'2.1 OPEX TUUA'!$I$8)</f>
        <v>1.1610602989557503E-3</v>
      </c>
      <c r="J154" s="3">
        <f>+IF(F154="Pasajero",'2.2 OPEX LAP 2023'!L155*'2.1 OPEX TUUA'!$J$7,'2.2 OPEX LAP 2023'!L155*'2.1 OPEX TUUA'!$J$8)</f>
        <v>1.2319888904226673E-3</v>
      </c>
      <c r="K154" s="3">
        <f>+IF(F154="Pasajero",'2.2 OPEX LAP 2023'!M155*'2.1 OPEX TUUA'!$K$7,'2.2 OPEX LAP 2023'!M155*'2.1 OPEX TUUA'!$K$8)</f>
        <v>1.28367381564912E-3</v>
      </c>
      <c r="L154" s="3">
        <f>+IF(F154="Pasajero",'2.2 OPEX LAP 2023'!N155*'2.1 OPEX TUUA'!$L$7,'2.2 OPEX LAP 2023'!N155*'2.1 OPEX TUUA'!$L$8)</f>
        <v>1.3412980450317412E-3</v>
      </c>
      <c r="M154" s="3"/>
      <c r="N154" s="3">
        <f>+IF(F154="Pasajero",'2.2 OPEX LAP 2023'!I155*'2.1 OPEX TUUA'!$N$7,'2.2 OPEX LAP 2023'!I155*'2.1 OPEX TUUA'!$N$8)</f>
        <v>4.3265424723479203E-4</v>
      </c>
      <c r="O154" s="3">
        <f>+IF(F154="Pasajero",'2.2 OPEX LAP 2023'!J155*'2.1 OPEX TUUA'!$O$7,'2.2 OPEX LAP 2023'!J155*'2.1 OPEX TUUA'!$O$8)</f>
        <v>4.2716629201847172E-4</v>
      </c>
      <c r="P154" s="3">
        <f>+IF(F154="Pasajero",'2.2 OPEX LAP 2023'!K155*'2.1 OPEX TUUA'!$P$7,'2.2 OPEX LAP 2023'!K155*'2.1 OPEX TUUA'!$P$8)</f>
        <v>4.2509747038099618E-4</v>
      </c>
      <c r="Q154" s="3">
        <f>+IF(F154="Pasajero",'2.2 OPEX LAP 2023'!L155*'2.1 OPEX TUUA'!$Q$7,'2.2 OPEX LAP 2023'!L155*'2.1 OPEX TUUA'!$Q$8)</f>
        <v>4.2295521546828734E-4</v>
      </c>
      <c r="R154" s="3">
        <f>+IF(F154="Pasajero",'2.2 OPEX LAP 2023'!M155*'2.1 OPEX TUUA'!$R$7,'2.2 OPEX LAP 2023'!M155*'2.1 OPEX TUUA'!$R$8)</f>
        <v>4.2559636490750708E-4</v>
      </c>
      <c r="S154" s="3">
        <f>+IF(F154="Pasajero",'2.2 OPEX LAP 2023'!N155*'2.1 OPEX TUUA'!$S$7,'2.2 OPEX LAP 2023'!N155*'2.1 OPEX TUUA'!$S$8)</f>
        <v>4.2631232300116009E-4</v>
      </c>
      <c r="AA154" s="6"/>
      <c r="AB154" s="6"/>
      <c r="AC154" s="6"/>
      <c r="AD154" s="6"/>
      <c r="AE154" s="6"/>
      <c r="AF154" s="6"/>
    </row>
    <row r="155" spans="2:32" x14ac:dyDescent="0.25">
      <c r="B155" s="16">
        <v>6563000001</v>
      </c>
      <c r="C155" s="190" t="s">
        <v>13</v>
      </c>
      <c r="D155" s="190" t="s">
        <v>38</v>
      </c>
      <c r="E155" s="190" t="s">
        <v>160</v>
      </c>
      <c r="F155" s="162" t="s">
        <v>190</v>
      </c>
      <c r="G155" s="3">
        <f>+IF(F155="Pasajero",'2.2 OPEX LAP 2023'!I156*'2.1 OPEX TUUA'!$G$7,'2.2 OPEX LAP 2023'!I156*'2.1 OPEX TUUA'!$G$8)</f>
        <v>0</v>
      </c>
      <c r="H155" s="3">
        <f>+IF(F155="Pasajero",'2.2 OPEX LAP 2023'!J156*'2.1 OPEX TUUA'!$H$7,'2.2 OPEX LAP 2023'!J156*'2.1 OPEX TUUA'!$H$8)</f>
        <v>0</v>
      </c>
      <c r="I155" s="3">
        <f>+IF(F155="Pasajero",'2.2 OPEX LAP 2023'!K156*'2.1 OPEX TUUA'!$I$7,'2.2 OPEX LAP 2023'!K156*'2.1 OPEX TUUA'!$I$8)</f>
        <v>0</v>
      </c>
      <c r="J155" s="3">
        <f>+IF(F155="Pasajero",'2.2 OPEX LAP 2023'!L156*'2.1 OPEX TUUA'!$J$7,'2.2 OPEX LAP 2023'!L156*'2.1 OPEX TUUA'!$J$8)</f>
        <v>0</v>
      </c>
      <c r="K155" s="3">
        <f>+IF(F155="Pasajero",'2.2 OPEX LAP 2023'!M156*'2.1 OPEX TUUA'!$K$7,'2.2 OPEX LAP 2023'!M156*'2.1 OPEX TUUA'!$K$8)</f>
        <v>0</v>
      </c>
      <c r="L155" s="3">
        <f>+IF(F155="Pasajero",'2.2 OPEX LAP 2023'!N156*'2.1 OPEX TUUA'!$L$7,'2.2 OPEX LAP 2023'!N156*'2.1 OPEX TUUA'!$L$8)</f>
        <v>0</v>
      </c>
      <c r="M155" s="3"/>
      <c r="N155" s="3">
        <f>+IF(F155="Pasajero",'2.2 OPEX LAP 2023'!I156*'2.1 OPEX TUUA'!$N$7,'2.2 OPEX LAP 2023'!I156*'2.1 OPEX TUUA'!$N$8)</f>
        <v>0</v>
      </c>
      <c r="O155" s="3">
        <f>+IF(F155="Pasajero",'2.2 OPEX LAP 2023'!J156*'2.1 OPEX TUUA'!$O$7,'2.2 OPEX LAP 2023'!J156*'2.1 OPEX TUUA'!$O$8)</f>
        <v>0</v>
      </c>
      <c r="P155" s="3">
        <f>+IF(F155="Pasajero",'2.2 OPEX LAP 2023'!K156*'2.1 OPEX TUUA'!$P$7,'2.2 OPEX LAP 2023'!K156*'2.1 OPEX TUUA'!$P$8)</f>
        <v>0</v>
      </c>
      <c r="Q155" s="3">
        <f>+IF(F155="Pasajero",'2.2 OPEX LAP 2023'!L156*'2.1 OPEX TUUA'!$Q$7,'2.2 OPEX LAP 2023'!L156*'2.1 OPEX TUUA'!$Q$8)</f>
        <v>0</v>
      </c>
      <c r="R155" s="3">
        <f>+IF(F155="Pasajero",'2.2 OPEX LAP 2023'!M156*'2.1 OPEX TUUA'!$R$7,'2.2 OPEX LAP 2023'!M156*'2.1 OPEX TUUA'!$R$8)</f>
        <v>0</v>
      </c>
      <c r="S155" s="3">
        <f>+IF(F155="Pasajero",'2.2 OPEX LAP 2023'!N156*'2.1 OPEX TUUA'!$S$7,'2.2 OPEX LAP 2023'!N156*'2.1 OPEX TUUA'!$S$8)</f>
        <v>0</v>
      </c>
      <c r="AA155" s="6"/>
      <c r="AB155" s="6"/>
      <c r="AC155" s="6"/>
      <c r="AD155" s="6"/>
      <c r="AE155" s="6"/>
      <c r="AF155" s="6"/>
    </row>
    <row r="156" spans="2:32" x14ac:dyDescent="0.25">
      <c r="B156" s="16">
        <v>6563000002</v>
      </c>
      <c r="C156" s="190" t="s">
        <v>13</v>
      </c>
      <c r="D156" s="190" t="s">
        <v>38</v>
      </c>
      <c r="E156" s="190" t="s">
        <v>161</v>
      </c>
      <c r="F156" s="162" t="s">
        <v>190</v>
      </c>
      <c r="G156" s="3">
        <f>+IF(F156="Pasajero",'2.2 OPEX LAP 2023'!I157*'2.1 OPEX TUUA'!$G$7,'2.2 OPEX LAP 2023'!I157*'2.1 OPEX TUUA'!$G$8)</f>
        <v>0</v>
      </c>
      <c r="H156" s="3">
        <f>+IF(F156="Pasajero",'2.2 OPEX LAP 2023'!J157*'2.1 OPEX TUUA'!$H$7,'2.2 OPEX LAP 2023'!J157*'2.1 OPEX TUUA'!$H$8)</f>
        <v>0</v>
      </c>
      <c r="I156" s="3">
        <f>+IF(F156="Pasajero",'2.2 OPEX LAP 2023'!K157*'2.1 OPEX TUUA'!$I$7,'2.2 OPEX LAP 2023'!K157*'2.1 OPEX TUUA'!$I$8)</f>
        <v>0</v>
      </c>
      <c r="J156" s="3">
        <f>+IF(F156="Pasajero",'2.2 OPEX LAP 2023'!L157*'2.1 OPEX TUUA'!$J$7,'2.2 OPEX LAP 2023'!L157*'2.1 OPEX TUUA'!$J$8)</f>
        <v>0</v>
      </c>
      <c r="K156" s="3">
        <f>+IF(F156="Pasajero",'2.2 OPEX LAP 2023'!M157*'2.1 OPEX TUUA'!$K$7,'2.2 OPEX LAP 2023'!M157*'2.1 OPEX TUUA'!$K$8)</f>
        <v>0</v>
      </c>
      <c r="L156" s="3">
        <f>+IF(F156="Pasajero",'2.2 OPEX LAP 2023'!N157*'2.1 OPEX TUUA'!$L$7,'2.2 OPEX LAP 2023'!N157*'2.1 OPEX TUUA'!$L$8)</f>
        <v>0</v>
      </c>
      <c r="M156" s="3"/>
      <c r="N156" s="3">
        <f>+IF(F156="Pasajero",'2.2 OPEX LAP 2023'!I157*'2.1 OPEX TUUA'!$N$7,'2.2 OPEX LAP 2023'!I157*'2.1 OPEX TUUA'!$N$8)</f>
        <v>0</v>
      </c>
      <c r="O156" s="3">
        <f>+IF(F156="Pasajero",'2.2 OPEX LAP 2023'!J157*'2.1 OPEX TUUA'!$O$7,'2.2 OPEX LAP 2023'!J157*'2.1 OPEX TUUA'!$O$8)</f>
        <v>0</v>
      </c>
      <c r="P156" s="3">
        <f>+IF(F156="Pasajero",'2.2 OPEX LAP 2023'!K157*'2.1 OPEX TUUA'!$P$7,'2.2 OPEX LAP 2023'!K157*'2.1 OPEX TUUA'!$P$8)</f>
        <v>0</v>
      </c>
      <c r="Q156" s="3">
        <f>+IF(F156="Pasajero",'2.2 OPEX LAP 2023'!L157*'2.1 OPEX TUUA'!$Q$7,'2.2 OPEX LAP 2023'!L157*'2.1 OPEX TUUA'!$Q$8)</f>
        <v>0</v>
      </c>
      <c r="R156" s="3">
        <f>+IF(F156="Pasajero",'2.2 OPEX LAP 2023'!M157*'2.1 OPEX TUUA'!$R$7,'2.2 OPEX LAP 2023'!M157*'2.1 OPEX TUUA'!$R$8)</f>
        <v>0</v>
      </c>
      <c r="S156" s="3">
        <f>+IF(F156="Pasajero",'2.2 OPEX LAP 2023'!N157*'2.1 OPEX TUUA'!$S$7,'2.2 OPEX LAP 2023'!N157*'2.1 OPEX TUUA'!$S$8)</f>
        <v>0</v>
      </c>
      <c r="AA156" s="6"/>
      <c r="AB156" s="6"/>
      <c r="AC156" s="6"/>
      <c r="AD156" s="6"/>
      <c r="AE156" s="6"/>
      <c r="AF156" s="6"/>
    </row>
    <row r="157" spans="2:32" x14ac:dyDescent="0.25">
      <c r="B157" s="16">
        <v>6563000003</v>
      </c>
      <c r="C157" s="190" t="s">
        <v>13</v>
      </c>
      <c r="D157" s="190" t="s">
        <v>38</v>
      </c>
      <c r="E157" s="190" t="s">
        <v>162</v>
      </c>
      <c r="F157" s="162" t="s">
        <v>190</v>
      </c>
      <c r="G157" s="3">
        <f>+IF(F157="Pasajero",'2.2 OPEX LAP 2023'!I158*'2.1 OPEX TUUA'!$G$7,'2.2 OPEX LAP 2023'!I158*'2.1 OPEX TUUA'!$G$8)</f>
        <v>0</v>
      </c>
      <c r="H157" s="3">
        <f>+IF(F157="Pasajero",'2.2 OPEX LAP 2023'!J158*'2.1 OPEX TUUA'!$H$7,'2.2 OPEX LAP 2023'!J158*'2.1 OPEX TUUA'!$H$8)</f>
        <v>0</v>
      </c>
      <c r="I157" s="3">
        <f>+IF(F157="Pasajero",'2.2 OPEX LAP 2023'!K158*'2.1 OPEX TUUA'!$I$7,'2.2 OPEX LAP 2023'!K158*'2.1 OPEX TUUA'!$I$8)</f>
        <v>0</v>
      </c>
      <c r="J157" s="3">
        <f>+IF(F157="Pasajero",'2.2 OPEX LAP 2023'!L158*'2.1 OPEX TUUA'!$J$7,'2.2 OPEX LAP 2023'!L158*'2.1 OPEX TUUA'!$J$8)</f>
        <v>0</v>
      </c>
      <c r="K157" s="3">
        <f>+IF(F157="Pasajero",'2.2 OPEX LAP 2023'!M158*'2.1 OPEX TUUA'!$K$7,'2.2 OPEX LAP 2023'!M158*'2.1 OPEX TUUA'!$K$8)</f>
        <v>0</v>
      </c>
      <c r="L157" s="3">
        <f>+IF(F157="Pasajero",'2.2 OPEX LAP 2023'!N158*'2.1 OPEX TUUA'!$L$7,'2.2 OPEX LAP 2023'!N158*'2.1 OPEX TUUA'!$L$8)</f>
        <v>0</v>
      </c>
      <c r="M157" s="3"/>
      <c r="N157" s="3">
        <f>+IF(F157="Pasajero",'2.2 OPEX LAP 2023'!I158*'2.1 OPEX TUUA'!$N$7,'2.2 OPEX LAP 2023'!I158*'2.1 OPEX TUUA'!$N$8)</f>
        <v>0</v>
      </c>
      <c r="O157" s="3">
        <f>+IF(F157="Pasajero",'2.2 OPEX LAP 2023'!J158*'2.1 OPEX TUUA'!$O$7,'2.2 OPEX LAP 2023'!J158*'2.1 OPEX TUUA'!$O$8)</f>
        <v>0</v>
      </c>
      <c r="P157" s="3">
        <f>+IF(F157="Pasajero",'2.2 OPEX LAP 2023'!K158*'2.1 OPEX TUUA'!$P$7,'2.2 OPEX LAP 2023'!K158*'2.1 OPEX TUUA'!$P$8)</f>
        <v>0</v>
      </c>
      <c r="Q157" s="3">
        <f>+IF(F157="Pasajero",'2.2 OPEX LAP 2023'!L158*'2.1 OPEX TUUA'!$Q$7,'2.2 OPEX LAP 2023'!L158*'2.1 OPEX TUUA'!$Q$8)</f>
        <v>0</v>
      </c>
      <c r="R157" s="3">
        <f>+IF(F157="Pasajero",'2.2 OPEX LAP 2023'!M158*'2.1 OPEX TUUA'!$R$7,'2.2 OPEX LAP 2023'!M158*'2.1 OPEX TUUA'!$R$8)</f>
        <v>0</v>
      </c>
      <c r="S157" s="3">
        <f>+IF(F157="Pasajero",'2.2 OPEX LAP 2023'!N158*'2.1 OPEX TUUA'!$S$7,'2.2 OPEX LAP 2023'!N158*'2.1 OPEX TUUA'!$S$8)</f>
        <v>0</v>
      </c>
      <c r="AA157" s="6"/>
      <c r="AB157" s="6"/>
      <c r="AC157" s="6"/>
      <c r="AD157" s="6"/>
      <c r="AE157" s="6"/>
      <c r="AF157" s="6"/>
    </row>
    <row r="158" spans="2:32" x14ac:dyDescent="0.25">
      <c r="B158" s="16">
        <v>6563000004</v>
      </c>
      <c r="C158" s="190" t="s">
        <v>13</v>
      </c>
      <c r="D158" s="190" t="s">
        <v>38</v>
      </c>
      <c r="E158" s="190" t="s">
        <v>163</v>
      </c>
      <c r="F158" s="162" t="s">
        <v>190</v>
      </c>
      <c r="G158" s="3">
        <f>+IF(F158="Pasajero",'2.2 OPEX LAP 2023'!I159*'2.1 OPEX TUUA'!$G$7,'2.2 OPEX LAP 2023'!I159*'2.1 OPEX TUUA'!$G$8)</f>
        <v>0</v>
      </c>
      <c r="H158" s="3">
        <f>+IF(F158="Pasajero",'2.2 OPEX LAP 2023'!J159*'2.1 OPEX TUUA'!$H$7,'2.2 OPEX LAP 2023'!J159*'2.1 OPEX TUUA'!$H$8)</f>
        <v>0</v>
      </c>
      <c r="I158" s="3">
        <f>+IF(F158="Pasajero",'2.2 OPEX LAP 2023'!K159*'2.1 OPEX TUUA'!$I$7,'2.2 OPEX LAP 2023'!K159*'2.1 OPEX TUUA'!$I$8)</f>
        <v>0</v>
      </c>
      <c r="J158" s="3">
        <f>+IF(F158="Pasajero",'2.2 OPEX LAP 2023'!L159*'2.1 OPEX TUUA'!$J$7,'2.2 OPEX LAP 2023'!L159*'2.1 OPEX TUUA'!$J$8)</f>
        <v>0</v>
      </c>
      <c r="K158" s="3">
        <f>+IF(F158="Pasajero",'2.2 OPEX LAP 2023'!M159*'2.1 OPEX TUUA'!$K$7,'2.2 OPEX LAP 2023'!M159*'2.1 OPEX TUUA'!$K$8)</f>
        <v>0</v>
      </c>
      <c r="L158" s="3">
        <f>+IF(F158="Pasajero",'2.2 OPEX LAP 2023'!N159*'2.1 OPEX TUUA'!$L$7,'2.2 OPEX LAP 2023'!N159*'2.1 OPEX TUUA'!$L$8)</f>
        <v>0</v>
      </c>
      <c r="M158" s="3"/>
      <c r="N158" s="3">
        <f>+IF(F158="Pasajero",'2.2 OPEX LAP 2023'!I159*'2.1 OPEX TUUA'!$N$7,'2.2 OPEX LAP 2023'!I159*'2.1 OPEX TUUA'!$N$8)</f>
        <v>0</v>
      </c>
      <c r="O158" s="3">
        <f>+IF(F158="Pasajero",'2.2 OPEX LAP 2023'!J159*'2.1 OPEX TUUA'!$O$7,'2.2 OPEX LAP 2023'!J159*'2.1 OPEX TUUA'!$O$8)</f>
        <v>0</v>
      </c>
      <c r="P158" s="3">
        <f>+IF(F158="Pasajero",'2.2 OPEX LAP 2023'!K159*'2.1 OPEX TUUA'!$P$7,'2.2 OPEX LAP 2023'!K159*'2.1 OPEX TUUA'!$P$8)</f>
        <v>0</v>
      </c>
      <c r="Q158" s="3">
        <f>+IF(F158="Pasajero",'2.2 OPEX LAP 2023'!L159*'2.1 OPEX TUUA'!$Q$7,'2.2 OPEX LAP 2023'!L159*'2.1 OPEX TUUA'!$Q$8)</f>
        <v>0</v>
      </c>
      <c r="R158" s="3">
        <f>+IF(F158="Pasajero",'2.2 OPEX LAP 2023'!M159*'2.1 OPEX TUUA'!$R$7,'2.2 OPEX LAP 2023'!M159*'2.1 OPEX TUUA'!$R$8)</f>
        <v>0</v>
      </c>
      <c r="S158" s="3">
        <f>+IF(F158="Pasajero",'2.2 OPEX LAP 2023'!N159*'2.1 OPEX TUUA'!$S$7,'2.2 OPEX LAP 2023'!N159*'2.1 OPEX TUUA'!$S$8)</f>
        <v>0</v>
      </c>
      <c r="AA158" s="6"/>
      <c r="AB158" s="6"/>
      <c r="AC158" s="6"/>
      <c r="AD158" s="6"/>
      <c r="AE158" s="6"/>
      <c r="AF158" s="6"/>
    </row>
    <row r="159" spans="2:32" x14ac:dyDescent="0.25">
      <c r="B159" s="16">
        <v>6563000005</v>
      </c>
      <c r="C159" s="190" t="s">
        <v>13</v>
      </c>
      <c r="D159" s="190" t="s">
        <v>38</v>
      </c>
      <c r="E159" s="190" t="s">
        <v>164</v>
      </c>
      <c r="F159" s="162" t="s">
        <v>190</v>
      </c>
      <c r="G159" s="3">
        <f>+IF(F159="Pasajero",'2.2 OPEX LAP 2023'!I160*'2.1 OPEX TUUA'!$G$7,'2.2 OPEX LAP 2023'!I160*'2.1 OPEX TUUA'!$G$8)</f>
        <v>0</v>
      </c>
      <c r="H159" s="3">
        <f>+IF(F159="Pasajero",'2.2 OPEX LAP 2023'!J160*'2.1 OPEX TUUA'!$H$7,'2.2 OPEX LAP 2023'!J160*'2.1 OPEX TUUA'!$H$8)</f>
        <v>0</v>
      </c>
      <c r="I159" s="3">
        <f>+IF(F159="Pasajero",'2.2 OPEX LAP 2023'!K160*'2.1 OPEX TUUA'!$I$7,'2.2 OPEX LAP 2023'!K160*'2.1 OPEX TUUA'!$I$8)</f>
        <v>0</v>
      </c>
      <c r="J159" s="3">
        <f>+IF(F159="Pasajero",'2.2 OPEX LAP 2023'!L160*'2.1 OPEX TUUA'!$J$7,'2.2 OPEX LAP 2023'!L160*'2.1 OPEX TUUA'!$J$8)</f>
        <v>0</v>
      </c>
      <c r="K159" s="3">
        <f>+IF(F159="Pasajero",'2.2 OPEX LAP 2023'!M160*'2.1 OPEX TUUA'!$K$7,'2.2 OPEX LAP 2023'!M160*'2.1 OPEX TUUA'!$K$8)</f>
        <v>0</v>
      </c>
      <c r="L159" s="3">
        <f>+IF(F159="Pasajero",'2.2 OPEX LAP 2023'!N160*'2.1 OPEX TUUA'!$L$7,'2.2 OPEX LAP 2023'!N160*'2.1 OPEX TUUA'!$L$8)</f>
        <v>0</v>
      </c>
      <c r="M159" s="3"/>
      <c r="N159" s="3">
        <f>+IF(F159="Pasajero",'2.2 OPEX LAP 2023'!I160*'2.1 OPEX TUUA'!$N$7,'2.2 OPEX LAP 2023'!I160*'2.1 OPEX TUUA'!$N$8)</f>
        <v>0</v>
      </c>
      <c r="O159" s="3">
        <f>+IF(F159="Pasajero",'2.2 OPEX LAP 2023'!J160*'2.1 OPEX TUUA'!$O$7,'2.2 OPEX LAP 2023'!J160*'2.1 OPEX TUUA'!$O$8)</f>
        <v>0</v>
      </c>
      <c r="P159" s="3">
        <f>+IF(F159="Pasajero",'2.2 OPEX LAP 2023'!K160*'2.1 OPEX TUUA'!$P$7,'2.2 OPEX LAP 2023'!K160*'2.1 OPEX TUUA'!$P$8)</f>
        <v>0</v>
      </c>
      <c r="Q159" s="3">
        <f>+IF(F159="Pasajero",'2.2 OPEX LAP 2023'!L160*'2.1 OPEX TUUA'!$Q$7,'2.2 OPEX LAP 2023'!L160*'2.1 OPEX TUUA'!$Q$8)</f>
        <v>0</v>
      </c>
      <c r="R159" s="3">
        <f>+IF(F159="Pasajero",'2.2 OPEX LAP 2023'!M160*'2.1 OPEX TUUA'!$R$7,'2.2 OPEX LAP 2023'!M160*'2.1 OPEX TUUA'!$R$8)</f>
        <v>0</v>
      </c>
      <c r="S159" s="3">
        <f>+IF(F159="Pasajero",'2.2 OPEX LAP 2023'!N160*'2.1 OPEX TUUA'!$S$7,'2.2 OPEX LAP 2023'!N160*'2.1 OPEX TUUA'!$S$8)</f>
        <v>0</v>
      </c>
      <c r="AA159" s="6"/>
      <c r="AB159" s="6"/>
      <c r="AC159" s="6"/>
      <c r="AD159" s="6"/>
      <c r="AE159" s="6"/>
      <c r="AF159" s="6"/>
    </row>
    <row r="160" spans="2:32" x14ac:dyDescent="0.25">
      <c r="B160" s="16">
        <v>6590000001</v>
      </c>
      <c r="C160" s="190" t="s">
        <v>13</v>
      </c>
      <c r="D160" s="190" t="s">
        <v>38</v>
      </c>
      <c r="E160" s="190" t="s">
        <v>165</v>
      </c>
      <c r="F160" s="162" t="s">
        <v>190</v>
      </c>
      <c r="G160" s="3">
        <f>+IF(F160="Pasajero",'2.2 OPEX LAP 2023'!I161*'2.1 OPEX TUUA'!$G$7,'2.2 OPEX LAP 2023'!I161*'2.1 OPEX TUUA'!$G$8)</f>
        <v>0</v>
      </c>
      <c r="H160" s="3">
        <f>+IF(F160="Pasajero",'2.2 OPEX LAP 2023'!J161*'2.1 OPEX TUUA'!$H$7,'2.2 OPEX LAP 2023'!J161*'2.1 OPEX TUUA'!$H$8)</f>
        <v>0</v>
      </c>
      <c r="I160" s="3">
        <f>+IF(F160="Pasajero",'2.2 OPEX LAP 2023'!K161*'2.1 OPEX TUUA'!$I$7,'2.2 OPEX LAP 2023'!K161*'2.1 OPEX TUUA'!$I$8)</f>
        <v>0</v>
      </c>
      <c r="J160" s="3">
        <f>+IF(F160="Pasajero",'2.2 OPEX LAP 2023'!L161*'2.1 OPEX TUUA'!$J$7,'2.2 OPEX LAP 2023'!L161*'2.1 OPEX TUUA'!$J$8)</f>
        <v>0</v>
      </c>
      <c r="K160" s="3">
        <f>+IF(F160="Pasajero",'2.2 OPEX LAP 2023'!M161*'2.1 OPEX TUUA'!$K$7,'2.2 OPEX LAP 2023'!M161*'2.1 OPEX TUUA'!$K$8)</f>
        <v>0</v>
      </c>
      <c r="L160" s="3">
        <f>+IF(F160="Pasajero",'2.2 OPEX LAP 2023'!N161*'2.1 OPEX TUUA'!$L$7,'2.2 OPEX LAP 2023'!N161*'2.1 OPEX TUUA'!$L$8)</f>
        <v>0</v>
      </c>
      <c r="M160" s="3"/>
      <c r="N160" s="3">
        <f>+IF(F160="Pasajero",'2.2 OPEX LAP 2023'!I161*'2.1 OPEX TUUA'!$N$7,'2.2 OPEX LAP 2023'!I161*'2.1 OPEX TUUA'!$N$8)</f>
        <v>0</v>
      </c>
      <c r="O160" s="3">
        <f>+IF(F160="Pasajero",'2.2 OPEX LAP 2023'!J161*'2.1 OPEX TUUA'!$O$7,'2.2 OPEX LAP 2023'!J161*'2.1 OPEX TUUA'!$O$8)</f>
        <v>0</v>
      </c>
      <c r="P160" s="3">
        <f>+IF(F160="Pasajero",'2.2 OPEX LAP 2023'!K161*'2.1 OPEX TUUA'!$P$7,'2.2 OPEX LAP 2023'!K161*'2.1 OPEX TUUA'!$P$8)</f>
        <v>0</v>
      </c>
      <c r="Q160" s="3">
        <f>+IF(F160="Pasajero",'2.2 OPEX LAP 2023'!L161*'2.1 OPEX TUUA'!$Q$7,'2.2 OPEX LAP 2023'!L161*'2.1 OPEX TUUA'!$Q$8)</f>
        <v>0</v>
      </c>
      <c r="R160" s="3">
        <f>+IF(F160="Pasajero",'2.2 OPEX LAP 2023'!M161*'2.1 OPEX TUUA'!$R$7,'2.2 OPEX LAP 2023'!M161*'2.1 OPEX TUUA'!$R$8)</f>
        <v>0</v>
      </c>
      <c r="S160" s="3">
        <f>+IF(F160="Pasajero",'2.2 OPEX LAP 2023'!N161*'2.1 OPEX TUUA'!$S$7,'2.2 OPEX LAP 2023'!N161*'2.1 OPEX TUUA'!$S$8)</f>
        <v>0</v>
      </c>
      <c r="AA160" s="6"/>
      <c r="AB160" s="6"/>
      <c r="AC160" s="6"/>
      <c r="AD160" s="6"/>
      <c r="AE160" s="6"/>
      <c r="AF160" s="6"/>
    </row>
    <row r="161" spans="2:32" x14ac:dyDescent="0.25">
      <c r="B161" s="16">
        <v>6590000002</v>
      </c>
      <c r="C161" s="190" t="s">
        <v>13</v>
      </c>
      <c r="D161" s="190" t="s">
        <v>38</v>
      </c>
      <c r="E161" s="190" t="s">
        <v>166</v>
      </c>
      <c r="F161" s="162" t="s">
        <v>190</v>
      </c>
      <c r="G161" s="3">
        <f>+IF(F161="Pasajero",'2.2 OPEX LAP 2023'!I162*'2.1 OPEX TUUA'!$G$7,'2.2 OPEX LAP 2023'!I162*'2.1 OPEX TUUA'!$G$8)</f>
        <v>125.37736271522256</v>
      </c>
      <c r="H161" s="3">
        <f>+IF(F161="Pasajero",'2.2 OPEX LAP 2023'!J162*'2.1 OPEX TUUA'!$H$7,'2.2 OPEX LAP 2023'!J162*'2.1 OPEX TUUA'!$H$8)</f>
        <v>147.41505324296776</v>
      </c>
      <c r="I161" s="3">
        <f>+IF(F161="Pasajero",'2.2 OPEX LAP 2023'!K162*'2.1 OPEX TUUA'!$I$7,'2.2 OPEX LAP 2023'!K162*'2.1 OPEX TUUA'!$I$8)</f>
        <v>165.94767360772281</v>
      </c>
      <c r="J161" s="3">
        <f>+IF(F161="Pasajero",'2.2 OPEX LAP 2023'!L162*'2.1 OPEX TUUA'!$J$7,'2.2 OPEX LAP 2023'!L162*'2.1 OPEX TUUA'!$J$8)</f>
        <v>176.0853337764442</v>
      </c>
      <c r="K161" s="3">
        <f>+IF(F161="Pasajero",'2.2 OPEX LAP 2023'!M162*'2.1 OPEX TUUA'!$K$7,'2.2 OPEX LAP 2023'!M162*'2.1 OPEX TUUA'!$K$8)</f>
        <v>183.47254106415616</v>
      </c>
      <c r="L161" s="3">
        <f>+IF(F161="Pasajero",'2.2 OPEX LAP 2023'!N162*'2.1 OPEX TUUA'!$L$7,'2.2 OPEX LAP 2023'!N162*'2.1 OPEX TUUA'!$L$8)</f>
        <v>191.7086394115756</v>
      </c>
      <c r="M161" s="3"/>
      <c r="N161" s="3">
        <f>+IF(F161="Pasajero",'2.2 OPEX LAP 2023'!I162*'2.1 OPEX TUUA'!$N$7,'2.2 OPEX LAP 2023'!I162*'2.1 OPEX TUUA'!$N$8)</f>
        <v>61.83827478184282</v>
      </c>
      <c r="O161" s="3">
        <f>+IF(F161="Pasajero",'2.2 OPEX LAP 2023'!J162*'2.1 OPEX TUUA'!$O$7,'2.2 OPEX LAP 2023'!J162*'2.1 OPEX TUUA'!$O$8)</f>
        <v>61.05389398626243</v>
      </c>
      <c r="P161" s="3">
        <f>+IF(F161="Pasajero",'2.2 OPEX LAP 2023'!K162*'2.1 OPEX TUUA'!$P$7,'2.2 OPEX LAP 2023'!K162*'2.1 OPEX TUUA'!$P$8)</f>
        <v>60.758202075896399</v>
      </c>
      <c r="Q161" s="3">
        <f>+IF(F161="Pasajero",'2.2 OPEX LAP 2023'!L162*'2.1 OPEX TUUA'!$Q$7,'2.2 OPEX LAP 2023'!L162*'2.1 OPEX TUUA'!$Q$8)</f>
        <v>60.452014516681366</v>
      </c>
      <c r="R161" s="3">
        <f>+IF(F161="Pasajero",'2.2 OPEX LAP 2023'!M162*'2.1 OPEX TUUA'!$R$7,'2.2 OPEX LAP 2023'!M162*'2.1 OPEX TUUA'!$R$8)</f>
        <v>60.82950792118676</v>
      </c>
      <c r="S161" s="3">
        <f>+IF(F161="Pasajero",'2.2 OPEX LAP 2023'!N162*'2.1 OPEX TUUA'!$S$7,'2.2 OPEX LAP 2023'!N162*'2.1 OPEX TUUA'!$S$8)</f>
        <v>60.931838162044365</v>
      </c>
      <c r="AA161" s="6"/>
      <c r="AB161" s="6"/>
      <c r="AC161" s="6"/>
      <c r="AD161" s="6"/>
      <c r="AE161" s="6"/>
      <c r="AF161" s="6"/>
    </row>
    <row r="162" spans="2:32" x14ac:dyDescent="0.25">
      <c r="B162" s="16">
        <v>6590000003</v>
      </c>
      <c r="C162" s="190" t="s">
        <v>13</v>
      </c>
      <c r="D162" s="190" t="s">
        <v>38</v>
      </c>
      <c r="E162" s="190" t="s">
        <v>167</v>
      </c>
      <c r="F162" s="162" t="s">
        <v>190</v>
      </c>
      <c r="G162" s="3">
        <f>+IF(F162="Pasajero",'2.2 OPEX LAP 2023'!I163*'2.1 OPEX TUUA'!$G$7,'2.2 OPEX LAP 2023'!I163*'2.1 OPEX TUUA'!$G$8)</f>
        <v>0</v>
      </c>
      <c r="H162" s="3">
        <f>+IF(F162="Pasajero",'2.2 OPEX LAP 2023'!J163*'2.1 OPEX TUUA'!$H$7,'2.2 OPEX LAP 2023'!J163*'2.1 OPEX TUUA'!$H$8)</f>
        <v>0</v>
      </c>
      <c r="I162" s="3">
        <f>+IF(F162="Pasajero",'2.2 OPEX LAP 2023'!K163*'2.1 OPEX TUUA'!$I$7,'2.2 OPEX LAP 2023'!K163*'2.1 OPEX TUUA'!$I$8)</f>
        <v>0</v>
      </c>
      <c r="J162" s="3">
        <f>+IF(F162="Pasajero",'2.2 OPEX LAP 2023'!L163*'2.1 OPEX TUUA'!$J$7,'2.2 OPEX LAP 2023'!L163*'2.1 OPEX TUUA'!$J$8)</f>
        <v>0</v>
      </c>
      <c r="K162" s="3">
        <f>+IF(F162="Pasajero",'2.2 OPEX LAP 2023'!M163*'2.1 OPEX TUUA'!$K$7,'2.2 OPEX LAP 2023'!M163*'2.1 OPEX TUUA'!$K$8)</f>
        <v>0</v>
      </c>
      <c r="L162" s="3">
        <f>+IF(F162="Pasajero",'2.2 OPEX LAP 2023'!N163*'2.1 OPEX TUUA'!$L$7,'2.2 OPEX LAP 2023'!N163*'2.1 OPEX TUUA'!$L$8)</f>
        <v>0</v>
      </c>
      <c r="M162" s="3"/>
      <c r="N162" s="3">
        <f>+IF(F162="Pasajero",'2.2 OPEX LAP 2023'!I163*'2.1 OPEX TUUA'!$N$7,'2.2 OPEX LAP 2023'!I163*'2.1 OPEX TUUA'!$N$8)</f>
        <v>0</v>
      </c>
      <c r="O162" s="3">
        <f>+IF(F162="Pasajero",'2.2 OPEX LAP 2023'!J163*'2.1 OPEX TUUA'!$O$7,'2.2 OPEX LAP 2023'!J163*'2.1 OPEX TUUA'!$O$8)</f>
        <v>0</v>
      </c>
      <c r="P162" s="3">
        <f>+IF(F162="Pasajero",'2.2 OPEX LAP 2023'!K163*'2.1 OPEX TUUA'!$P$7,'2.2 OPEX LAP 2023'!K163*'2.1 OPEX TUUA'!$P$8)</f>
        <v>0</v>
      </c>
      <c r="Q162" s="3">
        <f>+IF(F162="Pasajero",'2.2 OPEX LAP 2023'!L163*'2.1 OPEX TUUA'!$Q$7,'2.2 OPEX LAP 2023'!L163*'2.1 OPEX TUUA'!$Q$8)</f>
        <v>0</v>
      </c>
      <c r="R162" s="3">
        <f>+IF(F162="Pasajero",'2.2 OPEX LAP 2023'!M163*'2.1 OPEX TUUA'!$R$7,'2.2 OPEX LAP 2023'!M163*'2.1 OPEX TUUA'!$R$8)</f>
        <v>0</v>
      </c>
      <c r="S162" s="3">
        <f>+IF(F162="Pasajero",'2.2 OPEX LAP 2023'!N163*'2.1 OPEX TUUA'!$S$7,'2.2 OPEX LAP 2023'!N163*'2.1 OPEX TUUA'!$S$8)</f>
        <v>0</v>
      </c>
      <c r="AA162" s="6"/>
      <c r="AB162" s="6"/>
      <c r="AC162" s="6"/>
      <c r="AD162" s="6"/>
      <c r="AE162" s="6"/>
      <c r="AF162" s="6"/>
    </row>
    <row r="163" spans="2:32" x14ac:dyDescent="0.25">
      <c r="B163" s="16">
        <v>6590000004</v>
      </c>
      <c r="C163" s="190" t="s">
        <v>13</v>
      </c>
      <c r="D163" s="190" t="s">
        <v>38</v>
      </c>
      <c r="E163" s="190" t="s">
        <v>168</v>
      </c>
      <c r="F163" s="162" t="s">
        <v>190</v>
      </c>
      <c r="G163" s="3">
        <f>+IF(F163="Pasajero",'2.2 OPEX LAP 2023'!I164*'2.1 OPEX TUUA'!$G$7,'2.2 OPEX LAP 2023'!I164*'2.1 OPEX TUUA'!$G$8)</f>
        <v>0</v>
      </c>
      <c r="H163" s="3">
        <f>+IF(F163="Pasajero",'2.2 OPEX LAP 2023'!J164*'2.1 OPEX TUUA'!$H$7,'2.2 OPEX LAP 2023'!J164*'2.1 OPEX TUUA'!$H$8)</f>
        <v>0</v>
      </c>
      <c r="I163" s="3">
        <f>+IF(F163="Pasajero",'2.2 OPEX LAP 2023'!K164*'2.1 OPEX TUUA'!$I$7,'2.2 OPEX LAP 2023'!K164*'2.1 OPEX TUUA'!$I$8)</f>
        <v>0</v>
      </c>
      <c r="J163" s="3">
        <f>+IF(F163="Pasajero",'2.2 OPEX LAP 2023'!L164*'2.1 OPEX TUUA'!$J$7,'2.2 OPEX LAP 2023'!L164*'2.1 OPEX TUUA'!$J$8)</f>
        <v>0</v>
      </c>
      <c r="K163" s="3">
        <f>+IF(F163="Pasajero",'2.2 OPEX LAP 2023'!M164*'2.1 OPEX TUUA'!$K$7,'2.2 OPEX LAP 2023'!M164*'2.1 OPEX TUUA'!$K$8)</f>
        <v>0</v>
      </c>
      <c r="L163" s="3">
        <f>+IF(F163="Pasajero",'2.2 OPEX LAP 2023'!N164*'2.1 OPEX TUUA'!$L$7,'2.2 OPEX LAP 2023'!N164*'2.1 OPEX TUUA'!$L$8)</f>
        <v>0</v>
      </c>
      <c r="M163" s="3"/>
      <c r="N163" s="3">
        <f>+IF(F163="Pasajero",'2.2 OPEX LAP 2023'!I164*'2.1 OPEX TUUA'!$N$7,'2.2 OPEX LAP 2023'!I164*'2.1 OPEX TUUA'!$N$8)</f>
        <v>0</v>
      </c>
      <c r="O163" s="3">
        <f>+IF(F163="Pasajero",'2.2 OPEX LAP 2023'!J164*'2.1 OPEX TUUA'!$O$7,'2.2 OPEX LAP 2023'!J164*'2.1 OPEX TUUA'!$O$8)</f>
        <v>0</v>
      </c>
      <c r="P163" s="3">
        <f>+IF(F163="Pasajero",'2.2 OPEX LAP 2023'!K164*'2.1 OPEX TUUA'!$P$7,'2.2 OPEX LAP 2023'!K164*'2.1 OPEX TUUA'!$P$8)</f>
        <v>0</v>
      </c>
      <c r="Q163" s="3">
        <f>+IF(F163="Pasajero",'2.2 OPEX LAP 2023'!L164*'2.1 OPEX TUUA'!$Q$7,'2.2 OPEX LAP 2023'!L164*'2.1 OPEX TUUA'!$Q$8)</f>
        <v>0</v>
      </c>
      <c r="R163" s="3">
        <f>+IF(F163="Pasajero",'2.2 OPEX LAP 2023'!M164*'2.1 OPEX TUUA'!$R$7,'2.2 OPEX LAP 2023'!M164*'2.1 OPEX TUUA'!$R$8)</f>
        <v>0</v>
      </c>
      <c r="S163" s="3">
        <f>+IF(F163="Pasajero",'2.2 OPEX LAP 2023'!N164*'2.1 OPEX TUUA'!$S$7,'2.2 OPEX LAP 2023'!N164*'2.1 OPEX TUUA'!$S$8)</f>
        <v>0</v>
      </c>
      <c r="AA163" s="6"/>
      <c r="AB163" s="6"/>
      <c r="AC163" s="6"/>
      <c r="AD163" s="6"/>
      <c r="AE163" s="6"/>
      <c r="AF163" s="6"/>
    </row>
    <row r="164" spans="2:32" x14ac:dyDescent="0.25">
      <c r="B164" s="16">
        <v>6590000005</v>
      </c>
      <c r="C164" s="190" t="s">
        <v>13</v>
      </c>
      <c r="D164" s="190" t="s">
        <v>38</v>
      </c>
      <c r="E164" s="190" t="s">
        <v>169</v>
      </c>
      <c r="F164" s="162" t="s">
        <v>190</v>
      </c>
      <c r="G164" s="3">
        <f>+IF(F164="Pasajero",'2.2 OPEX LAP 2023'!I165*'2.1 OPEX TUUA'!$G$7,'2.2 OPEX LAP 2023'!I165*'2.1 OPEX TUUA'!$G$8)</f>
        <v>0</v>
      </c>
      <c r="H164" s="3">
        <f>+IF(F164="Pasajero",'2.2 OPEX LAP 2023'!J165*'2.1 OPEX TUUA'!$H$7,'2.2 OPEX LAP 2023'!J165*'2.1 OPEX TUUA'!$H$8)</f>
        <v>0</v>
      </c>
      <c r="I164" s="3">
        <f>+IF(F164="Pasajero",'2.2 OPEX LAP 2023'!K165*'2.1 OPEX TUUA'!$I$7,'2.2 OPEX LAP 2023'!K165*'2.1 OPEX TUUA'!$I$8)</f>
        <v>0</v>
      </c>
      <c r="J164" s="3">
        <f>+IF(F164="Pasajero",'2.2 OPEX LAP 2023'!L165*'2.1 OPEX TUUA'!$J$7,'2.2 OPEX LAP 2023'!L165*'2.1 OPEX TUUA'!$J$8)</f>
        <v>0</v>
      </c>
      <c r="K164" s="3">
        <f>+IF(F164="Pasajero",'2.2 OPEX LAP 2023'!M165*'2.1 OPEX TUUA'!$K$7,'2.2 OPEX LAP 2023'!M165*'2.1 OPEX TUUA'!$K$8)</f>
        <v>0</v>
      </c>
      <c r="L164" s="3">
        <f>+IF(F164="Pasajero",'2.2 OPEX LAP 2023'!N165*'2.1 OPEX TUUA'!$L$7,'2.2 OPEX LAP 2023'!N165*'2.1 OPEX TUUA'!$L$8)</f>
        <v>0</v>
      </c>
      <c r="M164" s="3"/>
      <c r="N164" s="3">
        <f>+IF(F164="Pasajero",'2.2 OPEX LAP 2023'!I165*'2.1 OPEX TUUA'!$N$7,'2.2 OPEX LAP 2023'!I165*'2.1 OPEX TUUA'!$N$8)</f>
        <v>0</v>
      </c>
      <c r="O164" s="3">
        <f>+IF(F164="Pasajero",'2.2 OPEX LAP 2023'!J165*'2.1 OPEX TUUA'!$O$7,'2.2 OPEX LAP 2023'!J165*'2.1 OPEX TUUA'!$O$8)</f>
        <v>0</v>
      </c>
      <c r="P164" s="3">
        <f>+IF(F164="Pasajero",'2.2 OPEX LAP 2023'!K165*'2.1 OPEX TUUA'!$P$7,'2.2 OPEX LAP 2023'!K165*'2.1 OPEX TUUA'!$P$8)</f>
        <v>0</v>
      </c>
      <c r="Q164" s="3">
        <f>+IF(F164="Pasajero",'2.2 OPEX LAP 2023'!L165*'2.1 OPEX TUUA'!$Q$7,'2.2 OPEX LAP 2023'!L165*'2.1 OPEX TUUA'!$Q$8)</f>
        <v>0</v>
      </c>
      <c r="R164" s="3">
        <f>+IF(F164="Pasajero",'2.2 OPEX LAP 2023'!M165*'2.1 OPEX TUUA'!$R$7,'2.2 OPEX LAP 2023'!M165*'2.1 OPEX TUUA'!$R$8)</f>
        <v>0</v>
      </c>
      <c r="S164" s="3">
        <f>+IF(F164="Pasajero",'2.2 OPEX LAP 2023'!N165*'2.1 OPEX TUUA'!$S$7,'2.2 OPEX LAP 2023'!N165*'2.1 OPEX TUUA'!$S$8)</f>
        <v>0</v>
      </c>
      <c r="AA164" s="6"/>
      <c r="AB164" s="6"/>
      <c r="AC164" s="6"/>
      <c r="AD164" s="6"/>
      <c r="AE164" s="6"/>
      <c r="AF164" s="6"/>
    </row>
    <row r="165" spans="2:32" x14ac:dyDescent="0.25">
      <c r="B165" s="16">
        <v>6590000006</v>
      </c>
      <c r="C165" s="190" t="s">
        <v>13</v>
      </c>
      <c r="D165" s="190" t="s">
        <v>38</v>
      </c>
      <c r="E165" s="190" t="s">
        <v>170</v>
      </c>
      <c r="F165" s="162" t="s">
        <v>190</v>
      </c>
      <c r="G165" s="3">
        <f>+IF(F165="Pasajero",'2.2 OPEX LAP 2023'!I166*'2.1 OPEX TUUA'!$G$7,'2.2 OPEX LAP 2023'!I166*'2.1 OPEX TUUA'!$G$8)</f>
        <v>0</v>
      </c>
      <c r="H165" s="3">
        <f>+IF(F165="Pasajero",'2.2 OPEX LAP 2023'!J166*'2.1 OPEX TUUA'!$H$7,'2.2 OPEX LAP 2023'!J166*'2.1 OPEX TUUA'!$H$8)</f>
        <v>0</v>
      </c>
      <c r="I165" s="3">
        <f>+IF(F165="Pasajero",'2.2 OPEX LAP 2023'!K166*'2.1 OPEX TUUA'!$I$7,'2.2 OPEX LAP 2023'!K166*'2.1 OPEX TUUA'!$I$8)</f>
        <v>0</v>
      </c>
      <c r="J165" s="3">
        <f>+IF(F165="Pasajero",'2.2 OPEX LAP 2023'!L166*'2.1 OPEX TUUA'!$J$7,'2.2 OPEX LAP 2023'!L166*'2.1 OPEX TUUA'!$J$8)</f>
        <v>0</v>
      </c>
      <c r="K165" s="3">
        <f>+IF(F165="Pasajero",'2.2 OPEX LAP 2023'!M166*'2.1 OPEX TUUA'!$K$7,'2.2 OPEX LAP 2023'!M166*'2.1 OPEX TUUA'!$K$8)</f>
        <v>0</v>
      </c>
      <c r="L165" s="3">
        <f>+IF(F165="Pasajero",'2.2 OPEX LAP 2023'!N166*'2.1 OPEX TUUA'!$L$7,'2.2 OPEX LAP 2023'!N166*'2.1 OPEX TUUA'!$L$8)</f>
        <v>0</v>
      </c>
      <c r="M165" s="3"/>
      <c r="N165" s="3">
        <f>+IF(F165="Pasajero",'2.2 OPEX LAP 2023'!I166*'2.1 OPEX TUUA'!$N$7,'2.2 OPEX LAP 2023'!I166*'2.1 OPEX TUUA'!$N$8)</f>
        <v>0</v>
      </c>
      <c r="O165" s="3">
        <f>+IF(F165="Pasajero",'2.2 OPEX LAP 2023'!J166*'2.1 OPEX TUUA'!$O$7,'2.2 OPEX LAP 2023'!J166*'2.1 OPEX TUUA'!$O$8)</f>
        <v>0</v>
      </c>
      <c r="P165" s="3">
        <f>+IF(F165="Pasajero",'2.2 OPEX LAP 2023'!K166*'2.1 OPEX TUUA'!$P$7,'2.2 OPEX LAP 2023'!K166*'2.1 OPEX TUUA'!$P$8)</f>
        <v>0</v>
      </c>
      <c r="Q165" s="3">
        <f>+IF(F165="Pasajero",'2.2 OPEX LAP 2023'!L166*'2.1 OPEX TUUA'!$Q$7,'2.2 OPEX LAP 2023'!L166*'2.1 OPEX TUUA'!$Q$8)</f>
        <v>0</v>
      </c>
      <c r="R165" s="3">
        <f>+IF(F165="Pasajero",'2.2 OPEX LAP 2023'!M166*'2.1 OPEX TUUA'!$R$7,'2.2 OPEX LAP 2023'!M166*'2.1 OPEX TUUA'!$R$8)</f>
        <v>0</v>
      </c>
      <c r="S165" s="3">
        <f>+IF(F165="Pasajero",'2.2 OPEX LAP 2023'!N166*'2.1 OPEX TUUA'!$S$7,'2.2 OPEX LAP 2023'!N166*'2.1 OPEX TUUA'!$S$8)</f>
        <v>0</v>
      </c>
      <c r="AA165" s="6"/>
      <c r="AB165" s="6"/>
      <c r="AC165" s="6"/>
      <c r="AD165" s="6"/>
      <c r="AE165" s="6"/>
      <c r="AF165" s="6"/>
    </row>
    <row r="166" spans="2:32" x14ac:dyDescent="0.25">
      <c r="B166" s="16">
        <v>6590000007</v>
      </c>
      <c r="C166" s="190" t="s">
        <v>13</v>
      </c>
      <c r="D166" s="190" t="s">
        <v>38</v>
      </c>
      <c r="E166" s="190" t="s">
        <v>171</v>
      </c>
      <c r="F166" s="162" t="s">
        <v>190</v>
      </c>
      <c r="G166" s="3">
        <f>+IF(F166="Pasajero",'2.2 OPEX LAP 2023'!I167*'2.1 OPEX TUUA'!$G$7,'2.2 OPEX LAP 2023'!I167*'2.1 OPEX TUUA'!$G$8)</f>
        <v>0</v>
      </c>
      <c r="H166" s="3">
        <f>+IF(F166="Pasajero",'2.2 OPEX LAP 2023'!J167*'2.1 OPEX TUUA'!$H$7,'2.2 OPEX LAP 2023'!J167*'2.1 OPEX TUUA'!$H$8)</f>
        <v>0</v>
      </c>
      <c r="I166" s="3">
        <f>+IF(F166="Pasajero",'2.2 OPEX LAP 2023'!K167*'2.1 OPEX TUUA'!$I$7,'2.2 OPEX LAP 2023'!K167*'2.1 OPEX TUUA'!$I$8)</f>
        <v>0</v>
      </c>
      <c r="J166" s="3">
        <f>+IF(F166="Pasajero",'2.2 OPEX LAP 2023'!L167*'2.1 OPEX TUUA'!$J$7,'2.2 OPEX LAP 2023'!L167*'2.1 OPEX TUUA'!$J$8)</f>
        <v>0</v>
      </c>
      <c r="K166" s="3">
        <f>+IF(F166="Pasajero",'2.2 OPEX LAP 2023'!M167*'2.1 OPEX TUUA'!$K$7,'2.2 OPEX LAP 2023'!M167*'2.1 OPEX TUUA'!$K$8)</f>
        <v>0</v>
      </c>
      <c r="L166" s="3">
        <f>+IF(F166="Pasajero",'2.2 OPEX LAP 2023'!N167*'2.1 OPEX TUUA'!$L$7,'2.2 OPEX LAP 2023'!N167*'2.1 OPEX TUUA'!$L$8)</f>
        <v>0</v>
      </c>
      <c r="M166" s="3"/>
      <c r="N166" s="3">
        <f>+IF(F166="Pasajero",'2.2 OPEX LAP 2023'!I167*'2.1 OPEX TUUA'!$N$7,'2.2 OPEX LAP 2023'!I167*'2.1 OPEX TUUA'!$N$8)</f>
        <v>0</v>
      </c>
      <c r="O166" s="3">
        <f>+IF(F166="Pasajero",'2.2 OPEX LAP 2023'!J167*'2.1 OPEX TUUA'!$O$7,'2.2 OPEX LAP 2023'!J167*'2.1 OPEX TUUA'!$O$8)</f>
        <v>0</v>
      </c>
      <c r="P166" s="3">
        <f>+IF(F166="Pasajero",'2.2 OPEX LAP 2023'!K167*'2.1 OPEX TUUA'!$P$7,'2.2 OPEX LAP 2023'!K167*'2.1 OPEX TUUA'!$P$8)</f>
        <v>0</v>
      </c>
      <c r="Q166" s="3">
        <f>+IF(F166="Pasajero",'2.2 OPEX LAP 2023'!L167*'2.1 OPEX TUUA'!$Q$7,'2.2 OPEX LAP 2023'!L167*'2.1 OPEX TUUA'!$Q$8)</f>
        <v>0</v>
      </c>
      <c r="R166" s="3">
        <f>+IF(F166="Pasajero",'2.2 OPEX LAP 2023'!M167*'2.1 OPEX TUUA'!$R$7,'2.2 OPEX LAP 2023'!M167*'2.1 OPEX TUUA'!$R$8)</f>
        <v>0</v>
      </c>
      <c r="S166" s="3">
        <f>+IF(F166="Pasajero",'2.2 OPEX LAP 2023'!N167*'2.1 OPEX TUUA'!$S$7,'2.2 OPEX LAP 2023'!N167*'2.1 OPEX TUUA'!$S$8)</f>
        <v>0</v>
      </c>
      <c r="AA166" s="6"/>
      <c r="AB166" s="6"/>
      <c r="AC166" s="6"/>
      <c r="AD166" s="6"/>
      <c r="AE166" s="6"/>
      <c r="AF166" s="6"/>
    </row>
    <row r="167" spans="2:32" x14ac:dyDescent="0.25">
      <c r="B167" s="16">
        <v>6590000010</v>
      </c>
      <c r="C167" s="190" t="s">
        <v>13</v>
      </c>
      <c r="D167" s="190" t="s">
        <v>38</v>
      </c>
      <c r="E167" s="190" t="s">
        <v>172</v>
      </c>
      <c r="F167" s="162" t="s">
        <v>190</v>
      </c>
      <c r="G167" s="3">
        <f>+IF(F167="Pasajero",'2.2 OPEX LAP 2023'!I168*'2.1 OPEX TUUA'!$G$7,'2.2 OPEX LAP 2023'!I168*'2.1 OPEX TUUA'!$G$8)</f>
        <v>0</v>
      </c>
      <c r="H167" s="3">
        <f>+IF(F167="Pasajero",'2.2 OPEX LAP 2023'!J168*'2.1 OPEX TUUA'!$H$7,'2.2 OPEX LAP 2023'!J168*'2.1 OPEX TUUA'!$H$8)</f>
        <v>0</v>
      </c>
      <c r="I167" s="3">
        <f>+IF(F167="Pasajero",'2.2 OPEX LAP 2023'!K168*'2.1 OPEX TUUA'!$I$7,'2.2 OPEX LAP 2023'!K168*'2.1 OPEX TUUA'!$I$8)</f>
        <v>0</v>
      </c>
      <c r="J167" s="3">
        <f>+IF(F167="Pasajero",'2.2 OPEX LAP 2023'!L168*'2.1 OPEX TUUA'!$J$7,'2.2 OPEX LAP 2023'!L168*'2.1 OPEX TUUA'!$J$8)</f>
        <v>0</v>
      </c>
      <c r="K167" s="3">
        <f>+IF(F167="Pasajero",'2.2 OPEX LAP 2023'!M168*'2.1 OPEX TUUA'!$K$7,'2.2 OPEX LAP 2023'!M168*'2.1 OPEX TUUA'!$K$8)</f>
        <v>0</v>
      </c>
      <c r="L167" s="3">
        <f>+IF(F167="Pasajero",'2.2 OPEX LAP 2023'!N168*'2.1 OPEX TUUA'!$L$7,'2.2 OPEX LAP 2023'!N168*'2.1 OPEX TUUA'!$L$8)</f>
        <v>0</v>
      </c>
      <c r="M167" s="3"/>
      <c r="N167" s="3">
        <f>+IF(F167="Pasajero",'2.2 OPEX LAP 2023'!I168*'2.1 OPEX TUUA'!$N$7,'2.2 OPEX LAP 2023'!I168*'2.1 OPEX TUUA'!$N$8)</f>
        <v>0</v>
      </c>
      <c r="O167" s="3">
        <f>+IF(F167="Pasajero",'2.2 OPEX LAP 2023'!J168*'2.1 OPEX TUUA'!$O$7,'2.2 OPEX LAP 2023'!J168*'2.1 OPEX TUUA'!$O$8)</f>
        <v>0</v>
      </c>
      <c r="P167" s="3">
        <f>+IF(F167="Pasajero",'2.2 OPEX LAP 2023'!K168*'2.1 OPEX TUUA'!$P$7,'2.2 OPEX LAP 2023'!K168*'2.1 OPEX TUUA'!$P$8)</f>
        <v>0</v>
      </c>
      <c r="Q167" s="3">
        <f>+IF(F167="Pasajero",'2.2 OPEX LAP 2023'!L168*'2.1 OPEX TUUA'!$Q$7,'2.2 OPEX LAP 2023'!L168*'2.1 OPEX TUUA'!$Q$8)</f>
        <v>0</v>
      </c>
      <c r="R167" s="3">
        <f>+IF(F167="Pasajero",'2.2 OPEX LAP 2023'!M168*'2.1 OPEX TUUA'!$R$7,'2.2 OPEX LAP 2023'!M168*'2.1 OPEX TUUA'!$R$8)</f>
        <v>0</v>
      </c>
      <c r="S167" s="3">
        <f>+IF(F167="Pasajero",'2.2 OPEX LAP 2023'!N168*'2.1 OPEX TUUA'!$S$7,'2.2 OPEX LAP 2023'!N168*'2.1 OPEX TUUA'!$S$8)</f>
        <v>0</v>
      </c>
      <c r="AA167" s="6"/>
      <c r="AB167" s="6"/>
      <c r="AC167" s="6"/>
      <c r="AD167" s="6"/>
      <c r="AE167" s="6"/>
      <c r="AF167" s="6"/>
    </row>
    <row r="168" spans="2:32" x14ac:dyDescent="0.25">
      <c r="B168" s="16">
        <v>6590000011</v>
      </c>
      <c r="C168" s="190" t="s">
        <v>13</v>
      </c>
      <c r="D168" s="190" t="s">
        <v>38</v>
      </c>
      <c r="E168" s="190" t="s">
        <v>173</v>
      </c>
      <c r="F168" s="162" t="s">
        <v>190</v>
      </c>
      <c r="G168" s="3">
        <f>+IF(F168="Pasajero",'2.2 OPEX LAP 2023'!I169*'2.1 OPEX TUUA'!$G$7,'2.2 OPEX LAP 2023'!I169*'2.1 OPEX TUUA'!$G$8)</f>
        <v>0</v>
      </c>
      <c r="H168" s="3">
        <f>+IF(F168="Pasajero",'2.2 OPEX LAP 2023'!J169*'2.1 OPEX TUUA'!$H$7,'2.2 OPEX LAP 2023'!J169*'2.1 OPEX TUUA'!$H$8)</f>
        <v>0</v>
      </c>
      <c r="I168" s="3">
        <f>+IF(F168="Pasajero",'2.2 OPEX LAP 2023'!K169*'2.1 OPEX TUUA'!$I$7,'2.2 OPEX LAP 2023'!K169*'2.1 OPEX TUUA'!$I$8)</f>
        <v>0</v>
      </c>
      <c r="J168" s="3">
        <f>+IF(F168="Pasajero",'2.2 OPEX LAP 2023'!L169*'2.1 OPEX TUUA'!$J$7,'2.2 OPEX LAP 2023'!L169*'2.1 OPEX TUUA'!$J$8)</f>
        <v>0</v>
      </c>
      <c r="K168" s="3">
        <f>+IF(F168="Pasajero",'2.2 OPEX LAP 2023'!M169*'2.1 OPEX TUUA'!$K$7,'2.2 OPEX LAP 2023'!M169*'2.1 OPEX TUUA'!$K$8)</f>
        <v>0</v>
      </c>
      <c r="L168" s="3">
        <f>+IF(F168="Pasajero",'2.2 OPEX LAP 2023'!N169*'2.1 OPEX TUUA'!$L$7,'2.2 OPEX LAP 2023'!N169*'2.1 OPEX TUUA'!$L$8)</f>
        <v>0</v>
      </c>
      <c r="M168" s="3"/>
      <c r="N168" s="3">
        <f>+IF(F168="Pasajero",'2.2 OPEX LAP 2023'!I169*'2.1 OPEX TUUA'!$N$7,'2.2 OPEX LAP 2023'!I169*'2.1 OPEX TUUA'!$N$8)</f>
        <v>0</v>
      </c>
      <c r="O168" s="3">
        <f>+IF(F168="Pasajero",'2.2 OPEX LAP 2023'!J169*'2.1 OPEX TUUA'!$O$7,'2.2 OPEX LAP 2023'!J169*'2.1 OPEX TUUA'!$O$8)</f>
        <v>0</v>
      </c>
      <c r="P168" s="3">
        <f>+IF(F168="Pasajero",'2.2 OPEX LAP 2023'!K169*'2.1 OPEX TUUA'!$P$7,'2.2 OPEX LAP 2023'!K169*'2.1 OPEX TUUA'!$P$8)</f>
        <v>0</v>
      </c>
      <c r="Q168" s="3">
        <f>+IF(F168="Pasajero",'2.2 OPEX LAP 2023'!L169*'2.1 OPEX TUUA'!$Q$7,'2.2 OPEX LAP 2023'!L169*'2.1 OPEX TUUA'!$Q$8)</f>
        <v>0</v>
      </c>
      <c r="R168" s="3">
        <f>+IF(F168="Pasajero",'2.2 OPEX LAP 2023'!M169*'2.1 OPEX TUUA'!$R$7,'2.2 OPEX LAP 2023'!M169*'2.1 OPEX TUUA'!$R$8)</f>
        <v>0</v>
      </c>
      <c r="S168" s="3">
        <f>+IF(F168="Pasajero",'2.2 OPEX LAP 2023'!N169*'2.1 OPEX TUUA'!$S$7,'2.2 OPEX LAP 2023'!N169*'2.1 OPEX TUUA'!$S$8)</f>
        <v>0</v>
      </c>
      <c r="AA168" s="6"/>
      <c r="AB168" s="6"/>
      <c r="AC168" s="6"/>
      <c r="AD168" s="6"/>
      <c r="AE168" s="6"/>
      <c r="AF168" s="6"/>
    </row>
    <row r="169" spans="2:32" x14ac:dyDescent="0.25">
      <c r="B169" s="16">
        <v>6840000001</v>
      </c>
      <c r="C169" s="190" t="s">
        <v>13</v>
      </c>
      <c r="D169" s="190" t="s">
        <v>38</v>
      </c>
      <c r="E169" s="190" t="s">
        <v>174</v>
      </c>
      <c r="F169" s="162" t="s">
        <v>190</v>
      </c>
      <c r="G169" s="3">
        <f>+IF(F169="Pasajero",'2.2 OPEX LAP 2023'!I170*'2.1 OPEX TUUA'!$G$7,'2.2 OPEX LAP 2023'!I170*'2.1 OPEX TUUA'!$G$8)</f>
        <v>0</v>
      </c>
      <c r="H169" s="3">
        <f>+IF(F169="Pasajero",'2.2 OPEX LAP 2023'!J170*'2.1 OPEX TUUA'!$H$7,'2.2 OPEX LAP 2023'!J170*'2.1 OPEX TUUA'!$H$8)</f>
        <v>0</v>
      </c>
      <c r="I169" s="3">
        <f>+IF(F169="Pasajero",'2.2 OPEX LAP 2023'!K170*'2.1 OPEX TUUA'!$I$7,'2.2 OPEX LAP 2023'!K170*'2.1 OPEX TUUA'!$I$8)</f>
        <v>0</v>
      </c>
      <c r="J169" s="3">
        <f>+IF(F169="Pasajero",'2.2 OPEX LAP 2023'!L170*'2.1 OPEX TUUA'!$J$7,'2.2 OPEX LAP 2023'!L170*'2.1 OPEX TUUA'!$J$8)</f>
        <v>0</v>
      </c>
      <c r="K169" s="3">
        <f>+IF(F169="Pasajero",'2.2 OPEX LAP 2023'!M170*'2.1 OPEX TUUA'!$K$7,'2.2 OPEX LAP 2023'!M170*'2.1 OPEX TUUA'!$K$8)</f>
        <v>0</v>
      </c>
      <c r="L169" s="3">
        <f>+IF(F169="Pasajero",'2.2 OPEX LAP 2023'!N170*'2.1 OPEX TUUA'!$L$7,'2.2 OPEX LAP 2023'!N170*'2.1 OPEX TUUA'!$L$8)</f>
        <v>0</v>
      </c>
      <c r="M169" s="3"/>
      <c r="N169" s="3">
        <f>+IF(F169="Pasajero",'2.2 OPEX LAP 2023'!I170*'2.1 OPEX TUUA'!$N$7,'2.2 OPEX LAP 2023'!I170*'2.1 OPEX TUUA'!$N$8)</f>
        <v>0</v>
      </c>
      <c r="O169" s="3">
        <f>+IF(F169="Pasajero",'2.2 OPEX LAP 2023'!J170*'2.1 OPEX TUUA'!$O$7,'2.2 OPEX LAP 2023'!J170*'2.1 OPEX TUUA'!$O$8)</f>
        <v>0</v>
      </c>
      <c r="P169" s="3">
        <f>+IF(F169="Pasajero",'2.2 OPEX LAP 2023'!K170*'2.1 OPEX TUUA'!$P$7,'2.2 OPEX LAP 2023'!K170*'2.1 OPEX TUUA'!$P$8)</f>
        <v>0</v>
      </c>
      <c r="Q169" s="3">
        <f>+IF(F169="Pasajero",'2.2 OPEX LAP 2023'!L170*'2.1 OPEX TUUA'!$Q$7,'2.2 OPEX LAP 2023'!L170*'2.1 OPEX TUUA'!$Q$8)</f>
        <v>0</v>
      </c>
      <c r="R169" s="3">
        <f>+IF(F169="Pasajero",'2.2 OPEX LAP 2023'!M170*'2.1 OPEX TUUA'!$R$7,'2.2 OPEX LAP 2023'!M170*'2.1 OPEX TUUA'!$R$8)</f>
        <v>0</v>
      </c>
      <c r="S169" s="3">
        <f>+IF(F169="Pasajero",'2.2 OPEX LAP 2023'!N170*'2.1 OPEX TUUA'!$S$7,'2.2 OPEX LAP 2023'!N170*'2.1 OPEX TUUA'!$S$8)</f>
        <v>0</v>
      </c>
      <c r="AA169" s="6"/>
      <c r="AB169" s="6"/>
      <c r="AC169" s="6"/>
      <c r="AD169" s="6"/>
      <c r="AE169" s="6"/>
      <c r="AF169" s="6"/>
    </row>
    <row r="170" spans="2:32" x14ac:dyDescent="0.25">
      <c r="B170" s="16">
        <v>8710000001</v>
      </c>
      <c r="C170" s="190" t="s">
        <v>13</v>
      </c>
      <c r="D170" s="190" t="s">
        <v>14</v>
      </c>
      <c r="E170" s="190" t="s">
        <v>175</v>
      </c>
      <c r="F170" s="162" t="s">
        <v>190</v>
      </c>
      <c r="G170" s="3">
        <f>+IF(F170="Pasajero",'2.2 OPEX LAP 2023'!I171*'2.1 OPEX TUUA'!$G$7,'2.2 OPEX LAP 2023'!I171*'2.1 OPEX TUUA'!$G$8)</f>
        <v>0</v>
      </c>
      <c r="H170" s="3">
        <f>+IF(F170="Pasajero",'2.2 OPEX LAP 2023'!J171*'2.1 OPEX TUUA'!$H$7,'2.2 OPEX LAP 2023'!J171*'2.1 OPEX TUUA'!$H$8)</f>
        <v>0</v>
      </c>
      <c r="I170" s="3">
        <f>+IF(F170="Pasajero",'2.2 OPEX LAP 2023'!K171*'2.1 OPEX TUUA'!$I$7,'2.2 OPEX LAP 2023'!K171*'2.1 OPEX TUUA'!$I$8)</f>
        <v>0</v>
      </c>
      <c r="J170" s="3">
        <f>+IF(F170="Pasajero",'2.2 OPEX LAP 2023'!L171*'2.1 OPEX TUUA'!$J$7,'2.2 OPEX LAP 2023'!L171*'2.1 OPEX TUUA'!$J$8)</f>
        <v>0</v>
      </c>
      <c r="K170" s="3">
        <f>+IF(F170="Pasajero",'2.2 OPEX LAP 2023'!M171*'2.1 OPEX TUUA'!$K$7,'2.2 OPEX LAP 2023'!M171*'2.1 OPEX TUUA'!$K$8)</f>
        <v>0</v>
      </c>
      <c r="L170" s="3">
        <f>+IF(F170="Pasajero",'2.2 OPEX LAP 2023'!N171*'2.1 OPEX TUUA'!$L$7,'2.2 OPEX LAP 2023'!N171*'2.1 OPEX TUUA'!$L$8)</f>
        <v>0</v>
      </c>
      <c r="M170" s="3"/>
      <c r="N170" s="3">
        <f>+IF(F170="Pasajero",'2.2 OPEX LAP 2023'!I171*'2.1 OPEX TUUA'!$N$7,'2.2 OPEX LAP 2023'!I171*'2.1 OPEX TUUA'!$N$8)</f>
        <v>0</v>
      </c>
      <c r="O170" s="3">
        <f>+IF(F170="Pasajero",'2.2 OPEX LAP 2023'!J171*'2.1 OPEX TUUA'!$O$7,'2.2 OPEX LAP 2023'!J171*'2.1 OPEX TUUA'!$O$8)</f>
        <v>0</v>
      </c>
      <c r="P170" s="3">
        <f>+IF(F170="Pasajero",'2.2 OPEX LAP 2023'!K171*'2.1 OPEX TUUA'!$P$7,'2.2 OPEX LAP 2023'!K171*'2.1 OPEX TUUA'!$P$8)</f>
        <v>0</v>
      </c>
      <c r="Q170" s="3">
        <f>+IF(F170="Pasajero",'2.2 OPEX LAP 2023'!L171*'2.1 OPEX TUUA'!$Q$7,'2.2 OPEX LAP 2023'!L171*'2.1 OPEX TUUA'!$Q$8)</f>
        <v>0</v>
      </c>
      <c r="R170" s="3">
        <f>+IF(F170="Pasajero",'2.2 OPEX LAP 2023'!M171*'2.1 OPEX TUUA'!$R$7,'2.2 OPEX LAP 2023'!M171*'2.1 OPEX TUUA'!$R$8)</f>
        <v>0</v>
      </c>
      <c r="S170" s="3">
        <f>+IF(F170="Pasajero",'2.2 OPEX LAP 2023'!N171*'2.1 OPEX TUUA'!$S$7,'2.2 OPEX LAP 2023'!N171*'2.1 OPEX TUUA'!$S$8)</f>
        <v>0</v>
      </c>
      <c r="AA170" s="6"/>
      <c r="AB170" s="6"/>
      <c r="AC170" s="6"/>
      <c r="AD170" s="6"/>
      <c r="AE170" s="6"/>
      <c r="AF170" s="6"/>
    </row>
    <row r="171" spans="2:32" x14ac:dyDescent="0.25">
      <c r="B171" s="16">
        <v>6211000001</v>
      </c>
      <c r="C171" s="190" t="s">
        <v>176</v>
      </c>
      <c r="D171" s="190" t="s">
        <v>14</v>
      </c>
      <c r="E171" s="190" t="s">
        <v>15</v>
      </c>
      <c r="F171" s="162" t="s">
        <v>190</v>
      </c>
      <c r="G171" s="3">
        <f>+IF(F171="Pasajero",'2.2 OPEX LAP 2023'!I172*'2.1 OPEX TUUA'!$G$7,'2.2 OPEX LAP 2023'!I172*'2.1 OPEX TUUA'!$G$8)</f>
        <v>486899.40495646733</v>
      </c>
      <c r="H171" s="3">
        <f>+IF(F171="Pasajero",'2.2 OPEX LAP 2023'!J172*'2.1 OPEX TUUA'!$H$7,'2.2 OPEX LAP 2023'!J172*'2.1 OPEX TUUA'!$H$8)</f>
        <v>572482.14630783827</v>
      </c>
      <c r="I171" s="3">
        <f>+IF(F171="Pasajero",'2.2 OPEX LAP 2023'!K172*'2.1 OPEX TUUA'!$I$7,'2.2 OPEX LAP 2023'!K172*'2.1 OPEX TUUA'!$I$8)</f>
        <v>644453.04785231431</v>
      </c>
      <c r="J171" s="3">
        <f>+IF(F171="Pasajero",'2.2 OPEX LAP 2023'!L172*'2.1 OPEX TUUA'!$J$7,'2.2 OPEX LAP 2023'!L172*'2.1 OPEX TUUA'!$J$8)</f>
        <v>683822.36139428779</v>
      </c>
      <c r="K171" s="3">
        <f>+IF(F171="Pasajero",'2.2 OPEX LAP 2023'!M172*'2.1 OPEX TUUA'!$K$7,'2.2 OPEX LAP 2023'!M172*'2.1 OPEX TUUA'!$K$8)</f>
        <v>712510.3697778004</v>
      </c>
      <c r="L171" s="3">
        <f>+IF(F171="Pasajero",'2.2 OPEX LAP 2023'!N172*'2.1 OPEX TUUA'!$L$7,'2.2 OPEX LAP 2023'!N172*'2.1 OPEX TUUA'!$L$8)</f>
        <v>744495.02233130787</v>
      </c>
      <c r="M171" s="3"/>
      <c r="N171" s="3">
        <f>+IF(F171="Pasajero",'2.2 OPEX LAP 2023'!I172*'2.1 OPEX TUUA'!$N$7,'2.2 OPEX LAP 2023'!I172*'2.1 OPEX TUUA'!$N$8)</f>
        <v>240147.17284492805</v>
      </c>
      <c r="O171" s="3">
        <f>+IF(F171="Pasajero",'2.2 OPEX LAP 2023'!J172*'2.1 OPEX TUUA'!$O$7,'2.2 OPEX LAP 2023'!J172*'2.1 OPEX TUUA'!$O$8)</f>
        <v>237101.05244203811</v>
      </c>
      <c r="P171" s="3">
        <f>+IF(F171="Pasajero",'2.2 OPEX LAP 2023'!K172*'2.1 OPEX TUUA'!$P$7,'2.2 OPEX LAP 2023'!K172*'2.1 OPEX TUUA'!$P$8)</f>
        <v>235952.7413586835</v>
      </c>
      <c r="Q171" s="3">
        <f>+IF(F171="Pasajero",'2.2 OPEX LAP 2023'!L172*'2.1 OPEX TUUA'!$Q$7,'2.2 OPEX LAP 2023'!L172*'2.1 OPEX TUUA'!$Q$8)</f>
        <v>234763.67072297793</v>
      </c>
      <c r="R171" s="3">
        <f>+IF(F171="Pasajero",'2.2 OPEX LAP 2023'!M172*'2.1 OPEX TUUA'!$R$7,'2.2 OPEX LAP 2023'!M172*'2.1 OPEX TUUA'!$R$8)</f>
        <v>236229.65557102539</v>
      </c>
      <c r="S171" s="3">
        <f>+IF(F171="Pasajero",'2.2 OPEX LAP 2023'!N172*'2.1 OPEX TUUA'!$S$7,'2.2 OPEX LAP 2023'!N172*'2.1 OPEX TUUA'!$S$8)</f>
        <v>236627.05213690936</v>
      </c>
      <c r="AA171" s="6"/>
      <c r="AB171" s="6"/>
      <c r="AC171" s="6"/>
      <c r="AD171" s="6"/>
      <c r="AE171" s="6"/>
      <c r="AF171" s="6"/>
    </row>
    <row r="172" spans="2:32" x14ac:dyDescent="0.25">
      <c r="B172" s="16">
        <v>6212000001</v>
      </c>
      <c r="C172" s="190" t="s">
        <v>176</v>
      </c>
      <c r="D172" s="190" t="s">
        <v>14</v>
      </c>
      <c r="E172" s="190" t="s">
        <v>16</v>
      </c>
      <c r="F172" s="162" t="s">
        <v>190</v>
      </c>
      <c r="G172" s="3">
        <f>+IF(F172="Pasajero",'2.2 OPEX LAP 2023'!I173*'2.1 OPEX TUUA'!$G$7,'2.2 OPEX LAP 2023'!I173*'2.1 OPEX TUUA'!$G$8)</f>
        <v>92648.81421306527</v>
      </c>
      <c r="H172" s="3">
        <f>+IF(F172="Pasajero",'2.2 OPEX LAP 2023'!J173*'2.1 OPEX TUUA'!$H$7,'2.2 OPEX LAP 2023'!J173*'2.1 OPEX TUUA'!$H$8)</f>
        <v>108933.77866895101</v>
      </c>
      <c r="I172" s="3">
        <f>+IF(F172="Pasajero",'2.2 OPEX LAP 2023'!K173*'2.1 OPEX TUUA'!$I$7,'2.2 OPEX LAP 2023'!K173*'2.1 OPEX TUUA'!$I$8)</f>
        <v>122628.6376440552</v>
      </c>
      <c r="J172" s="3">
        <f>+IF(F172="Pasajero",'2.2 OPEX LAP 2023'!L173*'2.1 OPEX TUUA'!$J$7,'2.2 OPEX LAP 2023'!L173*'2.1 OPEX TUUA'!$J$8)</f>
        <v>130119.95962743765</v>
      </c>
      <c r="K172" s="3">
        <f>+IF(F172="Pasajero",'2.2 OPEX LAP 2023'!M173*'2.1 OPEX TUUA'!$K$7,'2.2 OPEX LAP 2023'!M173*'2.1 OPEX TUUA'!$K$8)</f>
        <v>135578.80786551378</v>
      </c>
      <c r="L172" s="3">
        <f>+IF(F172="Pasajero",'2.2 OPEX LAP 2023'!N173*'2.1 OPEX TUUA'!$L$7,'2.2 OPEX LAP 2023'!N173*'2.1 OPEX TUUA'!$L$8)</f>
        <v>141664.95235846977</v>
      </c>
      <c r="M172" s="3"/>
      <c r="N172" s="3">
        <f>+IF(F172="Pasajero",'2.2 OPEX LAP 2023'!I173*'2.1 OPEX TUUA'!$N$7,'2.2 OPEX LAP 2023'!I173*'2.1 OPEX TUUA'!$N$8)</f>
        <v>45695.9909464089</v>
      </c>
      <c r="O172" s="3">
        <f>+IF(F172="Pasajero",'2.2 OPEX LAP 2023'!J173*'2.1 OPEX TUUA'!$O$7,'2.2 OPEX LAP 2023'!J173*'2.1 OPEX TUUA'!$O$8)</f>
        <v>45116.365174832514</v>
      </c>
      <c r="P172" s="3">
        <f>+IF(F172="Pasajero",'2.2 OPEX LAP 2023'!K173*'2.1 OPEX TUUA'!$P$7,'2.2 OPEX LAP 2023'!K173*'2.1 OPEX TUUA'!$P$8)</f>
        <v>44897.860779186274</v>
      </c>
      <c r="Q172" s="3">
        <f>+IF(F172="Pasajero",'2.2 OPEX LAP 2023'!L173*'2.1 OPEX TUUA'!$Q$7,'2.2 OPEX LAP 2023'!L173*'2.1 OPEX TUUA'!$Q$8)</f>
        <v>44671.600522360641</v>
      </c>
      <c r="R172" s="3">
        <f>+IF(F172="Pasajero",'2.2 OPEX LAP 2023'!M173*'2.1 OPEX TUUA'!$R$7,'2.2 OPEX LAP 2023'!M173*'2.1 OPEX TUUA'!$R$8)</f>
        <v>44950.552922883828</v>
      </c>
      <c r="S172" s="3">
        <f>+IF(F172="Pasajero",'2.2 OPEX LAP 2023'!N173*'2.1 OPEX TUUA'!$S$7,'2.2 OPEX LAP 2023'!N173*'2.1 OPEX TUUA'!$S$8)</f>
        <v>45026.170843601532</v>
      </c>
      <c r="AA172" s="6"/>
      <c r="AB172" s="6"/>
      <c r="AC172" s="6"/>
      <c r="AD172" s="6"/>
      <c r="AE172" s="6"/>
      <c r="AF172" s="6"/>
    </row>
    <row r="173" spans="2:32" x14ac:dyDescent="0.25">
      <c r="B173" s="16">
        <v>6213000001</v>
      </c>
      <c r="C173" s="190" t="s">
        <v>176</v>
      </c>
      <c r="D173" s="190" t="s">
        <v>14</v>
      </c>
      <c r="E173" s="190" t="s">
        <v>17</v>
      </c>
      <c r="F173" s="162" t="s">
        <v>190</v>
      </c>
      <c r="G173" s="3">
        <f>+IF(F173="Pasajero",'2.2 OPEX LAP 2023'!I174*'2.1 OPEX TUUA'!$G$7,'2.2 OPEX LAP 2023'!I174*'2.1 OPEX TUUA'!$G$8)</f>
        <v>49188.337836967839</v>
      </c>
      <c r="H173" s="3">
        <f>+IF(F173="Pasajero",'2.2 OPEX LAP 2023'!J174*'2.1 OPEX TUUA'!$H$7,'2.2 OPEX LAP 2023'!J174*'2.1 OPEX TUUA'!$H$8)</f>
        <v>57834.215715954873</v>
      </c>
      <c r="I173" s="3">
        <f>+IF(F173="Pasajero",'2.2 OPEX LAP 2023'!K174*'2.1 OPEX TUUA'!$I$7,'2.2 OPEX LAP 2023'!K174*'2.1 OPEX TUUA'!$I$8)</f>
        <v>65104.976336246364</v>
      </c>
      <c r="J173" s="3">
        <f>+IF(F173="Pasajero",'2.2 OPEX LAP 2023'!L174*'2.1 OPEX TUUA'!$J$7,'2.2 OPEX LAP 2023'!L174*'2.1 OPEX TUUA'!$J$8)</f>
        <v>69082.20669471279</v>
      </c>
      <c r="K173" s="3">
        <f>+IF(F173="Pasajero",'2.2 OPEX LAP 2023'!M174*'2.1 OPEX TUUA'!$K$7,'2.2 OPEX LAP 2023'!M174*'2.1 OPEX TUUA'!$K$8)</f>
        <v>71980.372997389117</v>
      </c>
      <c r="L173" s="3">
        <f>+IF(F173="Pasajero",'2.2 OPEX LAP 2023'!N174*'2.1 OPEX TUUA'!$L$7,'2.2 OPEX LAP 2023'!N174*'2.1 OPEX TUUA'!$L$8)</f>
        <v>75211.578210179694</v>
      </c>
      <c r="M173" s="3"/>
      <c r="N173" s="3">
        <f>+IF(F173="Pasajero",'2.2 OPEX LAP 2023'!I174*'2.1 OPEX TUUA'!$N$7,'2.2 OPEX LAP 2023'!I174*'2.1 OPEX TUUA'!$N$8)</f>
        <v>24260.535437592403</v>
      </c>
      <c r="O173" s="3">
        <f>+IF(F173="Pasajero",'2.2 OPEX LAP 2023'!J174*'2.1 OPEX TUUA'!$O$7,'2.2 OPEX LAP 2023'!J174*'2.1 OPEX TUUA'!$O$8)</f>
        <v>23952.805343975167</v>
      </c>
      <c r="P173" s="3">
        <f>+IF(F173="Pasajero",'2.2 OPEX LAP 2023'!K174*'2.1 OPEX TUUA'!$P$7,'2.2 OPEX LAP 2023'!K174*'2.1 OPEX TUUA'!$P$8)</f>
        <v>23836.798807645489</v>
      </c>
      <c r="Q173" s="3">
        <f>+IF(F173="Pasajero",'2.2 OPEX LAP 2023'!L174*'2.1 OPEX TUUA'!$Q$7,'2.2 OPEX LAP 2023'!L174*'2.1 OPEX TUUA'!$Q$8)</f>
        <v>23716.674594007702</v>
      </c>
      <c r="R173" s="3">
        <f>+IF(F173="Pasajero",'2.2 OPEX LAP 2023'!M174*'2.1 OPEX TUUA'!$R$7,'2.2 OPEX LAP 2023'!M174*'2.1 OPEX TUUA'!$R$8)</f>
        <v>23864.773682311334</v>
      </c>
      <c r="S173" s="3">
        <f>+IF(F173="Pasajero",'2.2 OPEX LAP 2023'!N174*'2.1 OPEX TUUA'!$S$7,'2.2 OPEX LAP 2023'!N174*'2.1 OPEX TUUA'!$S$8)</f>
        <v>23904.92011982793</v>
      </c>
      <c r="AA173" s="6"/>
      <c r="AB173" s="6"/>
      <c r="AC173" s="6"/>
      <c r="AD173" s="6"/>
      <c r="AE173" s="6"/>
      <c r="AF173" s="6"/>
    </row>
    <row r="174" spans="2:32" x14ac:dyDescent="0.25">
      <c r="B174" s="16">
        <v>6214000001</v>
      </c>
      <c r="C174" s="190" t="s">
        <v>176</v>
      </c>
      <c r="D174" s="190" t="s">
        <v>14</v>
      </c>
      <c r="E174" s="190" t="s">
        <v>18</v>
      </c>
      <c r="F174" s="162" t="s">
        <v>190</v>
      </c>
      <c r="G174" s="3">
        <f>+IF(F174="Pasajero",'2.2 OPEX LAP 2023'!I175*'2.1 OPEX TUUA'!$G$7,'2.2 OPEX LAP 2023'!I175*'2.1 OPEX TUUA'!$G$8)</f>
        <v>13909.071850565688</v>
      </c>
      <c r="H174" s="3">
        <f>+IF(F174="Pasajero",'2.2 OPEX LAP 2023'!J175*'2.1 OPEX TUUA'!$H$7,'2.2 OPEX LAP 2023'!J175*'2.1 OPEX TUUA'!$H$8)</f>
        <v>16353.881777435545</v>
      </c>
      <c r="I174" s="3">
        <f>+IF(F174="Pasajero",'2.2 OPEX LAP 2023'!K175*'2.1 OPEX TUUA'!$I$7,'2.2 OPEX LAP 2023'!K175*'2.1 OPEX TUUA'!$I$8)</f>
        <v>18409.847405123277</v>
      </c>
      <c r="J174" s="3">
        <f>+IF(F174="Pasajero",'2.2 OPEX LAP 2023'!L175*'2.1 OPEX TUUA'!$J$7,'2.2 OPEX LAP 2023'!L175*'2.1 OPEX TUUA'!$J$8)</f>
        <v>19534.495751760129</v>
      </c>
      <c r="K174" s="3">
        <f>+IF(F174="Pasajero",'2.2 OPEX LAP 2023'!M175*'2.1 OPEX TUUA'!$K$7,'2.2 OPEX LAP 2023'!M175*'2.1 OPEX TUUA'!$K$8)</f>
        <v>20354.015278368679</v>
      </c>
      <c r="L174" s="3">
        <f>+IF(F174="Pasajero",'2.2 OPEX LAP 2023'!N175*'2.1 OPEX TUUA'!$L$7,'2.2 OPEX LAP 2023'!N175*'2.1 OPEX TUUA'!$L$8)</f>
        <v>21267.708796893086</v>
      </c>
      <c r="M174" s="3"/>
      <c r="N174" s="3">
        <f>+IF(F174="Pasajero",'2.2 OPEX LAP 2023'!I175*'2.1 OPEX TUUA'!$N$7,'2.2 OPEX LAP 2023'!I175*'2.1 OPEX TUUA'!$N$8)</f>
        <v>6860.1938055540732</v>
      </c>
      <c r="O174" s="3">
        <f>+IF(F174="Pasajero",'2.2 OPEX LAP 2023'!J175*'2.1 OPEX TUUA'!$O$7,'2.2 OPEX LAP 2023'!J175*'2.1 OPEX TUUA'!$O$8)</f>
        <v>6773.1764317023672</v>
      </c>
      <c r="P174" s="3">
        <f>+IF(F174="Pasajero",'2.2 OPEX LAP 2023'!K175*'2.1 OPEX TUUA'!$P$7,'2.2 OPEX LAP 2023'!K175*'2.1 OPEX TUUA'!$P$8)</f>
        <v>6740.3730616374396</v>
      </c>
      <c r="Q174" s="3">
        <f>+IF(F174="Pasajero",'2.2 OPEX LAP 2023'!L175*'2.1 OPEX TUUA'!$Q$7,'2.2 OPEX LAP 2023'!L175*'2.1 OPEX TUUA'!$Q$8)</f>
        <v>6706.405328797624</v>
      </c>
      <c r="R174" s="3">
        <f>+IF(F174="Pasajero",'2.2 OPEX LAP 2023'!M175*'2.1 OPEX TUUA'!$R$7,'2.2 OPEX LAP 2023'!M175*'2.1 OPEX TUUA'!$R$8)</f>
        <v>6748.2835656074558</v>
      </c>
      <c r="S174" s="3">
        <f>+IF(F174="Pasajero",'2.2 OPEX LAP 2023'!N175*'2.1 OPEX TUUA'!$S$7,'2.2 OPEX LAP 2023'!N175*'2.1 OPEX TUUA'!$S$8)</f>
        <v>6759.6358435765414</v>
      </c>
      <c r="AA174" s="6"/>
      <c r="AB174" s="6"/>
      <c r="AC174" s="6"/>
      <c r="AD174" s="6"/>
      <c r="AE174" s="6"/>
      <c r="AF174" s="6"/>
    </row>
    <row r="175" spans="2:32" x14ac:dyDescent="0.25">
      <c r="B175" s="16">
        <v>6221000001</v>
      </c>
      <c r="C175" s="190" t="s">
        <v>176</v>
      </c>
      <c r="D175" s="190" t="s">
        <v>14</v>
      </c>
      <c r="E175" s="190" t="s">
        <v>19</v>
      </c>
      <c r="F175" s="162" t="s">
        <v>190</v>
      </c>
      <c r="G175" s="3">
        <f>+IF(F175="Pasajero",'2.2 OPEX LAP 2023'!I176*'2.1 OPEX TUUA'!$G$7,'2.2 OPEX LAP 2023'!I176*'2.1 OPEX TUUA'!$G$8)</f>
        <v>5156.6705322405242</v>
      </c>
      <c r="H175" s="3">
        <f>+IF(F175="Pasajero",'2.2 OPEX LAP 2023'!J176*'2.1 OPEX TUUA'!$H$7,'2.2 OPEX LAP 2023'!J176*'2.1 OPEX TUUA'!$H$8)</f>
        <v>6063.0630969109097</v>
      </c>
      <c r="I175" s="3">
        <f>+IF(F175="Pasajero",'2.2 OPEX LAP 2023'!K176*'2.1 OPEX TUUA'!$I$7,'2.2 OPEX LAP 2023'!K176*'2.1 OPEX TUUA'!$I$8)</f>
        <v>6825.2949324712054</v>
      </c>
      <c r="J175" s="3">
        <f>+IF(F175="Pasajero",'2.2 OPEX LAP 2023'!L176*'2.1 OPEX TUUA'!$J$7,'2.2 OPEX LAP 2023'!L176*'2.1 OPEX TUUA'!$J$8)</f>
        <v>7242.2487774539968</v>
      </c>
      <c r="K175" s="3">
        <f>+IF(F175="Pasajero",'2.2 OPEX LAP 2023'!M176*'2.1 OPEX TUUA'!$K$7,'2.2 OPEX LAP 2023'!M176*'2.1 OPEX TUUA'!$K$8)</f>
        <v>7546.0786978728893</v>
      </c>
      <c r="L175" s="3">
        <f>+IF(F175="Pasajero",'2.2 OPEX LAP 2023'!N176*'2.1 OPEX TUUA'!$L$7,'2.2 OPEX LAP 2023'!N176*'2.1 OPEX TUUA'!$L$8)</f>
        <v>7884.822827825913</v>
      </c>
      <c r="M175" s="3"/>
      <c r="N175" s="3">
        <f>+IF(F175="Pasajero",'2.2 OPEX LAP 2023'!I176*'2.1 OPEX TUUA'!$N$7,'2.2 OPEX LAP 2023'!I176*'2.1 OPEX TUUA'!$N$8)</f>
        <v>2543.3587246240968</v>
      </c>
      <c r="O175" s="3">
        <f>+IF(F175="Pasajero",'2.2 OPEX LAP 2023'!J176*'2.1 OPEX TUUA'!$O$7,'2.2 OPEX LAP 2023'!J176*'2.1 OPEX TUUA'!$O$8)</f>
        <v>2511.097770596758</v>
      </c>
      <c r="P175" s="3">
        <f>+IF(F175="Pasajero",'2.2 OPEX LAP 2023'!K176*'2.1 OPEX TUUA'!$P$7,'2.2 OPEX LAP 2023'!K176*'2.1 OPEX TUUA'!$P$8)</f>
        <v>2498.9361990994394</v>
      </c>
      <c r="Q175" s="3">
        <f>+IF(F175="Pasajero",'2.2 OPEX LAP 2023'!L176*'2.1 OPEX TUUA'!$Q$7,'2.2 OPEX LAP 2023'!L176*'2.1 OPEX TUUA'!$Q$8)</f>
        <v>2486.342949969378</v>
      </c>
      <c r="R175" s="3">
        <f>+IF(F175="Pasajero",'2.2 OPEX LAP 2023'!M176*'2.1 OPEX TUUA'!$R$7,'2.2 OPEX LAP 2023'!M176*'2.1 OPEX TUUA'!$R$8)</f>
        <v>2501.8689514178982</v>
      </c>
      <c r="S175" s="3">
        <f>+IF(F175="Pasajero",'2.2 OPEX LAP 2023'!N176*'2.1 OPEX TUUA'!$S$7,'2.2 OPEX LAP 2023'!N176*'2.1 OPEX TUUA'!$S$8)</f>
        <v>2506.0777122831751</v>
      </c>
      <c r="AA175" s="6"/>
      <c r="AB175" s="6"/>
      <c r="AC175" s="6"/>
      <c r="AD175" s="6"/>
      <c r="AE175" s="6"/>
      <c r="AF175" s="6"/>
    </row>
    <row r="176" spans="2:32" x14ac:dyDescent="0.25">
      <c r="B176" s="16">
        <v>6231000001</v>
      </c>
      <c r="C176" s="190" t="s">
        <v>176</v>
      </c>
      <c r="D176" s="190" t="s">
        <v>14</v>
      </c>
      <c r="E176" s="190" t="s">
        <v>20</v>
      </c>
      <c r="F176" s="162" t="s">
        <v>190</v>
      </c>
      <c r="G176" s="3">
        <f>+IF(F176="Pasajero",'2.2 OPEX LAP 2023'!I177*'2.1 OPEX TUUA'!$G$7,'2.2 OPEX LAP 2023'!I177*'2.1 OPEX TUUA'!$G$8)</f>
        <v>0</v>
      </c>
      <c r="H176" s="3">
        <f>+IF(F176="Pasajero",'2.2 OPEX LAP 2023'!J177*'2.1 OPEX TUUA'!$H$7,'2.2 OPEX LAP 2023'!J177*'2.1 OPEX TUUA'!$H$8)</f>
        <v>0</v>
      </c>
      <c r="I176" s="3">
        <f>+IF(F176="Pasajero",'2.2 OPEX LAP 2023'!K177*'2.1 OPEX TUUA'!$I$7,'2.2 OPEX LAP 2023'!K177*'2.1 OPEX TUUA'!$I$8)</f>
        <v>0</v>
      </c>
      <c r="J176" s="3">
        <f>+IF(F176="Pasajero",'2.2 OPEX LAP 2023'!L177*'2.1 OPEX TUUA'!$J$7,'2.2 OPEX LAP 2023'!L177*'2.1 OPEX TUUA'!$J$8)</f>
        <v>0</v>
      </c>
      <c r="K176" s="3">
        <f>+IF(F176="Pasajero",'2.2 OPEX LAP 2023'!M177*'2.1 OPEX TUUA'!$K$7,'2.2 OPEX LAP 2023'!M177*'2.1 OPEX TUUA'!$K$8)</f>
        <v>0</v>
      </c>
      <c r="L176" s="3">
        <f>+IF(F176="Pasajero",'2.2 OPEX LAP 2023'!N177*'2.1 OPEX TUUA'!$L$7,'2.2 OPEX LAP 2023'!N177*'2.1 OPEX TUUA'!$L$8)</f>
        <v>0</v>
      </c>
      <c r="M176" s="3"/>
      <c r="N176" s="3">
        <f>+IF(F176="Pasajero",'2.2 OPEX LAP 2023'!I177*'2.1 OPEX TUUA'!$N$7,'2.2 OPEX LAP 2023'!I177*'2.1 OPEX TUUA'!$N$8)</f>
        <v>0</v>
      </c>
      <c r="O176" s="3">
        <f>+IF(F176="Pasajero",'2.2 OPEX LAP 2023'!J177*'2.1 OPEX TUUA'!$O$7,'2.2 OPEX LAP 2023'!J177*'2.1 OPEX TUUA'!$O$8)</f>
        <v>0</v>
      </c>
      <c r="P176" s="3">
        <f>+IF(F176="Pasajero",'2.2 OPEX LAP 2023'!K177*'2.1 OPEX TUUA'!$P$7,'2.2 OPEX LAP 2023'!K177*'2.1 OPEX TUUA'!$P$8)</f>
        <v>0</v>
      </c>
      <c r="Q176" s="3">
        <f>+IF(F176="Pasajero",'2.2 OPEX LAP 2023'!L177*'2.1 OPEX TUUA'!$Q$7,'2.2 OPEX LAP 2023'!L177*'2.1 OPEX TUUA'!$Q$8)</f>
        <v>0</v>
      </c>
      <c r="R176" s="3">
        <f>+IF(F176="Pasajero",'2.2 OPEX LAP 2023'!M177*'2.1 OPEX TUUA'!$R$7,'2.2 OPEX LAP 2023'!M177*'2.1 OPEX TUUA'!$R$8)</f>
        <v>0</v>
      </c>
      <c r="S176" s="3">
        <f>+IF(F176="Pasajero",'2.2 OPEX LAP 2023'!N177*'2.1 OPEX TUUA'!$S$7,'2.2 OPEX LAP 2023'!N177*'2.1 OPEX TUUA'!$S$8)</f>
        <v>0</v>
      </c>
      <c r="AA176" s="6"/>
      <c r="AB176" s="6"/>
      <c r="AC176" s="6"/>
      <c r="AD176" s="6"/>
      <c r="AE176" s="6"/>
      <c r="AF176" s="6"/>
    </row>
    <row r="177" spans="2:32" x14ac:dyDescent="0.25">
      <c r="B177" s="16">
        <v>6240000001</v>
      </c>
      <c r="C177" s="190" t="s">
        <v>176</v>
      </c>
      <c r="D177" s="190" t="s">
        <v>14</v>
      </c>
      <c r="E177" s="190" t="s">
        <v>21</v>
      </c>
      <c r="F177" s="162" t="s">
        <v>190</v>
      </c>
      <c r="G177" s="3">
        <f>+IF(F177="Pasajero",'2.2 OPEX LAP 2023'!I178*'2.1 OPEX TUUA'!$G$7,'2.2 OPEX LAP 2023'!I178*'2.1 OPEX TUUA'!$G$8)</f>
        <v>4047.3078500410306</v>
      </c>
      <c r="H177" s="3">
        <f>+IF(F177="Pasajero",'2.2 OPEX LAP 2023'!J178*'2.1 OPEX TUUA'!$H$7,'2.2 OPEX LAP 2023'!J178*'2.1 OPEX TUUA'!$H$8)</f>
        <v>4758.706749635915</v>
      </c>
      <c r="I177" s="3">
        <f>+IF(F177="Pasajero",'2.2 OPEX LAP 2023'!K178*'2.1 OPEX TUUA'!$I$7,'2.2 OPEX LAP 2023'!K178*'2.1 OPEX TUUA'!$I$8)</f>
        <v>5356.9584456336361</v>
      </c>
      <c r="J177" s="3">
        <f>+IF(F177="Pasajero",'2.2 OPEX LAP 2023'!L178*'2.1 OPEX TUUA'!$J$7,'2.2 OPEX LAP 2023'!L178*'2.1 OPEX TUUA'!$J$8)</f>
        <v>5684.2123509108496</v>
      </c>
      <c r="K177" s="3">
        <f>+IF(F177="Pasajero",'2.2 OPEX LAP 2023'!M178*'2.1 OPEX TUUA'!$K$7,'2.2 OPEX LAP 2023'!M178*'2.1 OPEX TUUA'!$K$8)</f>
        <v>5922.6788603185068</v>
      </c>
      <c r="L177" s="3">
        <f>+IF(F177="Pasajero",'2.2 OPEX LAP 2023'!N178*'2.1 OPEX TUUA'!$L$7,'2.2 OPEX LAP 2023'!N178*'2.1 OPEX TUUA'!$L$8)</f>
        <v>6188.5484301780552</v>
      </c>
      <c r="M177" s="3"/>
      <c r="N177" s="3">
        <f>+IF(F177="Pasajero",'2.2 OPEX LAP 2023'!I178*'2.1 OPEX TUUA'!$N$7,'2.2 OPEX LAP 2023'!I178*'2.1 OPEX TUUA'!$N$8)</f>
        <v>1996.2019421801049</v>
      </c>
      <c r="O177" s="3">
        <f>+IF(F177="Pasajero",'2.2 OPEX LAP 2023'!J178*'2.1 OPEX TUUA'!$O$7,'2.2 OPEX LAP 2023'!J178*'2.1 OPEX TUUA'!$O$8)</f>
        <v>1970.8813381841135</v>
      </c>
      <c r="P177" s="3">
        <f>+IF(F177="Pasajero",'2.2 OPEX LAP 2023'!K178*'2.1 OPEX TUUA'!$P$7,'2.2 OPEX LAP 2023'!K178*'2.1 OPEX TUUA'!$P$8)</f>
        <v>1961.3361047855105</v>
      </c>
      <c r="Q177" s="3">
        <f>+IF(F177="Pasajero",'2.2 OPEX LAP 2023'!L178*'2.1 OPEX TUUA'!$Q$7,'2.2 OPEX LAP 2023'!L178*'2.1 OPEX TUUA'!$Q$8)</f>
        <v>1951.4520612456038</v>
      </c>
      <c r="R177" s="3">
        <f>+IF(F177="Pasajero",'2.2 OPEX LAP 2023'!M178*'2.1 OPEX TUUA'!$R$7,'2.2 OPEX LAP 2023'!M178*'2.1 OPEX TUUA'!$R$8)</f>
        <v>1963.6379294622106</v>
      </c>
      <c r="S177" s="3">
        <f>+IF(F177="Pasajero",'2.2 OPEX LAP 2023'!N178*'2.1 OPEX TUUA'!$S$7,'2.2 OPEX LAP 2023'!N178*'2.1 OPEX TUUA'!$S$8)</f>
        <v>1966.9412529502017</v>
      </c>
      <c r="AA177" s="6"/>
      <c r="AB177" s="6"/>
      <c r="AC177" s="6"/>
      <c r="AD177" s="6"/>
      <c r="AE177" s="6"/>
      <c r="AF177" s="6"/>
    </row>
    <row r="178" spans="2:32" x14ac:dyDescent="0.25">
      <c r="B178" s="16">
        <v>6250000001</v>
      </c>
      <c r="C178" s="190" t="s">
        <v>176</v>
      </c>
      <c r="D178" s="190" t="s">
        <v>14</v>
      </c>
      <c r="E178" s="190" t="s">
        <v>22</v>
      </c>
      <c r="F178" s="162" t="s">
        <v>190</v>
      </c>
      <c r="G178" s="3">
        <f>+IF(F178="Pasajero",'2.2 OPEX LAP 2023'!I179*'2.1 OPEX TUUA'!$G$7,'2.2 OPEX LAP 2023'!I179*'2.1 OPEX TUUA'!$G$8)</f>
        <v>2210.6724313671766</v>
      </c>
      <c r="H178" s="3">
        <f>+IF(F178="Pasajero",'2.2 OPEX LAP 2023'!J179*'2.1 OPEX TUUA'!$H$7,'2.2 OPEX LAP 2023'!J179*'2.1 OPEX TUUA'!$H$8)</f>
        <v>2599.2442903186557</v>
      </c>
      <c r="I178" s="3">
        <f>+IF(F178="Pasajero",'2.2 OPEX LAP 2023'!K179*'2.1 OPEX TUUA'!$I$7,'2.2 OPEX LAP 2023'!K179*'2.1 OPEX TUUA'!$I$8)</f>
        <v>2926.0142273639462</v>
      </c>
      <c r="J178" s="3">
        <f>+IF(F178="Pasajero",'2.2 OPEX LAP 2023'!L179*'2.1 OPEX TUUA'!$J$7,'2.2 OPEX LAP 2023'!L179*'2.1 OPEX TUUA'!$J$8)</f>
        <v>3104.7629693076187</v>
      </c>
      <c r="K178" s="3">
        <f>+IF(F178="Pasajero",'2.2 OPEX LAP 2023'!M179*'2.1 OPEX TUUA'!$K$7,'2.2 OPEX LAP 2023'!M179*'2.1 OPEX TUUA'!$K$8)</f>
        <v>3235.0153142451368</v>
      </c>
      <c r="L178" s="3">
        <f>+IF(F178="Pasajero",'2.2 OPEX LAP 2023'!N179*'2.1 OPEX TUUA'!$L$7,'2.2 OPEX LAP 2023'!N179*'2.1 OPEX TUUA'!$L$8)</f>
        <v>3380.235433446594</v>
      </c>
      <c r="M178" s="3"/>
      <c r="N178" s="3">
        <f>+IF(F178="Pasajero",'2.2 OPEX LAP 2023'!I179*'2.1 OPEX TUUA'!$N$7,'2.2 OPEX LAP 2023'!I179*'2.1 OPEX TUUA'!$N$8)</f>
        <v>1090.3417196135538</v>
      </c>
      <c r="O178" s="3">
        <f>+IF(F178="Pasajero",'2.2 OPEX LAP 2023'!J179*'2.1 OPEX TUUA'!$O$7,'2.2 OPEX LAP 2023'!J179*'2.1 OPEX TUUA'!$O$8)</f>
        <v>1076.5113999854248</v>
      </c>
      <c r="P178" s="3">
        <f>+IF(F178="Pasajero",'2.2 OPEX LAP 2023'!K179*'2.1 OPEX TUUA'!$P$7,'2.2 OPEX LAP 2023'!K179*'2.1 OPEX TUUA'!$P$8)</f>
        <v>1071.2977159497409</v>
      </c>
      <c r="Q178" s="3">
        <f>+IF(F178="Pasajero",'2.2 OPEX LAP 2023'!L179*'2.1 OPEX TUUA'!$Q$7,'2.2 OPEX LAP 2023'!L179*'2.1 OPEX TUUA'!$Q$8)</f>
        <v>1065.8989710621033</v>
      </c>
      <c r="R178" s="3">
        <f>+IF(F178="Pasajero",'2.2 OPEX LAP 2023'!M179*'2.1 OPEX TUUA'!$R$7,'2.2 OPEX LAP 2023'!M179*'2.1 OPEX TUUA'!$R$8)</f>
        <v>1072.554991290081</v>
      </c>
      <c r="S178" s="3">
        <f>+IF(F178="Pasajero",'2.2 OPEX LAP 2023'!N179*'2.1 OPEX TUUA'!$S$7,'2.2 OPEX LAP 2023'!N179*'2.1 OPEX TUUA'!$S$8)</f>
        <v>1074.3592934181524</v>
      </c>
      <c r="AA178" s="6"/>
      <c r="AB178" s="6"/>
      <c r="AC178" s="6"/>
      <c r="AD178" s="6"/>
      <c r="AE178" s="6"/>
      <c r="AF178" s="6"/>
    </row>
    <row r="179" spans="2:32" x14ac:dyDescent="0.25">
      <c r="B179" s="16">
        <v>6250000003</v>
      </c>
      <c r="C179" s="190" t="s">
        <v>176</v>
      </c>
      <c r="D179" s="190" t="s">
        <v>14</v>
      </c>
      <c r="E179" s="190" t="s">
        <v>23</v>
      </c>
      <c r="F179" s="162" t="s">
        <v>190</v>
      </c>
      <c r="G179" s="3">
        <f>+IF(F179="Pasajero",'2.2 OPEX LAP 2023'!I180*'2.1 OPEX TUUA'!$G$7,'2.2 OPEX LAP 2023'!I180*'2.1 OPEX TUUA'!$G$8)</f>
        <v>5854.7490741615911</v>
      </c>
      <c r="H179" s="3">
        <f>+IF(F179="Pasajero",'2.2 OPEX LAP 2023'!J180*'2.1 OPEX TUUA'!$H$7,'2.2 OPEX LAP 2023'!J180*'2.1 OPEX TUUA'!$H$8)</f>
        <v>6883.8435248642963</v>
      </c>
      <c r="I179" s="3">
        <f>+IF(F179="Pasajero",'2.2 OPEX LAP 2023'!K180*'2.1 OPEX TUUA'!$I$7,'2.2 OPEX LAP 2023'!K180*'2.1 OPEX TUUA'!$I$8)</f>
        <v>7749.2616479810622</v>
      </c>
      <c r="J179" s="3">
        <f>+IF(F179="Pasajero",'2.2 OPEX LAP 2023'!L180*'2.1 OPEX TUUA'!$J$7,'2.2 OPEX LAP 2023'!L180*'2.1 OPEX TUUA'!$J$8)</f>
        <v>8222.6601563050863</v>
      </c>
      <c r="K179" s="3">
        <f>+IF(F179="Pasajero",'2.2 OPEX LAP 2023'!M180*'2.1 OPEX TUUA'!$K$7,'2.2 OPEX LAP 2023'!M180*'2.1 OPEX TUUA'!$K$8)</f>
        <v>8567.6207145089484</v>
      </c>
      <c r="L179" s="3">
        <f>+IF(F179="Pasajero",'2.2 OPEX LAP 2023'!N180*'2.1 OPEX TUUA'!$L$7,'2.2 OPEX LAP 2023'!N180*'2.1 OPEX TUUA'!$L$8)</f>
        <v>8952.2219545572316</v>
      </c>
      <c r="M179" s="3"/>
      <c r="N179" s="3">
        <f>+IF(F179="Pasajero",'2.2 OPEX LAP 2023'!I180*'2.1 OPEX TUUA'!$N$7,'2.2 OPEX LAP 2023'!I180*'2.1 OPEX TUUA'!$N$8)</f>
        <v>2887.6630851542604</v>
      </c>
      <c r="O179" s="3">
        <f>+IF(F179="Pasajero",'2.2 OPEX LAP 2023'!J180*'2.1 OPEX TUUA'!$O$7,'2.2 OPEX LAP 2023'!J180*'2.1 OPEX TUUA'!$O$8)</f>
        <v>2851.0348403319053</v>
      </c>
      <c r="P179" s="3">
        <f>+IF(F179="Pasajero",'2.2 OPEX LAP 2023'!K180*'2.1 OPEX TUUA'!$P$7,'2.2 OPEX LAP 2023'!K180*'2.1 OPEX TUUA'!$P$8)</f>
        <v>2837.2269096101145</v>
      </c>
      <c r="Q179" s="3">
        <f>+IF(F179="Pasajero",'2.2 OPEX LAP 2023'!L180*'2.1 OPEX TUUA'!$Q$7,'2.2 OPEX LAP 2023'!L180*'2.1 OPEX TUUA'!$Q$8)</f>
        <v>2822.928863375837</v>
      </c>
      <c r="R179" s="3">
        <f>+IF(F179="Pasajero",'2.2 OPEX LAP 2023'!M180*'2.1 OPEX TUUA'!$R$7,'2.2 OPEX LAP 2023'!M180*'2.1 OPEX TUUA'!$R$8)</f>
        <v>2840.5566800140773</v>
      </c>
      <c r="S179" s="3">
        <f>+IF(F179="Pasajero",'2.2 OPEX LAP 2023'!N180*'2.1 OPEX TUUA'!$S$7,'2.2 OPEX LAP 2023'!N180*'2.1 OPEX TUUA'!$S$8)</f>
        <v>2845.3351972036644</v>
      </c>
      <c r="AA179" s="6"/>
      <c r="AB179" s="6"/>
      <c r="AC179" s="6"/>
      <c r="AD179" s="6"/>
      <c r="AE179" s="6"/>
      <c r="AF179" s="6"/>
    </row>
    <row r="180" spans="2:32" x14ac:dyDescent="0.25">
      <c r="B180" s="16">
        <v>6250000004</v>
      </c>
      <c r="C180" s="190" t="s">
        <v>176</v>
      </c>
      <c r="D180" s="190" t="s">
        <v>14</v>
      </c>
      <c r="E180" s="190" t="s">
        <v>24</v>
      </c>
      <c r="F180" s="162" t="s">
        <v>190</v>
      </c>
      <c r="G180" s="3">
        <f>+IF(F180="Pasajero",'2.2 OPEX LAP 2023'!I181*'2.1 OPEX TUUA'!$G$7,'2.2 OPEX LAP 2023'!I181*'2.1 OPEX TUUA'!$G$8)</f>
        <v>3573.1341567510904</v>
      </c>
      <c r="H180" s="3">
        <f>+IF(F180="Pasajero",'2.2 OPEX LAP 2023'!J181*'2.1 OPEX TUUA'!$H$7,'2.2 OPEX LAP 2023'!J181*'2.1 OPEX TUUA'!$H$8)</f>
        <v>4201.1871246497021</v>
      </c>
      <c r="I180" s="3">
        <f>+IF(F180="Pasajero",'2.2 OPEX LAP 2023'!K181*'2.1 OPEX TUUA'!$I$7,'2.2 OPEX LAP 2023'!K181*'2.1 OPEX TUUA'!$I$8)</f>
        <v>4729.3489666707028</v>
      </c>
      <c r="J180" s="3">
        <f>+IF(F180="Pasajero",'2.2 OPEX LAP 2023'!L181*'2.1 OPEX TUUA'!$J$7,'2.2 OPEX LAP 2023'!L181*'2.1 OPEX TUUA'!$J$8)</f>
        <v>5018.2625235834412</v>
      </c>
      <c r="K180" s="3">
        <f>+IF(F180="Pasajero",'2.2 OPEX LAP 2023'!M181*'2.1 OPEX TUUA'!$K$7,'2.2 OPEX LAP 2023'!M181*'2.1 OPEX TUUA'!$K$8)</f>
        <v>5228.7908208062645</v>
      </c>
      <c r="L180" s="3">
        <f>+IF(F180="Pasajero",'2.2 OPEX LAP 2023'!N181*'2.1 OPEX TUUA'!$L$7,'2.2 OPEX LAP 2023'!N181*'2.1 OPEX TUUA'!$L$8)</f>
        <v>5463.511696139788</v>
      </c>
      <c r="M180" s="3"/>
      <c r="N180" s="3">
        <f>+IF(F180="Pasajero",'2.2 OPEX LAP 2023'!I181*'2.1 OPEX TUUA'!$N$7,'2.2 OPEX LAP 2023'!I181*'2.1 OPEX TUUA'!$N$8)</f>
        <v>1762.3313095158524</v>
      </c>
      <c r="O180" s="3">
        <f>+IF(F180="Pasajero",'2.2 OPEX LAP 2023'!J181*'2.1 OPEX TUUA'!$O$7,'2.2 OPEX LAP 2023'!J181*'2.1 OPEX TUUA'!$O$8)</f>
        <v>1739.9772118391143</v>
      </c>
      <c r="P180" s="3">
        <f>+IF(F180="Pasajero",'2.2 OPEX LAP 2023'!K181*'2.1 OPEX TUUA'!$P$7,'2.2 OPEX LAP 2023'!K181*'2.1 OPEX TUUA'!$P$8)</f>
        <v>1731.5502770087521</v>
      </c>
      <c r="Q180" s="3">
        <f>+IF(F180="Pasajero",'2.2 OPEX LAP 2023'!L181*'2.1 OPEX TUUA'!$Q$7,'2.2 OPEX LAP 2023'!L181*'2.1 OPEX TUUA'!$Q$8)</f>
        <v>1722.8242262886672</v>
      </c>
      <c r="R180" s="3">
        <f>+IF(F180="Pasajero",'2.2 OPEX LAP 2023'!M181*'2.1 OPEX TUUA'!$R$7,'2.2 OPEX LAP 2023'!M181*'2.1 OPEX TUUA'!$R$8)</f>
        <v>1733.5824249648524</v>
      </c>
      <c r="S180" s="3">
        <f>+IF(F180="Pasajero",'2.2 OPEX LAP 2023'!N181*'2.1 OPEX TUUA'!$S$7,'2.2 OPEX LAP 2023'!N181*'2.1 OPEX TUUA'!$S$8)</f>
        <v>1736.4987383324208</v>
      </c>
      <c r="AA180" s="6"/>
      <c r="AB180" s="6"/>
      <c r="AC180" s="6"/>
      <c r="AD180" s="6"/>
      <c r="AE180" s="6"/>
      <c r="AF180" s="6"/>
    </row>
    <row r="181" spans="2:32" x14ac:dyDescent="0.25">
      <c r="B181" s="16">
        <v>6250000005</v>
      </c>
      <c r="C181" s="190" t="s">
        <v>176</v>
      </c>
      <c r="D181" s="190" t="s">
        <v>14</v>
      </c>
      <c r="E181" s="190" t="s">
        <v>25</v>
      </c>
      <c r="F181" s="162" t="s">
        <v>190</v>
      </c>
      <c r="G181" s="3">
        <f>+IF(F181="Pasajero",'2.2 OPEX LAP 2023'!I182*'2.1 OPEX TUUA'!$G$7,'2.2 OPEX LAP 2023'!I182*'2.1 OPEX TUUA'!$G$8)</f>
        <v>1409.5816903889433</v>
      </c>
      <c r="H181" s="3">
        <f>+IF(F181="Pasajero",'2.2 OPEX LAP 2023'!J182*'2.1 OPEX TUUA'!$H$7,'2.2 OPEX LAP 2023'!J182*'2.1 OPEX TUUA'!$H$8)</f>
        <v>1657.3451174832342</v>
      </c>
      <c r="I181" s="3">
        <f>+IF(F181="Pasajero",'2.2 OPEX LAP 2023'!K182*'2.1 OPEX TUUA'!$I$7,'2.2 OPEX LAP 2023'!K182*'2.1 OPEX TUUA'!$I$8)</f>
        <v>1865.7020471183178</v>
      </c>
      <c r="J181" s="3">
        <f>+IF(F181="Pasajero",'2.2 OPEX LAP 2023'!L182*'2.1 OPEX TUUA'!$J$7,'2.2 OPEX LAP 2023'!L182*'2.1 OPEX TUUA'!$J$8)</f>
        <v>1979.6768496484399</v>
      </c>
      <c r="K181" s="3">
        <f>+IF(F181="Pasajero",'2.2 OPEX LAP 2023'!M182*'2.1 OPEX TUUA'!$K$7,'2.2 OPEX LAP 2023'!M182*'2.1 OPEX TUUA'!$K$8)</f>
        <v>2062.7291001533249</v>
      </c>
      <c r="L181" s="3">
        <f>+IF(F181="Pasajero",'2.2 OPEX LAP 2023'!N182*'2.1 OPEX TUUA'!$L$7,'2.2 OPEX LAP 2023'!N182*'2.1 OPEX TUUA'!$L$8)</f>
        <v>2155.3251891070736</v>
      </c>
      <c r="M181" s="3"/>
      <c r="N181" s="3">
        <f>+IF(F181="Pasajero",'2.2 OPEX LAP 2023'!I182*'2.1 OPEX TUUA'!$N$7,'2.2 OPEX LAP 2023'!I182*'2.1 OPEX TUUA'!$N$8)</f>
        <v>695.22996823367384</v>
      </c>
      <c r="O181" s="3">
        <f>+IF(F181="Pasajero",'2.2 OPEX LAP 2023'!J182*'2.1 OPEX TUUA'!$O$7,'2.2 OPEX LAP 2023'!J182*'2.1 OPEX TUUA'!$O$8)</f>
        <v>686.41140016206623</v>
      </c>
      <c r="P181" s="3">
        <f>+IF(F181="Pasajero",'2.2 OPEX LAP 2023'!K182*'2.1 OPEX TUUA'!$P$7,'2.2 OPEX LAP 2023'!K182*'2.1 OPEX TUUA'!$P$8)</f>
        <v>683.08702091351881</v>
      </c>
      <c r="Q181" s="3">
        <f>+IF(F181="Pasajero",'2.2 OPEX LAP 2023'!L182*'2.1 OPEX TUUA'!$Q$7,'2.2 OPEX LAP 2023'!L182*'2.1 OPEX TUUA'!$Q$8)</f>
        <v>679.6446420984953</v>
      </c>
      <c r="R181" s="3">
        <f>+IF(F181="Pasajero",'2.2 OPEX LAP 2023'!M182*'2.1 OPEX TUUA'!$R$7,'2.2 OPEX LAP 2023'!M182*'2.1 OPEX TUUA'!$R$8)</f>
        <v>683.88869205863057</v>
      </c>
      <c r="S181" s="3">
        <f>+IF(F181="Pasajero",'2.2 OPEX LAP 2023'!N182*'2.1 OPEX TUUA'!$S$7,'2.2 OPEX LAP 2023'!N182*'2.1 OPEX TUUA'!$S$8)</f>
        <v>685.03916157531353</v>
      </c>
      <c r="AA181" s="6"/>
      <c r="AB181" s="6"/>
      <c r="AC181" s="6"/>
      <c r="AD181" s="6"/>
      <c r="AE181" s="6"/>
      <c r="AF181" s="6"/>
    </row>
    <row r="182" spans="2:32" x14ac:dyDescent="0.25">
      <c r="B182" s="16">
        <v>6250000006</v>
      </c>
      <c r="C182" s="190" t="s">
        <v>176</v>
      </c>
      <c r="D182" s="190" t="s">
        <v>14</v>
      </c>
      <c r="E182" s="190" t="s">
        <v>26</v>
      </c>
      <c r="F182" s="162" t="s">
        <v>190</v>
      </c>
      <c r="G182" s="3">
        <f>+IF(F182="Pasajero",'2.2 OPEX LAP 2023'!I183*'2.1 OPEX TUUA'!$G$7,'2.2 OPEX LAP 2023'!I183*'2.1 OPEX TUUA'!$G$8)</f>
        <v>1751.8593522828512</v>
      </c>
      <c r="H182" s="3">
        <f>+IF(F182="Pasajero",'2.2 OPEX LAP 2023'!J183*'2.1 OPEX TUUA'!$H$7,'2.2 OPEX LAP 2023'!J183*'2.1 OPEX TUUA'!$H$8)</f>
        <v>2059.7852283553598</v>
      </c>
      <c r="I182" s="3">
        <f>+IF(F182="Pasajero",'2.2 OPEX LAP 2023'!K183*'2.1 OPEX TUUA'!$I$7,'2.2 OPEX LAP 2023'!K183*'2.1 OPEX TUUA'!$I$8)</f>
        <v>2318.7358363853523</v>
      </c>
      <c r="J182" s="3">
        <f>+IF(F182="Pasajero",'2.2 OPEX LAP 2023'!L183*'2.1 OPEX TUUA'!$J$7,'2.2 OPEX LAP 2023'!L183*'2.1 OPEX TUUA'!$J$8)</f>
        <v>2460.386245934792</v>
      </c>
      <c r="K182" s="3">
        <f>+IF(F182="Pasajero",'2.2 OPEX LAP 2023'!M183*'2.1 OPEX TUUA'!$K$7,'2.2 OPEX LAP 2023'!M183*'2.1 OPEX TUUA'!$K$8)</f>
        <v>2563.6054227779409</v>
      </c>
      <c r="L182" s="3">
        <f>+IF(F182="Pasajero",'2.2 OPEX LAP 2023'!N183*'2.1 OPEX TUUA'!$L$7,'2.2 OPEX LAP 2023'!N183*'2.1 OPEX TUUA'!$L$8)</f>
        <v>2678.6858934767897</v>
      </c>
      <c r="M182" s="3"/>
      <c r="N182" s="3">
        <f>+IF(F182="Pasajero",'2.2 OPEX LAP 2023'!I183*'2.1 OPEX TUUA'!$N$7,'2.2 OPEX LAP 2023'!I183*'2.1 OPEX TUUA'!$N$8)</f>
        <v>864.04720644562678</v>
      </c>
      <c r="O182" s="3">
        <f>+IF(F182="Pasajero",'2.2 OPEX LAP 2023'!J183*'2.1 OPEX TUUA'!$O$7,'2.2 OPEX LAP 2023'!J183*'2.1 OPEX TUUA'!$O$8)</f>
        <v>853.08729468221134</v>
      </c>
      <c r="P182" s="3">
        <f>+IF(F182="Pasajero",'2.2 OPEX LAP 2023'!K183*'2.1 OPEX TUUA'!$P$7,'2.2 OPEX LAP 2023'!K183*'2.1 OPEX TUUA'!$P$8)</f>
        <v>848.95568250477459</v>
      </c>
      <c r="Q182" s="3">
        <f>+IF(F182="Pasajero",'2.2 OPEX LAP 2023'!L183*'2.1 OPEX TUUA'!$Q$7,'2.2 OPEX LAP 2023'!L183*'2.1 OPEX TUUA'!$Q$8)</f>
        <v>844.67741785199291</v>
      </c>
      <c r="R182" s="3">
        <f>+IF(F182="Pasajero",'2.2 OPEX LAP 2023'!M183*'2.1 OPEX TUUA'!$R$7,'2.2 OPEX LAP 2023'!M183*'2.1 OPEX TUUA'!$R$8)</f>
        <v>849.95201716391136</v>
      </c>
      <c r="S182" s="3">
        <f>+IF(F182="Pasajero",'2.2 OPEX LAP 2023'!N183*'2.1 OPEX TUUA'!$S$7,'2.2 OPEX LAP 2023'!N183*'2.1 OPEX TUUA'!$S$8)</f>
        <v>851.38184616641593</v>
      </c>
      <c r="AA182" s="6"/>
      <c r="AB182" s="6"/>
      <c r="AC182" s="6"/>
      <c r="AD182" s="6"/>
      <c r="AE182" s="6"/>
      <c r="AF182" s="6"/>
    </row>
    <row r="183" spans="2:32" x14ac:dyDescent="0.25">
      <c r="B183" s="16">
        <v>6250000007</v>
      </c>
      <c r="C183" s="190" t="s">
        <v>176</v>
      </c>
      <c r="D183" s="190" t="s">
        <v>14</v>
      </c>
      <c r="E183" s="190" t="s">
        <v>27</v>
      </c>
      <c r="F183" s="162" t="s">
        <v>190</v>
      </c>
      <c r="G183" s="3">
        <f>+IF(F183="Pasajero",'2.2 OPEX LAP 2023'!I184*'2.1 OPEX TUUA'!$G$7,'2.2 OPEX LAP 2023'!I184*'2.1 OPEX TUUA'!$G$8)</f>
        <v>0</v>
      </c>
      <c r="H183" s="3">
        <f>+IF(F183="Pasajero",'2.2 OPEX LAP 2023'!J184*'2.1 OPEX TUUA'!$H$7,'2.2 OPEX LAP 2023'!J184*'2.1 OPEX TUUA'!$H$8)</f>
        <v>0</v>
      </c>
      <c r="I183" s="3">
        <f>+IF(F183="Pasajero",'2.2 OPEX LAP 2023'!K184*'2.1 OPEX TUUA'!$I$7,'2.2 OPEX LAP 2023'!K184*'2.1 OPEX TUUA'!$I$8)</f>
        <v>0</v>
      </c>
      <c r="J183" s="3">
        <f>+IF(F183="Pasajero",'2.2 OPEX LAP 2023'!L184*'2.1 OPEX TUUA'!$J$7,'2.2 OPEX LAP 2023'!L184*'2.1 OPEX TUUA'!$J$8)</f>
        <v>0</v>
      </c>
      <c r="K183" s="3">
        <f>+IF(F183="Pasajero",'2.2 OPEX LAP 2023'!M184*'2.1 OPEX TUUA'!$K$7,'2.2 OPEX LAP 2023'!M184*'2.1 OPEX TUUA'!$K$8)</f>
        <v>0</v>
      </c>
      <c r="L183" s="3">
        <f>+IF(F183="Pasajero",'2.2 OPEX LAP 2023'!N184*'2.1 OPEX TUUA'!$L$7,'2.2 OPEX LAP 2023'!N184*'2.1 OPEX TUUA'!$L$8)</f>
        <v>0</v>
      </c>
      <c r="M183" s="3"/>
      <c r="N183" s="3">
        <f>+IF(F183="Pasajero",'2.2 OPEX LAP 2023'!I184*'2.1 OPEX TUUA'!$N$7,'2.2 OPEX LAP 2023'!I184*'2.1 OPEX TUUA'!$N$8)</f>
        <v>0</v>
      </c>
      <c r="O183" s="3">
        <f>+IF(F183="Pasajero",'2.2 OPEX LAP 2023'!J184*'2.1 OPEX TUUA'!$O$7,'2.2 OPEX LAP 2023'!J184*'2.1 OPEX TUUA'!$O$8)</f>
        <v>0</v>
      </c>
      <c r="P183" s="3">
        <f>+IF(F183="Pasajero",'2.2 OPEX LAP 2023'!K184*'2.1 OPEX TUUA'!$P$7,'2.2 OPEX LAP 2023'!K184*'2.1 OPEX TUUA'!$P$8)</f>
        <v>0</v>
      </c>
      <c r="Q183" s="3">
        <f>+IF(F183="Pasajero",'2.2 OPEX LAP 2023'!L184*'2.1 OPEX TUUA'!$Q$7,'2.2 OPEX LAP 2023'!L184*'2.1 OPEX TUUA'!$Q$8)</f>
        <v>0</v>
      </c>
      <c r="R183" s="3">
        <f>+IF(F183="Pasajero",'2.2 OPEX LAP 2023'!M184*'2.1 OPEX TUUA'!$R$7,'2.2 OPEX LAP 2023'!M184*'2.1 OPEX TUUA'!$R$8)</f>
        <v>0</v>
      </c>
      <c r="S183" s="3">
        <f>+IF(F183="Pasajero",'2.2 OPEX LAP 2023'!N184*'2.1 OPEX TUUA'!$S$7,'2.2 OPEX LAP 2023'!N184*'2.1 OPEX TUUA'!$S$8)</f>
        <v>0</v>
      </c>
      <c r="AA183" s="6"/>
      <c r="AB183" s="6"/>
      <c r="AC183" s="6"/>
      <c r="AD183" s="6"/>
      <c r="AE183" s="6"/>
      <c r="AF183" s="6"/>
    </row>
    <row r="184" spans="2:32" x14ac:dyDescent="0.25">
      <c r="B184" s="16">
        <v>6250000008</v>
      </c>
      <c r="C184" s="190" t="s">
        <v>176</v>
      </c>
      <c r="D184" s="190" t="s">
        <v>14</v>
      </c>
      <c r="E184" s="190" t="s">
        <v>28</v>
      </c>
      <c r="F184" s="162" t="s">
        <v>190</v>
      </c>
      <c r="G184" s="3">
        <f>+IF(F184="Pasajero",'2.2 OPEX LAP 2023'!I185*'2.1 OPEX TUUA'!$G$7,'2.2 OPEX LAP 2023'!I185*'2.1 OPEX TUUA'!$G$8)</f>
        <v>2404.5390523664846</v>
      </c>
      <c r="H184" s="3">
        <f>+IF(F184="Pasajero",'2.2 OPEX LAP 2023'!J185*'2.1 OPEX TUUA'!$H$7,'2.2 OPEX LAP 2023'!J185*'2.1 OPEX TUUA'!$H$8)</f>
        <v>2827.1870196737159</v>
      </c>
      <c r="I184" s="3">
        <f>+IF(F184="Pasajero",'2.2 OPEX LAP 2023'!K185*'2.1 OPEX TUUA'!$I$7,'2.2 OPEX LAP 2023'!K185*'2.1 OPEX TUUA'!$I$8)</f>
        <v>3182.6132979481545</v>
      </c>
      <c r="J184" s="3">
        <f>+IF(F184="Pasajero",'2.2 OPEX LAP 2023'!L185*'2.1 OPEX TUUA'!$J$7,'2.2 OPEX LAP 2023'!L185*'2.1 OPEX TUUA'!$J$8)</f>
        <v>3377.0375484460565</v>
      </c>
      <c r="K184" s="3">
        <f>+IF(F184="Pasajero",'2.2 OPEX LAP 2023'!M185*'2.1 OPEX TUUA'!$K$7,'2.2 OPEX LAP 2023'!M185*'2.1 OPEX TUUA'!$K$8)</f>
        <v>3518.7124730620371</v>
      </c>
      <c r="L184" s="3">
        <f>+IF(F184="Pasajero",'2.2 OPEX LAP 2023'!N185*'2.1 OPEX TUUA'!$L$7,'2.2 OPEX LAP 2023'!N185*'2.1 OPEX TUUA'!$L$8)</f>
        <v>3676.6677824306289</v>
      </c>
      <c r="M184" s="3"/>
      <c r="N184" s="3">
        <f>+IF(F184="Pasajero",'2.2 OPEX LAP 2023'!I185*'2.1 OPEX TUUA'!$N$7,'2.2 OPEX LAP 2023'!I185*'2.1 OPEX TUUA'!$N$8)</f>
        <v>1185.9600762351756</v>
      </c>
      <c r="O184" s="3">
        <f>+IF(F184="Pasajero",'2.2 OPEX LAP 2023'!J185*'2.1 OPEX TUUA'!$O$7,'2.2 OPEX LAP 2023'!J185*'2.1 OPEX TUUA'!$O$8)</f>
        <v>1170.9168960784571</v>
      </c>
      <c r="P184" s="3">
        <f>+IF(F184="Pasajero",'2.2 OPEX LAP 2023'!K185*'2.1 OPEX TUUA'!$P$7,'2.2 OPEX LAP 2023'!K185*'2.1 OPEX TUUA'!$P$8)</f>
        <v>1165.245994006933</v>
      </c>
      <c r="Q184" s="3">
        <f>+IF(F184="Pasajero",'2.2 OPEX LAP 2023'!L185*'2.1 OPEX TUUA'!$Q$7,'2.2 OPEX LAP 2023'!L185*'2.1 OPEX TUUA'!$Q$8)</f>
        <v>1159.3738020295534</v>
      </c>
      <c r="R184" s="3">
        <f>+IF(F184="Pasajero",'2.2 OPEX LAP 2023'!M185*'2.1 OPEX TUUA'!$R$7,'2.2 OPEX LAP 2023'!M185*'2.1 OPEX TUUA'!$R$8)</f>
        <v>1166.6135270762964</v>
      </c>
      <c r="S184" s="3">
        <f>+IF(F184="Pasajero",'2.2 OPEX LAP 2023'!N185*'2.1 OPEX TUUA'!$S$7,'2.2 OPEX LAP 2023'!N185*'2.1 OPEX TUUA'!$S$8)</f>
        <v>1168.5760588687306</v>
      </c>
      <c r="AA184" s="6"/>
      <c r="AB184" s="6"/>
      <c r="AC184" s="6"/>
      <c r="AD184" s="6"/>
      <c r="AE184" s="6"/>
      <c r="AF184" s="6"/>
    </row>
    <row r="185" spans="2:32" x14ac:dyDescent="0.25">
      <c r="B185" s="16">
        <v>6250000009</v>
      </c>
      <c r="C185" s="190" t="s">
        <v>176</v>
      </c>
      <c r="D185" s="190" t="s">
        <v>14</v>
      </c>
      <c r="E185" s="190" t="s">
        <v>29</v>
      </c>
      <c r="F185" s="162" t="s">
        <v>190</v>
      </c>
      <c r="G185" s="3">
        <f>+IF(F185="Pasajero",'2.2 OPEX LAP 2023'!I186*'2.1 OPEX TUUA'!$G$7,'2.2 OPEX LAP 2023'!I186*'2.1 OPEX TUUA'!$G$8)</f>
        <v>0</v>
      </c>
      <c r="H185" s="3">
        <f>+IF(F185="Pasajero",'2.2 OPEX LAP 2023'!J186*'2.1 OPEX TUUA'!$H$7,'2.2 OPEX LAP 2023'!J186*'2.1 OPEX TUUA'!$H$8)</f>
        <v>0</v>
      </c>
      <c r="I185" s="3">
        <f>+IF(F185="Pasajero",'2.2 OPEX LAP 2023'!K186*'2.1 OPEX TUUA'!$I$7,'2.2 OPEX LAP 2023'!K186*'2.1 OPEX TUUA'!$I$8)</f>
        <v>0</v>
      </c>
      <c r="J185" s="3">
        <f>+IF(F185="Pasajero",'2.2 OPEX LAP 2023'!L186*'2.1 OPEX TUUA'!$J$7,'2.2 OPEX LAP 2023'!L186*'2.1 OPEX TUUA'!$J$8)</f>
        <v>0</v>
      </c>
      <c r="K185" s="3">
        <f>+IF(F185="Pasajero",'2.2 OPEX LAP 2023'!M186*'2.1 OPEX TUUA'!$K$7,'2.2 OPEX LAP 2023'!M186*'2.1 OPEX TUUA'!$K$8)</f>
        <v>0</v>
      </c>
      <c r="L185" s="3">
        <f>+IF(F185="Pasajero",'2.2 OPEX LAP 2023'!N186*'2.1 OPEX TUUA'!$L$7,'2.2 OPEX LAP 2023'!N186*'2.1 OPEX TUUA'!$L$8)</f>
        <v>0</v>
      </c>
      <c r="M185" s="3"/>
      <c r="N185" s="3">
        <f>+IF(F185="Pasajero",'2.2 OPEX LAP 2023'!I186*'2.1 OPEX TUUA'!$N$7,'2.2 OPEX LAP 2023'!I186*'2.1 OPEX TUUA'!$N$8)</f>
        <v>0</v>
      </c>
      <c r="O185" s="3">
        <f>+IF(F185="Pasajero",'2.2 OPEX LAP 2023'!J186*'2.1 OPEX TUUA'!$O$7,'2.2 OPEX LAP 2023'!J186*'2.1 OPEX TUUA'!$O$8)</f>
        <v>0</v>
      </c>
      <c r="P185" s="3">
        <f>+IF(F185="Pasajero",'2.2 OPEX LAP 2023'!K186*'2.1 OPEX TUUA'!$P$7,'2.2 OPEX LAP 2023'!K186*'2.1 OPEX TUUA'!$P$8)</f>
        <v>0</v>
      </c>
      <c r="Q185" s="3">
        <f>+IF(F185="Pasajero",'2.2 OPEX LAP 2023'!L186*'2.1 OPEX TUUA'!$Q$7,'2.2 OPEX LAP 2023'!L186*'2.1 OPEX TUUA'!$Q$8)</f>
        <v>0</v>
      </c>
      <c r="R185" s="3">
        <f>+IF(F185="Pasajero",'2.2 OPEX LAP 2023'!M186*'2.1 OPEX TUUA'!$R$7,'2.2 OPEX LAP 2023'!M186*'2.1 OPEX TUUA'!$R$8)</f>
        <v>0</v>
      </c>
      <c r="S185" s="3">
        <f>+IF(F185="Pasajero",'2.2 OPEX LAP 2023'!N186*'2.1 OPEX TUUA'!$S$7,'2.2 OPEX LAP 2023'!N186*'2.1 OPEX TUUA'!$S$8)</f>
        <v>0</v>
      </c>
      <c r="AA185" s="6"/>
      <c r="AB185" s="6"/>
      <c r="AC185" s="6"/>
      <c r="AD185" s="6"/>
      <c r="AE185" s="6"/>
      <c r="AF185" s="6"/>
    </row>
    <row r="186" spans="2:32" x14ac:dyDescent="0.25">
      <c r="B186" s="16">
        <v>6270000001</v>
      </c>
      <c r="C186" s="190" t="s">
        <v>176</v>
      </c>
      <c r="D186" s="190" t="s">
        <v>14</v>
      </c>
      <c r="E186" s="190" t="s">
        <v>30</v>
      </c>
      <c r="F186" s="162" t="s">
        <v>190</v>
      </c>
      <c r="G186" s="3">
        <f>+IF(F186="Pasajero",'2.2 OPEX LAP 2023'!I187*'2.1 OPEX TUUA'!$G$7,'2.2 OPEX LAP 2023'!I187*'2.1 OPEX TUUA'!$G$8)</f>
        <v>21513.469453276317</v>
      </c>
      <c r="H186" s="3">
        <f>+IF(F186="Pasajero",'2.2 OPEX LAP 2023'!J187*'2.1 OPEX TUUA'!$H$7,'2.2 OPEX LAP 2023'!J187*'2.1 OPEX TUUA'!$H$8)</f>
        <v>25294.91110846787</v>
      </c>
      <c r="I186" s="3">
        <f>+IF(F186="Pasajero",'2.2 OPEX LAP 2023'!K187*'2.1 OPEX TUUA'!$I$7,'2.2 OPEX LAP 2023'!K187*'2.1 OPEX TUUA'!$I$8)</f>
        <v>28474.918675000583</v>
      </c>
      <c r="J186" s="3">
        <f>+IF(F186="Pasajero",'2.2 OPEX LAP 2023'!L187*'2.1 OPEX TUUA'!$J$7,'2.2 OPEX LAP 2023'!L187*'2.1 OPEX TUUA'!$J$8)</f>
        <v>30214.437178535063</v>
      </c>
      <c r="K186" s="3">
        <f>+IF(F186="Pasajero",'2.2 OPEX LAP 2023'!M187*'2.1 OPEX TUUA'!$K$7,'2.2 OPEX LAP 2023'!M187*'2.1 OPEX TUUA'!$K$8)</f>
        <v>31482.00617893098</v>
      </c>
      <c r="L186" s="3">
        <f>+IF(F186="Pasajero",'2.2 OPEX LAP 2023'!N187*'2.1 OPEX TUUA'!$L$7,'2.2 OPEX LAP 2023'!N187*'2.1 OPEX TUUA'!$L$8)</f>
        <v>32895.236178144187</v>
      </c>
      <c r="M186" s="3"/>
      <c r="N186" s="3">
        <f>+IF(F186="Pasajero",'2.2 OPEX LAP 2023'!I187*'2.1 OPEX TUUA'!$N$7,'2.2 OPEX LAP 2023'!I187*'2.1 OPEX TUUA'!$N$8)</f>
        <v>10610.813680809375</v>
      </c>
      <c r="O186" s="3">
        <f>+IF(F186="Pasajero",'2.2 OPEX LAP 2023'!J187*'2.1 OPEX TUUA'!$O$7,'2.2 OPEX LAP 2023'!J187*'2.1 OPEX TUUA'!$O$8)</f>
        <v>10476.221981638097</v>
      </c>
      <c r="P186" s="3">
        <f>+IF(F186="Pasajero",'2.2 OPEX LAP 2023'!K187*'2.1 OPEX TUUA'!$P$7,'2.2 OPEX LAP 2023'!K187*'2.1 OPEX TUUA'!$P$8)</f>
        <v>10425.484282714811</v>
      </c>
      <c r="Q186" s="3">
        <f>+IF(F186="Pasajero",'2.2 OPEX LAP 2023'!L187*'2.1 OPEX TUUA'!$Q$7,'2.2 OPEX LAP 2023'!L187*'2.1 OPEX TUUA'!$Q$8)</f>
        <v>10372.945638102325</v>
      </c>
      <c r="R186" s="3">
        <f>+IF(F186="Pasajero",'2.2 OPEX LAP 2023'!M187*'2.1 OPEX TUUA'!$R$7,'2.2 OPEX LAP 2023'!M187*'2.1 OPEX TUUA'!$R$8)</f>
        <v>10437.719634386536</v>
      </c>
      <c r="S186" s="3">
        <f>+IF(F186="Pasajero",'2.2 OPEX LAP 2023'!N187*'2.1 OPEX TUUA'!$S$7,'2.2 OPEX LAP 2023'!N187*'2.1 OPEX TUUA'!$S$8)</f>
        <v>10455.278454122095</v>
      </c>
      <c r="AA186" s="6"/>
      <c r="AB186" s="6"/>
      <c r="AC186" s="6"/>
      <c r="AD186" s="6"/>
      <c r="AE186" s="6"/>
      <c r="AF186" s="6"/>
    </row>
    <row r="187" spans="2:32" x14ac:dyDescent="0.25">
      <c r="B187" s="16">
        <v>6270000002</v>
      </c>
      <c r="C187" s="190" t="s">
        <v>176</v>
      </c>
      <c r="D187" s="190" t="s">
        <v>14</v>
      </c>
      <c r="E187" s="190" t="s">
        <v>31</v>
      </c>
      <c r="F187" s="162" t="s">
        <v>190</v>
      </c>
      <c r="G187" s="3">
        <f>+IF(F187="Pasajero",'2.2 OPEX LAP 2023'!I188*'2.1 OPEX TUUA'!$G$7,'2.2 OPEX LAP 2023'!I188*'2.1 OPEX TUUA'!$G$8)</f>
        <v>43737.222837515692</v>
      </c>
      <c r="H187" s="3">
        <f>+IF(F187="Pasajero",'2.2 OPEX LAP 2023'!J188*'2.1 OPEX TUUA'!$H$7,'2.2 OPEX LAP 2023'!J188*'2.1 OPEX TUUA'!$H$8)</f>
        <v>51424.953386015834</v>
      </c>
      <c r="I187" s="3">
        <f>+IF(F187="Pasajero",'2.2 OPEX LAP 2023'!K188*'2.1 OPEX TUUA'!$I$7,'2.2 OPEX LAP 2023'!K188*'2.1 OPEX TUUA'!$I$8)</f>
        <v>57889.958942859943</v>
      </c>
      <c r="J187" s="3">
        <f>+IF(F187="Pasajero",'2.2 OPEX LAP 2023'!L188*'2.1 OPEX TUUA'!$J$7,'2.2 OPEX LAP 2023'!L188*'2.1 OPEX TUUA'!$J$8)</f>
        <v>61426.427506626758</v>
      </c>
      <c r="K187" s="3">
        <f>+IF(F187="Pasajero",'2.2 OPEX LAP 2023'!M188*'2.1 OPEX TUUA'!$K$7,'2.2 OPEX LAP 2023'!M188*'2.1 OPEX TUUA'!$K$8)</f>
        <v>64003.415284104936</v>
      </c>
      <c r="L187" s="3">
        <f>+IF(F187="Pasajero",'2.2 OPEX LAP 2023'!N188*'2.1 OPEX TUUA'!$L$7,'2.2 OPEX LAP 2023'!N188*'2.1 OPEX TUUA'!$L$8)</f>
        <v>66876.534170414408</v>
      </c>
      <c r="M187" s="3"/>
      <c r="N187" s="3">
        <f>+IF(F187="Pasajero",'2.2 OPEX LAP 2023'!I188*'2.1 OPEX TUUA'!$N$7,'2.2 OPEX LAP 2023'!I188*'2.1 OPEX TUUA'!$N$8)</f>
        <v>21571.951630249168</v>
      </c>
      <c r="O187" s="3">
        <f>+IF(F187="Pasajero",'2.2 OPEX LAP 2023'!J188*'2.1 OPEX TUUA'!$O$7,'2.2 OPEX LAP 2023'!J188*'2.1 OPEX TUUA'!$O$8)</f>
        <v>21298.324582249359</v>
      </c>
      <c r="P187" s="3">
        <f>+IF(F187="Pasajero",'2.2 OPEX LAP 2023'!K188*'2.1 OPEX TUUA'!$P$7,'2.2 OPEX LAP 2023'!K188*'2.1 OPEX TUUA'!$P$8)</f>
        <v>21195.174039800124</v>
      </c>
      <c r="Q187" s="3">
        <f>+IF(F187="Pasajero",'2.2 OPEX LAP 2023'!L188*'2.1 OPEX TUUA'!$Q$7,'2.2 OPEX LAP 2023'!L188*'2.1 OPEX TUUA'!$Q$8)</f>
        <v>21088.36214634946</v>
      </c>
      <c r="R187" s="3">
        <f>+IF(F187="Pasajero",'2.2 OPEX LAP 2023'!M188*'2.1 OPEX TUUA'!$R$7,'2.2 OPEX LAP 2023'!M188*'2.1 OPEX TUUA'!$R$8)</f>
        <v>21220.048702797823</v>
      </c>
      <c r="S187" s="3">
        <f>+IF(F187="Pasajero",'2.2 OPEX LAP 2023'!N188*'2.1 OPEX TUUA'!$S$7,'2.2 OPEX LAP 2023'!N188*'2.1 OPEX TUUA'!$S$8)</f>
        <v>21255.746060362853</v>
      </c>
      <c r="AA187" s="6"/>
      <c r="AB187" s="6"/>
      <c r="AC187" s="6"/>
      <c r="AD187" s="6"/>
      <c r="AE187" s="6"/>
      <c r="AF187" s="6"/>
    </row>
    <row r="188" spans="2:32" x14ac:dyDescent="0.25">
      <c r="B188" s="16">
        <v>6270000003</v>
      </c>
      <c r="C188" s="190" t="s">
        <v>176</v>
      </c>
      <c r="D188" s="190" t="s">
        <v>14</v>
      </c>
      <c r="E188" s="190" t="s">
        <v>32</v>
      </c>
      <c r="F188" s="162" t="s">
        <v>190</v>
      </c>
      <c r="G188" s="3">
        <f>+IF(F188="Pasajero",'2.2 OPEX LAP 2023'!I189*'2.1 OPEX TUUA'!$G$7,'2.2 OPEX LAP 2023'!I189*'2.1 OPEX TUUA'!$G$8)</f>
        <v>1107.7051195082631</v>
      </c>
      <c r="H188" s="3">
        <f>+IF(F188="Pasajero",'2.2 OPEX LAP 2023'!J189*'2.1 OPEX TUUA'!$H$7,'2.2 OPEX LAP 2023'!J189*'2.1 OPEX TUUA'!$H$8)</f>
        <v>1302.407433315652</v>
      </c>
      <c r="I188" s="3">
        <f>+IF(F188="Pasajero",'2.2 OPEX LAP 2023'!K189*'2.1 OPEX TUUA'!$I$7,'2.2 OPEX LAP 2023'!K189*'2.1 OPEX TUUA'!$I$8)</f>
        <v>1466.1425607051979</v>
      </c>
      <c r="J188" s="3">
        <f>+IF(F188="Pasajero",'2.2 OPEX LAP 2023'!L189*'2.1 OPEX TUUA'!$J$7,'2.2 OPEX LAP 2023'!L189*'2.1 OPEX TUUA'!$J$8)</f>
        <v>1555.70847456346</v>
      </c>
      <c r="K188" s="3">
        <f>+IF(F188="Pasajero",'2.2 OPEX LAP 2023'!M189*'2.1 OPEX TUUA'!$K$7,'2.2 OPEX LAP 2023'!M189*'2.1 OPEX TUUA'!$K$8)</f>
        <v>1620.9742223368717</v>
      </c>
      <c r="L188" s="3">
        <f>+IF(F188="Pasajero",'2.2 OPEX LAP 2023'!N189*'2.1 OPEX TUUA'!$L$7,'2.2 OPEX LAP 2023'!N189*'2.1 OPEX TUUA'!$L$8)</f>
        <v>1693.7398963519815</v>
      </c>
      <c r="M188" s="3"/>
      <c r="N188" s="3">
        <f>+IF(F188="Pasajero",'2.2 OPEX LAP 2023'!I189*'2.1 OPEX TUUA'!$N$7,'2.2 OPEX LAP 2023'!I189*'2.1 OPEX TUUA'!$N$8)</f>
        <v>546.33924397493593</v>
      </c>
      <c r="O188" s="3">
        <f>+IF(F188="Pasajero",'2.2 OPEX LAP 2023'!J189*'2.1 OPEX TUUA'!$O$7,'2.2 OPEX LAP 2023'!J189*'2.1 OPEX TUUA'!$O$8)</f>
        <v>539.40926392038762</v>
      </c>
      <c r="P188" s="3">
        <f>+IF(F188="Pasajero",'2.2 OPEX LAP 2023'!K189*'2.1 OPEX TUUA'!$P$7,'2.2 OPEX LAP 2023'!K189*'2.1 OPEX TUUA'!$P$8)</f>
        <v>536.79683504314607</v>
      </c>
      <c r="Q188" s="3">
        <f>+IF(F188="Pasajero",'2.2 OPEX LAP 2023'!L189*'2.1 OPEX TUUA'!$Q$7,'2.2 OPEX LAP 2023'!L189*'2.1 OPEX TUUA'!$Q$8)</f>
        <v>534.09167743313469</v>
      </c>
      <c r="R188" s="3">
        <f>+IF(F188="Pasajero",'2.2 OPEX LAP 2023'!M189*'2.1 OPEX TUUA'!$R$7,'2.2 OPEX LAP 2023'!M189*'2.1 OPEX TUUA'!$R$8)</f>
        <v>537.42681997956879</v>
      </c>
      <c r="S188" s="3">
        <f>+IF(F188="Pasajero",'2.2 OPEX LAP 2023'!N189*'2.1 OPEX TUUA'!$S$7,'2.2 OPEX LAP 2023'!N189*'2.1 OPEX TUUA'!$S$8)</f>
        <v>538.33090449070926</v>
      </c>
      <c r="AA188" s="6"/>
      <c r="AB188" s="6"/>
      <c r="AC188" s="6"/>
      <c r="AD188" s="6"/>
      <c r="AE188" s="6"/>
      <c r="AF188" s="6"/>
    </row>
    <row r="189" spans="2:32" x14ac:dyDescent="0.25">
      <c r="B189" s="16">
        <v>6270000004</v>
      </c>
      <c r="C189" s="190" t="s">
        <v>176</v>
      </c>
      <c r="D189" s="190" t="s">
        <v>14</v>
      </c>
      <c r="E189" s="190" t="s">
        <v>33</v>
      </c>
      <c r="F189" s="162" t="s">
        <v>190</v>
      </c>
      <c r="G189" s="3">
        <f>+IF(F189="Pasajero",'2.2 OPEX LAP 2023'!I190*'2.1 OPEX TUUA'!$G$7,'2.2 OPEX LAP 2023'!I190*'2.1 OPEX TUUA'!$G$8)</f>
        <v>1358.9615383395553</v>
      </c>
      <c r="H189" s="3">
        <f>+IF(F189="Pasajero",'2.2 OPEX LAP 2023'!J190*'2.1 OPEX TUUA'!$H$7,'2.2 OPEX LAP 2023'!J190*'2.1 OPEX TUUA'!$H$8)</f>
        <v>1597.8274162975983</v>
      </c>
      <c r="I189" s="3">
        <f>+IF(F189="Pasajero",'2.2 OPEX LAP 2023'!K190*'2.1 OPEX TUUA'!$I$7,'2.2 OPEX LAP 2023'!K190*'2.1 OPEX TUUA'!$I$8)</f>
        <v>1798.7019420886299</v>
      </c>
      <c r="J189" s="3">
        <f>+IF(F189="Pasajero",'2.2 OPEX LAP 2023'!L190*'2.1 OPEX TUUA'!$J$7,'2.2 OPEX LAP 2023'!L190*'2.1 OPEX TUUA'!$J$8)</f>
        <v>1908.5837417986872</v>
      </c>
      <c r="K189" s="3">
        <f>+IF(F189="Pasajero",'2.2 OPEX LAP 2023'!M190*'2.1 OPEX TUUA'!$K$7,'2.2 OPEX LAP 2023'!M190*'2.1 OPEX TUUA'!$K$8)</f>
        <v>1988.6534638149672</v>
      </c>
      <c r="L189" s="3">
        <f>+IF(F189="Pasajero",'2.2 OPEX LAP 2023'!N190*'2.1 OPEX TUUA'!$L$7,'2.2 OPEX LAP 2023'!N190*'2.1 OPEX TUUA'!$L$8)</f>
        <v>2077.9242910020675</v>
      </c>
      <c r="M189" s="3"/>
      <c r="N189" s="3">
        <f>+IF(F189="Pasajero",'2.2 OPEX LAP 2023'!I190*'2.1 OPEX TUUA'!$N$7,'2.2 OPEX LAP 2023'!I190*'2.1 OPEX TUUA'!$N$8)</f>
        <v>670.26323736505049</v>
      </c>
      <c r="O189" s="3">
        <f>+IF(F189="Pasajero",'2.2 OPEX LAP 2023'!J190*'2.1 OPEX TUUA'!$O$7,'2.2 OPEX LAP 2023'!J190*'2.1 OPEX TUUA'!$O$8)</f>
        <v>661.76135704533863</v>
      </c>
      <c r="P189" s="3">
        <f>+IF(F189="Pasajero",'2.2 OPEX LAP 2023'!K190*'2.1 OPEX TUUA'!$P$7,'2.2 OPEX LAP 2023'!K190*'2.1 OPEX TUUA'!$P$8)</f>
        <v>658.55636114589311</v>
      </c>
      <c r="Q189" s="3">
        <f>+IF(F189="Pasajero",'2.2 OPEX LAP 2023'!L190*'2.1 OPEX TUUA'!$Q$7,'2.2 OPEX LAP 2023'!L190*'2.1 OPEX TUUA'!$Q$8)</f>
        <v>655.23760321798545</v>
      </c>
      <c r="R189" s="3">
        <f>+IF(F189="Pasajero",'2.2 OPEX LAP 2023'!M190*'2.1 OPEX TUUA'!$R$7,'2.2 OPEX LAP 2023'!M190*'2.1 OPEX TUUA'!$R$8)</f>
        <v>659.3292431008955</v>
      </c>
      <c r="S189" s="3">
        <f>+IF(F189="Pasajero",'2.2 OPEX LAP 2023'!N190*'2.1 OPEX TUUA'!$S$7,'2.2 OPEX LAP 2023'!N190*'2.1 OPEX TUUA'!$S$8)</f>
        <v>660.43839756485056</v>
      </c>
      <c r="AA189" s="6"/>
      <c r="AB189" s="6"/>
      <c r="AC189" s="6"/>
      <c r="AD189" s="6"/>
      <c r="AE189" s="6"/>
      <c r="AF189" s="6"/>
    </row>
    <row r="190" spans="2:32" x14ac:dyDescent="0.25">
      <c r="B190" s="16">
        <v>6270000005</v>
      </c>
      <c r="C190" s="190" t="s">
        <v>176</v>
      </c>
      <c r="D190" s="190" t="s">
        <v>14</v>
      </c>
      <c r="E190" s="190" t="s">
        <v>34</v>
      </c>
      <c r="F190" s="162" t="s">
        <v>190</v>
      </c>
      <c r="G190" s="3">
        <f>+IF(F190="Pasajero",'2.2 OPEX LAP 2023'!I191*'2.1 OPEX TUUA'!$G$7,'2.2 OPEX LAP 2023'!I191*'2.1 OPEX TUUA'!$G$8)</f>
        <v>2505.6362147358104</v>
      </c>
      <c r="H190" s="3">
        <f>+IF(F190="Pasajero",'2.2 OPEX LAP 2023'!J191*'2.1 OPEX TUUA'!$H$7,'2.2 OPEX LAP 2023'!J191*'2.1 OPEX TUUA'!$H$8)</f>
        <v>2946.0541201664719</v>
      </c>
      <c r="I190" s="3">
        <f>+IF(F190="Pasajero",'2.2 OPEX LAP 2023'!K191*'2.1 OPEX TUUA'!$I$7,'2.2 OPEX LAP 2023'!K191*'2.1 OPEX TUUA'!$I$8)</f>
        <v>3316.42404767367</v>
      </c>
      <c r="J190" s="3">
        <f>+IF(F190="Pasajero",'2.2 OPEX LAP 2023'!L191*'2.1 OPEX TUUA'!$J$7,'2.2 OPEX LAP 2023'!L191*'2.1 OPEX TUUA'!$J$8)</f>
        <v>3519.0227297749084</v>
      </c>
      <c r="K190" s="3">
        <f>+IF(F190="Pasajero",'2.2 OPEX LAP 2023'!M191*'2.1 OPEX TUUA'!$K$7,'2.2 OPEX LAP 2023'!M191*'2.1 OPEX TUUA'!$K$8)</f>
        <v>3666.6542774881386</v>
      </c>
      <c r="L190" s="3">
        <f>+IF(F190="Pasajero",'2.2 OPEX LAP 2023'!N191*'2.1 OPEX TUUA'!$L$7,'2.2 OPEX LAP 2023'!N191*'2.1 OPEX TUUA'!$L$8)</f>
        <v>3831.2507073420134</v>
      </c>
      <c r="M190" s="3"/>
      <c r="N190" s="3">
        <f>+IF(F190="Pasajero",'2.2 OPEX LAP 2023'!I191*'2.1 OPEX TUUA'!$N$7,'2.2 OPEX LAP 2023'!I191*'2.1 OPEX TUUA'!$N$8)</f>
        <v>1235.8229380059943</v>
      </c>
      <c r="O190" s="3">
        <f>+IF(F190="Pasajero",'2.2 OPEX LAP 2023'!J191*'2.1 OPEX TUUA'!$O$7,'2.2 OPEX LAP 2023'!J191*'2.1 OPEX TUUA'!$O$8)</f>
        <v>1220.1472778629941</v>
      </c>
      <c r="P190" s="3">
        <f>+IF(F190="Pasajero",'2.2 OPEX LAP 2023'!K191*'2.1 OPEX TUUA'!$P$7,'2.2 OPEX LAP 2023'!K191*'2.1 OPEX TUUA'!$P$8)</f>
        <v>1214.2379466809339</v>
      </c>
      <c r="Q190" s="3">
        <f>+IF(F190="Pasajero",'2.2 OPEX LAP 2023'!L191*'2.1 OPEX TUUA'!$Q$7,'2.2 OPEX LAP 2023'!L191*'2.1 OPEX TUUA'!$Q$8)</f>
        <v>1208.1188624997378</v>
      </c>
      <c r="R190" s="3">
        <f>+IF(F190="Pasajero",'2.2 OPEX LAP 2023'!M191*'2.1 OPEX TUUA'!$R$7,'2.2 OPEX LAP 2023'!M191*'2.1 OPEX TUUA'!$R$8)</f>
        <v>1215.6629767215454</v>
      </c>
      <c r="S190" s="3">
        <f>+IF(F190="Pasajero",'2.2 OPEX LAP 2023'!N191*'2.1 OPEX TUUA'!$S$7,'2.2 OPEX LAP 2023'!N191*'2.1 OPEX TUUA'!$S$8)</f>
        <v>1217.7080217903099</v>
      </c>
      <c r="AA190" s="6"/>
      <c r="AB190" s="6"/>
      <c r="AC190" s="6"/>
      <c r="AD190" s="6"/>
      <c r="AE190" s="6"/>
      <c r="AF190" s="6"/>
    </row>
    <row r="191" spans="2:32" x14ac:dyDescent="0.25">
      <c r="B191" s="16">
        <v>6270000006</v>
      </c>
      <c r="C191" s="190" t="s">
        <v>176</v>
      </c>
      <c r="D191" s="190" t="s">
        <v>14</v>
      </c>
      <c r="E191" s="190" t="s">
        <v>35</v>
      </c>
      <c r="F191" s="162" t="s">
        <v>190</v>
      </c>
      <c r="G191" s="3">
        <f>+IF(F191="Pasajero",'2.2 OPEX LAP 2023'!I192*'2.1 OPEX TUUA'!$G$7,'2.2 OPEX LAP 2023'!I192*'2.1 OPEX TUUA'!$G$8)</f>
        <v>12406.857891523294</v>
      </c>
      <c r="H191" s="3">
        <f>+IF(F191="Pasajero",'2.2 OPEX LAP 2023'!J192*'2.1 OPEX TUUA'!$H$7,'2.2 OPEX LAP 2023'!J192*'2.1 OPEX TUUA'!$H$8)</f>
        <v>14587.622335070699</v>
      </c>
      <c r="I191" s="3">
        <f>+IF(F191="Pasajero",'2.2 OPEX LAP 2023'!K192*'2.1 OPEX TUUA'!$I$7,'2.2 OPEX LAP 2023'!K192*'2.1 OPEX TUUA'!$I$8)</f>
        <v>16421.53861982558</v>
      </c>
      <c r="J191" s="3">
        <f>+IF(F191="Pasajero",'2.2 OPEX LAP 2023'!L192*'2.1 OPEX TUUA'!$J$7,'2.2 OPEX LAP 2023'!L192*'2.1 OPEX TUUA'!$J$8)</f>
        <v>17424.722179776243</v>
      </c>
      <c r="K191" s="3">
        <f>+IF(F191="Pasajero",'2.2 OPEX LAP 2023'!M192*'2.1 OPEX TUUA'!$K$7,'2.2 OPEX LAP 2023'!M192*'2.1 OPEX TUUA'!$K$8)</f>
        <v>18155.731582502653</v>
      </c>
      <c r="L191" s="3">
        <f>+IF(F191="Pasajero",'2.2 OPEX LAP 2023'!N192*'2.1 OPEX TUUA'!$L$7,'2.2 OPEX LAP 2023'!N192*'2.1 OPEX TUUA'!$L$8)</f>
        <v>18970.743954466005</v>
      </c>
      <c r="M191" s="3"/>
      <c r="N191" s="3">
        <f>+IF(F191="Pasajero",'2.2 OPEX LAP 2023'!I192*'2.1 OPEX TUUA'!$N$7,'2.2 OPEX LAP 2023'!I192*'2.1 OPEX TUUA'!$N$8)</f>
        <v>6119.2760069289716</v>
      </c>
      <c r="O191" s="3">
        <f>+IF(F191="Pasajero",'2.2 OPEX LAP 2023'!J192*'2.1 OPEX TUUA'!$O$7,'2.2 OPEX LAP 2023'!J192*'2.1 OPEX TUUA'!$O$8)</f>
        <v>6041.656723408787</v>
      </c>
      <c r="P191" s="3">
        <f>+IF(F191="Pasajero",'2.2 OPEX LAP 2023'!K192*'2.1 OPEX TUUA'!$P$7,'2.2 OPEX LAP 2023'!K192*'2.1 OPEX TUUA'!$P$8)</f>
        <v>6012.3961979667492</v>
      </c>
      <c r="Q191" s="3">
        <f>+IF(F191="Pasajero",'2.2 OPEX LAP 2023'!L192*'2.1 OPEX TUUA'!$Q$7,'2.2 OPEX LAP 2023'!L192*'2.1 OPEX TUUA'!$Q$8)</f>
        <v>5982.0970637924092</v>
      </c>
      <c r="R191" s="3">
        <f>+IF(F191="Pasajero",'2.2 OPEX LAP 2023'!M192*'2.1 OPEX TUUA'!$R$7,'2.2 OPEX LAP 2023'!M192*'2.1 OPEX TUUA'!$R$8)</f>
        <v>6019.4523480579082</v>
      </c>
      <c r="S191" s="3">
        <f>+IF(F191="Pasajero",'2.2 OPEX LAP 2023'!N192*'2.1 OPEX TUUA'!$S$7,'2.2 OPEX LAP 2023'!N192*'2.1 OPEX TUUA'!$S$8)</f>
        <v>6029.5785520937152</v>
      </c>
      <c r="AA191" s="6"/>
      <c r="AB191" s="6"/>
      <c r="AC191" s="6"/>
      <c r="AD191" s="6"/>
      <c r="AE191" s="6"/>
      <c r="AF191" s="6"/>
    </row>
    <row r="192" spans="2:32" x14ac:dyDescent="0.25">
      <c r="B192" s="16">
        <v>6270000007</v>
      </c>
      <c r="C192" s="190" t="s">
        <v>176</v>
      </c>
      <c r="D192" s="190" t="s">
        <v>14</v>
      </c>
      <c r="E192" s="190" t="s">
        <v>36</v>
      </c>
      <c r="F192" s="162" t="s">
        <v>190</v>
      </c>
      <c r="G192" s="3">
        <f>+IF(F192="Pasajero",'2.2 OPEX LAP 2023'!I193*'2.1 OPEX TUUA'!$G$7,'2.2 OPEX LAP 2023'!I193*'2.1 OPEX TUUA'!$G$8)</f>
        <v>1095.9219015744407</v>
      </c>
      <c r="H192" s="3">
        <f>+IF(F192="Pasajero",'2.2 OPEX LAP 2023'!J193*'2.1 OPEX TUUA'!$H$7,'2.2 OPEX LAP 2023'!J193*'2.1 OPEX TUUA'!$H$8)</f>
        <v>1288.5530686881766</v>
      </c>
      <c r="I192" s="3">
        <f>+IF(F192="Pasajero",'2.2 OPEX LAP 2023'!K193*'2.1 OPEX TUUA'!$I$7,'2.2 OPEX LAP 2023'!K193*'2.1 OPEX TUUA'!$I$8)</f>
        <v>1450.5464629616838</v>
      </c>
      <c r="J192" s="3">
        <f>+IF(F192="Pasajero",'2.2 OPEX LAP 2023'!L193*'2.1 OPEX TUUA'!$J$7,'2.2 OPEX LAP 2023'!L193*'2.1 OPEX TUUA'!$J$8)</f>
        <v>1539.1596190292241</v>
      </c>
      <c r="K192" s="3">
        <f>+IF(F192="Pasajero",'2.2 OPEX LAP 2023'!M193*'2.1 OPEX TUUA'!$K$7,'2.2 OPEX LAP 2023'!M193*'2.1 OPEX TUUA'!$K$8)</f>
        <v>1603.7311021322969</v>
      </c>
      <c r="L192" s="3">
        <f>+IF(F192="Pasajero",'2.2 OPEX LAP 2023'!N193*'2.1 OPEX TUUA'!$L$7,'2.2 OPEX LAP 2023'!N193*'2.1 OPEX TUUA'!$L$8)</f>
        <v>1675.7227309796801</v>
      </c>
      <c r="M192" s="3"/>
      <c r="N192" s="3">
        <f>+IF(F192="Pasajero",'2.2 OPEX LAP 2023'!I193*'2.1 OPEX TUUA'!$N$7,'2.2 OPEX LAP 2023'!I193*'2.1 OPEX TUUA'!$N$8)</f>
        <v>540.52755793667484</v>
      </c>
      <c r="O192" s="3">
        <f>+IF(F192="Pasajero",'2.2 OPEX LAP 2023'!J193*'2.1 OPEX TUUA'!$O$7,'2.2 OPEX LAP 2023'!J193*'2.1 OPEX TUUA'!$O$8)</f>
        <v>533.67129557451744</v>
      </c>
      <c r="P192" s="3">
        <f>+IF(F192="Pasajero",'2.2 OPEX LAP 2023'!K193*'2.1 OPEX TUUA'!$P$7,'2.2 OPEX LAP 2023'!K193*'2.1 OPEX TUUA'!$P$8)</f>
        <v>531.08665642060123</v>
      </c>
      <c r="Q192" s="3">
        <f>+IF(F192="Pasajero",'2.2 OPEX LAP 2023'!L193*'2.1 OPEX TUUA'!$Q$7,'2.2 OPEX LAP 2023'!L193*'2.1 OPEX TUUA'!$Q$8)</f>
        <v>528.41027493620561</v>
      </c>
      <c r="R192" s="3">
        <f>+IF(F192="Pasajero",'2.2 OPEX LAP 2023'!M193*'2.1 OPEX TUUA'!$R$7,'2.2 OPEX LAP 2023'!M193*'2.1 OPEX TUUA'!$R$8)</f>
        <v>531.70993988957548</v>
      </c>
      <c r="S192" s="3">
        <f>+IF(F192="Pasajero",'2.2 OPEX LAP 2023'!N193*'2.1 OPEX TUUA'!$S$7,'2.2 OPEX LAP 2023'!N193*'2.1 OPEX TUUA'!$S$8)</f>
        <v>532.60440719787221</v>
      </c>
      <c r="AA192" s="6"/>
      <c r="AB192" s="6"/>
      <c r="AC192" s="6"/>
      <c r="AD192" s="6"/>
      <c r="AE192" s="6"/>
      <c r="AF192" s="6"/>
    </row>
    <row r="193" spans="2:32" x14ac:dyDescent="0.25">
      <c r="B193" s="16">
        <v>6290000001</v>
      </c>
      <c r="C193" s="190" t="s">
        <v>176</v>
      </c>
      <c r="D193" s="190" t="s">
        <v>14</v>
      </c>
      <c r="E193" s="190" t="s">
        <v>37</v>
      </c>
      <c r="F193" s="162" t="s">
        <v>190</v>
      </c>
      <c r="G193" s="3">
        <f>+IF(F193="Pasajero",'2.2 OPEX LAP 2023'!I194*'2.1 OPEX TUUA'!$G$7,'2.2 OPEX LAP 2023'!I194*'2.1 OPEX TUUA'!$G$8)</f>
        <v>49977.65550004688</v>
      </c>
      <c r="H193" s="3">
        <f>+IF(F193="Pasajero",'2.2 OPEX LAP 2023'!J194*'2.1 OPEX TUUA'!$H$7,'2.2 OPEX LAP 2023'!J194*'2.1 OPEX TUUA'!$H$8)</f>
        <v>58762.27244652035</v>
      </c>
      <c r="I193" s="3">
        <f>+IF(F193="Pasajero",'2.2 OPEX LAP 2023'!K194*'2.1 OPEX TUUA'!$I$7,'2.2 OPEX LAP 2023'!K194*'2.1 OPEX TUUA'!$I$8)</f>
        <v>66149.705839952439</v>
      </c>
      <c r="J193" s="3">
        <f>+IF(F193="Pasajero",'2.2 OPEX LAP 2023'!L194*'2.1 OPEX TUUA'!$J$7,'2.2 OPEX LAP 2023'!L194*'2.1 OPEX TUUA'!$J$8)</f>
        <v>70190.758199936317</v>
      </c>
      <c r="K193" s="3">
        <f>+IF(F193="Pasajero",'2.2 OPEX LAP 2023'!M194*'2.1 OPEX TUUA'!$K$7,'2.2 OPEX LAP 2023'!M194*'2.1 OPEX TUUA'!$K$8)</f>
        <v>73135.430929823604</v>
      </c>
      <c r="L193" s="3">
        <f>+IF(F193="Pasajero",'2.2 OPEX LAP 2023'!N194*'2.1 OPEX TUUA'!$L$7,'2.2 OPEX LAP 2023'!N194*'2.1 OPEX TUUA'!$L$8)</f>
        <v>76418.486793797827</v>
      </c>
      <c r="M193" s="3"/>
      <c r="N193" s="3">
        <f>+IF(F193="Pasajero",'2.2 OPEX LAP 2023'!I194*'2.1 OPEX TUUA'!$N$7,'2.2 OPEX LAP 2023'!I194*'2.1 OPEX TUUA'!$N$8)</f>
        <v>24649.840504173753</v>
      </c>
      <c r="O193" s="3">
        <f>+IF(F193="Pasajero",'2.2 OPEX LAP 2023'!J194*'2.1 OPEX TUUA'!$O$7,'2.2 OPEX LAP 2023'!J194*'2.1 OPEX TUUA'!$O$8)</f>
        <v>24337.172313254709</v>
      </c>
      <c r="P193" s="3">
        <f>+IF(F193="Pasajero",'2.2 OPEX LAP 2023'!K194*'2.1 OPEX TUUA'!$P$7,'2.2 OPEX LAP 2023'!K194*'2.1 OPEX TUUA'!$P$8)</f>
        <v>24219.304237946806</v>
      </c>
      <c r="Q193" s="3">
        <f>+IF(F193="Pasajero",'2.2 OPEX LAP 2023'!L194*'2.1 OPEX TUUA'!$Q$7,'2.2 OPEX LAP 2023'!L194*'2.1 OPEX TUUA'!$Q$8)</f>
        <v>24097.252409598757</v>
      </c>
      <c r="R193" s="3">
        <f>+IF(F193="Pasajero",'2.2 OPEX LAP 2023'!M194*'2.1 OPEX TUUA'!$R$7,'2.2 OPEX LAP 2023'!M194*'2.1 OPEX TUUA'!$R$8)</f>
        <v>24247.72802110737</v>
      </c>
      <c r="S193" s="3">
        <f>+IF(F193="Pasajero",'2.2 OPEX LAP 2023'!N194*'2.1 OPEX TUUA'!$S$7,'2.2 OPEX LAP 2023'!N194*'2.1 OPEX TUUA'!$S$8)</f>
        <v>24288.518682308582</v>
      </c>
      <c r="AA193" s="6"/>
      <c r="AB193" s="6"/>
      <c r="AC193" s="6"/>
      <c r="AD193" s="6"/>
      <c r="AE193" s="6"/>
      <c r="AF193" s="6"/>
    </row>
    <row r="194" spans="2:32" x14ac:dyDescent="0.25">
      <c r="B194" s="16">
        <v>6310000001</v>
      </c>
      <c r="C194" s="190" t="s">
        <v>176</v>
      </c>
      <c r="D194" s="190" t="s">
        <v>38</v>
      </c>
      <c r="E194" s="190" t="s">
        <v>39</v>
      </c>
      <c r="F194" s="162" t="s">
        <v>190</v>
      </c>
      <c r="G194" s="3">
        <f>+IF(F194="Pasajero",'2.2 OPEX LAP 2023'!I195*'2.1 OPEX TUUA'!$G$7,'2.2 OPEX LAP 2023'!I195*'2.1 OPEX TUUA'!$G$8)</f>
        <v>3810.2349577870973</v>
      </c>
      <c r="H194" s="3">
        <f>+IF(F194="Pasajero",'2.2 OPEX LAP 2023'!J195*'2.1 OPEX TUUA'!$H$7,'2.2 OPEX LAP 2023'!J195*'2.1 OPEX TUUA'!$H$8)</f>
        <v>4479.9633443095654</v>
      </c>
      <c r="I194" s="3">
        <f>+IF(F194="Pasajero",'2.2 OPEX LAP 2023'!K195*'2.1 OPEX TUUA'!$I$7,'2.2 OPEX LAP 2023'!K195*'2.1 OPEX TUUA'!$I$8)</f>
        <v>5043.1721759833972</v>
      </c>
      <c r="J194" s="3">
        <f>+IF(F194="Pasajero",'2.2 OPEX LAP 2023'!L195*'2.1 OPEX TUUA'!$J$7,'2.2 OPEX LAP 2023'!L195*'2.1 OPEX TUUA'!$J$8)</f>
        <v>5351.2570353911024</v>
      </c>
      <c r="K194" s="3">
        <f>+IF(F194="Pasajero",'2.2 OPEX LAP 2023'!M195*'2.1 OPEX TUUA'!$K$7,'2.2 OPEX LAP 2023'!M195*'2.1 OPEX TUUA'!$K$8)</f>
        <v>5575.755260896065</v>
      </c>
      <c r="L194" s="3">
        <f>+IF(F194="Pasajero",'2.2 OPEX LAP 2023'!N195*'2.1 OPEX TUUA'!$L$7,'2.2 OPEX LAP 2023'!N195*'2.1 OPEX TUUA'!$L$8)</f>
        <v>5826.0514001631582</v>
      </c>
      <c r="M194" s="3"/>
      <c r="N194" s="3">
        <f>+IF(F194="Pasajero",'2.2 OPEX LAP 2023'!I195*'2.1 OPEX TUUA'!$N$7,'2.2 OPEX LAP 2023'!I195*'2.1 OPEX TUUA'!$N$8)</f>
        <v>1879.2735083939874</v>
      </c>
      <c r="O194" s="3">
        <f>+IF(F194="Pasajero",'2.2 OPEX LAP 2023'!J195*'2.1 OPEX TUUA'!$O$7,'2.2 OPEX LAP 2023'!J195*'2.1 OPEX TUUA'!$O$8)</f>
        <v>1855.4360702567246</v>
      </c>
      <c r="P194" s="3">
        <f>+IF(F194="Pasajero",'2.2 OPEX LAP 2023'!K195*'2.1 OPEX TUUA'!$P$7,'2.2 OPEX LAP 2023'!K195*'2.1 OPEX TUUA'!$P$8)</f>
        <v>1846.4499532319908</v>
      </c>
      <c r="Q194" s="3">
        <f>+IF(F194="Pasajero",'2.2 OPEX LAP 2023'!L195*'2.1 OPEX TUUA'!$Q$7,'2.2 OPEX LAP 2023'!L195*'2.1 OPEX TUUA'!$Q$8)</f>
        <v>1837.1448720235869</v>
      </c>
      <c r="R194" s="3">
        <f>+IF(F194="Pasajero",'2.2 OPEX LAP 2023'!M195*'2.1 OPEX TUUA'!$R$7,'2.2 OPEX LAP 2023'!M195*'2.1 OPEX TUUA'!$R$8)</f>
        <v>1848.616947484669</v>
      </c>
      <c r="S194" s="3">
        <f>+IF(F194="Pasajero",'2.2 OPEX LAP 2023'!N195*'2.1 OPEX TUUA'!$S$7,'2.2 OPEX LAP 2023'!N195*'2.1 OPEX TUUA'!$S$8)</f>
        <v>1851.7267773017154</v>
      </c>
      <c r="AA194" s="6"/>
      <c r="AB194" s="6"/>
      <c r="AC194" s="6"/>
      <c r="AD194" s="6"/>
      <c r="AE194" s="6"/>
      <c r="AF194" s="6"/>
    </row>
    <row r="195" spans="2:32" x14ac:dyDescent="0.25">
      <c r="B195" s="16">
        <v>6311300001</v>
      </c>
      <c r="C195" s="190" t="s">
        <v>176</v>
      </c>
      <c r="D195" s="190" t="s">
        <v>40</v>
      </c>
      <c r="E195" s="190" t="s">
        <v>41</v>
      </c>
      <c r="F195" s="162" t="s">
        <v>190</v>
      </c>
      <c r="G195" s="3">
        <f>+IF(F195="Pasajero",'2.2 OPEX LAP 2023'!I196*'2.1 OPEX TUUA'!$G$7,'2.2 OPEX LAP 2023'!I196*'2.1 OPEX TUUA'!$G$8)</f>
        <v>0</v>
      </c>
      <c r="H195" s="3">
        <f>+IF(F195="Pasajero",'2.2 OPEX LAP 2023'!J196*'2.1 OPEX TUUA'!$H$7,'2.2 OPEX LAP 2023'!J196*'2.1 OPEX TUUA'!$H$8)</f>
        <v>0</v>
      </c>
      <c r="I195" s="3">
        <f>+IF(F195="Pasajero",'2.2 OPEX LAP 2023'!K196*'2.1 OPEX TUUA'!$I$7,'2.2 OPEX LAP 2023'!K196*'2.1 OPEX TUUA'!$I$8)</f>
        <v>0</v>
      </c>
      <c r="J195" s="3">
        <f>+IF(F195="Pasajero",'2.2 OPEX LAP 2023'!L196*'2.1 OPEX TUUA'!$J$7,'2.2 OPEX LAP 2023'!L196*'2.1 OPEX TUUA'!$J$8)</f>
        <v>0</v>
      </c>
      <c r="K195" s="3">
        <f>+IF(F195="Pasajero",'2.2 OPEX LAP 2023'!M196*'2.1 OPEX TUUA'!$K$7,'2.2 OPEX LAP 2023'!M196*'2.1 OPEX TUUA'!$K$8)</f>
        <v>0</v>
      </c>
      <c r="L195" s="3">
        <f>+IF(F195="Pasajero",'2.2 OPEX LAP 2023'!N196*'2.1 OPEX TUUA'!$L$7,'2.2 OPEX LAP 2023'!N196*'2.1 OPEX TUUA'!$L$8)</f>
        <v>0</v>
      </c>
      <c r="M195" s="3"/>
      <c r="N195" s="3">
        <f>+IF(F195="Pasajero",'2.2 OPEX LAP 2023'!I196*'2.1 OPEX TUUA'!$N$7,'2.2 OPEX LAP 2023'!I196*'2.1 OPEX TUUA'!$N$8)</f>
        <v>0</v>
      </c>
      <c r="O195" s="3">
        <f>+IF(F195="Pasajero",'2.2 OPEX LAP 2023'!J196*'2.1 OPEX TUUA'!$O$7,'2.2 OPEX LAP 2023'!J196*'2.1 OPEX TUUA'!$O$8)</f>
        <v>0</v>
      </c>
      <c r="P195" s="3">
        <f>+IF(F195="Pasajero",'2.2 OPEX LAP 2023'!K196*'2.1 OPEX TUUA'!$P$7,'2.2 OPEX LAP 2023'!K196*'2.1 OPEX TUUA'!$P$8)</f>
        <v>0</v>
      </c>
      <c r="Q195" s="3">
        <f>+IF(F195="Pasajero",'2.2 OPEX LAP 2023'!L196*'2.1 OPEX TUUA'!$Q$7,'2.2 OPEX LAP 2023'!L196*'2.1 OPEX TUUA'!$Q$8)</f>
        <v>0</v>
      </c>
      <c r="R195" s="3">
        <f>+IF(F195="Pasajero",'2.2 OPEX LAP 2023'!M196*'2.1 OPEX TUUA'!$R$7,'2.2 OPEX LAP 2023'!M196*'2.1 OPEX TUUA'!$R$8)</f>
        <v>0</v>
      </c>
      <c r="S195" s="3">
        <f>+IF(F195="Pasajero",'2.2 OPEX LAP 2023'!N196*'2.1 OPEX TUUA'!$S$7,'2.2 OPEX LAP 2023'!N196*'2.1 OPEX TUUA'!$S$8)</f>
        <v>0</v>
      </c>
      <c r="AA195" s="6"/>
      <c r="AB195" s="6"/>
      <c r="AC195" s="6"/>
      <c r="AD195" s="6"/>
      <c r="AE195" s="6"/>
      <c r="AF195" s="6"/>
    </row>
    <row r="196" spans="2:32" x14ac:dyDescent="0.25">
      <c r="B196" s="16">
        <v>6311300002</v>
      </c>
      <c r="C196" s="190" t="s">
        <v>176</v>
      </c>
      <c r="D196" s="190" t="s">
        <v>40</v>
      </c>
      <c r="E196" s="190" t="s">
        <v>42</v>
      </c>
      <c r="F196" s="162" t="s">
        <v>190</v>
      </c>
      <c r="G196" s="3">
        <f>+IF(F196="Pasajero",'2.2 OPEX LAP 2023'!I197*'2.1 OPEX TUUA'!$G$7,'2.2 OPEX LAP 2023'!I197*'2.1 OPEX TUUA'!$G$8)</f>
        <v>12.627860856014438</v>
      </c>
      <c r="H196" s="3">
        <f>+IF(F196="Pasajero",'2.2 OPEX LAP 2023'!J197*'2.1 OPEX TUUA'!$H$7,'2.2 OPEX LAP 2023'!J197*'2.1 OPEX TUUA'!$H$8)</f>
        <v>14.847471187142304</v>
      </c>
      <c r="I196" s="3">
        <f>+IF(F196="Pasajero",'2.2 OPEX LAP 2023'!K197*'2.1 OPEX TUUA'!$I$7,'2.2 OPEX LAP 2023'!K197*'2.1 OPEX TUUA'!$I$8)</f>
        <v>16.714054964271412</v>
      </c>
      <c r="J196" s="3">
        <f>+IF(F196="Pasajero",'2.2 OPEX LAP 2023'!L197*'2.1 OPEX TUUA'!$J$7,'2.2 OPEX LAP 2023'!L197*'2.1 OPEX TUUA'!$J$8)</f>
        <v>17.735108201026332</v>
      </c>
      <c r="K196" s="3">
        <f>+IF(F196="Pasajero",'2.2 OPEX LAP 2023'!M197*'2.1 OPEX TUUA'!$K$7,'2.2 OPEX LAP 2023'!M197*'2.1 OPEX TUUA'!$K$8)</f>
        <v>18.479139050962498</v>
      </c>
      <c r="L196" s="3">
        <f>+IF(F196="Pasajero",'2.2 OPEX LAP 2023'!N197*'2.1 OPEX TUUA'!$L$7,'2.2 OPEX LAP 2023'!N197*'2.1 OPEX TUUA'!$L$8)</f>
        <v>19.308669212351319</v>
      </c>
      <c r="M196" s="3"/>
      <c r="N196" s="3">
        <f>+IF(F196="Pasajero",'2.2 OPEX LAP 2023'!I197*'2.1 OPEX TUUA'!$N$7,'2.2 OPEX LAP 2023'!I197*'2.1 OPEX TUUA'!$N$8)</f>
        <v>6.2282784755552001</v>
      </c>
      <c r="O196" s="3">
        <f>+IF(F196="Pasajero",'2.2 OPEX LAP 2023'!J197*'2.1 OPEX TUUA'!$O$7,'2.2 OPEX LAP 2023'!J197*'2.1 OPEX TUUA'!$O$8)</f>
        <v>6.1492765622096703</v>
      </c>
      <c r="P196" s="3">
        <f>+IF(F196="Pasajero",'2.2 OPEX LAP 2023'!K197*'2.1 OPEX TUUA'!$P$7,'2.2 OPEX LAP 2023'!K197*'2.1 OPEX TUUA'!$P$8)</f>
        <v>6.119494819959816</v>
      </c>
      <c r="Q196" s="3">
        <f>+IF(F196="Pasajero",'2.2 OPEX LAP 2023'!L197*'2.1 OPEX TUUA'!$Q$7,'2.2 OPEX LAP 2023'!L197*'2.1 OPEX TUUA'!$Q$8)</f>
        <v>6.0886559682733878</v>
      </c>
      <c r="R196" s="3">
        <f>+IF(F196="Pasajero",'2.2 OPEX LAP 2023'!M197*'2.1 OPEX TUUA'!$R$7,'2.2 OPEX LAP 2023'!M197*'2.1 OPEX TUUA'!$R$8)</f>
        <v>6.126676661027826</v>
      </c>
      <c r="S196" s="3">
        <f>+IF(F196="Pasajero",'2.2 OPEX LAP 2023'!N197*'2.1 OPEX TUUA'!$S$7,'2.2 OPEX LAP 2023'!N197*'2.1 OPEX TUUA'!$S$8)</f>
        <v>6.1369832428136251</v>
      </c>
      <c r="AA196" s="6"/>
      <c r="AB196" s="6"/>
      <c r="AC196" s="6"/>
      <c r="AD196" s="6"/>
      <c r="AE196" s="6"/>
      <c r="AF196" s="6"/>
    </row>
    <row r="197" spans="2:32" x14ac:dyDescent="0.25">
      <c r="B197" s="16">
        <v>6320000001</v>
      </c>
      <c r="C197" s="190" t="s">
        <v>176</v>
      </c>
      <c r="D197" s="190" t="s">
        <v>40</v>
      </c>
      <c r="E197" s="190" t="s">
        <v>43</v>
      </c>
      <c r="F197" s="162" t="s">
        <v>190</v>
      </c>
      <c r="G197" s="3">
        <f>+IF(F197="Pasajero",'2.2 OPEX LAP 2023'!I198*'2.1 OPEX TUUA'!$G$7,'2.2 OPEX LAP 2023'!I198*'2.1 OPEX TUUA'!$G$8)</f>
        <v>13080.513902373912</v>
      </c>
      <c r="H197" s="3">
        <f>+IF(F197="Pasajero",'2.2 OPEX LAP 2023'!J198*'2.1 OPEX TUUA'!$H$7,'2.2 OPEX LAP 2023'!J198*'2.1 OPEX TUUA'!$H$8)</f>
        <v>15379.687461951309</v>
      </c>
      <c r="I197" s="3">
        <f>+IF(F197="Pasajero",'2.2 OPEX LAP 2023'!K198*'2.1 OPEX TUUA'!$I$7,'2.2 OPEX LAP 2023'!K198*'2.1 OPEX TUUA'!$I$8)</f>
        <v>17313.180024553789</v>
      </c>
      <c r="J197" s="3">
        <f>+IF(F197="Pasajero",'2.2 OPEX LAP 2023'!L198*'2.1 OPEX TUUA'!$J$7,'2.2 OPEX LAP 2023'!L198*'2.1 OPEX TUUA'!$J$8)</f>
        <v>18370.833510819073</v>
      </c>
      <c r="K197" s="3">
        <f>+IF(F197="Pasajero",'2.2 OPEX LAP 2023'!M198*'2.1 OPEX TUUA'!$K$7,'2.2 OPEX LAP 2023'!M198*'2.1 OPEX TUUA'!$K$8)</f>
        <v>19141.534581044263</v>
      </c>
      <c r="L197" s="3">
        <f>+IF(F197="Pasajero",'2.2 OPEX LAP 2023'!N198*'2.1 OPEX TUUA'!$L$7,'2.2 OPEX LAP 2023'!N198*'2.1 OPEX TUUA'!$L$8)</f>
        <v>20000.799735468019</v>
      </c>
      <c r="M197" s="3"/>
      <c r="N197" s="3">
        <f>+IF(F197="Pasajero",'2.2 OPEX LAP 2023'!I198*'2.1 OPEX TUUA'!$N$7,'2.2 OPEX LAP 2023'!I198*'2.1 OPEX TUUA'!$N$8)</f>
        <v>6451.5347544832694</v>
      </c>
      <c r="O197" s="3">
        <f>+IF(F197="Pasajero",'2.2 OPEX LAP 2023'!J198*'2.1 OPEX TUUA'!$O$7,'2.2 OPEX LAP 2023'!J198*'2.1 OPEX TUUA'!$O$8)</f>
        <v>6369.7009714210999</v>
      </c>
      <c r="P197" s="3">
        <f>+IF(F197="Pasajero",'2.2 OPEX LAP 2023'!K198*'2.1 OPEX TUUA'!$P$7,'2.2 OPEX LAP 2023'!K198*'2.1 OPEX TUUA'!$P$8)</f>
        <v>6338.8516852293997</v>
      </c>
      <c r="Q197" s="3">
        <f>+IF(F197="Pasajero",'2.2 OPEX LAP 2023'!L198*'2.1 OPEX TUUA'!$Q$7,'2.2 OPEX LAP 2023'!L198*'2.1 OPEX TUUA'!$Q$8)</f>
        <v>6306.9073968960802</v>
      </c>
      <c r="R197" s="3">
        <f>+IF(F197="Pasajero",'2.2 OPEX LAP 2023'!M198*'2.1 OPEX TUUA'!$R$7,'2.2 OPEX LAP 2023'!M198*'2.1 OPEX TUUA'!$R$8)</f>
        <v>6346.2909635842934</v>
      </c>
      <c r="S197" s="3">
        <f>+IF(F197="Pasajero",'2.2 OPEX LAP 2023'!N198*'2.1 OPEX TUUA'!$S$7,'2.2 OPEX LAP 2023'!N198*'2.1 OPEX TUUA'!$S$8)</f>
        <v>6356.9669908126807</v>
      </c>
      <c r="AA197" s="6"/>
      <c r="AB197" s="6"/>
      <c r="AC197" s="6"/>
      <c r="AD197" s="6"/>
      <c r="AE197" s="6"/>
      <c r="AF197" s="6"/>
    </row>
    <row r="198" spans="2:32" x14ac:dyDescent="0.25">
      <c r="B198" s="16">
        <v>6320000002</v>
      </c>
      <c r="C198" s="190" t="s">
        <v>176</v>
      </c>
      <c r="D198" s="190" t="s">
        <v>40</v>
      </c>
      <c r="E198" s="190" t="s">
        <v>44</v>
      </c>
      <c r="F198" s="162" t="s">
        <v>190</v>
      </c>
      <c r="G198" s="3">
        <f>+IF(F198="Pasajero",'2.2 OPEX LAP 2023'!I199*'2.1 OPEX TUUA'!$G$7,'2.2 OPEX LAP 2023'!I199*'2.1 OPEX TUUA'!$G$8)</f>
        <v>1367.2400883143666</v>
      </c>
      <c r="H198" s="3">
        <f>+IF(F198="Pasajero",'2.2 OPEX LAP 2023'!J199*'2.1 OPEX TUUA'!$H$7,'2.2 OPEX LAP 2023'!J199*'2.1 OPEX TUUA'!$H$8)</f>
        <v>1607.5610943626195</v>
      </c>
      <c r="I198" s="3">
        <f>+IF(F198="Pasajero",'2.2 OPEX LAP 2023'!K199*'2.1 OPEX TUUA'!$I$7,'2.2 OPEX LAP 2023'!K199*'2.1 OPEX TUUA'!$I$8)</f>
        <v>1809.6593117398452</v>
      </c>
      <c r="J198" s="3">
        <f>+IF(F198="Pasajero",'2.2 OPEX LAP 2023'!L199*'2.1 OPEX TUUA'!$J$7,'2.2 OPEX LAP 2023'!L199*'2.1 OPEX TUUA'!$J$8)</f>
        <v>1920.2104916674864</v>
      </c>
      <c r="K198" s="3">
        <f>+IF(F198="Pasajero",'2.2 OPEX LAP 2023'!M199*'2.1 OPEX TUUA'!$K$7,'2.2 OPEX LAP 2023'!M199*'2.1 OPEX TUUA'!$K$8)</f>
        <v>2000.7679840705507</v>
      </c>
      <c r="L198" s="3">
        <f>+IF(F198="Pasajero",'2.2 OPEX LAP 2023'!N199*'2.1 OPEX TUUA'!$L$7,'2.2 OPEX LAP 2023'!N199*'2.1 OPEX TUUA'!$L$8)</f>
        <v>2090.5826331270059</v>
      </c>
      <c r="M198" s="3"/>
      <c r="N198" s="3">
        <f>+IF(F198="Pasajero",'2.2 OPEX LAP 2023'!I199*'2.1 OPEX TUUA'!$N$7,'2.2 OPEX LAP 2023'!I199*'2.1 OPEX TUUA'!$N$8)</f>
        <v>674.34636080177791</v>
      </c>
      <c r="O198" s="3">
        <f>+IF(F198="Pasajero",'2.2 OPEX LAP 2023'!J199*'2.1 OPEX TUUA'!$O$7,'2.2 OPEX LAP 2023'!J199*'2.1 OPEX TUUA'!$O$8)</f>
        <v>665.79268855188923</v>
      </c>
      <c r="P198" s="3">
        <f>+IF(F198="Pasajero",'2.2 OPEX LAP 2023'!K199*'2.1 OPEX TUUA'!$P$7,'2.2 OPEX LAP 2023'!K199*'2.1 OPEX TUUA'!$P$8)</f>
        <v>662.5681683922096</v>
      </c>
      <c r="Q198" s="3">
        <f>+IF(F198="Pasajero",'2.2 OPEX LAP 2023'!L199*'2.1 OPEX TUUA'!$Q$7,'2.2 OPEX LAP 2023'!L199*'2.1 OPEX TUUA'!$Q$8)</f>
        <v>659.22919318619256</v>
      </c>
      <c r="R198" s="3">
        <f>+IF(F198="Pasajero",'2.2 OPEX LAP 2023'!M199*'2.1 OPEX TUUA'!$R$7,'2.2 OPEX LAP 2023'!M199*'2.1 OPEX TUUA'!$R$8)</f>
        <v>663.34575860547284</v>
      </c>
      <c r="S198" s="3">
        <f>+IF(F198="Pasajero",'2.2 OPEX LAP 2023'!N199*'2.1 OPEX TUUA'!$S$7,'2.2 OPEX LAP 2023'!N199*'2.1 OPEX TUUA'!$S$8)</f>
        <v>664.46166983950616</v>
      </c>
      <c r="AA198" s="6"/>
      <c r="AB198" s="6"/>
      <c r="AC198" s="6"/>
      <c r="AD198" s="6"/>
      <c r="AE198" s="6"/>
      <c r="AF198" s="6"/>
    </row>
    <row r="199" spans="2:32" x14ac:dyDescent="0.25">
      <c r="B199" s="16">
        <v>6320000003</v>
      </c>
      <c r="C199" s="190" t="s">
        <v>176</v>
      </c>
      <c r="D199" s="190" t="s">
        <v>40</v>
      </c>
      <c r="E199" s="190" t="s">
        <v>45</v>
      </c>
      <c r="F199" s="162" t="s">
        <v>190</v>
      </c>
      <c r="G199" s="3">
        <f>+IF(F199="Pasajero",'2.2 OPEX LAP 2023'!I200*'2.1 OPEX TUUA'!$G$7,'2.2 OPEX LAP 2023'!I200*'2.1 OPEX TUUA'!$G$8)</f>
        <v>0</v>
      </c>
      <c r="H199" s="3">
        <f>+IF(F199="Pasajero",'2.2 OPEX LAP 2023'!J200*'2.1 OPEX TUUA'!$H$7,'2.2 OPEX LAP 2023'!J200*'2.1 OPEX TUUA'!$H$8)</f>
        <v>0</v>
      </c>
      <c r="I199" s="3">
        <f>+IF(F199="Pasajero",'2.2 OPEX LAP 2023'!K200*'2.1 OPEX TUUA'!$I$7,'2.2 OPEX LAP 2023'!K200*'2.1 OPEX TUUA'!$I$8)</f>
        <v>0</v>
      </c>
      <c r="J199" s="3">
        <f>+IF(F199="Pasajero",'2.2 OPEX LAP 2023'!L200*'2.1 OPEX TUUA'!$J$7,'2.2 OPEX LAP 2023'!L200*'2.1 OPEX TUUA'!$J$8)</f>
        <v>0</v>
      </c>
      <c r="K199" s="3">
        <f>+IF(F199="Pasajero",'2.2 OPEX LAP 2023'!M200*'2.1 OPEX TUUA'!$K$7,'2.2 OPEX LAP 2023'!M200*'2.1 OPEX TUUA'!$K$8)</f>
        <v>0</v>
      </c>
      <c r="L199" s="3">
        <f>+IF(F199="Pasajero",'2.2 OPEX LAP 2023'!N200*'2.1 OPEX TUUA'!$L$7,'2.2 OPEX LAP 2023'!N200*'2.1 OPEX TUUA'!$L$8)</f>
        <v>0</v>
      </c>
      <c r="M199" s="3"/>
      <c r="N199" s="3">
        <f>+IF(F199="Pasajero",'2.2 OPEX LAP 2023'!I200*'2.1 OPEX TUUA'!$N$7,'2.2 OPEX LAP 2023'!I200*'2.1 OPEX TUUA'!$N$8)</f>
        <v>0</v>
      </c>
      <c r="O199" s="3">
        <f>+IF(F199="Pasajero",'2.2 OPEX LAP 2023'!J200*'2.1 OPEX TUUA'!$O$7,'2.2 OPEX LAP 2023'!J200*'2.1 OPEX TUUA'!$O$8)</f>
        <v>0</v>
      </c>
      <c r="P199" s="3">
        <f>+IF(F199="Pasajero",'2.2 OPEX LAP 2023'!K200*'2.1 OPEX TUUA'!$P$7,'2.2 OPEX LAP 2023'!K200*'2.1 OPEX TUUA'!$P$8)</f>
        <v>0</v>
      </c>
      <c r="Q199" s="3">
        <f>+IF(F199="Pasajero",'2.2 OPEX LAP 2023'!L200*'2.1 OPEX TUUA'!$Q$7,'2.2 OPEX LAP 2023'!L200*'2.1 OPEX TUUA'!$Q$8)</f>
        <v>0</v>
      </c>
      <c r="R199" s="3">
        <f>+IF(F199="Pasajero",'2.2 OPEX LAP 2023'!M200*'2.1 OPEX TUUA'!$R$7,'2.2 OPEX LAP 2023'!M200*'2.1 OPEX TUUA'!$R$8)</f>
        <v>0</v>
      </c>
      <c r="S199" s="3">
        <f>+IF(F199="Pasajero",'2.2 OPEX LAP 2023'!N200*'2.1 OPEX TUUA'!$S$7,'2.2 OPEX LAP 2023'!N200*'2.1 OPEX TUUA'!$S$8)</f>
        <v>0</v>
      </c>
      <c r="AA199" s="6"/>
      <c r="AB199" s="6"/>
      <c r="AC199" s="6"/>
      <c r="AD199" s="6"/>
      <c r="AE199" s="6"/>
      <c r="AF199" s="6"/>
    </row>
    <row r="200" spans="2:32" x14ac:dyDescent="0.25">
      <c r="B200" s="16">
        <v>6320000004</v>
      </c>
      <c r="C200" s="190" t="s">
        <v>176</v>
      </c>
      <c r="D200" s="190" t="s">
        <v>40</v>
      </c>
      <c r="E200" s="190" t="s">
        <v>46</v>
      </c>
      <c r="F200" s="162" t="s">
        <v>190</v>
      </c>
      <c r="G200" s="3">
        <f>+IF(F200="Pasajero",'2.2 OPEX LAP 2023'!I201*'2.1 OPEX TUUA'!$G$7,'2.2 OPEX LAP 2023'!I201*'2.1 OPEX TUUA'!$G$8)</f>
        <v>37676.933131586906</v>
      </c>
      <c r="H200" s="3">
        <f>+IF(F200="Pasajero",'2.2 OPEX LAP 2023'!J201*'2.1 OPEX TUUA'!$H$7,'2.2 OPEX LAP 2023'!J201*'2.1 OPEX TUUA'!$H$8)</f>
        <v>44299.4411697756</v>
      </c>
      <c r="I200" s="3">
        <f>+IF(F200="Pasajero",'2.2 OPEX LAP 2023'!K201*'2.1 OPEX TUUA'!$I$7,'2.2 OPEX LAP 2023'!K201*'2.1 OPEX TUUA'!$I$8)</f>
        <v>49868.646671584938</v>
      </c>
      <c r="J200" s="3">
        <f>+IF(F200="Pasajero",'2.2 OPEX LAP 2023'!L201*'2.1 OPEX TUUA'!$J$7,'2.2 OPEX LAP 2023'!L201*'2.1 OPEX TUUA'!$J$8)</f>
        <v>52915.097290866419</v>
      </c>
      <c r="K200" s="3">
        <f>+IF(F200="Pasajero",'2.2 OPEX LAP 2023'!M201*'2.1 OPEX TUUA'!$K$7,'2.2 OPEX LAP 2023'!M201*'2.1 OPEX TUUA'!$K$8)</f>
        <v>55135.014100254702</v>
      </c>
      <c r="L200" s="3">
        <f>+IF(F200="Pasajero",'2.2 OPEX LAP 2023'!N201*'2.1 OPEX TUUA'!$L$7,'2.2 OPEX LAP 2023'!N201*'2.1 OPEX TUUA'!$L$8)</f>
        <v>57610.029685051501</v>
      </c>
      <c r="M200" s="3"/>
      <c r="N200" s="3">
        <f>+IF(F200="Pasajero",'2.2 OPEX LAP 2023'!I201*'2.1 OPEX TUUA'!$N$7,'2.2 OPEX LAP 2023'!I201*'2.1 OPEX TUUA'!$N$8)</f>
        <v>18582.912365290238</v>
      </c>
      <c r="O200" s="3">
        <f>+IF(F200="Pasajero",'2.2 OPEX LAP 2023'!J201*'2.1 OPEX TUUA'!$O$7,'2.2 OPEX LAP 2023'!J201*'2.1 OPEX TUUA'!$O$8)</f>
        <v>18347.199457116305</v>
      </c>
      <c r="P200" s="3">
        <f>+IF(F200="Pasajero",'2.2 OPEX LAP 2023'!K201*'2.1 OPEX TUUA'!$P$7,'2.2 OPEX LAP 2023'!K201*'2.1 OPEX TUUA'!$P$8)</f>
        <v>18258.341595592155</v>
      </c>
      <c r="Q200" s="3">
        <f>+IF(F200="Pasajero",'2.2 OPEX LAP 2023'!L201*'2.1 OPEX TUUA'!$Q$7,'2.2 OPEX LAP 2023'!L201*'2.1 OPEX TUUA'!$Q$8)</f>
        <v>18166.329704893262</v>
      </c>
      <c r="R200" s="3">
        <f>+IF(F200="Pasajero",'2.2 OPEX LAP 2023'!M201*'2.1 OPEX TUUA'!$R$7,'2.2 OPEX LAP 2023'!M201*'2.1 OPEX TUUA'!$R$8)</f>
        <v>18279.769591098797</v>
      </c>
      <c r="S200" s="3">
        <f>+IF(F200="Pasajero",'2.2 OPEX LAP 2023'!N201*'2.1 OPEX TUUA'!$S$7,'2.2 OPEX LAP 2023'!N201*'2.1 OPEX TUUA'!$S$8)</f>
        <v>18310.520673739516</v>
      </c>
      <c r="AA200" s="6"/>
      <c r="AB200" s="6"/>
      <c r="AC200" s="6"/>
      <c r="AD200" s="6"/>
      <c r="AE200" s="6"/>
      <c r="AF200" s="6"/>
    </row>
    <row r="201" spans="2:32" x14ac:dyDescent="0.25">
      <c r="B201" s="16">
        <v>6320000005</v>
      </c>
      <c r="C201" s="190" t="s">
        <v>176</v>
      </c>
      <c r="D201" s="190" t="s">
        <v>40</v>
      </c>
      <c r="E201" s="190" t="s">
        <v>47</v>
      </c>
      <c r="F201" s="162" t="s">
        <v>190</v>
      </c>
      <c r="G201" s="3">
        <f>+IF(F201="Pasajero",'2.2 OPEX LAP 2023'!I202*'2.1 OPEX TUUA'!$G$7,'2.2 OPEX LAP 2023'!I202*'2.1 OPEX TUUA'!$G$8)</f>
        <v>0</v>
      </c>
      <c r="H201" s="3">
        <f>+IF(F201="Pasajero",'2.2 OPEX LAP 2023'!J202*'2.1 OPEX TUUA'!$H$7,'2.2 OPEX LAP 2023'!J202*'2.1 OPEX TUUA'!$H$8)</f>
        <v>0</v>
      </c>
      <c r="I201" s="3">
        <f>+IF(F201="Pasajero",'2.2 OPEX LAP 2023'!K202*'2.1 OPEX TUUA'!$I$7,'2.2 OPEX LAP 2023'!K202*'2.1 OPEX TUUA'!$I$8)</f>
        <v>0</v>
      </c>
      <c r="J201" s="3">
        <f>+IF(F201="Pasajero",'2.2 OPEX LAP 2023'!L202*'2.1 OPEX TUUA'!$J$7,'2.2 OPEX LAP 2023'!L202*'2.1 OPEX TUUA'!$J$8)</f>
        <v>0</v>
      </c>
      <c r="K201" s="3">
        <f>+IF(F201="Pasajero",'2.2 OPEX LAP 2023'!M202*'2.1 OPEX TUUA'!$K$7,'2.2 OPEX LAP 2023'!M202*'2.1 OPEX TUUA'!$K$8)</f>
        <v>0</v>
      </c>
      <c r="L201" s="3">
        <f>+IF(F201="Pasajero",'2.2 OPEX LAP 2023'!N202*'2.1 OPEX TUUA'!$L$7,'2.2 OPEX LAP 2023'!N202*'2.1 OPEX TUUA'!$L$8)</f>
        <v>0</v>
      </c>
      <c r="M201" s="3"/>
      <c r="N201" s="3">
        <f>+IF(F201="Pasajero",'2.2 OPEX LAP 2023'!I202*'2.1 OPEX TUUA'!$N$7,'2.2 OPEX LAP 2023'!I202*'2.1 OPEX TUUA'!$N$8)</f>
        <v>0</v>
      </c>
      <c r="O201" s="3">
        <f>+IF(F201="Pasajero",'2.2 OPEX LAP 2023'!J202*'2.1 OPEX TUUA'!$O$7,'2.2 OPEX LAP 2023'!J202*'2.1 OPEX TUUA'!$O$8)</f>
        <v>0</v>
      </c>
      <c r="P201" s="3">
        <f>+IF(F201="Pasajero",'2.2 OPEX LAP 2023'!K202*'2.1 OPEX TUUA'!$P$7,'2.2 OPEX LAP 2023'!K202*'2.1 OPEX TUUA'!$P$8)</f>
        <v>0</v>
      </c>
      <c r="Q201" s="3">
        <f>+IF(F201="Pasajero",'2.2 OPEX LAP 2023'!L202*'2.1 OPEX TUUA'!$Q$7,'2.2 OPEX LAP 2023'!L202*'2.1 OPEX TUUA'!$Q$8)</f>
        <v>0</v>
      </c>
      <c r="R201" s="3">
        <f>+IF(F201="Pasajero",'2.2 OPEX LAP 2023'!M202*'2.1 OPEX TUUA'!$R$7,'2.2 OPEX LAP 2023'!M202*'2.1 OPEX TUUA'!$R$8)</f>
        <v>0</v>
      </c>
      <c r="S201" s="3">
        <f>+IF(F201="Pasajero",'2.2 OPEX LAP 2023'!N202*'2.1 OPEX TUUA'!$S$7,'2.2 OPEX LAP 2023'!N202*'2.1 OPEX TUUA'!$S$8)</f>
        <v>0</v>
      </c>
      <c r="AA201" s="6"/>
      <c r="AB201" s="6"/>
      <c r="AC201" s="6"/>
      <c r="AD201" s="6"/>
      <c r="AE201" s="6"/>
      <c r="AF201" s="6"/>
    </row>
    <row r="202" spans="2:32" x14ac:dyDescent="0.25">
      <c r="B202" s="16">
        <v>6320000006</v>
      </c>
      <c r="C202" s="190" t="s">
        <v>176</v>
      </c>
      <c r="D202" s="190" t="s">
        <v>40</v>
      </c>
      <c r="E202" s="190" t="s">
        <v>48</v>
      </c>
      <c r="F202" s="162" t="s">
        <v>190</v>
      </c>
      <c r="G202" s="3">
        <f>+IF(F202="Pasajero",'2.2 OPEX LAP 2023'!I203*'2.1 OPEX TUUA'!$G$7,'2.2 OPEX LAP 2023'!I203*'2.1 OPEX TUUA'!$G$8)</f>
        <v>0</v>
      </c>
      <c r="H202" s="3">
        <f>+IF(F202="Pasajero",'2.2 OPEX LAP 2023'!J203*'2.1 OPEX TUUA'!$H$7,'2.2 OPEX LAP 2023'!J203*'2.1 OPEX TUUA'!$H$8)</f>
        <v>0</v>
      </c>
      <c r="I202" s="3">
        <f>+IF(F202="Pasajero",'2.2 OPEX LAP 2023'!K203*'2.1 OPEX TUUA'!$I$7,'2.2 OPEX LAP 2023'!K203*'2.1 OPEX TUUA'!$I$8)</f>
        <v>0</v>
      </c>
      <c r="J202" s="3">
        <f>+IF(F202="Pasajero",'2.2 OPEX LAP 2023'!L203*'2.1 OPEX TUUA'!$J$7,'2.2 OPEX LAP 2023'!L203*'2.1 OPEX TUUA'!$J$8)</f>
        <v>0</v>
      </c>
      <c r="K202" s="3">
        <f>+IF(F202="Pasajero",'2.2 OPEX LAP 2023'!M203*'2.1 OPEX TUUA'!$K$7,'2.2 OPEX LAP 2023'!M203*'2.1 OPEX TUUA'!$K$8)</f>
        <v>0</v>
      </c>
      <c r="L202" s="3">
        <f>+IF(F202="Pasajero",'2.2 OPEX LAP 2023'!N203*'2.1 OPEX TUUA'!$L$7,'2.2 OPEX LAP 2023'!N203*'2.1 OPEX TUUA'!$L$8)</f>
        <v>0</v>
      </c>
      <c r="M202" s="3"/>
      <c r="N202" s="3">
        <f>+IF(F202="Pasajero",'2.2 OPEX LAP 2023'!I203*'2.1 OPEX TUUA'!$N$7,'2.2 OPEX LAP 2023'!I203*'2.1 OPEX TUUA'!$N$8)</f>
        <v>0</v>
      </c>
      <c r="O202" s="3">
        <f>+IF(F202="Pasajero",'2.2 OPEX LAP 2023'!J203*'2.1 OPEX TUUA'!$O$7,'2.2 OPEX LAP 2023'!J203*'2.1 OPEX TUUA'!$O$8)</f>
        <v>0</v>
      </c>
      <c r="P202" s="3">
        <f>+IF(F202="Pasajero",'2.2 OPEX LAP 2023'!K203*'2.1 OPEX TUUA'!$P$7,'2.2 OPEX LAP 2023'!K203*'2.1 OPEX TUUA'!$P$8)</f>
        <v>0</v>
      </c>
      <c r="Q202" s="3">
        <f>+IF(F202="Pasajero",'2.2 OPEX LAP 2023'!L203*'2.1 OPEX TUUA'!$Q$7,'2.2 OPEX LAP 2023'!L203*'2.1 OPEX TUUA'!$Q$8)</f>
        <v>0</v>
      </c>
      <c r="R202" s="3">
        <f>+IF(F202="Pasajero",'2.2 OPEX LAP 2023'!M203*'2.1 OPEX TUUA'!$R$7,'2.2 OPEX LAP 2023'!M203*'2.1 OPEX TUUA'!$R$8)</f>
        <v>0</v>
      </c>
      <c r="S202" s="3">
        <f>+IF(F202="Pasajero",'2.2 OPEX LAP 2023'!N203*'2.1 OPEX TUUA'!$S$7,'2.2 OPEX LAP 2023'!N203*'2.1 OPEX TUUA'!$S$8)</f>
        <v>0</v>
      </c>
      <c r="AA202" s="6"/>
      <c r="AB202" s="6"/>
      <c r="AC202" s="6"/>
      <c r="AD202" s="6"/>
      <c r="AE202" s="6"/>
      <c r="AF202" s="6"/>
    </row>
    <row r="203" spans="2:32" x14ac:dyDescent="0.25">
      <c r="B203" s="16">
        <v>6320000007</v>
      </c>
      <c r="C203" s="190" t="s">
        <v>176</v>
      </c>
      <c r="D203" s="190" t="s">
        <v>49</v>
      </c>
      <c r="E203" s="190" t="s">
        <v>50</v>
      </c>
      <c r="F203" s="162" t="s">
        <v>190</v>
      </c>
      <c r="G203" s="3">
        <f>+IF(F203="Pasajero",'2.2 OPEX LAP 2023'!I204*'2.1 OPEX TUUA'!$G$7,'2.2 OPEX LAP 2023'!I204*'2.1 OPEX TUUA'!$G$8)</f>
        <v>0</v>
      </c>
      <c r="H203" s="3">
        <f>+IF(F203="Pasajero",'2.2 OPEX LAP 2023'!J204*'2.1 OPEX TUUA'!$H$7,'2.2 OPEX LAP 2023'!J204*'2.1 OPEX TUUA'!$H$8)</f>
        <v>0</v>
      </c>
      <c r="I203" s="3">
        <f>+IF(F203="Pasajero",'2.2 OPEX LAP 2023'!K204*'2.1 OPEX TUUA'!$I$7,'2.2 OPEX LAP 2023'!K204*'2.1 OPEX TUUA'!$I$8)</f>
        <v>0</v>
      </c>
      <c r="J203" s="3">
        <f>+IF(F203="Pasajero",'2.2 OPEX LAP 2023'!L204*'2.1 OPEX TUUA'!$J$7,'2.2 OPEX LAP 2023'!L204*'2.1 OPEX TUUA'!$J$8)</f>
        <v>0</v>
      </c>
      <c r="K203" s="3">
        <f>+IF(F203="Pasajero",'2.2 OPEX LAP 2023'!M204*'2.1 OPEX TUUA'!$K$7,'2.2 OPEX LAP 2023'!M204*'2.1 OPEX TUUA'!$K$8)</f>
        <v>0</v>
      </c>
      <c r="L203" s="3">
        <f>+IF(F203="Pasajero",'2.2 OPEX LAP 2023'!N204*'2.1 OPEX TUUA'!$L$7,'2.2 OPEX LAP 2023'!N204*'2.1 OPEX TUUA'!$L$8)</f>
        <v>0</v>
      </c>
      <c r="M203" s="3"/>
      <c r="N203" s="3">
        <f>+IF(F203="Pasajero",'2.2 OPEX LAP 2023'!I204*'2.1 OPEX TUUA'!$N$7,'2.2 OPEX LAP 2023'!I204*'2.1 OPEX TUUA'!$N$8)</f>
        <v>0</v>
      </c>
      <c r="O203" s="3">
        <f>+IF(F203="Pasajero",'2.2 OPEX LAP 2023'!J204*'2.1 OPEX TUUA'!$O$7,'2.2 OPEX LAP 2023'!J204*'2.1 OPEX TUUA'!$O$8)</f>
        <v>0</v>
      </c>
      <c r="P203" s="3">
        <f>+IF(F203="Pasajero",'2.2 OPEX LAP 2023'!K204*'2.1 OPEX TUUA'!$P$7,'2.2 OPEX LAP 2023'!K204*'2.1 OPEX TUUA'!$P$8)</f>
        <v>0</v>
      </c>
      <c r="Q203" s="3">
        <f>+IF(F203="Pasajero",'2.2 OPEX LAP 2023'!L204*'2.1 OPEX TUUA'!$Q$7,'2.2 OPEX LAP 2023'!L204*'2.1 OPEX TUUA'!$Q$8)</f>
        <v>0</v>
      </c>
      <c r="R203" s="3">
        <f>+IF(F203="Pasajero",'2.2 OPEX LAP 2023'!M204*'2.1 OPEX TUUA'!$R$7,'2.2 OPEX LAP 2023'!M204*'2.1 OPEX TUUA'!$R$8)</f>
        <v>0</v>
      </c>
      <c r="S203" s="3">
        <f>+IF(F203="Pasajero",'2.2 OPEX LAP 2023'!N204*'2.1 OPEX TUUA'!$S$7,'2.2 OPEX LAP 2023'!N204*'2.1 OPEX TUUA'!$S$8)</f>
        <v>0</v>
      </c>
      <c r="AA203" s="6"/>
      <c r="AB203" s="6"/>
      <c r="AC203" s="6"/>
      <c r="AD203" s="6"/>
      <c r="AE203" s="6"/>
      <c r="AF203" s="6"/>
    </row>
    <row r="204" spans="2:32" x14ac:dyDescent="0.25">
      <c r="B204" s="16">
        <v>6329000003</v>
      </c>
      <c r="C204" s="190" t="s">
        <v>176</v>
      </c>
      <c r="D204" s="190" t="s">
        <v>40</v>
      </c>
      <c r="E204" s="190" t="s">
        <v>51</v>
      </c>
      <c r="F204" s="162" t="s">
        <v>190</v>
      </c>
      <c r="G204" s="3">
        <f>+IF(F204="Pasajero",'2.2 OPEX LAP 2023'!I205*'2.1 OPEX TUUA'!$G$7,'2.2 OPEX LAP 2023'!I205*'2.1 OPEX TUUA'!$G$8)</f>
        <v>0</v>
      </c>
      <c r="H204" s="3">
        <f>+IF(F204="Pasajero",'2.2 OPEX LAP 2023'!J205*'2.1 OPEX TUUA'!$H$7,'2.2 OPEX LAP 2023'!J205*'2.1 OPEX TUUA'!$H$8)</f>
        <v>0</v>
      </c>
      <c r="I204" s="3">
        <f>+IF(F204="Pasajero",'2.2 OPEX LAP 2023'!K205*'2.1 OPEX TUUA'!$I$7,'2.2 OPEX LAP 2023'!K205*'2.1 OPEX TUUA'!$I$8)</f>
        <v>0</v>
      </c>
      <c r="J204" s="3">
        <f>+IF(F204="Pasajero",'2.2 OPEX LAP 2023'!L205*'2.1 OPEX TUUA'!$J$7,'2.2 OPEX LAP 2023'!L205*'2.1 OPEX TUUA'!$J$8)</f>
        <v>0</v>
      </c>
      <c r="K204" s="3">
        <f>+IF(F204="Pasajero",'2.2 OPEX LAP 2023'!M205*'2.1 OPEX TUUA'!$K$7,'2.2 OPEX LAP 2023'!M205*'2.1 OPEX TUUA'!$K$8)</f>
        <v>0</v>
      </c>
      <c r="L204" s="3">
        <f>+IF(F204="Pasajero",'2.2 OPEX LAP 2023'!N205*'2.1 OPEX TUUA'!$L$7,'2.2 OPEX LAP 2023'!N205*'2.1 OPEX TUUA'!$L$8)</f>
        <v>0</v>
      </c>
      <c r="M204" s="3"/>
      <c r="N204" s="3">
        <f>+IF(F204="Pasajero",'2.2 OPEX LAP 2023'!I205*'2.1 OPEX TUUA'!$N$7,'2.2 OPEX LAP 2023'!I205*'2.1 OPEX TUUA'!$N$8)</f>
        <v>0</v>
      </c>
      <c r="O204" s="3">
        <f>+IF(F204="Pasajero",'2.2 OPEX LAP 2023'!J205*'2.1 OPEX TUUA'!$O$7,'2.2 OPEX LAP 2023'!J205*'2.1 OPEX TUUA'!$O$8)</f>
        <v>0</v>
      </c>
      <c r="P204" s="3">
        <f>+IF(F204="Pasajero",'2.2 OPEX LAP 2023'!K205*'2.1 OPEX TUUA'!$P$7,'2.2 OPEX LAP 2023'!K205*'2.1 OPEX TUUA'!$P$8)</f>
        <v>0</v>
      </c>
      <c r="Q204" s="3">
        <f>+IF(F204="Pasajero",'2.2 OPEX LAP 2023'!L205*'2.1 OPEX TUUA'!$Q$7,'2.2 OPEX LAP 2023'!L205*'2.1 OPEX TUUA'!$Q$8)</f>
        <v>0</v>
      </c>
      <c r="R204" s="3">
        <f>+IF(F204="Pasajero",'2.2 OPEX LAP 2023'!M205*'2.1 OPEX TUUA'!$R$7,'2.2 OPEX LAP 2023'!M205*'2.1 OPEX TUUA'!$R$8)</f>
        <v>0</v>
      </c>
      <c r="S204" s="3">
        <f>+IF(F204="Pasajero",'2.2 OPEX LAP 2023'!N205*'2.1 OPEX TUUA'!$S$7,'2.2 OPEX LAP 2023'!N205*'2.1 OPEX TUUA'!$S$8)</f>
        <v>0</v>
      </c>
      <c r="AA204" s="6"/>
      <c r="AB204" s="6"/>
      <c r="AC204" s="6"/>
      <c r="AD204" s="6"/>
      <c r="AE204" s="6"/>
      <c r="AF204" s="6"/>
    </row>
    <row r="205" spans="2:32" x14ac:dyDescent="0.25">
      <c r="B205" s="16">
        <v>6341100001</v>
      </c>
      <c r="C205" s="190" t="s">
        <v>176</v>
      </c>
      <c r="D205" s="190" t="s">
        <v>52</v>
      </c>
      <c r="E205" s="190" t="s">
        <v>53</v>
      </c>
      <c r="F205" s="162" t="s">
        <v>190</v>
      </c>
      <c r="G205" s="3">
        <f>+IF(F205="Pasajero",'2.2 OPEX LAP 2023'!I206*'2.1 OPEX TUUA'!$G$7,'2.2 OPEX LAP 2023'!I206*'2.1 OPEX TUUA'!$G$8)</f>
        <v>2023.5009859193285</v>
      </c>
      <c r="H205" s="3">
        <f>+IF(F205="Pasajero",'2.2 OPEX LAP 2023'!J206*'2.1 OPEX TUUA'!$H$7,'2.2 OPEX LAP 2023'!J206*'2.1 OPEX TUUA'!$H$8)</f>
        <v>2379.1735534749641</v>
      </c>
      <c r="I205" s="3">
        <f>+IF(F205="Pasajero",'2.2 OPEX LAP 2023'!K206*'2.1 OPEX TUUA'!$I$7,'2.2 OPEX LAP 2023'!K206*'2.1 OPEX TUUA'!$I$8)</f>
        <v>2678.2767948226733</v>
      </c>
      <c r="J205" s="3">
        <f>+IF(F205="Pasajero",'2.2 OPEX LAP 2023'!L206*'2.1 OPEX TUUA'!$J$7,'2.2 OPEX LAP 2023'!L206*'2.1 OPEX TUUA'!$J$8)</f>
        <v>2841.8913812366222</v>
      </c>
      <c r="K205" s="3">
        <f>+IF(F205="Pasajero",'2.2 OPEX LAP 2023'!M206*'2.1 OPEX TUUA'!$K$7,'2.2 OPEX LAP 2023'!M206*'2.1 OPEX TUUA'!$K$8)</f>
        <v>2961.1156248014508</v>
      </c>
      <c r="L205" s="3">
        <f>+IF(F205="Pasajero",'2.2 OPEX LAP 2023'!N206*'2.1 OPEX TUUA'!$L$7,'2.2 OPEX LAP 2023'!N206*'2.1 OPEX TUUA'!$L$8)</f>
        <v>3094.0403630892215</v>
      </c>
      <c r="M205" s="3"/>
      <c r="N205" s="3">
        <f>+IF(F205="Pasajero",'2.2 OPEX LAP 2023'!I206*'2.1 OPEX TUUA'!$N$7,'2.2 OPEX LAP 2023'!I206*'2.1 OPEX TUUA'!$N$8)</f>
        <v>998.02553889113506</v>
      </c>
      <c r="O205" s="3">
        <f>+IF(F205="Pasajero",'2.2 OPEX LAP 2023'!J206*'2.1 OPEX TUUA'!$O$7,'2.2 OPEX LAP 2023'!J206*'2.1 OPEX TUUA'!$O$8)</f>
        <v>985.36619370457049</v>
      </c>
      <c r="P205" s="3">
        <f>+IF(F205="Pasajero",'2.2 OPEX LAP 2023'!K206*'2.1 OPEX TUUA'!$P$7,'2.2 OPEX LAP 2023'!K206*'2.1 OPEX TUUA'!$P$8)</f>
        <v>980.5939376992095</v>
      </c>
      <c r="Q205" s="3">
        <f>+IF(F205="Pasajero",'2.2 OPEX LAP 2023'!L206*'2.1 OPEX TUUA'!$Q$7,'2.2 OPEX LAP 2023'!L206*'2.1 OPEX TUUA'!$Q$8)</f>
        <v>975.65228942610668</v>
      </c>
      <c r="R205" s="3">
        <f>+IF(F205="Pasajero",'2.2 OPEX LAP 2023'!M206*'2.1 OPEX TUUA'!$R$7,'2.2 OPEX LAP 2023'!M206*'2.1 OPEX TUUA'!$R$8)</f>
        <v>981.74476305653161</v>
      </c>
      <c r="S205" s="3">
        <f>+IF(F205="Pasajero",'2.2 OPEX LAP 2023'!N206*'2.1 OPEX TUUA'!$S$7,'2.2 OPEX LAP 2023'!N206*'2.1 OPEX TUUA'!$S$8)</f>
        <v>983.39629997500265</v>
      </c>
      <c r="AA205" s="6"/>
      <c r="AB205" s="6"/>
      <c r="AC205" s="6"/>
      <c r="AD205" s="6"/>
      <c r="AE205" s="6"/>
      <c r="AF205" s="6"/>
    </row>
    <row r="206" spans="2:32" x14ac:dyDescent="0.25">
      <c r="B206" s="16">
        <v>6341100002</v>
      </c>
      <c r="C206" s="190" t="s">
        <v>176</v>
      </c>
      <c r="D206" s="190" t="s">
        <v>52</v>
      </c>
      <c r="E206" s="190" t="s">
        <v>54</v>
      </c>
      <c r="F206" s="162" t="s">
        <v>190</v>
      </c>
      <c r="G206" s="3">
        <f>+IF(F206="Pasajero",'2.2 OPEX LAP 2023'!I207*'2.1 OPEX TUUA'!$G$7,'2.2 OPEX LAP 2023'!I207*'2.1 OPEX TUUA'!$G$8)</f>
        <v>4618.4564617423548</v>
      </c>
      <c r="H206" s="3">
        <f>+IF(F206="Pasajero",'2.2 OPEX LAP 2023'!J207*'2.1 OPEX TUUA'!$H$7,'2.2 OPEX LAP 2023'!J207*'2.1 OPEX TUUA'!$H$8)</f>
        <v>5430.2466606710295</v>
      </c>
      <c r="I206" s="3">
        <f>+IF(F206="Pasajero",'2.2 OPEX LAP 2023'!K207*'2.1 OPEX TUUA'!$I$7,'2.2 OPEX LAP 2023'!K207*'2.1 OPEX TUUA'!$I$8)</f>
        <v>6112.9225315220674</v>
      </c>
      <c r="J206" s="3">
        <f>+IF(F206="Pasajero",'2.2 OPEX LAP 2023'!L207*'2.1 OPEX TUUA'!$J$7,'2.2 OPEX LAP 2023'!L207*'2.1 OPEX TUUA'!$J$8)</f>
        <v>6486.357903739342</v>
      </c>
      <c r="K206" s="3">
        <f>+IF(F206="Pasajero",'2.2 OPEX LAP 2023'!M207*'2.1 OPEX TUUA'!$K$7,'2.2 OPEX LAP 2023'!M207*'2.1 OPEX TUUA'!$K$8)</f>
        <v>6758.4763667002881</v>
      </c>
      <c r="L206" s="3">
        <f>+IF(F206="Pasajero",'2.2 OPEX LAP 2023'!N207*'2.1 OPEX TUUA'!$L$7,'2.2 OPEX LAP 2023'!N207*'2.1 OPEX TUUA'!$L$8)</f>
        <v>7061.8649594128592</v>
      </c>
      <c r="M206" s="3"/>
      <c r="N206" s="3">
        <f>+IF(F206="Pasajero",'2.2 OPEX LAP 2023'!I207*'2.1 OPEX TUUA'!$N$7,'2.2 OPEX LAP 2023'!I207*'2.1 OPEX TUUA'!$N$8)</f>
        <v>2277.9022748938855</v>
      </c>
      <c r="O206" s="3">
        <f>+IF(F206="Pasajero",'2.2 OPEX LAP 2023'!J207*'2.1 OPEX TUUA'!$O$7,'2.2 OPEX LAP 2023'!J207*'2.1 OPEX TUUA'!$O$8)</f>
        <v>2249.0084740086081</v>
      </c>
      <c r="P206" s="3">
        <f>+IF(F206="Pasajero",'2.2 OPEX LAP 2023'!K207*'2.1 OPEX TUUA'!$P$7,'2.2 OPEX LAP 2023'!K207*'2.1 OPEX TUUA'!$P$8)</f>
        <v>2238.1162348951025</v>
      </c>
      <c r="Q206" s="3">
        <f>+IF(F206="Pasajero",'2.2 OPEX LAP 2023'!L207*'2.1 OPEX TUUA'!$Q$7,'2.2 OPEX LAP 2023'!L207*'2.1 OPEX TUUA'!$Q$8)</f>
        <v>2226.8373733786598</v>
      </c>
      <c r="R206" s="3">
        <f>+IF(F206="Pasajero",'2.2 OPEX LAP 2023'!M207*'2.1 OPEX TUUA'!$R$7,'2.2 OPEX LAP 2023'!M207*'2.1 OPEX TUUA'!$R$8)</f>
        <v>2240.7428888205741</v>
      </c>
      <c r="S206" s="3">
        <f>+IF(F206="Pasajero",'2.2 OPEX LAP 2023'!N207*'2.1 OPEX TUUA'!$S$7,'2.2 OPEX LAP 2023'!N207*'2.1 OPEX TUUA'!$S$8)</f>
        <v>2244.51237122063</v>
      </c>
      <c r="AA206" s="6"/>
      <c r="AB206" s="6"/>
      <c r="AC206" s="6"/>
      <c r="AD206" s="6"/>
      <c r="AE206" s="6"/>
      <c r="AF206" s="6"/>
    </row>
    <row r="207" spans="2:32" x14ac:dyDescent="0.25">
      <c r="B207" s="16">
        <v>6341100003</v>
      </c>
      <c r="C207" s="190" t="s">
        <v>176</v>
      </c>
      <c r="D207" s="190" t="s">
        <v>52</v>
      </c>
      <c r="E207" s="190" t="s">
        <v>55</v>
      </c>
      <c r="F207" s="162" t="s">
        <v>190</v>
      </c>
      <c r="G207" s="3">
        <f>+IF(F207="Pasajero",'2.2 OPEX LAP 2023'!I208*'2.1 OPEX TUUA'!$G$7,'2.2 OPEX LAP 2023'!I208*'2.1 OPEX TUUA'!$G$8)</f>
        <v>2445.2664542193334</v>
      </c>
      <c r="H207" s="3">
        <f>+IF(F207="Pasajero",'2.2 OPEX LAP 2023'!J208*'2.1 OPEX TUUA'!$H$7,'2.2 OPEX LAP 2023'!J208*'2.1 OPEX TUUA'!$H$8)</f>
        <v>2875.0731131643111</v>
      </c>
      <c r="I207" s="3">
        <f>+IF(F207="Pasajero",'2.2 OPEX LAP 2023'!K208*'2.1 OPEX TUUA'!$I$7,'2.2 OPEX LAP 2023'!K208*'2.1 OPEX TUUA'!$I$8)</f>
        <v>3236.5195011350756</v>
      </c>
      <c r="J207" s="3">
        <f>+IF(F207="Pasajero",'2.2 OPEX LAP 2023'!L208*'2.1 OPEX TUUA'!$J$7,'2.2 OPEX LAP 2023'!L208*'2.1 OPEX TUUA'!$J$8)</f>
        <v>3434.2368545552094</v>
      </c>
      <c r="K207" s="3">
        <f>+IF(F207="Pasajero",'2.2 OPEX LAP 2023'!M208*'2.1 OPEX TUUA'!$K$7,'2.2 OPEX LAP 2023'!M208*'2.1 OPEX TUUA'!$K$8)</f>
        <v>3578.3114289425789</v>
      </c>
      <c r="L207" s="3">
        <f>+IF(F207="Pasajero",'2.2 OPEX LAP 2023'!N208*'2.1 OPEX TUUA'!$L$7,'2.2 OPEX LAP 2023'!N208*'2.1 OPEX TUUA'!$L$8)</f>
        <v>3738.9421406312595</v>
      </c>
      <c r="M207" s="3"/>
      <c r="N207" s="3">
        <f>+IF(F207="Pasajero",'2.2 OPEX LAP 2023'!I208*'2.1 OPEX TUUA'!$N$7,'2.2 OPEX LAP 2023'!I208*'2.1 OPEX TUUA'!$N$8)</f>
        <v>1206.0475323148464</v>
      </c>
      <c r="O207" s="3">
        <f>+IF(F207="Pasajero",'2.2 OPEX LAP 2023'!J208*'2.1 OPEX TUUA'!$O$7,'2.2 OPEX LAP 2023'!J208*'2.1 OPEX TUUA'!$O$8)</f>
        <v>1190.7495550306767</v>
      </c>
      <c r="P207" s="3">
        <f>+IF(F207="Pasajero",'2.2 OPEX LAP 2023'!K208*'2.1 OPEX TUUA'!$P$7,'2.2 OPEX LAP 2023'!K208*'2.1 OPEX TUUA'!$P$8)</f>
        <v>1184.9826008250407</v>
      </c>
      <c r="Q207" s="3">
        <f>+IF(F207="Pasajero",'2.2 OPEX LAP 2023'!L208*'2.1 OPEX TUUA'!$Q$7,'2.2 OPEX LAP 2023'!L208*'2.1 OPEX TUUA'!$Q$8)</f>
        <v>1179.0109473221</v>
      </c>
      <c r="R207" s="3">
        <f>+IF(F207="Pasajero",'2.2 OPEX LAP 2023'!M208*'2.1 OPEX TUUA'!$R$7,'2.2 OPEX LAP 2023'!M208*'2.1 OPEX TUUA'!$R$8)</f>
        <v>1186.3732967824465</v>
      </c>
      <c r="S207" s="3">
        <f>+IF(F207="Pasajero",'2.2 OPEX LAP 2023'!N208*'2.1 OPEX TUUA'!$S$7,'2.2 OPEX LAP 2023'!N208*'2.1 OPEX TUUA'!$S$8)</f>
        <v>1188.3690693828769</v>
      </c>
      <c r="AA207" s="6"/>
      <c r="AB207" s="6"/>
      <c r="AC207" s="6"/>
      <c r="AD207" s="6"/>
      <c r="AE207" s="6"/>
      <c r="AF207" s="6"/>
    </row>
    <row r="208" spans="2:32" x14ac:dyDescent="0.25">
      <c r="B208" s="16">
        <v>6341100004</v>
      </c>
      <c r="C208" s="190" t="s">
        <v>176</v>
      </c>
      <c r="D208" s="190" t="s">
        <v>52</v>
      </c>
      <c r="E208" s="190" t="s">
        <v>56</v>
      </c>
      <c r="F208" s="162" t="s">
        <v>190</v>
      </c>
      <c r="G208" s="3">
        <f>+IF(F208="Pasajero",'2.2 OPEX LAP 2023'!I209*'2.1 OPEX TUUA'!$G$7,'2.2 OPEX LAP 2023'!I209*'2.1 OPEX TUUA'!$G$8)</f>
        <v>1290.4463171719651</v>
      </c>
      <c r="H208" s="3">
        <f>+IF(F208="Pasajero",'2.2 OPEX LAP 2023'!J209*'2.1 OPEX TUUA'!$H$7,'2.2 OPEX LAP 2023'!J209*'2.1 OPEX TUUA'!$H$8)</f>
        <v>1517.2692137828813</v>
      </c>
      <c r="I208" s="3">
        <f>+IF(F208="Pasajero",'2.2 OPEX LAP 2023'!K209*'2.1 OPEX TUUA'!$I$7,'2.2 OPEX LAP 2023'!K209*'2.1 OPEX TUUA'!$I$8)</f>
        <v>1708.0161810130405</v>
      </c>
      <c r="J208" s="3">
        <f>+IF(F208="Pasajero",'2.2 OPEX LAP 2023'!L209*'2.1 OPEX TUUA'!$J$7,'2.2 OPEX LAP 2023'!L209*'2.1 OPEX TUUA'!$J$8)</f>
        <v>1812.358033052006</v>
      </c>
      <c r="K208" s="3">
        <f>+IF(F208="Pasajero",'2.2 OPEX LAP 2023'!M209*'2.1 OPEX TUUA'!$K$7,'2.2 OPEX LAP 2023'!M209*'2.1 OPEX TUUA'!$K$8)</f>
        <v>1888.3908529500143</v>
      </c>
      <c r="L208" s="3">
        <f>+IF(F208="Pasajero",'2.2 OPEX LAP 2023'!N209*'2.1 OPEX TUUA'!$L$7,'2.2 OPEX LAP 2023'!N209*'2.1 OPEX TUUA'!$L$8)</f>
        <v>1973.1608828032834</v>
      </c>
      <c r="M208" s="3"/>
      <c r="N208" s="3">
        <f>+IF(F208="Pasajero",'2.2 OPEX LAP 2023'!I209*'2.1 OPEX TUUA'!$N$7,'2.2 OPEX LAP 2023'!I209*'2.1 OPEX TUUA'!$N$8)</f>
        <v>636.47035018394411</v>
      </c>
      <c r="O208" s="3">
        <f>+IF(F208="Pasajero",'2.2 OPEX LAP 2023'!J209*'2.1 OPEX TUUA'!$O$7,'2.2 OPEX LAP 2023'!J209*'2.1 OPEX TUUA'!$O$8)</f>
        <v>628.39711202518481</v>
      </c>
      <c r="P208" s="3">
        <f>+IF(F208="Pasajero",'2.2 OPEX LAP 2023'!K209*'2.1 OPEX TUUA'!$P$7,'2.2 OPEX LAP 2023'!K209*'2.1 OPEX TUUA'!$P$8)</f>
        <v>625.35370348247943</v>
      </c>
      <c r="Q208" s="3">
        <f>+IF(F208="Pasajero",'2.2 OPEX LAP 2023'!L209*'2.1 OPEX TUUA'!$Q$7,'2.2 OPEX LAP 2023'!L209*'2.1 OPEX TUUA'!$Q$8)</f>
        <v>622.20226848978155</v>
      </c>
      <c r="R208" s="3">
        <f>+IF(F208="Pasajero",'2.2 OPEX LAP 2023'!M209*'2.1 OPEX TUUA'!$R$7,'2.2 OPEX LAP 2023'!M209*'2.1 OPEX TUUA'!$R$8)</f>
        <v>626.08761878788255</v>
      </c>
      <c r="S208" s="3">
        <f>+IF(F208="Pasajero",'2.2 OPEX LAP 2023'!N209*'2.1 OPEX TUUA'!$S$7,'2.2 OPEX LAP 2023'!N209*'2.1 OPEX TUUA'!$S$8)</f>
        <v>627.14085263799905</v>
      </c>
      <c r="AA208" s="6"/>
      <c r="AB208" s="6"/>
      <c r="AC208" s="6"/>
      <c r="AD208" s="6"/>
      <c r="AE208" s="6"/>
      <c r="AF208" s="6"/>
    </row>
    <row r="209" spans="2:32" x14ac:dyDescent="0.25">
      <c r="B209" s="16">
        <v>6341100005</v>
      </c>
      <c r="C209" s="190" t="s">
        <v>176</v>
      </c>
      <c r="D209" s="190" t="s">
        <v>52</v>
      </c>
      <c r="E209" s="190" t="s">
        <v>57</v>
      </c>
      <c r="F209" s="162" t="s">
        <v>190</v>
      </c>
      <c r="G209" s="3">
        <f>+IF(F209="Pasajero",'2.2 OPEX LAP 2023'!I210*'2.1 OPEX TUUA'!$G$7,'2.2 OPEX LAP 2023'!I210*'2.1 OPEX TUUA'!$G$8)</f>
        <v>2009.4109634700744</v>
      </c>
      <c r="H209" s="3">
        <f>+IF(F209="Pasajero",'2.2 OPEX LAP 2023'!J210*'2.1 OPEX TUUA'!$H$7,'2.2 OPEX LAP 2023'!J210*'2.1 OPEX TUUA'!$H$8)</f>
        <v>2362.6069152512109</v>
      </c>
      <c r="I209" s="3">
        <f>+IF(F209="Pasajero",'2.2 OPEX LAP 2023'!K210*'2.1 OPEX TUUA'!$I$7,'2.2 OPEX LAP 2023'!K210*'2.1 OPEX TUUA'!$I$8)</f>
        <v>2659.6274438082864</v>
      </c>
      <c r="J209" s="3">
        <f>+IF(F209="Pasajero",'2.2 OPEX LAP 2023'!L210*'2.1 OPEX TUUA'!$J$7,'2.2 OPEX LAP 2023'!L210*'2.1 OPEX TUUA'!$J$8)</f>
        <v>2822.1027507202048</v>
      </c>
      <c r="K209" s="3">
        <f>+IF(F209="Pasajero",'2.2 OPEX LAP 2023'!M210*'2.1 OPEX TUUA'!$K$7,'2.2 OPEX LAP 2023'!M210*'2.1 OPEX TUUA'!$K$8)</f>
        <v>2940.4968131880073</v>
      </c>
      <c r="L209" s="3">
        <f>+IF(F209="Pasajero",'2.2 OPEX LAP 2023'!N210*'2.1 OPEX TUUA'!$L$7,'2.2 OPEX LAP 2023'!N210*'2.1 OPEX TUUA'!$L$8)</f>
        <v>3072.49597122671</v>
      </c>
      <c r="M209" s="3"/>
      <c r="N209" s="3">
        <f>+IF(F209="Pasajero",'2.2 OPEX LAP 2023'!I210*'2.1 OPEX TUUA'!$N$7,'2.2 OPEX LAP 2023'!I210*'2.1 OPEX TUUA'!$N$8)</f>
        <v>991.07609713362774</v>
      </c>
      <c r="O209" s="3">
        <f>+IF(F209="Pasajero",'2.2 OPEX LAP 2023'!J210*'2.1 OPEX TUUA'!$O$7,'2.2 OPEX LAP 2023'!J210*'2.1 OPEX TUUA'!$O$8)</f>
        <v>978.50490137674615</v>
      </c>
      <c r="P209" s="3">
        <f>+IF(F209="Pasajero",'2.2 OPEX LAP 2023'!K210*'2.1 OPEX TUUA'!$P$7,'2.2 OPEX LAP 2023'!K210*'2.1 OPEX TUUA'!$P$8)</f>
        <v>973.76587549813928</v>
      </c>
      <c r="Q209" s="3">
        <f>+IF(F209="Pasajero",'2.2 OPEX LAP 2023'!L210*'2.1 OPEX TUUA'!$Q$7,'2.2 OPEX LAP 2023'!L210*'2.1 OPEX TUUA'!$Q$8)</f>
        <v>968.85863686238724</v>
      </c>
      <c r="R209" s="3">
        <f>+IF(F209="Pasajero",'2.2 OPEX LAP 2023'!M210*'2.1 OPEX TUUA'!$R$7,'2.2 OPEX LAP 2023'!M210*'2.1 OPEX TUUA'!$R$8)</f>
        <v>974.90868743948954</v>
      </c>
      <c r="S209" s="3">
        <f>+IF(F209="Pasajero",'2.2 OPEX LAP 2023'!N210*'2.1 OPEX TUUA'!$S$7,'2.2 OPEX LAP 2023'!N210*'2.1 OPEX TUUA'!$S$8)</f>
        <v>976.54872439209987</v>
      </c>
      <c r="AA209" s="6"/>
      <c r="AB209" s="6"/>
      <c r="AC209" s="6"/>
      <c r="AD209" s="6"/>
      <c r="AE209" s="6"/>
      <c r="AF209" s="6"/>
    </row>
    <row r="210" spans="2:32" x14ac:dyDescent="0.25">
      <c r="B210" s="16">
        <v>6341100007</v>
      </c>
      <c r="C210" s="190" t="s">
        <v>176</v>
      </c>
      <c r="D210" s="190" t="s">
        <v>52</v>
      </c>
      <c r="E210" s="190" t="s">
        <v>58</v>
      </c>
      <c r="F210" s="162" t="s">
        <v>190</v>
      </c>
      <c r="G210" s="3">
        <f>+IF(F210="Pasajero",'2.2 OPEX LAP 2023'!I211*'2.1 OPEX TUUA'!$G$7,'2.2 OPEX LAP 2023'!I211*'2.1 OPEX TUUA'!$G$8)</f>
        <v>1297.2574367913148</v>
      </c>
      <c r="H210" s="3">
        <f>+IF(F210="Pasajero",'2.2 OPEX LAP 2023'!J211*'2.1 OPEX TUUA'!$H$7,'2.2 OPEX LAP 2023'!J211*'2.1 OPEX TUUA'!$H$8)</f>
        <v>1525.277529954049</v>
      </c>
      <c r="I210" s="3">
        <f>+IF(F210="Pasajero",'2.2 OPEX LAP 2023'!K211*'2.1 OPEX TUUA'!$I$7,'2.2 OPEX LAP 2023'!K211*'2.1 OPEX TUUA'!$I$8)</f>
        <v>1717.0312809562597</v>
      </c>
      <c r="J210" s="3">
        <f>+IF(F210="Pasajero",'2.2 OPEX LAP 2023'!L211*'2.1 OPEX TUUA'!$J$7,'2.2 OPEX LAP 2023'!L211*'2.1 OPEX TUUA'!$J$8)</f>
        <v>1821.9238609302695</v>
      </c>
      <c r="K210" s="3">
        <f>+IF(F210="Pasajero",'2.2 OPEX LAP 2023'!M211*'2.1 OPEX TUUA'!$K$7,'2.2 OPEX LAP 2023'!M211*'2.1 OPEX TUUA'!$K$8)</f>
        <v>1898.3579905336335</v>
      </c>
      <c r="L210" s="3">
        <f>+IF(F210="Pasajero",'2.2 OPEX LAP 2023'!N211*'2.1 OPEX TUUA'!$L$7,'2.2 OPEX LAP 2023'!N211*'2.1 OPEX TUUA'!$L$8)</f>
        <v>1983.5754460610922</v>
      </c>
      <c r="M210" s="3"/>
      <c r="N210" s="3">
        <f>+IF(F210="Pasajero",'2.2 OPEX LAP 2023'!I211*'2.1 OPEX TUUA'!$N$7,'2.2 OPEX LAP 2023'!I211*'2.1 OPEX TUUA'!$N$8)</f>
        <v>639.82971169444272</v>
      </c>
      <c r="O210" s="3">
        <f>+IF(F210="Pasajero",'2.2 OPEX LAP 2023'!J211*'2.1 OPEX TUUA'!$O$7,'2.2 OPEX LAP 2023'!J211*'2.1 OPEX TUUA'!$O$8)</f>
        <v>631.71386208406159</v>
      </c>
      <c r="P210" s="3">
        <f>+IF(F210="Pasajero",'2.2 OPEX LAP 2023'!K211*'2.1 OPEX TUUA'!$P$7,'2.2 OPEX LAP 2023'!K211*'2.1 OPEX TUUA'!$P$8)</f>
        <v>628.65439009155648</v>
      </c>
      <c r="Q210" s="3">
        <f>+IF(F210="Pasajero",'2.2 OPEX LAP 2023'!L211*'2.1 OPEX TUUA'!$Q$7,'2.2 OPEX LAP 2023'!L211*'2.1 OPEX TUUA'!$Q$8)</f>
        <v>625.48632147340504</v>
      </c>
      <c r="R210" s="3">
        <f>+IF(F210="Pasajero",'2.2 OPEX LAP 2023'!M211*'2.1 OPEX TUUA'!$R$7,'2.2 OPEX LAP 2023'!M211*'2.1 OPEX TUUA'!$R$8)</f>
        <v>629.39217908381431</v>
      </c>
      <c r="S210" s="3">
        <f>+IF(F210="Pasajero",'2.2 OPEX LAP 2023'!N211*'2.1 OPEX TUUA'!$S$7,'2.2 OPEX LAP 2023'!N211*'2.1 OPEX TUUA'!$S$8)</f>
        <v>630.45097201968656</v>
      </c>
      <c r="AA210" s="6"/>
      <c r="AB210" s="6"/>
      <c r="AC210" s="6"/>
      <c r="AD210" s="6"/>
      <c r="AE210" s="6"/>
      <c r="AF210" s="6"/>
    </row>
    <row r="211" spans="2:32" x14ac:dyDescent="0.25">
      <c r="B211" s="16">
        <v>6341100008</v>
      </c>
      <c r="C211" s="190" t="s">
        <v>176</v>
      </c>
      <c r="D211" s="190" t="s">
        <v>52</v>
      </c>
      <c r="E211" s="190" t="s">
        <v>59</v>
      </c>
      <c r="F211" s="162" t="s">
        <v>190</v>
      </c>
      <c r="G211" s="3">
        <f>+IF(F211="Pasajero",'2.2 OPEX LAP 2023'!I212*'2.1 OPEX TUUA'!$G$7,'2.2 OPEX LAP 2023'!I212*'2.1 OPEX TUUA'!$G$8)</f>
        <v>6917.1790738299624</v>
      </c>
      <c r="H211" s="3">
        <f>+IF(F211="Pasajero",'2.2 OPEX LAP 2023'!J212*'2.1 OPEX TUUA'!$H$7,'2.2 OPEX LAP 2023'!J212*'2.1 OPEX TUUA'!$H$8)</f>
        <v>8133.0177902679789</v>
      </c>
      <c r="I211" s="3">
        <f>+IF(F211="Pasajero",'2.2 OPEX LAP 2023'!K212*'2.1 OPEX TUUA'!$I$7,'2.2 OPEX LAP 2023'!K212*'2.1 OPEX TUUA'!$I$8)</f>
        <v>9155.4787113952843</v>
      </c>
      <c r="J211" s="3">
        <f>+IF(F211="Pasajero",'2.2 OPEX LAP 2023'!L212*'2.1 OPEX TUUA'!$J$7,'2.2 OPEX LAP 2023'!L212*'2.1 OPEX TUUA'!$J$8)</f>
        <v>9714.7823149968062</v>
      </c>
      <c r="K211" s="3">
        <f>+IF(F211="Pasajero",'2.2 OPEX LAP 2023'!M212*'2.1 OPEX TUUA'!$K$7,'2.2 OPEX LAP 2023'!M212*'2.1 OPEX TUUA'!$K$8)</f>
        <v>10122.341020635469</v>
      </c>
      <c r="L211" s="3">
        <f>+IF(F211="Pasajero",'2.2 OPEX LAP 2023'!N212*'2.1 OPEX TUUA'!$L$7,'2.2 OPEX LAP 2023'!N212*'2.1 OPEX TUUA'!$L$8)</f>
        <v>10576.733790629971</v>
      </c>
      <c r="M211" s="3"/>
      <c r="N211" s="3">
        <f>+IF(F211="Pasajero",'2.2 OPEX LAP 2023'!I212*'2.1 OPEX TUUA'!$N$7,'2.2 OPEX LAP 2023'!I212*'2.1 OPEX TUUA'!$N$8)</f>
        <v>3411.6718602087476</v>
      </c>
      <c r="O211" s="3">
        <f>+IF(F211="Pasajero",'2.2 OPEX LAP 2023'!J212*'2.1 OPEX TUUA'!$O$7,'2.2 OPEX LAP 2023'!J212*'2.1 OPEX TUUA'!$O$8)</f>
        <v>3368.3968837089906</v>
      </c>
      <c r="P211" s="3">
        <f>+IF(F211="Pasajero",'2.2 OPEX LAP 2023'!K212*'2.1 OPEX TUUA'!$P$7,'2.2 OPEX LAP 2023'!K212*'2.1 OPEX TUUA'!$P$8)</f>
        <v>3352.0833016524721</v>
      </c>
      <c r="Q211" s="3">
        <f>+IF(F211="Pasajero",'2.2 OPEX LAP 2023'!L212*'2.1 OPEX TUUA'!$Q$7,'2.2 OPEX LAP 2023'!L212*'2.1 OPEX TUUA'!$Q$8)</f>
        <v>3335.1906654428558</v>
      </c>
      <c r="R211" s="3">
        <f>+IF(F211="Pasajero",'2.2 OPEX LAP 2023'!M212*'2.1 OPEX TUUA'!$R$7,'2.2 OPEX LAP 2023'!M212*'2.1 OPEX TUUA'!$R$8)</f>
        <v>3356.0173076819697</v>
      </c>
      <c r="S211" s="3">
        <f>+IF(F211="Pasajero",'2.2 OPEX LAP 2023'!N212*'2.1 OPEX TUUA'!$S$7,'2.2 OPEX LAP 2023'!N212*'2.1 OPEX TUUA'!$S$8)</f>
        <v>3361.6629568274852</v>
      </c>
      <c r="AA211" s="6"/>
      <c r="AB211" s="6"/>
      <c r="AC211" s="6"/>
      <c r="AD211" s="6"/>
      <c r="AE211" s="6"/>
      <c r="AF211" s="6"/>
    </row>
    <row r="212" spans="2:32" x14ac:dyDescent="0.25">
      <c r="B212" s="16">
        <v>6341100009</v>
      </c>
      <c r="C212" s="190" t="s">
        <v>176</v>
      </c>
      <c r="D212" s="190" t="s">
        <v>52</v>
      </c>
      <c r="E212" s="190" t="s">
        <v>60</v>
      </c>
      <c r="F212" s="162" t="s">
        <v>190</v>
      </c>
      <c r="G212" s="3">
        <f>+IF(F212="Pasajero",'2.2 OPEX LAP 2023'!I213*'2.1 OPEX TUUA'!$G$7,'2.2 OPEX LAP 2023'!I213*'2.1 OPEX TUUA'!$G$8)</f>
        <v>0</v>
      </c>
      <c r="H212" s="3">
        <f>+IF(F212="Pasajero",'2.2 OPEX LAP 2023'!J213*'2.1 OPEX TUUA'!$H$7,'2.2 OPEX LAP 2023'!J213*'2.1 OPEX TUUA'!$H$8)</f>
        <v>0</v>
      </c>
      <c r="I212" s="3">
        <f>+IF(F212="Pasajero",'2.2 OPEX LAP 2023'!K213*'2.1 OPEX TUUA'!$I$7,'2.2 OPEX LAP 2023'!K213*'2.1 OPEX TUUA'!$I$8)</f>
        <v>0</v>
      </c>
      <c r="J212" s="3">
        <f>+IF(F212="Pasajero",'2.2 OPEX LAP 2023'!L213*'2.1 OPEX TUUA'!$J$7,'2.2 OPEX LAP 2023'!L213*'2.1 OPEX TUUA'!$J$8)</f>
        <v>0</v>
      </c>
      <c r="K212" s="3">
        <f>+IF(F212="Pasajero",'2.2 OPEX LAP 2023'!M213*'2.1 OPEX TUUA'!$K$7,'2.2 OPEX LAP 2023'!M213*'2.1 OPEX TUUA'!$K$8)</f>
        <v>0</v>
      </c>
      <c r="L212" s="3">
        <f>+IF(F212="Pasajero",'2.2 OPEX LAP 2023'!N213*'2.1 OPEX TUUA'!$L$7,'2.2 OPEX LAP 2023'!N213*'2.1 OPEX TUUA'!$L$8)</f>
        <v>0</v>
      </c>
      <c r="M212" s="3"/>
      <c r="N212" s="3">
        <f>+IF(F212="Pasajero",'2.2 OPEX LAP 2023'!I213*'2.1 OPEX TUUA'!$N$7,'2.2 OPEX LAP 2023'!I213*'2.1 OPEX TUUA'!$N$8)</f>
        <v>0</v>
      </c>
      <c r="O212" s="3">
        <f>+IF(F212="Pasajero",'2.2 OPEX LAP 2023'!J213*'2.1 OPEX TUUA'!$O$7,'2.2 OPEX LAP 2023'!J213*'2.1 OPEX TUUA'!$O$8)</f>
        <v>0</v>
      </c>
      <c r="P212" s="3">
        <f>+IF(F212="Pasajero",'2.2 OPEX LAP 2023'!K213*'2.1 OPEX TUUA'!$P$7,'2.2 OPEX LAP 2023'!K213*'2.1 OPEX TUUA'!$P$8)</f>
        <v>0</v>
      </c>
      <c r="Q212" s="3">
        <f>+IF(F212="Pasajero",'2.2 OPEX LAP 2023'!L213*'2.1 OPEX TUUA'!$Q$7,'2.2 OPEX LAP 2023'!L213*'2.1 OPEX TUUA'!$Q$8)</f>
        <v>0</v>
      </c>
      <c r="R212" s="3">
        <f>+IF(F212="Pasajero",'2.2 OPEX LAP 2023'!M213*'2.1 OPEX TUUA'!$R$7,'2.2 OPEX LAP 2023'!M213*'2.1 OPEX TUUA'!$R$8)</f>
        <v>0</v>
      </c>
      <c r="S212" s="3">
        <f>+IF(F212="Pasajero",'2.2 OPEX LAP 2023'!N213*'2.1 OPEX TUUA'!$S$7,'2.2 OPEX LAP 2023'!N213*'2.1 OPEX TUUA'!$S$8)</f>
        <v>0</v>
      </c>
      <c r="AA212" s="6"/>
      <c r="AB212" s="6"/>
      <c r="AC212" s="6"/>
      <c r="AD212" s="6"/>
      <c r="AE212" s="6"/>
      <c r="AF212" s="6"/>
    </row>
    <row r="213" spans="2:32" x14ac:dyDescent="0.25">
      <c r="B213" s="16">
        <v>6341100010</v>
      </c>
      <c r="C213" s="190" t="s">
        <v>176</v>
      </c>
      <c r="D213" s="190" t="s">
        <v>52</v>
      </c>
      <c r="E213" s="190" t="s">
        <v>61</v>
      </c>
      <c r="F213" s="162" t="s">
        <v>190</v>
      </c>
      <c r="G213" s="3">
        <f>+IF(F213="Pasajero",'2.2 OPEX LAP 2023'!I214*'2.1 OPEX TUUA'!$G$7,'2.2 OPEX LAP 2023'!I214*'2.1 OPEX TUUA'!$G$8)</f>
        <v>6523.710835775898</v>
      </c>
      <c r="H213" s="3">
        <f>+IF(F213="Pasajero",'2.2 OPEX LAP 2023'!J214*'2.1 OPEX TUUA'!$H$7,'2.2 OPEX LAP 2023'!J214*'2.1 OPEX TUUA'!$H$8)</f>
        <v>7670.3892901462877</v>
      </c>
      <c r="I213" s="3">
        <f>+IF(F213="Pasajero",'2.2 OPEX LAP 2023'!K214*'2.1 OPEX TUUA'!$I$7,'2.2 OPEX LAP 2023'!K214*'2.1 OPEX TUUA'!$I$8)</f>
        <v>8634.6898119516845</v>
      </c>
      <c r="J213" s="3">
        <f>+IF(F213="Pasajero",'2.2 OPEX LAP 2023'!L214*'2.1 OPEX TUUA'!$J$7,'2.2 OPEX LAP 2023'!L214*'2.1 OPEX TUUA'!$J$8)</f>
        <v>9162.1786828279874</v>
      </c>
      <c r="K213" s="3">
        <f>+IF(F213="Pasajero",'2.2 OPEX LAP 2023'!M214*'2.1 OPEX TUUA'!$K$7,'2.2 OPEX LAP 2023'!M214*'2.1 OPEX TUUA'!$K$8)</f>
        <v>9546.5543243736665</v>
      </c>
      <c r="L213" s="3">
        <f>+IF(F213="Pasajero",'2.2 OPEX LAP 2023'!N214*'2.1 OPEX TUUA'!$L$7,'2.2 OPEX LAP 2023'!N214*'2.1 OPEX TUUA'!$L$8)</f>
        <v>9975.0999794263753</v>
      </c>
      <c r="M213" s="3"/>
      <c r="N213" s="3">
        <f>+IF(F213="Pasajero",'2.2 OPEX LAP 2023'!I214*'2.1 OPEX TUUA'!$N$7,'2.2 OPEX LAP 2023'!I214*'2.1 OPEX TUUA'!$N$8)</f>
        <v>3217.6065481317964</v>
      </c>
      <c r="O213" s="3">
        <f>+IF(F213="Pasajero",'2.2 OPEX LAP 2023'!J214*'2.1 OPEX TUUA'!$O$7,'2.2 OPEX LAP 2023'!J214*'2.1 OPEX TUUA'!$O$8)</f>
        <v>3176.7931717400388</v>
      </c>
      <c r="P213" s="3">
        <f>+IF(F213="Pasajero",'2.2 OPEX LAP 2023'!K214*'2.1 OPEX TUUA'!$P$7,'2.2 OPEX LAP 2023'!K214*'2.1 OPEX TUUA'!$P$8)</f>
        <v>3161.4075512585518</v>
      </c>
      <c r="Q213" s="3">
        <f>+IF(F213="Pasajero",'2.2 OPEX LAP 2023'!L214*'2.1 OPEX TUUA'!$Q$7,'2.2 OPEX LAP 2023'!L214*'2.1 OPEX TUUA'!$Q$8)</f>
        <v>3145.4758148224619</v>
      </c>
      <c r="R213" s="3">
        <f>+IF(F213="Pasajero",'2.2 OPEX LAP 2023'!M214*'2.1 OPEX TUUA'!$R$7,'2.2 OPEX LAP 2023'!M214*'2.1 OPEX TUUA'!$R$8)</f>
        <v>3165.1177801667109</v>
      </c>
      <c r="S213" s="3">
        <f>+IF(F213="Pasajero",'2.2 OPEX LAP 2023'!N214*'2.1 OPEX TUUA'!$S$7,'2.2 OPEX LAP 2023'!N214*'2.1 OPEX TUUA'!$S$8)</f>
        <v>3170.4422892060866</v>
      </c>
      <c r="AA213" s="6"/>
      <c r="AB213" s="6"/>
      <c r="AC213" s="6"/>
      <c r="AD213" s="6"/>
      <c r="AE213" s="6"/>
      <c r="AF213" s="6"/>
    </row>
    <row r="214" spans="2:32" x14ac:dyDescent="0.25">
      <c r="B214" s="16">
        <v>6342000001</v>
      </c>
      <c r="C214" s="190" t="s">
        <v>176</v>
      </c>
      <c r="D214" s="190" t="s">
        <v>52</v>
      </c>
      <c r="E214" s="190" t="s">
        <v>62</v>
      </c>
      <c r="F214" s="162" t="s">
        <v>190</v>
      </c>
      <c r="G214" s="3">
        <f>+IF(F214="Pasajero",'2.2 OPEX LAP 2023'!I215*'2.1 OPEX TUUA'!$G$7,'2.2 OPEX LAP 2023'!I215*'2.1 OPEX TUUA'!$G$8)</f>
        <v>144.7293195015981</v>
      </c>
      <c r="H214" s="3">
        <f>+IF(F214="Pasajero",'2.2 OPEX LAP 2023'!J215*'2.1 OPEX TUUA'!$H$7,'2.2 OPEX LAP 2023'!J215*'2.1 OPEX TUUA'!$H$8)</f>
        <v>170.16852068109563</v>
      </c>
      <c r="I214" s="3">
        <f>+IF(F214="Pasajero",'2.2 OPEX LAP 2023'!K215*'2.1 OPEX TUUA'!$I$7,'2.2 OPEX LAP 2023'!K215*'2.1 OPEX TUUA'!$I$8)</f>
        <v>191.5616452123935</v>
      </c>
      <c r="J214" s="3">
        <f>+IF(F214="Pasajero",'2.2 OPEX LAP 2023'!L215*'2.1 OPEX TUUA'!$J$7,'2.2 OPEX LAP 2023'!L215*'2.1 OPEX TUUA'!$J$8)</f>
        <v>203.26405006270195</v>
      </c>
      <c r="K214" s="3">
        <f>+IF(F214="Pasajero",'2.2 OPEX LAP 2023'!M215*'2.1 OPEX TUUA'!$K$7,'2.2 OPEX LAP 2023'!M215*'2.1 OPEX TUUA'!$K$8)</f>
        <v>211.79147048863811</v>
      </c>
      <c r="L214" s="3">
        <f>+IF(F214="Pasajero",'2.2 OPEX LAP 2023'!N215*'2.1 OPEX TUUA'!$L$7,'2.2 OPEX LAP 2023'!N215*'2.1 OPEX TUUA'!$L$8)</f>
        <v>221.29880804428385</v>
      </c>
      <c r="M214" s="3"/>
      <c r="N214" s="3">
        <f>+IF(F214="Pasajero",'2.2 OPEX LAP 2023'!I215*'2.1 OPEX TUUA'!$N$7,'2.2 OPEX LAP 2023'!I215*'2.1 OPEX TUUA'!$N$8)</f>
        <v>71.382993185597726</v>
      </c>
      <c r="O214" s="3">
        <f>+IF(F214="Pasajero",'2.2 OPEX LAP 2023'!J215*'2.1 OPEX TUUA'!$O$7,'2.2 OPEX LAP 2023'!J215*'2.1 OPEX TUUA'!$O$8)</f>
        <v>70.477543459140151</v>
      </c>
      <c r="P214" s="3">
        <f>+IF(F214="Pasajero",'2.2 OPEX LAP 2023'!K215*'2.1 OPEX TUUA'!$P$7,'2.2 OPEX LAP 2023'!K215*'2.1 OPEX TUUA'!$P$8)</f>
        <v>70.136211594738072</v>
      </c>
      <c r="Q214" s="3">
        <f>+IF(F214="Pasajero",'2.2 OPEX LAP 2023'!L215*'2.1 OPEX TUUA'!$Q$7,'2.2 OPEX LAP 2023'!L215*'2.1 OPEX TUUA'!$Q$8)</f>
        <v>69.782764081364363</v>
      </c>
      <c r="R214" s="3">
        <f>+IF(F214="Pasajero",'2.2 OPEX LAP 2023'!M215*'2.1 OPEX TUUA'!$R$7,'2.2 OPEX LAP 2023'!M215*'2.1 OPEX TUUA'!$R$8)</f>
        <v>70.218523474983954</v>
      </c>
      <c r="S214" s="3">
        <f>+IF(F214="Pasajero",'2.2 OPEX LAP 2023'!N215*'2.1 OPEX TUUA'!$S$7,'2.2 OPEX LAP 2023'!N215*'2.1 OPEX TUUA'!$S$8)</f>
        <v>70.33664835656559</v>
      </c>
      <c r="AA214" s="6"/>
      <c r="AB214" s="6"/>
      <c r="AC214" s="6"/>
      <c r="AD214" s="6"/>
      <c r="AE214" s="6"/>
      <c r="AF214" s="6"/>
    </row>
    <row r="215" spans="2:32" x14ac:dyDescent="0.25">
      <c r="B215" s="16">
        <v>6342000002</v>
      </c>
      <c r="C215" s="190" t="s">
        <v>176</v>
      </c>
      <c r="D215" s="190" t="s">
        <v>52</v>
      </c>
      <c r="E215" s="190" t="s">
        <v>63</v>
      </c>
      <c r="F215" s="162" t="s">
        <v>190</v>
      </c>
      <c r="G215" s="3">
        <f>+IF(F215="Pasajero",'2.2 OPEX LAP 2023'!I216*'2.1 OPEX TUUA'!$G$7,'2.2 OPEX LAP 2023'!I216*'2.1 OPEX TUUA'!$G$8)</f>
        <v>1228.1394473694777</v>
      </c>
      <c r="H215" s="3">
        <f>+IF(F215="Pasajero",'2.2 OPEX LAP 2023'!J216*'2.1 OPEX TUUA'!$H$7,'2.2 OPEX LAP 2023'!J216*'2.1 OPEX TUUA'!$H$8)</f>
        <v>1444.0106100730652</v>
      </c>
      <c r="I215" s="3">
        <f>+IF(F215="Pasajero",'2.2 OPEX LAP 2023'!K216*'2.1 OPEX TUUA'!$I$7,'2.2 OPEX LAP 2023'!K216*'2.1 OPEX TUUA'!$I$8)</f>
        <v>1625.5477044907891</v>
      </c>
      <c r="J215" s="3">
        <f>+IF(F215="Pasajero",'2.2 OPEX LAP 2023'!L216*'2.1 OPEX TUUA'!$J$7,'2.2 OPEX LAP 2023'!L216*'2.1 OPEX TUUA'!$J$8)</f>
        <v>1724.851598651592</v>
      </c>
      <c r="K215" s="3">
        <f>+IF(F215="Pasajero",'2.2 OPEX LAP 2023'!M216*'2.1 OPEX TUUA'!$K$7,'2.2 OPEX LAP 2023'!M216*'2.1 OPEX TUUA'!$K$8)</f>
        <v>1797.2133111605822</v>
      </c>
      <c r="L215" s="3">
        <f>+IF(F215="Pasajero",'2.2 OPEX LAP 2023'!N216*'2.1 OPEX TUUA'!$L$7,'2.2 OPEX LAP 2023'!N216*'2.1 OPEX TUUA'!$L$8)</f>
        <v>1877.8903732220597</v>
      </c>
      <c r="M215" s="3"/>
      <c r="N215" s="3">
        <f>+IF(F215="Pasajero",'2.2 OPEX LAP 2023'!I216*'2.1 OPEX TUUA'!$N$7,'2.2 OPEX LAP 2023'!I216*'2.1 OPEX TUUA'!$N$8)</f>
        <v>605.73952882830451</v>
      </c>
      <c r="O215" s="3">
        <f>+IF(F215="Pasajero",'2.2 OPEX LAP 2023'!J216*'2.1 OPEX TUUA'!$O$7,'2.2 OPEX LAP 2023'!J216*'2.1 OPEX TUUA'!$O$8)</f>
        <v>598.05609239329658</v>
      </c>
      <c r="P215" s="3">
        <f>+IF(F215="Pasajero",'2.2 OPEX LAP 2023'!K216*'2.1 OPEX TUUA'!$P$7,'2.2 OPEX LAP 2023'!K216*'2.1 OPEX TUUA'!$P$8)</f>
        <v>595.15962933550031</v>
      </c>
      <c r="Q215" s="3">
        <f>+IF(F215="Pasajero",'2.2 OPEX LAP 2023'!L216*'2.1 OPEX TUUA'!$Q$7,'2.2 OPEX LAP 2023'!L216*'2.1 OPEX TUUA'!$Q$8)</f>
        <v>592.16035568974746</v>
      </c>
      <c r="R215" s="3">
        <f>+IF(F215="Pasajero",'2.2 OPEX LAP 2023'!M216*'2.1 OPEX TUUA'!$R$7,'2.2 OPEX LAP 2023'!M216*'2.1 OPEX TUUA'!$R$8)</f>
        <v>595.85810886587626</v>
      </c>
      <c r="S215" s="3">
        <f>+IF(F215="Pasajero",'2.2 OPEX LAP 2023'!N216*'2.1 OPEX TUUA'!$S$7,'2.2 OPEX LAP 2023'!N216*'2.1 OPEX TUUA'!$S$8)</f>
        <v>596.86048922174245</v>
      </c>
      <c r="AA215" s="6"/>
      <c r="AB215" s="6"/>
      <c r="AC215" s="6"/>
      <c r="AD215" s="6"/>
      <c r="AE215" s="6"/>
      <c r="AF215" s="6"/>
    </row>
    <row r="216" spans="2:32" x14ac:dyDescent="0.25">
      <c r="B216" s="16">
        <v>6343000001</v>
      </c>
      <c r="C216" s="190" t="s">
        <v>176</v>
      </c>
      <c r="D216" s="190" t="s">
        <v>52</v>
      </c>
      <c r="E216" s="190" t="s">
        <v>64</v>
      </c>
      <c r="F216" s="162" t="s">
        <v>190</v>
      </c>
      <c r="G216" s="3">
        <f>+IF(F216="Pasajero",'2.2 OPEX LAP 2023'!I217*'2.1 OPEX TUUA'!$G$7,'2.2 OPEX LAP 2023'!I217*'2.1 OPEX TUUA'!$G$8)</f>
        <v>102099.05184565397</v>
      </c>
      <c r="H216" s="3">
        <f>+IF(F216="Pasajero",'2.2 OPEX LAP 2023'!J217*'2.1 OPEX TUUA'!$H$7,'2.2 OPEX LAP 2023'!J217*'2.1 OPEX TUUA'!$H$8)</f>
        <v>120045.09297320074</v>
      </c>
      <c r="I216" s="3">
        <f>+IF(F216="Pasajero",'2.2 OPEX LAP 2023'!K217*'2.1 OPEX TUUA'!$I$7,'2.2 OPEX LAP 2023'!K217*'2.1 OPEX TUUA'!$I$8)</f>
        <v>135136.83622317432</v>
      </c>
      <c r="J216" s="3">
        <f>+IF(F216="Pasajero",'2.2 OPEX LAP 2023'!L217*'2.1 OPEX TUUA'!$J$7,'2.2 OPEX LAP 2023'!L217*'2.1 OPEX TUUA'!$J$8)</f>
        <v>143392.27778570639</v>
      </c>
      <c r="K216" s="3">
        <f>+IF(F216="Pasajero",'2.2 OPEX LAP 2023'!M217*'2.1 OPEX TUUA'!$K$7,'2.2 OPEX LAP 2023'!M217*'2.1 OPEX TUUA'!$K$8)</f>
        <v>149407.93199575559</v>
      </c>
      <c r="L216" s="3">
        <f>+IF(F216="Pasajero",'2.2 OPEX LAP 2023'!N217*'2.1 OPEX TUUA'!$L$7,'2.2 OPEX LAP 2023'!N217*'2.1 OPEX TUUA'!$L$8)</f>
        <v>156114.86707532866</v>
      </c>
      <c r="M216" s="3"/>
      <c r="N216" s="3">
        <f>+IF(F216="Pasajero",'2.2 OPEX LAP 2023'!I217*'2.1 OPEX TUUA'!$N$7,'2.2 OPEX LAP 2023'!I217*'2.1 OPEX TUUA'!$N$8)</f>
        <v>50357.010917016232</v>
      </c>
      <c r="O216" s="3">
        <f>+IF(F216="Pasajero",'2.2 OPEX LAP 2023'!J217*'2.1 OPEX TUUA'!$O$7,'2.2 OPEX LAP 2023'!J217*'2.1 OPEX TUUA'!$O$8)</f>
        <v>49718.262950235352</v>
      </c>
      <c r="P216" s="3">
        <f>+IF(F216="Pasajero",'2.2 OPEX LAP 2023'!K217*'2.1 OPEX TUUA'!$P$7,'2.2 OPEX LAP 2023'!K217*'2.1 OPEX TUUA'!$P$8)</f>
        <v>49477.470968070484</v>
      </c>
      <c r="Q216" s="3">
        <f>+IF(F216="Pasajero",'2.2 OPEX LAP 2023'!L217*'2.1 OPEX TUUA'!$Q$7,'2.2 OPEX LAP 2023'!L217*'2.1 OPEX TUUA'!$Q$8)</f>
        <v>49228.132021981815</v>
      </c>
      <c r="R216" s="3">
        <f>+IF(F216="Pasajero",'2.2 OPEX LAP 2023'!M217*'2.1 OPEX TUUA'!$R$7,'2.2 OPEX LAP 2023'!M217*'2.1 OPEX TUUA'!$R$8)</f>
        <v>49535.537743743014</v>
      </c>
      <c r="S216" s="3">
        <f>+IF(F216="Pasajero",'2.2 OPEX LAP 2023'!N217*'2.1 OPEX TUUA'!$S$7,'2.2 OPEX LAP 2023'!N217*'2.1 OPEX TUUA'!$S$8)</f>
        <v>49618.868740187958</v>
      </c>
      <c r="AA216" s="6"/>
      <c r="AB216" s="6"/>
      <c r="AC216" s="6"/>
      <c r="AD216" s="6"/>
      <c r="AE216" s="6"/>
      <c r="AF216" s="6"/>
    </row>
    <row r="217" spans="2:32" x14ac:dyDescent="0.25">
      <c r="B217" s="16">
        <v>6343000002</v>
      </c>
      <c r="C217" s="190" t="s">
        <v>176</v>
      </c>
      <c r="D217" s="190" t="s">
        <v>52</v>
      </c>
      <c r="E217" s="190" t="s">
        <v>65</v>
      </c>
      <c r="F217" s="162" t="s">
        <v>190</v>
      </c>
      <c r="G217" s="3">
        <f>+IF(F217="Pasajero",'2.2 OPEX LAP 2023'!I218*'2.1 OPEX TUUA'!$G$7,'2.2 OPEX LAP 2023'!I218*'2.1 OPEX TUUA'!$G$8)</f>
        <v>3730.1556178063051</v>
      </c>
      <c r="H217" s="3">
        <f>+IF(F217="Pasajero",'2.2 OPEX LAP 2023'!J218*'2.1 OPEX TUUA'!$H$7,'2.2 OPEX LAP 2023'!J218*'2.1 OPEX TUUA'!$H$8)</f>
        <v>4385.808387535244</v>
      </c>
      <c r="I217" s="3">
        <f>+IF(F217="Pasajero",'2.2 OPEX LAP 2023'!K218*'2.1 OPEX TUUA'!$I$7,'2.2 OPEX LAP 2023'!K218*'2.1 OPEX TUUA'!$I$8)</f>
        <v>4937.1803136083818</v>
      </c>
      <c r="J217" s="3">
        <f>+IF(F217="Pasajero",'2.2 OPEX LAP 2023'!L218*'2.1 OPEX TUUA'!$J$7,'2.2 OPEX LAP 2023'!L218*'2.1 OPEX TUUA'!$J$8)</f>
        <v>5238.7901832916268</v>
      </c>
      <c r="K217" s="3">
        <f>+IF(F217="Pasajero",'2.2 OPEX LAP 2023'!M218*'2.1 OPEX TUUA'!$K$7,'2.2 OPEX LAP 2023'!M218*'2.1 OPEX TUUA'!$K$8)</f>
        <v>5458.5701512811174</v>
      </c>
      <c r="L217" s="3">
        <f>+IF(F217="Pasajero",'2.2 OPEX LAP 2023'!N218*'2.1 OPEX TUUA'!$L$7,'2.2 OPEX LAP 2023'!N218*'2.1 OPEX TUUA'!$L$8)</f>
        <v>5703.6058407716719</v>
      </c>
      <c r="M217" s="3"/>
      <c r="N217" s="3">
        <f>+IF(F217="Pasajero",'2.2 OPEX LAP 2023'!I218*'2.1 OPEX TUUA'!$N$7,'2.2 OPEX LAP 2023'!I218*'2.1 OPEX TUUA'!$N$8)</f>
        <v>1839.7769986346575</v>
      </c>
      <c r="O217" s="3">
        <f>+IF(F217="Pasajero",'2.2 OPEX LAP 2023'!J218*'2.1 OPEX TUUA'!$O$7,'2.2 OPEX LAP 2023'!J218*'2.1 OPEX TUUA'!$O$8)</f>
        <v>1816.4405496316642</v>
      </c>
      <c r="P217" s="3">
        <f>+IF(F217="Pasajero",'2.2 OPEX LAP 2023'!K218*'2.1 OPEX TUUA'!$P$7,'2.2 OPEX LAP 2023'!K218*'2.1 OPEX TUUA'!$P$8)</f>
        <v>1807.6432929602427</v>
      </c>
      <c r="Q217" s="3">
        <f>+IF(F217="Pasajero",'2.2 OPEX LAP 2023'!L218*'2.1 OPEX TUUA'!$Q$7,'2.2 OPEX LAP 2023'!L218*'2.1 OPEX TUUA'!$Q$8)</f>
        <v>1798.5337757445825</v>
      </c>
      <c r="R217" s="3">
        <f>+IF(F217="Pasajero",'2.2 OPEX LAP 2023'!M218*'2.1 OPEX TUUA'!$R$7,'2.2 OPEX LAP 2023'!M218*'2.1 OPEX TUUA'!$R$8)</f>
        <v>1809.7647437040773</v>
      </c>
      <c r="S217" s="3">
        <f>+IF(F217="Pasajero",'2.2 OPEX LAP 2023'!N218*'2.1 OPEX TUUA'!$S$7,'2.2 OPEX LAP 2023'!N218*'2.1 OPEX TUUA'!$S$8)</f>
        <v>1812.8092145283158</v>
      </c>
      <c r="AA217" s="6"/>
      <c r="AB217" s="6"/>
      <c r="AC217" s="6"/>
      <c r="AD217" s="6"/>
      <c r="AE217" s="6"/>
      <c r="AF217" s="6"/>
    </row>
    <row r="218" spans="2:32" x14ac:dyDescent="0.25">
      <c r="B218" s="16">
        <v>6343100001</v>
      </c>
      <c r="C218" s="190" t="s">
        <v>176</v>
      </c>
      <c r="D218" s="190" t="s">
        <v>52</v>
      </c>
      <c r="E218" s="190" t="s">
        <v>66</v>
      </c>
      <c r="F218" s="162" t="s">
        <v>190</v>
      </c>
      <c r="G218" s="3">
        <f>+IF(F218="Pasajero",'2.2 OPEX LAP 2023'!I219*'2.1 OPEX TUUA'!$G$7,'2.2 OPEX LAP 2023'!I219*'2.1 OPEX TUUA'!$G$8)</f>
        <v>344.89279401386545</v>
      </c>
      <c r="H218" s="3">
        <f>+IF(F218="Pasajero",'2.2 OPEX LAP 2023'!J219*'2.1 OPEX TUUA'!$H$7,'2.2 OPEX LAP 2023'!J219*'2.1 OPEX TUUA'!$H$8)</f>
        <v>405.514907090137</v>
      </c>
      <c r="I218" s="3">
        <f>+IF(F218="Pasajero",'2.2 OPEX LAP 2023'!K219*'2.1 OPEX TUUA'!$I$7,'2.2 OPEX LAP 2023'!K219*'2.1 OPEX TUUA'!$I$8)</f>
        <v>456.49514051964894</v>
      </c>
      <c r="J218" s="3">
        <f>+IF(F218="Pasajero",'2.2 OPEX LAP 2023'!L219*'2.1 OPEX TUUA'!$J$7,'2.2 OPEX LAP 2023'!L219*'2.1 OPEX TUUA'!$J$8)</f>
        <v>484.38219975134615</v>
      </c>
      <c r="K218" s="3">
        <f>+IF(F218="Pasajero",'2.2 OPEX LAP 2023'!M219*'2.1 OPEX TUUA'!$K$7,'2.2 OPEX LAP 2023'!M219*'2.1 OPEX TUUA'!$K$8)</f>
        <v>504.70320911254572</v>
      </c>
      <c r="L218" s="3">
        <f>+IF(F218="Pasajero",'2.2 OPEX LAP 2023'!N219*'2.1 OPEX TUUA'!$L$7,'2.2 OPEX LAP 2023'!N219*'2.1 OPEX TUUA'!$L$8)</f>
        <v>527.3593801253819</v>
      </c>
      <c r="M218" s="3"/>
      <c r="N218" s="3">
        <f>+IF(F218="Pasajero",'2.2 OPEX LAP 2023'!I219*'2.1 OPEX TUUA'!$N$7,'2.2 OPEX LAP 2023'!I219*'2.1 OPEX TUUA'!$N$8)</f>
        <v>170.10706641636403</v>
      </c>
      <c r="O218" s="3">
        <f>+IF(F218="Pasajero",'2.2 OPEX LAP 2023'!J219*'2.1 OPEX TUUA'!$O$7,'2.2 OPEX LAP 2023'!J219*'2.1 OPEX TUUA'!$O$8)</f>
        <v>167.94936204055094</v>
      </c>
      <c r="P218" s="3">
        <f>+IF(F218="Pasajero",'2.2 OPEX LAP 2023'!K219*'2.1 OPEX TUUA'!$P$7,'2.2 OPEX LAP 2023'!K219*'2.1 OPEX TUUA'!$P$8)</f>
        <v>167.13596154364404</v>
      </c>
      <c r="Q218" s="3">
        <f>+IF(F218="Pasajero",'2.2 OPEX LAP 2023'!L219*'2.1 OPEX TUUA'!$Q$7,'2.2 OPEX LAP 2023'!L219*'2.1 OPEX TUUA'!$Q$8)</f>
        <v>166.29368921869636</v>
      </c>
      <c r="R218" s="3">
        <f>+IF(F218="Pasajero",'2.2 OPEX LAP 2023'!M219*'2.1 OPEX TUUA'!$R$7,'2.2 OPEX LAP 2023'!M219*'2.1 OPEX TUUA'!$R$8)</f>
        <v>167.33211236129659</v>
      </c>
      <c r="S218" s="3">
        <f>+IF(F218="Pasajero",'2.2 OPEX LAP 2023'!N219*'2.1 OPEX TUUA'!$S$7,'2.2 OPEX LAP 2023'!N219*'2.1 OPEX TUUA'!$S$8)</f>
        <v>167.61360626033203</v>
      </c>
      <c r="AA218" s="6"/>
      <c r="AB218" s="6"/>
      <c r="AC218" s="6"/>
      <c r="AD218" s="6"/>
      <c r="AE218" s="6"/>
      <c r="AF218" s="6"/>
    </row>
    <row r="219" spans="2:32" x14ac:dyDescent="0.25">
      <c r="B219" s="16">
        <v>6343100002</v>
      </c>
      <c r="C219" s="190" t="s">
        <v>176</v>
      </c>
      <c r="D219" s="190" t="s">
        <v>52</v>
      </c>
      <c r="E219" s="190" t="s">
        <v>67</v>
      </c>
      <c r="F219" s="162" t="s">
        <v>190</v>
      </c>
      <c r="G219" s="3">
        <f>+IF(F219="Pasajero",'2.2 OPEX LAP 2023'!I220*'2.1 OPEX TUUA'!$G$7,'2.2 OPEX LAP 2023'!I220*'2.1 OPEX TUUA'!$G$8)</f>
        <v>581.23598480375836</v>
      </c>
      <c r="H219" s="3">
        <f>+IF(F219="Pasajero",'2.2 OPEX LAP 2023'!J220*'2.1 OPEX TUUA'!$H$7,'2.2 OPEX LAP 2023'!J220*'2.1 OPEX TUUA'!$H$8)</f>
        <v>683.40035067727365</v>
      </c>
      <c r="I219" s="3">
        <f>+IF(F219="Pasajero",'2.2 OPEX LAP 2023'!K220*'2.1 OPEX TUUA'!$I$7,'2.2 OPEX LAP 2023'!K220*'2.1 OPEX TUUA'!$I$8)</f>
        <v>769.31558780958835</v>
      </c>
      <c r="J219" s="3">
        <f>+IF(F219="Pasajero",'2.2 OPEX LAP 2023'!L220*'2.1 OPEX TUUA'!$J$7,'2.2 OPEX LAP 2023'!L220*'2.1 OPEX TUUA'!$J$8)</f>
        <v>816.312691307102</v>
      </c>
      <c r="K219" s="3">
        <f>+IF(F219="Pasajero",'2.2 OPEX LAP 2023'!M220*'2.1 OPEX TUUA'!$K$7,'2.2 OPEX LAP 2023'!M220*'2.1 OPEX TUUA'!$K$8)</f>
        <v>850.55899071742942</v>
      </c>
      <c r="L219" s="3">
        <f>+IF(F219="Pasajero",'2.2 OPEX LAP 2023'!N220*'2.1 OPEX TUUA'!$L$7,'2.2 OPEX LAP 2023'!N220*'2.1 OPEX TUUA'!$L$8)</f>
        <v>888.74065788789176</v>
      </c>
      <c r="M219" s="3"/>
      <c r="N219" s="3">
        <f>+IF(F219="Pasajero",'2.2 OPEX LAP 2023'!I220*'2.1 OPEX TUUA'!$N$7,'2.2 OPEX LAP 2023'!I220*'2.1 OPEX TUUA'!$N$8)</f>
        <v>286.6755988720912</v>
      </c>
      <c r="O219" s="3">
        <f>+IF(F219="Pasajero",'2.2 OPEX LAP 2023'!J220*'2.1 OPEX TUUA'!$O$7,'2.2 OPEX LAP 2023'!J220*'2.1 OPEX TUUA'!$O$8)</f>
        <v>283.03929376639314</v>
      </c>
      <c r="P219" s="3">
        <f>+IF(F219="Pasajero",'2.2 OPEX LAP 2023'!K220*'2.1 OPEX TUUA'!$P$7,'2.2 OPEX LAP 2023'!K220*'2.1 OPEX TUUA'!$P$8)</f>
        <v>281.6684978348303</v>
      </c>
      <c r="Q219" s="3">
        <f>+IF(F219="Pasajero",'2.2 OPEX LAP 2023'!L220*'2.1 OPEX TUUA'!$Q$7,'2.2 OPEX LAP 2023'!L220*'2.1 OPEX TUUA'!$Q$8)</f>
        <v>280.2490452027053</v>
      </c>
      <c r="R219" s="3">
        <f>+IF(F219="Pasajero",'2.2 OPEX LAP 2023'!M220*'2.1 OPEX TUUA'!$R$7,'2.2 OPEX LAP 2023'!M220*'2.1 OPEX TUUA'!$R$8)</f>
        <v>281.99906407351995</v>
      </c>
      <c r="S219" s="3">
        <f>+IF(F219="Pasajero",'2.2 OPEX LAP 2023'!N220*'2.1 OPEX TUUA'!$S$7,'2.2 OPEX LAP 2023'!N220*'2.1 OPEX TUUA'!$S$8)</f>
        <v>282.47345607724372</v>
      </c>
      <c r="AA219" s="6"/>
      <c r="AB219" s="6"/>
      <c r="AC219" s="6"/>
      <c r="AD219" s="6"/>
      <c r="AE219" s="6"/>
      <c r="AF219" s="6"/>
    </row>
    <row r="220" spans="2:32" x14ac:dyDescent="0.25">
      <c r="B220" s="16">
        <v>6343100003</v>
      </c>
      <c r="C220" s="190" t="s">
        <v>176</v>
      </c>
      <c r="D220" s="190" t="s">
        <v>52</v>
      </c>
      <c r="E220" s="190" t="s">
        <v>68</v>
      </c>
      <c r="F220" s="162" t="s">
        <v>190</v>
      </c>
      <c r="G220" s="3">
        <f>+IF(F220="Pasajero",'2.2 OPEX LAP 2023'!I221*'2.1 OPEX TUUA'!$G$7,'2.2 OPEX LAP 2023'!I221*'2.1 OPEX TUUA'!$G$8)</f>
        <v>1309.6072398613596</v>
      </c>
      <c r="H220" s="3">
        <f>+IF(F220="Pasajero",'2.2 OPEX LAP 2023'!J221*'2.1 OPEX TUUA'!$H$7,'2.2 OPEX LAP 2023'!J221*'2.1 OPEX TUUA'!$H$8)</f>
        <v>1539.7980688909379</v>
      </c>
      <c r="I220" s="3">
        <f>+IF(F220="Pasajero",'2.2 OPEX LAP 2023'!K221*'2.1 OPEX TUUA'!$I$7,'2.2 OPEX LAP 2023'!K221*'2.1 OPEX TUUA'!$I$8)</f>
        <v>1733.3773026351687</v>
      </c>
      <c r="J220" s="3">
        <f>+IF(F220="Pasajero",'2.2 OPEX LAP 2023'!L221*'2.1 OPEX TUUA'!$J$7,'2.2 OPEX LAP 2023'!L221*'2.1 OPEX TUUA'!$J$8)</f>
        <v>1839.2684528770756</v>
      </c>
      <c r="K220" s="3">
        <f>+IF(F220="Pasajero",'2.2 OPEX LAP 2023'!M221*'2.1 OPEX TUUA'!$K$7,'2.2 OPEX LAP 2023'!M221*'2.1 OPEX TUUA'!$K$8)</f>
        <v>1916.4302302253363</v>
      </c>
      <c r="L220" s="3">
        <f>+IF(F220="Pasajero",'2.2 OPEX LAP 2023'!N221*'2.1 OPEX TUUA'!$L$7,'2.2 OPEX LAP 2023'!N221*'2.1 OPEX TUUA'!$L$8)</f>
        <v>2002.4589501665091</v>
      </c>
      <c r="M220" s="3"/>
      <c r="N220" s="3">
        <f>+IF(F220="Pasajero",'2.2 OPEX LAP 2023'!I221*'2.1 OPEX TUUA'!$N$7,'2.2 OPEX LAP 2023'!I221*'2.1 OPEX TUUA'!$N$8)</f>
        <v>645.9208472807104</v>
      </c>
      <c r="O220" s="3">
        <f>+IF(F220="Pasajero",'2.2 OPEX LAP 2023'!J221*'2.1 OPEX TUUA'!$O$7,'2.2 OPEX LAP 2023'!J221*'2.1 OPEX TUUA'!$O$8)</f>
        <v>637.72773533088014</v>
      </c>
      <c r="P220" s="3">
        <f>+IF(F220="Pasajero",'2.2 OPEX LAP 2023'!K221*'2.1 OPEX TUUA'!$P$7,'2.2 OPEX LAP 2023'!K221*'2.1 OPEX TUUA'!$P$8)</f>
        <v>634.63913737190603</v>
      </c>
      <c r="Q220" s="3">
        <f>+IF(F220="Pasajero",'2.2 OPEX LAP 2023'!L221*'2.1 OPEX TUUA'!$Q$7,'2.2 OPEX LAP 2023'!L221*'2.1 OPEX TUUA'!$Q$8)</f>
        <v>631.44090895475324</v>
      </c>
      <c r="R220" s="3">
        <f>+IF(F220="Pasajero",'2.2 OPEX LAP 2023'!M221*'2.1 OPEX TUUA'!$R$7,'2.2 OPEX LAP 2023'!M221*'2.1 OPEX TUUA'!$R$8)</f>
        <v>635.38395006547637</v>
      </c>
      <c r="S220" s="3">
        <f>+IF(F220="Pasajero",'2.2 OPEX LAP 2023'!N221*'2.1 OPEX TUUA'!$S$7,'2.2 OPEX LAP 2023'!N221*'2.1 OPEX TUUA'!$S$8)</f>
        <v>636.4528226384964</v>
      </c>
      <c r="AA220" s="6"/>
      <c r="AB220" s="6"/>
      <c r="AC220" s="6"/>
      <c r="AD220" s="6"/>
      <c r="AE220" s="6"/>
      <c r="AF220" s="6"/>
    </row>
    <row r="221" spans="2:32" x14ac:dyDescent="0.25">
      <c r="B221" s="16">
        <v>6343100004</v>
      </c>
      <c r="C221" s="190" t="s">
        <v>176</v>
      </c>
      <c r="D221" s="190" t="s">
        <v>52</v>
      </c>
      <c r="E221" s="190" t="s">
        <v>69</v>
      </c>
      <c r="F221" s="162" t="s">
        <v>190</v>
      </c>
      <c r="G221" s="3">
        <f>+IF(F221="Pasajero",'2.2 OPEX LAP 2023'!I222*'2.1 OPEX TUUA'!$G$7,'2.2 OPEX LAP 2023'!I222*'2.1 OPEX TUUA'!$G$8)</f>
        <v>0</v>
      </c>
      <c r="H221" s="3">
        <f>+IF(F221="Pasajero",'2.2 OPEX LAP 2023'!J222*'2.1 OPEX TUUA'!$H$7,'2.2 OPEX LAP 2023'!J222*'2.1 OPEX TUUA'!$H$8)</f>
        <v>0</v>
      </c>
      <c r="I221" s="3">
        <f>+IF(F221="Pasajero",'2.2 OPEX LAP 2023'!K222*'2.1 OPEX TUUA'!$I$7,'2.2 OPEX LAP 2023'!K222*'2.1 OPEX TUUA'!$I$8)</f>
        <v>0</v>
      </c>
      <c r="J221" s="3">
        <f>+IF(F221="Pasajero",'2.2 OPEX LAP 2023'!L222*'2.1 OPEX TUUA'!$J$7,'2.2 OPEX LAP 2023'!L222*'2.1 OPEX TUUA'!$J$8)</f>
        <v>0</v>
      </c>
      <c r="K221" s="3">
        <f>+IF(F221="Pasajero",'2.2 OPEX LAP 2023'!M222*'2.1 OPEX TUUA'!$K$7,'2.2 OPEX LAP 2023'!M222*'2.1 OPEX TUUA'!$K$8)</f>
        <v>0</v>
      </c>
      <c r="L221" s="3">
        <f>+IF(F221="Pasajero",'2.2 OPEX LAP 2023'!N222*'2.1 OPEX TUUA'!$L$7,'2.2 OPEX LAP 2023'!N222*'2.1 OPEX TUUA'!$L$8)</f>
        <v>0</v>
      </c>
      <c r="M221" s="3"/>
      <c r="N221" s="3">
        <f>+IF(F221="Pasajero",'2.2 OPEX LAP 2023'!I222*'2.1 OPEX TUUA'!$N$7,'2.2 OPEX LAP 2023'!I222*'2.1 OPEX TUUA'!$N$8)</f>
        <v>0</v>
      </c>
      <c r="O221" s="3">
        <f>+IF(F221="Pasajero",'2.2 OPEX LAP 2023'!J222*'2.1 OPEX TUUA'!$O$7,'2.2 OPEX LAP 2023'!J222*'2.1 OPEX TUUA'!$O$8)</f>
        <v>0</v>
      </c>
      <c r="P221" s="3">
        <f>+IF(F221="Pasajero",'2.2 OPEX LAP 2023'!K222*'2.1 OPEX TUUA'!$P$7,'2.2 OPEX LAP 2023'!K222*'2.1 OPEX TUUA'!$P$8)</f>
        <v>0</v>
      </c>
      <c r="Q221" s="3">
        <f>+IF(F221="Pasajero",'2.2 OPEX LAP 2023'!L222*'2.1 OPEX TUUA'!$Q$7,'2.2 OPEX LAP 2023'!L222*'2.1 OPEX TUUA'!$Q$8)</f>
        <v>0</v>
      </c>
      <c r="R221" s="3">
        <f>+IF(F221="Pasajero",'2.2 OPEX LAP 2023'!M222*'2.1 OPEX TUUA'!$R$7,'2.2 OPEX LAP 2023'!M222*'2.1 OPEX TUUA'!$R$8)</f>
        <v>0</v>
      </c>
      <c r="S221" s="3">
        <f>+IF(F221="Pasajero",'2.2 OPEX LAP 2023'!N222*'2.1 OPEX TUUA'!$S$7,'2.2 OPEX LAP 2023'!N222*'2.1 OPEX TUUA'!$S$8)</f>
        <v>0</v>
      </c>
      <c r="AA221" s="6"/>
      <c r="AB221" s="6"/>
      <c r="AC221" s="6"/>
      <c r="AD221" s="6"/>
      <c r="AE221" s="6"/>
      <c r="AF221" s="6"/>
    </row>
    <row r="222" spans="2:32" x14ac:dyDescent="0.25">
      <c r="B222" s="16">
        <v>6343100005</v>
      </c>
      <c r="C222" s="190" t="s">
        <v>176</v>
      </c>
      <c r="D222" s="190" t="s">
        <v>52</v>
      </c>
      <c r="E222" s="190" t="s">
        <v>70</v>
      </c>
      <c r="F222" s="162" t="s">
        <v>190</v>
      </c>
      <c r="G222" s="3">
        <f>+IF(F222="Pasajero",'2.2 OPEX LAP 2023'!I223*'2.1 OPEX TUUA'!$G$7,'2.2 OPEX LAP 2023'!I223*'2.1 OPEX TUUA'!$G$8)</f>
        <v>1652.8353892078549</v>
      </c>
      <c r="H222" s="3">
        <f>+IF(F222="Pasajero",'2.2 OPEX LAP 2023'!J223*'2.1 OPEX TUUA'!$H$7,'2.2 OPEX LAP 2023'!J223*'2.1 OPEX TUUA'!$H$8)</f>
        <v>1943.3557352403488</v>
      </c>
      <c r="I222" s="3">
        <f>+IF(F222="Pasajero",'2.2 OPEX LAP 2023'!K223*'2.1 OPEX TUUA'!$I$7,'2.2 OPEX LAP 2023'!K223*'2.1 OPEX TUUA'!$I$8)</f>
        <v>2187.66914342071</v>
      </c>
      <c r="J222" s="3">
        <f>+IF(F222="Pasajero",'2.2 OPEX LAP 2023'!L223*'2.1 OPEX TUUA'!$J$7,'2.2 OPEX LAP 2023'!L223*'2.1 OPEX TUUA'!$J$8)</f>
        <v>2321.312754418369</v>
      </c>
      <c r="K222" s="3">
        <f>+IF(F222="Pasajero",'2.2 OPEX LAP 2023'!M223*'2.1 OPEX TUUA'!$K$7,'2.2 OPEX LAP 2023'!M223*'2.1 OPEX TUUA'!$K$8)</f>
        <v>2418.6974606214931</v>
      </c>
      <c r="L222" s="3">
        <f>+IF(F222="Pasajero",'2.2 OPEX LAP 2023'!N223*'2.1 OPEX TUUA'!$L$7,'2.2 OPEX LAP 2023'!N223*'2.1 OPEX TUUA'!$L$8)</f>
        <v>2527.273000278768</v>
      </c>
      <c r="M222" s="3"/>
      <c r="N222" s="3">
        <f>+IF(F222="Pasajero",'2.2 OPEX LAP 2023'!I223*'2.1 OPEX TUUA'!$N$7,'2.2 OPEX LAP 2023'!I223*'2.1 OPEX TUUA'!$N$8)</f>
        <v>815.20688227540711</v>
      </c>
      <c r="O222" s="3">
        <f>+IF(F222="Pasajero",'2.2 OPEX LAP 2023'!J223*'2.1 OPEX TUUA'!$O$7,'2.2 OPEX LAP 2023'!J223*'2.1 OPEX TUUA'!$O$8)</f>
        <v>804.86648023253599</v>
      </c>
      <c r="P222" s="3">
        <f>+IF(F222="Pasajero",'2.2 OPEX LAP 2023'!K223*'2.1 OPEX TUUA'!$P$7,'2.2 OPEX LAP 2023'!K223*'2.1 OPEX TUUA'!$P$8)</f>
        <v>800.96840770037136</v>
      </c>
      <c r="Q222" s="3">
        <f>+IF(F222="Pasajero",'2.2 OPEX LAP 2023'!L223*'2.1 OPEX TUUA'!$Q$7,'2.2 OPEX LAP 2023'!L223*'2.1 OPEX TUUA'!$Q$8)</f>
        <v>796.9319722335058</v>
      </c>
      <c r="R222" s="3">
        <f>+IF(F222="Pasajero",'2.2 OPEX LAP 2023'!M223*'2.1 OPEX TUUA'!$R$7,'2.2 OPEX LAP 2023'!M223*'2.1 OPEX TUUA'!$R$8)</f>
        <v>801.90842447852754</v>
      </c>
      <c r="S222" s="3">
        <f>+IF(F222="Pasajero",'2.2 OPEX LAP 2023'!N223*'2.1 OPEX TUUA'!$S$7,'2.2 OPEX LAP 2023'!N223*'2.1 OPEX TUUA'!$S$8)</f>
        <v>803.25743230428452</v>
      </c>
      <c r="AA222" s="6"/>
      <c r="AB222" s="6"/>
      <c r="AC222" s="6"/>
      <c r="AD222" s="6"/>
      <c r="AE222" s="6"/>
      <c r="AF222" s="6"/>
    </row>
    <row r="223" spans="2:32" x14ac:dyDescent="0.25">
      <c r="B223" s="16">
        <v>6343100006</v>
      </c>
      <c r="C223" s="190" t="s">
        <v>176</v>
      </c>
      <c r="D223" s="190" t="s">
        <v>52</v>
      </c>
      <c r="E223" s="190" t="s">
        <v>71</v>
      </c>
      <c r="F223" s="162" t="s">
        <v>190</v>
      </c>
      <c r="G223" s="3">
        <f>+IF(F223="Pasajero",'2.2 OPEX LAP 2023'!I224*'2.1 OPEX TUUA'!$G$7,'2.2 OPEX LAP 2023'!I224*'2.1 OPEX TUUA'!$G$8)</f>
        <v>2388.2389748801761</v>
      </c>
      <c r="H223" s="3">
        <f>+IF(F223="Pasajero",'2.2 OPEX LAP 2023'!J224*'2.1 OPEX TUUA'!$H$7,'2.2 OPEX LAP 2023'!J224*'2.1 OPEX TUUA'!$H$8)</f>
        <v>2808.0218630739037</v>
      </c>
      <c r="I223" s="3">
        <f>+IF(F223="Pasajero",'2.2 OPEX LAP 2023'!K224*'2.1 OPEX TUUA'!$I$7,'2.2 OPEX LAP 2023'!K224*'2.1 OPEX TUUA'!$I$8)</f>
        <v>3161.038749880634</v>
      </c>
      <c r="J223" s="3">
        <f>+IF(F223="Pasajero",'2.2 OPEX LAP 2023'!L224*'2.1 OPEX TUUA'!$J$7,'2.2 OPEX LAP 2023'!L224*'2.1 OPEX TUUA'!$J$8)</f>
        <v>3354.1450220553256</v>
      </c>
      <c r="K223" s="3">
        <f>+IF(F223="Pasajero",'2.2 OPEX LAP 2023'!M224*'2.1 OPEX TUUA'!$K$7,'2.2 OPEX LAP 2023'!M224*'2.1 OPEX TUUA'!$K$8)</f>
        <v>3494.859549606083</v>
      </c>
      <c r="L223" s="3">
        <f>+IF(F223="Pasajero",'2.2 OPEX LAP 2023'!N224*'2.1 OPEX TUUA'!$L$7,'2.2 OPEX LAP 2023'!N224*'2.1 OPEX TUUA'!$L$8)</f>
        <v>3651.7440991633307</v>
      </c>
      <c r="M223" s="3"/>
      <c r="N223" s="3">
        <f>+IF(F223="Pasajero",'2.2 OPEX LAP 2023'!I224*'2.1 OPEX TUUA'!$N$7,'2.2 OPEX LAP 2023'!I224*'2.1 OPEX TUUA'!$N$8)</f>
        <v>1177.9205972675638</v>
      </c>
      <c r="O223" s="3">
        <f>+IF(F223="Pasajero",'2.2 OPEX LAP 2023'!J224*'2.1 OPEX TUUA'!$O$7,'2.2 OPEX LAP 2023'!J224*'2.1 OPEX TUUA'!$O$8)</f>
        <v>1162.9793929976388</v>
      </c>
      <c r="P223" s="3">
        <f>+IF(F223="Pasajero",'2.2 OPEX LAP 2023'!K224*'2.1 OPEX TUUA'!$P$7,'2.2 OPEX LAP 2023'!K224*'2.1 OPEX TUUA'!$P$8)</f>
        <v>1157.3469332808324</v>
      </c>
      <c r="Q223" s="3">
        <f>+IF(F223="Pasajero",'2.2 OPEX LAP 2023'!L224*'2.1 OPEX TUUA'!$Q$7,'2.2 OPEX LAP 2023'!L224*'2.1 OPEX TUUA'!$Q$8)</f>
        <v>1151.5145481779352</v>
      </c>
      <c r="R223" s="3">
        <f>+IF(F223="Pasajero",'2.2 OPEX LAP 2023'!M224*'2.1 OPEX TUUA'!$R$7,'2.2 OPEX LAP 2023'!M224*'2.1 OPEX TUUA'!$R$8)</f>
        <v>1158.7051960100141</v>
      </c>
      <c r="S223" s="3">
        <f>+IF(F223="Pasajero",'2.2 OPEX LAP 2023'!N224*'2.1 OPEX TUUA'!$S$7,'2.2 OPEX LAP 2023'!N224*'2.1 OPEX TUUA'!$S$8)</f>
        <v>1160.6544240383632</v>
      </c>
      <c r="AA223" s="6"/>
      <c r="AB223" s="6"/>
      <c r="AC223" s="6"/>
      <c r="AD223" s="6"/>
      <c r="AE223" s="6"/>
      <c r="AF223" s="6"/>
    </row>
    <row r="224" spans="2:32" x14ac:dyDescent="0.25">
      <c r="B224" s="16">
        <v>6343100007</v>
      </c>
      <c r="C224" s="190" t="s">
        <v>176</v>
      </c>
      <c r="D224" s="190" t="s">
        <v>52</v>
      </c>
      <c r="E224" s="190" t="s">
        <v>72</v>
      </c>
      <c r="F224" s="162" t="s">
        <v>190</v>
      </c>
      <c r="G224" s="3">
        <f>+IF(F224="Pasajero",'2.2 OPEX LAP 2023'!I225*'2.1 OPEX TUUA'!$G$7,'2.2 OPEX LAP 2023'!I225*'2.1 OPEX TUUA'!$G$8)</f>
        <v>0</v>
      </c>
      <c r="H224" s="3">
        <f>+IF(F224="Pasajero",'2.2 OPEX LAP 2023'!J225*'2.1 OPEX TUUA'!$H$7,'2.2 OPEX LAP 2023'!J225*'2.1 OPEX TUUA'!$H$8)</f>
        <v>0</v>
      </c>
      <c r="I224" s="3">
        <f>+IF(F224="Pasajero",'2.2 OPEX LAP 2023'!K225*'2.1 OPEX TUUA'!$I$7,'2.2 OPEX LAP 2023'!K225*'2.1 OPEX TUUA'!$I$8)</f>
        <v>0</v>
      </c>
      <c r="J224" s="3">
        <f>+IF(F224="Pasajero",'2.2 OPEX LAP 2023'!L225*'2.1 OPEX TUUA'!$J$7,'2.2 OPEX LAP 2023'!L225*'2.1 OPEX TUUA'!$J$8)</f>
        <v>0</v>
      </c>
      <c r="K224" s="3">
        <f>+IF(F224="Pasajero",'2.2 OPEX LAP 2023'!M225*'2.1 OPEX TUUA'!$K$7,'2.2 OPEX LAP 2023'!M225*'2.1 OPEX TUUA'!$K$8)</f>
        <v>0</v>
      </c>
      <c r="L224" s="3">
        <f>+IF(F224="Pasajero",'2.2 OPEX LAP 2023'!N225*'2.1 OPEX TUUA'!$L$7,'2.2 OPEX LAP 2023'!N225*'2.1 OPEX TUUA'!$L$8)</f>
        <v>0</v>
      </c>
      <c r="M224" s="3"/>
      <c r="N224" s="3">
        <f>+IF(F224="Pasajero",'2.2 OPEX LAP 2023'!I225*'2.1 OPEX TUUA'!$N$7,'2.2 OPEX LAP 2023'!I225*'2.1 OPEX TUUA'!$N$8)</f>
        <v>0</v>
      </c>
      <c r="O224" s="3">
        <f>+IF(F224="Pasajero",'2.2 OPEX LAP 2023'!J225*'2.1 OPEX TUUA'!$O$7,'2.2 OPEX LAP 2023'!J225*'2.1 OPEX TUUA'!$O$8)</f>
        <v>0</v>
      </c>
      <c r="P224" s="3">
        <f>+IF(F224="Pasajero",'2.2 OPEX LAP 2023'!K225*'2.1 OPEX TUUA'!$P$7,'2.2 OPEX LAP 2023'!K225*'2.1 OPEX TUUA'!$P$8)</f>
        <v>0</v>
      </c>
      <c r="Q224" s="3">
        <f>+IF(F224="Pasajero",'2.2 OPEX LAP 2023'!L225*'2.1 OPEX TUUA'!$Q$7,'2.2 OPEX LAP 2023'!L225*'2.1 OPEX TUUA'!$Q$8)</f>
        <v>0</v>
      </c>
      <c r="R224" s="3">
        <f>+IF(F224="Pasajero",'2.2 OPEX LAP 2023'!M225*'2.1 OPEX TUUA'!$R$7,'2.2 OPEX LAP 2023'!M225*'2.1 OPEX TUUA'!$R$8)</f>
        <v>0</v>
      </c>
      <c r="S224" s="3">
        <f>+IF(F224="Pasajero",'2.2 OPEX LAP 2023'!N225*'2.1 OPEX TUUA'!$S$7,'2.2 OPEX LAP 2023'!N225*'2.1 OPEX TUUA'!$S$8)</f>
        <v>0</v>
      </c>
      <c r="AA224" s="6"/>
      <c r="AB224" s="6"/>
      <c r="AC224" s="6"/>
      <c r="AD224" s="6"/>
      <c r="AE224" s="6"/>
      <c r="AF224" s="6"/>
    </row>
    <row r="225" spans="2:32" x14ac:dyDescent="0.25">
      <c r="B225" s="16">
        <v>6343100008</v>
      </c>
      <c r="C225" s="190" t="s">
        <v>176</v>
      </c>
      <c r="D225" s="190" t="s">
        <v>52</v>
      </c>
      <c r="E225" s="190" t="s">
        <v>73</v>
      </c>
      <c r="F225" s="162" t="s">
        <v>190</v>
      </c>
      <c r="G225" s="3">
        <f>+IF(F225="Pasajero",'2.2 OPEX LAP 2023'!I226*'2.1 OPEX TUUA'!$G$7,'2.2 OPEX LAP 2023'!I226*'2.1 OPEX TUUA'!$G$8)</f>
        <v>0</v>
      </c>
      <c r="H225" s="3">
        <f>+IF(F225="Pasajero",'2.2 OPEX LAP 2023'!J226*'2.1 OPEX TUUA'!$H$7,'2.2 OPEX LAP 2023'!J226*'2.1 OPEX TUUA'!$H$8)</f>
        <v>0</v>
      </c>
      <c r="I225" s="3">
        <f>+IF(F225="Pasajero",'2.2 OPEX LAP 2023'!K226*'2.1 OPEX TUUA'!$I$7,'2.2 OPEX LAP 2023'!K226*'2.1 OPEX TUUA'!$I$8)</f>
        <v>0</v>
      </c>
      <c r="J225" s="3">
        <f>+IF(F225="Pasajero",'2.2 OPEX LAP 2023'!L226*'2.1 OPEX TUUA'!$J$7,'2.2 OPEX LAP 2023'!L226*'2.1 OPEX TUUA'!$J$8)</f>
        <v>0</v>
      </c>
      <c r="K225" s="3">
        <f>+IF(F225="Pasajero",'2.2 OPEX LAP 2023'!M226*'2.1 OPEX TUUA'!$K$7,'2.2 OPEX LAP 2023'!M226*'2.1 OPEX TUUA'!$K$8)</f>
        <v>0</v>
      </c>
      <c r="L225" s="3">
        <f>+IF(F225="Pasajero",'2.2 OPEX LAP 2023'!N226*'2.1 OPEX TUUA'!$L$7,'2.2 OPEX LAP 2023'!N226*'2.1 OPEX TUUA'!$L$8)</f>
        <v>0</v>
      </c>
      <c r="M225" s="3"/>
      <c r="N225" s="3">
        <f>+IF(F225="Pasajero",'2.2 OPEX LAP 2023'!I226*'2.1 OPEX TUUA'!$N$7,'2.2 OPEX LAP 2023'!I226*'2.1 OPEX TUUA'!$N$8)</f>
        <v>0</v>
      </c>
      <c r="O225" s="3">
        <f>+IF(F225="Pasajero",'2.2 OPEX LAP 2023'!J226*'2.1 OPEX TUUA'!$O$7,'2.2 OPEX LAP 2023'!J226*'2.1 OPEX TUUA'!$O$8)</f>
        <v>0</v>
      </c>
      <c r="P225" s="3">
        <f>+IF(F225="Pasajero",'2.2 OPEX LAP 2023'!K226*'2.1 OPEX TUUA'!$P$7,'2.2 OPEX LAP 2023'!K226*'2.1 OPEX TUUA'!$P$8)</f>
        <v>0</v>
      </c>
      <c r="Q225" s="3">
        <f>+IF(F225="Pasajero",'2.2 OPEX LAP 2023'!L226*'2.1 OPEX TUUA'!$Q$7,'2.2 OPEX LAP 2023'!L226*'2.1 OPEX TUUA'!$Q$8)</f>
        <v>0</v>
      </c>
      <c r="R225" s="3">
        <f>+IF(F225="Pasajero",'2.2 OPEX LAP 2023'!M226*'2.1 OPEX TUUA'!$R$7,'2.2 OPEX LAP 2023'!M226*'2.1 OPEX TUUA'!$R$8)</f>
        <v>0</v>
      </c>
      <c r="S225" s="3">
        <f>+IF(F225="Pasajero",'2.2 OPEX LAP 2023'!N226*'2.1 OPEX TUUA'!$S$7,'2.2 OPEX LAP 2023'!N226*'2.1 OPEX TUUA'!$S$8)</f>
        <v>0</v>
      </c>
      <c r="AA225" s="6"/>
      <c r="AB225" s="6"/>
      <c r="AC225" s="6"/>
      <c r="AD225" s="6"/>
      <c r="AE225" s="6"/>
      <c r="AF225" s="6"/>
    </row>
    <row r="226" spans="2:32" x14ac:dyDescent="0.25">
      <c r="B226" s="16">
        <v>6343100009</v>
      </c>
      <c r="C226" s="190" t="s">
        <v>176</v>
      </c>
      <c r="D226" s="190" t="s">
        <v>52</v>
      </c>
      <c r="E226" s="190" t="s">
        <v>74</v>
      </c>
      <c r="F226" s="162" t="s">
        <v>190</v>
      </c>
      <c r="G226" s="3">
        <f>+IF(F226="Pasajero",'2.2 OPEX LAP 2023'!I227*'2.1 OPEX TUUA'!$G$7,'2.2 OPEX LAP 2023'!I227*'2.1 OPEX TUUA'!$G$8)</f>
        <v>0</v>
      </c>
      <c r="H226" s="3">
        <f>+IF(F226="Pasajero",'2.2 OPEX LAP 2023'!J227*'2.1 OPEX TUUA'!$H$7,'2.2 OPEX LAP 2023'!J227*'2.1 OPEX TUUA'!$H$8)</f>
        <v>0</v>
      </c>
      <c r="I226" s="3">
        <f>+IF(F226="Pasajero",'2.2 OPEX LAP 2023'!K227*'2.1 OPEX TUUA'!$I$7,'2.2 OPEX LAP 2023'!K227*'2.1 OPEX TUUA'!$I$8)</f>
        <v>0</v>
      </c>
      <c r="J226" s="3">
        <f>+IF(F226="Pasajero",'2.2 OPEX LAP 2023'!L227*'2.1 OPEX TUUA'!$J$7,'2.2 OPEX LAP 2023'!L227*'2.1 OPEX TUUA'!$J$8)</f>
        <v>0</v>
      </c>
      <c r="K226" s="3">
        <f>+IF(F226="Pasajero",'2.2 OPEX LAP 2023'!M227*'2.1 OPEX TUUA'!$K$7,'2.2 OPEX LAP 2023'!M227*'2.1 OPEX TUUA'!$K$8)</f>
        <v>0</v>
      </c>
      <c r="L226" s="3">
        <f>+IF(F226="Pasajero",'2.2 OPEX LAP 2023'!N227*'2.1 OPEX TUUA'!$L$7,'2.2 OPEX LAP 2023'!N227*'2.1 OPEX TUUA'!$L$8)</f>
        <v>0</v>
      </c>
      <c r="M226" s="3"/>
      <c r="N226" s="3">
        <f>+IF(F226="Pasajero",'2.2 OPEX LAP 2023'!I227*'2.1 OPEX TUUA'!$N$7,'2.2 OPEX LAP 2023'!I227*'2.1 OPEX TUUA'!$N$8)</f>
        <v>0</v>
      </c>
      <c r="O226" s="3">
        <f>+IF(F226="Pasajero",'2.2 OPEX LAP 2023'!J227*'2.1 OPEX TUUA'!$O$7,'2.2 OPEX LAP 2023'!J227*'2.1 OPEX TUUA'!$O$8)</f>
        <v>0</v>
      </c>
      <c r="P226" s="3">
        <f>+IF(F226="Pasajero",'2.2 OPEX LAP 2023'!K227*'2.1 OPEX TUUA'!$P$7,'2.2 OPEX LAP 2023'!K227*'2.1 OPEX TUUA'!$P$8)</f>
        <v>0</v>
      </c>
      <c r="Q226" s="3">
        <f>+IF(F226="Pasajero",'2.2 OPEX LAP 2023'!L227*'2.1 OPEX TUUA'!$Q$7,'2.2 OPEX LAP 2023'!L227*'2.1 OPEX TUUA'!$Q$8)</f>
        <v>0</v>
      </c>
      <c r="R226" s="3">
        <f>+IF(F226="Pasajero",'2.2 OPEX LAP 2023'!M227*'2.1 OPEX TUUA'!$R$7,'2.2 OPEX LAP 2023'!M227*'2.1 OPEX TUUA'!$R$8)</f>
        <v>0</v>
      </c>
      <c r="S226" s="3">
        <f>+IF(F226="Pasajero",'2.2 OPEX LAP 2023'!N227*'2.1 OPEX TUUA'!$S$7,'2.2 OPEX LAP 2023'!N227*'2.1 OPEX TUUA'!$S$8)</f>
        <v>0</v>
      </c>
      <c r="AA226" s="6"/>
      <c r="AB226" s="6"/>
      <c r="AC226" s="6"/>
      <c r="AD226" s="6"/>
      <c r="AE226" s="6"/>
      <c r="AF226" s="6"/>
    </row>
    <row r="227" spans="2:32" x14ac:dyDescent="0.25">
      <c r="B227" s="16">
        <v>6343100010</v>
      </c>
      <c r="C227" s="190" t="s">
        <v>176</v>
      </c>
      <c r="D227" s="190" t="s">
        <v>52</v>
      </c>
      <c r="E227" s="190" t="s">
        <v>75</v>
      </c>
      <c r="F227" s="162" t="s">
        <v>190</v>
      </c>
      <c r="G227" s="3">
        <f>+IF(F227="Pasajero",'2.2 OPEX LAP 2023'!I228*'2.1 OPEX TUUA'!$G$7,'2.2 OPEX LAP 2023'!I228*'2.1 OPEX TUUA'!$G$8)</f>
        <v>5111.3715286089027</v>
      </c>
      <c r="H227" s="3">
        <f>+IF(F227="Pasajero",'2.2 OPEX LAP 2023'!J228*'2.1 OPEX TUUA'!$H$7,'2.2 OPEX LAP 2023'!J228*'2.1 OPEX TUUA'!$H$8)</f>
        <v>6009.8018471319001</v>
      </c>
      <c r="I227" s="3">
        <f>+IF(F227="Pasajero",'2.2 OPEX LAP 2023'!K228*'2.1 OPEX TUUA'!$I$7,'2.2 OPEX LAP 2023'!K228*'2.1 OPEX TUUA'!$I$8)</f>
        <v>6765.3378229370865</v>
      </c>
      <c r="J227" s="3">
        <f>+IF(F227="Pasajero",'2.2 OPEX LAP 2023'!L228*'2.1 OPEX TUUA'!$J$7,'2.2 OPEX LAP 2023'!L228*'2.1 OPEX TUUA'!$J$8)</f>
        <v>7178.6289181630327</v>
      </c>
      <c r="K227" s="3">
        <f>+IF(F227="Pasajero",'2.2 OPEX LAP 2023'!M228*'2.1 OPEX TUUA'!$K$7,'2.2 OPEX LAP 2023'!M228*'2.1 OPEX TUUA'!$K$8)</f>
        <v>7479.7898310154333</v>
      </c>
      <c r="L227" s="3">
        <f>+IF(F227="Pasajero",'2.2 OPEX LAP 2023'!N228*'2.1 OPEX TUUA'!$L$7,'2.2 OPEX LAP 2023'!N228*'2.1 OPEX TUUA'!$L$8)</f>
        <v>7815.5582479619743</v>
      </c>
      <c r="M227" s="3"/>
      <c r="N227" s="3">
        <f>+IF(F227="Pasajero",'2.2 OPEX LAP 2023'!I228*'2.1 OPEX TUUA'!$N$7,'2.2 OPEX LAP 2023'!I228*'2.1 OPEX TUUA'!$N$8)</f>
        <v>2521.0164758061942</v>
      </c>
      <c r="O227" s="3">
        <f>+IF(F227="Pasajero",'2.2 OPEX LAP 2023'!J228*'2.1 OPEX TUUA'!$O$7,'2.2 OPEX LAP 2023'!J228*'2.1 OPEX TUUA'!$O$8)</f>
        <v>2489.0389195768153</v>
      </c>
      <c r="P227" s="3">
        <f>+IF(F227="Pasajero",'2.2 OPEX LAP 2023'!K228*'2.1 OPEX TUUA'!$P$7,'2.2 OPEX LAP 2023'!K228*'2.1 OPEX TUUA'!$P$8)</f>
        <v>2476.9841819499134</v>
      </c>
      <c r="Q227" s="3">
        <f>+IF(F227="Pasajero",'2.2 OPEX LAP 2023'!L228*'2.1 OPEX TUUA'!$Q$7,'2.2 OPEX LAP 2023'!L228*'2.1 OPEX TUUA'!$Q$8)</f>
        <v>2464.5015587817998</v>
      </c>
      <c r="R227" s="3">
        <f>+IF(F227="Pasajero",'2.2 OPEX LAP 2023'!M228*'2.1 OPEX TUUA'!$R$7,'2.2 OPEX LAP 2023'!M228*'2.1 OPEX TUUA'!$R$8)</f>
        <v>2479.8911713740599</v>
      </c>
      <c r="S227" s="3">
        <f>+IF(F227="Pasajero",'2.2 OPEX LAP 2023'!N228*'2.1 OPEX TUUA'!$S$7,'2.2 OPEX LAP 2023'!N228*'2.1 OPEX TUUA'!$S$8)</f>
        <v>2484.0629601906999</v>
      </c>
      <c r="AA227" s="6"/>
      <c r="AB227" s="6"/>
      <c r="AC227" s="6"/>
      <c r="AD227" s="6"/>
      <c r="AE227" s="6"/>
      <c r="AF227" s="6"/>
    </row>
    <row r="228" spans="2:32" x14ac:dyDescent="0.25">
      <c r="B228" s="16">
        <v>6343100011</v>
      </c>
      <c r="C228" s="190" t="s">
        <v>176</v>
      </c>
      <c r="D228" s="190" t="s">
        <v>52</v>
      </c>
      <c r="E228" s="190" t="s">
        <v>76</v>
      </c>
      <c r="F228" s="162" t="s">
        <v>190</v>
      </c>
      <c r="G228" s="3">
        <f>+IF(F228="Pasajero",'2.2 OPEX LAP 2023'!I229*'2.1 OPEX TUUA'!$G$7,'2.2 OPEX LAP 2023'!I229*'2.1 OPEX TUUA'!$G$8)</f>
        <v>0</v>
      </c>
      <c r="H228" s="3">
        <f>+IF(F228="Pasajero",'2.2 OPEX LAP 2023'!J229*'2.1 OPEX TUUA'!$H$7,'2.2 OPEX LAP 2023'!J229*'2.1 OPEX TUUA'!$H$8)</f>
        <v>0</v>
      </c>
      <c r="I228" s="3">
        <f>+IF(F228="Pasajero",'2.2 OPEX LAP 2023'!K229*'2.1 OPEX TUUA'!$I$7,'2.2 OPEX LAP 2023'!K229*'2.1 OPEX TUUA'!$I$8)</f>
        <v>0</v>
      </c>
      <c r="J228" s="3">
        <f>+IF(F228="Pasajero",'2.2 OPEX LAP 2023'!L229*'2.1 OPEX TUUA'!$J$7,'2.2 OPEX LAP 2023'!L229*'2.1 OPEX TUUA'!$J$8)</f>
        <v>0</v>
      </c>
      <c r="K228" s="3">
        <f>+IF(F228="Pasajero",'2.2 OPEX LAP 2023'!M229*'2.1 OPEX TUUA'!$K$7,'2.2 OPEX LAP 2023'!M229*'2.1 OPEX TUUA'!$K$8)</f>
        <v>0</v>
      </c>
      <c r="L228" s="3">
        <f>+IF(F228="Pasajero",'2.2 OPEX LAP 2023'!N229*'2.1 OPEX TUUA'!$L$7,'2.2 OPEX LAP 2023'!N229*'2.1 OPEX TUUA'!$L$8)</f>
        <v>0</v>
      </c>
      <c r="M228" s="3"/>
      <c r="N228" s="3">
        <f>+IF(F228="Pasajero",'2.2 OPEX LAP 2023'!I229*'2.1 OPEX TUUA'!$N$7,'2.2 OPEX LAP 2023'!I229*'2.1 OPEX TUUA'!$N$8)</f>
        <v>0</v>
      </c>
      <c r="O228" s="3">
        <f>+IF(F228="Pasajero",'2.2 OPEX LAP 2023'!J229*'2.1 OPEX TUUA'!$O$7,'2.2 OPEX LAP 2023'!J229*'2.1 OPEX TUUA'!$O$8)</f>
        <v>0</v>
      </c>
      <c r="P228" s="3">
        <f>+IF(F228="Pasajero",'2.2 OPEX LAP 2023'!K229*'2.1 OPEX TUUA'!$P$7,'2.2 OPEX LAP 2023'!K229*'2.1 OPEX TUUA'!$P$8)</f>
        <v>0</v>
      </c>
      <c r="Q228" s="3">
        <f>+IF(F228="Pasajero",'2.2 OPEX LAP 2023'!L229*'2.1 OPEX TUUA'!$Q$7,'2.2 OPEX LAP 2023'!L229*'2.1 OPEX TUUA'!$Q$8)</f>
        <v>0</v>
      </c>
      <c r="R228" s="3">
        <f>+IF(F228="Pasajero",'2.2 OPEX LAP 2023'!M229*'2.1 OPEX TUUA'!$R$7,'2.2 OPEX LAP 2023'!M229*'2.1 OPEX TUUA'!$R$8)</f>
        <v>0</v>
      </c>
      <c r="S228" s="3">
        <f>+IF(F228="Pasajero",'2.2 OPEX LAP 2023'!N229*'2.1 OPEX TUUA'!$S$7,'2.2 OPEX LAP 2023'!N229*'2.1 OPEX TUUA'!$S$8)</f>
        <v>0</v>
      </c>
      <c r="AA228" s="6"/>
      <c r="AB228" s="6"/>
      <c r="AC228" s="6"/>
      <c r="AD228" s="6"/>
      <c r="AE228" s="6"/>
      <c r="AF228" s="6"/>
    </row>
    <row r="229" spans="2:32" x14ac:dyDescent="0.25">
      <c r="B229" s="16">
        <v>6343100012</v>
      </c>
      <c r="C229" s="190" t="s">
        <v>176</v>
      </c>
      <c r="D229" s="190" t="s">
        <v>52</v>
      </c>
      <c r="E229" s="190" t="s">
        <v>77</v>
      </c>
      <c r="F229" s="162" t="s">
        <v>190</v>
      </c>
      <c r="G229" s="3">
        <f>+IF(F229="Pasajero",'2.2 OPEX LAP 2023'!I230*'2.1 OPEX TUUA'!$G$7,'2.2 OPEX LAP 2023'!I230*'2.1 OPEX TUUA'!$G$8)</f>
        <v>3082.7661602817352</v>
      </c>
      <c r="H229" s="3">
        <f>+IF(F229="Pasajero",'2.2 OPEX LAP 2023'!J230*'2.1 OPEX TUUA'!$H$7,'2.2 OPEX LAP 2023'!J230*'2.1 OPEX TUUA'!$H$8)</f>
        <v>3624.6267094145464</v>
      </c>
      <c r="I229" s="3">
        <f>+IF(F229="Pasajero",'2.2 OPEX LAP 2023'!K230*'2.1 OPEX TUUA'!$I$7,'2.2 OPEX LAP 2023'!K230*'2.1 OPEX TUUA'!$I$8)</f>
        <v>4080.3049409911819</v>
      </c>
      <c r="J229" s="3">
        <f>+IF(F229="Pasajero",'2.2 OPEX LAP 2023'!L230*'2.1 OPEX TUUA'!$J$7,'2.2 OPEX LAP 2023'!L230*'2.1 OPEX TUUA'!$J$8)</f>
        <v>4329.5687238285591</v>
      </c>
      <c r="K229" s="3">
        <f>+IF(F229="Pasajero",'2.2 OPEX LAP 2023'!M230*'2.1 OPEX TUUA'!$K$7,'2.2 OPEX LAP 2023'!M230*'2.1 OPEX TUUA'!$K$8)</f>
        <v>4511.2046440007744</v>
      </c>
      <c r="L229" s="3">
        <f>+IF(F229="Pasajero",'2.2 OPEX LAP 2023'!N230*'2.1 OPEX TUUA'!$L$7,'2.2 OPEX LAP 2023'!N230*'2.1 OPEX TUUA'!$L$8)</f>
        <v>4713.7130133612527</v>
      </c>
      <c r="M229" s="3"/>
      <c r="N229" s="3">
        <f>+IF(F229="Pasajero",'2.2 OPEX LAP 2023'!I230*'2.1 OPEX TUUA'!$N$7,'2.2 OPEX LAP 2023'!I230*'2.1 OPEX TUUA'!$N$8)</f>
        <v>1520.4733675939967</v>
      </c>
      <c r="O229" s="3">
        <f>+IF(F229="Pasajero",'2.2 OPEX LAP 2023'!J230*'2.1 OPEX TUUA'!$O$7,'2.2 OPEX LAP 2023'!J230*'2.1 OPEX TUUA'!$O$8)</f>
        <v>1501.1870903823569</v>
      </c>
      <c r="P229" s="3">
        <f>+IF(F229="Pasajero",'2.2 OPEX LAP 2023'!K230*'2.1 OPEX TUUA'!$P$7,'2.2 OPEX LAP 2023'!K230*'2.1 OPEX TUUA'!$P$8)</f>
        <v>1493.9166470151924</v>
      </c>
      <c r="Q229" s="3">
        <f>+IF(F229="Pasajero",'2.2 OPEX LAP 2023'!L230*'2.1 OPEX TUUA'!$Q$7,'2.2 OPEX LAP 2023'!L230*'2.1 OPEX TUUA'!$Q$8)</f>
        <v>1486.3881376750228</v>
      </c>
      <c r="R229" s="3">
        <f>+IF(F229="Pasajero",'2.2 OPEX LAP 2023'!M230*'2.1 OPEX TUUA'!$R$7,'2.2 OPEX LAP 2023'!M230*'2.1 OPEX TUUA'!$R$8)</f>
        <v>1495.6699080675139</v>
      </c>
      <c r="S229" s="3">
        <f>+IF(F229="Pasajero",'2.2 OPEX LAP 2023'!N230*'2.1 OPEX TUUA'!$S$7,'2.2 OPEX LAP 2023'!N230*'2.1 OPEX TUUA'!$S$8)</f>
        <v>1498.1859938812331</v>
      </c>
      <c r="AA229" s="6"/>
      <c r="AB229" s="6"/>
      <c r="AC229" s="6"/>
      <c r="AD229" s="6"/>
      <c r="AE229" s="6"/>
      <c r="AF229" s="6"/>
    </row>
    <row r="230" spans="2:32" x14ac:dyDescent="0.25">
      <c r="B230" s="16">
        <v>6343100013</v>
      </c>
      <c r="C230" s="190" t="s">
        <v>176</v>
      </c>
      <c r="D230" s="190" t="s">
        <v>52</v>
      </c>
      <c r="E230" s="190" t="s">
        <v>78</v>
      </c>
      <c r="F230" s="162" t="s">
        <v>190</v>
      </c>
      <c r="G230" s="3">
        <f>+IF(F230="Pasajero",'2.2 OPEX LAP 2023'!I231*'2.1 OPEX TUUA'!$G$7,'2.2 OPEX LAP 2023'!I231*'2.1 OPEX TUUA'!$G$8)</f>
        <v>9733.8248736549376</v>
      </c>
      <c r="H230" s="3">
        <f>+IF(F230="Pasajero",'2.2 OPEX LAP 2023'!J231*'2.1 OPEX TUUA'!$H$7,'2.2 OPEX LAP 2023'!J231*'2.1 OPEX TUUA'!$H$8)</f>
        <v>11444.747926838852</v>
      </c>
      <c r="I230" s="3">
        <f>+IF(F230="Pasajero",'2.2 OPEX LAP 2023'!K231*'2.1 OPEX TUUA'!$I$7,'2.2 OPEX LAP 2023'!K231*'2.1 OPEX TUUA'!$I$8)</f>
        <v>12883.550571700631</v>
      </c>
      <c r="J230" s="3">
        <f>+IF(F230="Pasajero",'2.2 OPEX LAP 2023'!L231*'2.1 OPEX TUUA'!$J$7,'2.2 OPEX LAP 2023'!L231*'2.1 OPEX TUUA'!$J$8)</f>
        <v>13670.600215862434</v>
      </c>
      <c r="K230" s="3">
        <f>+IF(F230="Pasajero",'2.2 OPEX LAP 2023'!M231*'2.1 OPEX TUUA'!$K$7,'2.2 OPEX LAP 2023'!M231*'2.1 OPEX TUUA'!$K$8)</f>
        <v>14244.115087181744</v>
      </c>
      <c r="L230" s="3">
        <f>+IF(F230="Pasajero",'2.2 OPEX LAP 2023'!N231*'2.1 OPEX TUUA'!$L$7,'2.2 OPEX LAP 2023'!N231*'2.1 OPEX TUUA'!$L$8)</f>
        <v>14883.534653998378</v>
      </c>
      <c r="M230" s="3"/>
      <c r="N230" s="3">
        <f>+IF(F230="Pasajero",'2.2 OPEX LAP 2023'!I231*'2.1 OPEX TUUA'!$N$7,'2.2 OPEX LAP 2023'!I231*'2.1 OPEX TUUA'!$N$8)</f>
        <v>4800.8900823874856</v>
      </c>
      <c r="O230" s="3">
        <f>+IF(F230="Pasajero",'2.2 OPEX LAP 2023'!J231*'2.1 OPEX TUUA'!$O$7,'2.2 OPEX LAP 2023'!J231*'2.1 OPEX TUUA'!$O$8)</f>
        <v>4739.9937201328448</v>
      </c>
      <c r="P230" s="3">
        <f>+IF(F230="Pasajero",'2.2 OPEX LAP 2023'!K231*'2.1 OPEX TUUA'!$P$7,'2.2 OPEX LAP 2023'!K231*'2.1 OPEX TUUA'!$P$8)</f>
        <v>4717.0373170810681</v>
      </c>
      <c r="Q230" s="3">
        <f>+IF(F230="Pasajero",'2.2 OPEX LAP 2023'!L231*'2.1 OPEX TUUA'!$Q$7,'2.2 OPEX LAP 2023'!L231*'2.1 OPEX TUUA'!$Q$8)</f>
        <v>4693.2660714961648</v>
      </c>
      <c r="R230" s="3">
        <f>+IF(F230="Pasajero",'2.2 OPEX LAP 2023'!M231*'2.1 OPEX TUUA'!$R$7,'2.2 OPEX LAP 2023'!M231*'2.1 OPEX TUUA'!$R$8)</f>
        <v>4722.5732335774192</v>
      </c>
      <c r="S230" s="3">
        <f>+IF(F230="Pasajero",'2.2 OPEX LAP 2023'!N231*'2.1 OPEX TUUA'!$S$7,'2.2 OPEX LAP 2023'!N231*'2.1 OPEX TUUA'!$S$8)</f>
        <v>4730.5177669621999</v>
      </c>
      <c r="AA230" s="6"/>
      <c r="AB230" s="6"/>
      <c r="AC230" s="6"/>
      <c r="AD230" s="6"/>
      <c r="AE230" s="6"/>
      <c r="AF230" s="6"/>
    </row>
    <row r="231" spans="2:32" x14ac:dyDescent="0.25">
      <c r="B231" s="16">
        <v>6343100014</v>
      </c>
      <c r="C231" s="190" t="s">
        <v>176</v>
      </c>
      <c r="D231" s="190" t="s">
        <v>52</v>
      </c>
      <c r="E231" s="190" t="s">
        <v>79</v>
      </c>
      <c r="F231" s="162" t="s">
        <v>190</v>
      </c>
      <c r="G231" s="3">
        <f>+IF(F231="Pasajero",'2.2 OPEX LAP 2023'!I232*'2.1 OPEX TUUA'!$G$7,'2.2 OPEX LAP 2023'!I232*'2.1 OPEX TUUA'!$G$8)</f>
        <v>3309.0138514167634</v>
      </c>
      <c r="H231" s="3">
        <f>+IF(F231="Pasajero",'2.2 OPEX LAP 2023'!J232*'2.1 OPEX TUUA'!$H$7,'2.2 OPEX LAP 2023'!J232*'2.1 OPEX TUUA'!$H$8)</f>
        <v>3890.6421583957467</v>
      </c>
      <c r="I231" s="3">
        <f>+IF(F231="Pasajero",'2.2 OPEX LAP 2023'!K232*'2.1 OPEX TUUA'!$I$7,'2.2 OPEX LAP 2023'!K232*'2.1 OPEX TUUA'!$I$8)</f>
        <v>4379.7631301720749</v>
      </c>
      <c r="J231" s="3">
        <f>+IF(F231="Pasajero",'2.2 OPEX LAP 2023'!L232*'2.1 OPEX TUUA'!$J$7,'2.2 OPEX LAP 2023'!L232*'2.1 OPEX TUUA'!$J$8)</f>
        <v>4647.3206636276909</v>
      </c>
      <c r="K231" s="3">
        <f>+IF(F231="Pasajero",'2.2 OPEX LAP 2023'!M232*'2.1 OPEX TUUA'!$K$7,'2.2 OPEX LAP 2023'!M232*'2.1 OPEX TUUA'!$K$8)</f>
        <v>4842.287049177271</v>
      </c>
      <c r="L231" s="3">
        <f>+IF(F231="Pasajero",'2.2 OPEX LAP 2023'!N232*'2.1 OPEX TUUA'!$L$7,'2.2 OPEX LAP 2023'!N232*'2.1 OPEX TUUA'!$L$8)</f>
        <v>5059.6577365408584</v>
      </c>
      <c r="M231" s="3"/>
      <c r="N231" s="3">
        <f>+IF(F231="Pasajero",'2.2 OPEX LAP 2023'!I232*'2.1 OPEX TUUA'!$N$7,'2.2 OPEX LAP 2023'!I232*'2.1 OPEX TUUA'!$N$8)</f>
        <v>1632.0626257357833</v>
      </c>
      <c r="O231" s="3">
        <f>+IF(F231="Pasajero",'2.2 OPEX LAP 2023'!J232*'2.1 OPEX TUUA'!$O$7,'2.2 OPEX LAP 2023'!J232*'2.1 OPEX TUUA'!$O$8)</f>
        <v>1611.3609068516798</v>
      </c>
      <c r="P231" s="3">
        <f>+IF(F231="Pasajero",'2.2 OPEX LAP 2023'!K232*'2.1 OPEX TUUA'!$P$7,'2.2 OPEX LAP 2023'!K232*'2.1 OPEX TUUA'!$P$8)</f>
        <v>1603.556877432306</v>
      </c>
      <c r="Q231" s="3">
        <f>+IF(F231="Pasajero",'2.2 OPEX LAP 2023'!L232*'2.1 OPEX TUUA'!$Q$7,'2.2 OPEX LAP 2023'!L232*'2.1 OPEX TUUA'!$Q$8)</f>
        <v>1595.4758422866287</v>
      </c>
      <c r="R231" s="3">
        <f>+IF(F231="Pasajero",'2.2 OPEX LAP 2023'!M232*'2.1 OPEX TUUA'!$R$7,'2.2 OPEX LAP 2023'!M232*'2.1 OPEX TUUA'!$R$8)</f>
        <v>1605.438812293934</v>
      </c>
      <c r="S231" s="3">
        <f>+IF(F231="Pasajero",'2.2 OPEX LAP 2023'!N232*'2.1 OPEX TUUA'!$S$7,'2.2 OPEX LAP 2023'!N232*'2.1 OPEX TUUA'!$S$8)</f>
        <v>1608.1395564879697</v>
      </c>
      <c r="AA231" s="6"/>
      <c r="AB231" s="6"/>
      <c r="AC231" s="6"/>
      <c r="AD231" s="6"/>
      <c r="AE231" s="6"/>
      <c r="AF231" s="6"/>
    </row>
    <row r="232" spans="2:32" x14ac:dyDescent="0.25">
      <c r="B232" s="16">
        <v>6343100015</v>
      </c>
      <c r="C232" s="190" t="s">
        <v>176</v>
      </c>
      <c r="D232" s="190" t="s">
        <v>52</v>
      </c>
      <c r="E232" s="190" t="s">
        <v>80</v>
      </c>
      <c r="F232" s="162" t="s">
        <v>190</v>
      </c>
      <c r="G232" s="3">
        <f>+IF(F232="Pasajero",'2.2 OPEX LAP 2023'!I233*'2.1 OPEX TUUA'!$G$7,'2.2 OPEX LAP 2023'!I233*'2.1 OPEX TUUA'!$G$8)</f>
        <v>236.12274180701652</v>
      </c>
      <c r="H232" s="3">
        <f>+IF(F232="Pasajero",'2.2 OPEX LAP 2023'!J233*'2.1 OPEX TUUA'!$H$7,'2.2 OPEX LAP 2023'!J233*'2.1 OPEX TUUA'!$H$8)</f>
        <v>277.62624609052079</v>
      </c>
      <c r="I232" s="3">
        <f>+IF(F232="Pasajero",'2.2 OPEX LAP 2023'!K233*'2.1 OPEX TUUA'!$I$7,'2.2 OPEX LAP 2023'!K233*'2.1 OPEX TUUA'!$I$8)</f>
        <v>312.52866418758941</v>
      </c>
      <c r="J232" s="3">
        <f>+IF(F232="Pasajero",'2.2 OPEX LAP 2023'!L233*'2.1 OPEX TUUA'!$J$7,'2.2 OPEX LAP 2023'!L233*'2.1 OPEX TUUA'!$J$8)</f>
        <v>331.62088356999351</v>
      </c>
      <c r="K232" s="3">
        <f>+IF(F232="Pasajero",'2.2 OPEX LAP 2023'!M233*'2.1 OPEX TUUA'!$K$7,'2.2 OPEX LAP 2023'!M233*'2.1 OPEX TUUA'!$K$8)</f>
        <v>345.53318481238944</v>
      </c>
      <c r="L232" s="3">
        <f>+IF(F232="Pasajero",'2.2 OPEX LAP 2023'!N233*'2.1 OPEX TUUA'!$L$7,'2.2 OPEX LAP 2023'!N233*'2.1 OPEX TUUA'!$L$8)</f>
        <v>361.0441995719047</v>
      </c>
      <c r="M232" s="3"/>
      <c r="N232" s="3">
        <f>+IF(F232="Pasajero",'2.2 OPEX LAP 2023'!I233*'2.1 OPEX TUUA'!$N$7,'2.2 OPEX LAP 2023'!I233*'2.1 OPEX TUUA'!$N$8)</f>
        <v>116.45980322037511</v>
      </c>
      <c r="O232" s="3">
        <f>+IF(F232="Pasajero",'2.2 OPEX LAP 2023'!J233*'2.1 OPEX TUUA'!$O$7,'2.2 OPEX LAP 2023'!J233*'2.1 OPEX TUUA'!$O$8)</f>
        <v>114.98258165451804</v>
      </c>
      <c r="P232" s="3">
        <f>+IF(F232="Pasajero",'2.2 OPEX LAP 2023'!K233*'2.1 OPEX TUUA'!$P$7,'2.2 OPEX LAP 2023'!K233*'2.1 OPEX TUUA'!$P$8)</f>
        <v>114.42570613015111</v>
      </c>
      <c r="Q232" s="3">
        <f>+IF(F232="Pasajero",'2.2 OPEX LAP 2023'!L233*'2.1 OPEX TUUA'!$Q$7,'2.2 OPEX LAP 2023'!L233*'2.1 OPEX TUUA'!$Q$8)</f>
        <v>113.84906418759194</v>
      </c>
      <c r="R232" s="3">
        <f>+IF(F232="Pasajero",'2.2 OPEX LAP 2023'!M233*'2.1 OPEX TUUA'!$R$7,'2.2 OPEX LAP 2023'!M233*'2.1 OPEX TUUA'!$R$8)</f>
        <v>114.55999617527728</v>
      </c>
      <c r="S232" s="3">
        <f>+IF(F232="Pasajero",'2.2 OPEX LAP 2023'!N233*'2.1 OPEX TUUA'!$S$7,'2.2 OPEX LAP 2023'!N233*'2.1 OPEX TUUA'!$S$8)</f>
        <v>114.75271435436318</v>
      </c>
      <c r="AA232" s="6"/>
      <c r="AB232" s="6"/>
      <c r="AC232" s="6"/>
      <c r="AD232" s="6"/>
      <c r="AE232" s="6"/>
      <c r="AF232" s="6"/>
    </row>
    <row r="233" spans="2:32" x14ac:dyDescent="0.25">
      <c r="B233" s="16">
        <v>6343100016</v>
      </c>
      <c r="C233" s="190" t="s">
        <v>176</v>
      </c>
      <c r="D233" s="190" t="s">
        <v>52</v>
      </c>
      <c r="E233" s="190" t="s">
        <v>81</v>
      </c>
      <c r="F233" s="162" t="s">
        <v>190</v>
      </c>
      <c r="G233" s="3">
        <f>+IF(F233="Pasajero",'2.2 OPEX LAP 2023'!I234*'2.1 OPEX TUUA'!$G$7,'2.2 OPEX LAP 2023'!I234*'2.1 OPEX TUUA'!$G$8)</f>
        <v>21713.305562215512</v>
      </c>
      <c r="H233" s="3">
        <f>+IF(F233="Pasajero",'2.2 OPEX LAP 2023'!J234*'2.1 OPEX TUUA'!$H$7,'2.2 OPEX LAP 2023'!J234*'2.1 OPEX TUUA'!$H$8)</f>
        <v>25529.872587965969</v>
      </c>
      <c r="I233" s="3">
        <f>+IF(F233="Pasajero",'2.2 OPEX LAP 2023'!K234*'2.1 OPEX TUUA'!$I$7,'2.2 OPEX LAP 2023'!K234*'2.1 OPEX TUUA'!$I$8)</f>
        <v>28739.418873944811</v>
      </c>
      <c r="J233" s="3">
        <f>+IF(F233="Pasajero",'2.2 OPEX LAP 2023'!L234*'2.1 OPEX TUUA'!$J$7,'2.2 OPEX LAP 2023'!L234*'2.1 OPEX TUUA'!$J$8)</f>
        <v>30495.095562003131</v>
      </c>
      <c r="K233" s="3">
        <f>+IF(F233="Pasajero",'2.2 OPEX LAP 2023'!M234*'2.1 OPEX TUUA'!$K$7,'2.2 OPEX LAP 2023'!M234*'2.1 OPEX TUUA'!$K$8)</f>
        <v>31774.438863025043</v>
      </c>
      <c r="L233" s="3">
        <f>+IF(F233="Pasajero",'2.2 OPEX LAP 2023'!N234*'2.1 OPEX TUUA'!$L$7,'2.2 OPEX LAP 2023'!N234*'2.1 OPEX TUUA'!$L$8)</f>
        <v>33200.796190895875</v>
      </c>
      <c r="M233" s="3"/>
      <c r="N233" s="3">
        <f>+IF(F233="Pasajero",'2.2 OPEX LAP 2023'!I234*'2.1 OPEX TUUA'!$N$7,'2.2 OPEX LAP 2023'!I234*'2.1 OPEX TUUA'!$N$8)</f>
        <v>10709.376291700981</v>
      </c>
      <c r="O233" s="3">
        <f>+IF(F233="Pasajero",'2.2 OPEX LAP 2023'!J234*'2.1 OPEX TUUA'!$O$7,'2.2 OPEX LAP 2023'!J234*'2.1 OPEX TUUA'!$O$8)</f>
        <v>10573.534385931631</v>
      </c>
      <c r="P233" s="3">
        <f>+IF(F233="Pasajero",'2.2 OPEX LAP 2023'!K234*'2.1 OPEX TUUA'!$P$7,'2.2 OPEX LAP 2023'!K234*'2.1 OPEX TUUA'!$P$8)</f>
        <v>10522.325390439868</v>
      </c>
      <c r="Q233" s="3">
        <f>+IF(F233="Pasajero",'2.2 OPEX LAP 2023'!L234*'2.1 OPEX TUUA'!$Q$7,'2.2 OPEX LAP 2023'!L234*'2.1 OPEX TUUA'!$Q$8)</f>
        <v>10469.298720484416</v>
      </c>
      <c r="R233" s="3">
        <f>+IF(F233="Pasajero",'2.2 OPEX LAP 2023'!M234*'2.1 OPEX TUUA'!$R$7,'2.2 OPEX LAP 2023'!M234*'2.1 OPEX TUUA'!$R$8)</f>
        <v>10534.674394866435</v>
      </c>
      <c r="S233" s="3">
        <f>+IF(F233="Pasajero",'2.2 OPEX LAP 2023'!N234*'2.1 OPEX TUUA'!$S$7,'2.2 OPEX LAP 2023'!N234*'2.1 OPEX TUUA'!$S$8)</f>
        <v>10552.396316430881</v>
      </c>
      <c r="AA233" s="6"/>
      <c r="AB233" s="6"/>
      <c r="AC233" s="6"/>
      <c r="AD233" s="6"/>
      <c r="AE233" s="6"/>
      <c r="AF233" s="6"/>
    </row>
    <row r="234" spans="2:32" x14ac:dyDescent="0.25">
      <c r="B234" s="16">
        <v>6343100017</v>
      </c>
      <c r="C234" s="190" t="s">
        <v>176</v>
      </c>
      <c r="D234" s="190" t="s">
        <v>52</v>
      </c>
      <c r="E234" s="190" t="s">
        <v>82</v>
      </c>
      <c r="F234" s="162" t="s">
        <v>190</v>
      </c>
      <c r="G234" s="3">
        <f>+IF(F234="Pasajero",'2.2 OPEX LAP 2023'!I235*'2.1 OPEX TUUA'!$G$7,'2.2 OPEX LAP 2023'!I235*'2.1 OPEX TUUA'!$G$8)</f>
        <v>4.3193379258428095</v>
      </c>
      <c r="H234" s="3">
        <f>+IF(F234="Pasajero",'2.2 OPEX LAP 2023'!J235*'2.1 OPEX TUUA'!$H$7,'2.2 OPEX LAP 2023'!J235*'2.1 OPEX TUUA'!$H$8)</f>
        <v>5.0785517937456106</v>
      </c>
      <c r="I234" s="3">
        <f>+IF(F234="Pasajero",'2.2 OPEX LAP 2023'!K235*'2.1 OPEX TUUA'!$I$7,'2.2 OPEX LAP 2023'!K235*'2.1 OPEX TUUA'!$I$8)</f>
        <v>5.7170135405328102</v>
      </c>
      <c r="J234" s="3">
        <f>+IF(F234="Pasajero",'2.2 OPEX LAP 2023'!L235*'2.1 OPEX TUUA'!$J$7,'2.2 OPEX LAP 2023'!L235*'2.1 OPEX TUUA'!$J$8)</f>
        <v>6.0662630310131824</v>
      </c>
      <c r="K234" s="3">
        <f>+IF(F234="Pasajero",'2.2 OPEX LAP 2023'!M235*'2.1 OPEX TUUA'!$K$7,'2.2 OPEX LAP 2023'!M235*'2.1 OPEX TUUA'!$K$8)</f>
        <v>6.3207574940714846</v>
      </c>
      <c r="L234" s="3">
        <f>+IF(F234="Pasajero",'2.2 OPEX LAP 2023'!N235*'2.1 OPEX TUUA'!$L$7,'2.2 OPEX LAP 2023'!N235*'2.1 OPEX TUUA'!$L$8)</f>
        <v>6.6044968484697959</v>
      </c>
      <c r="M234" s="3"/>
      <c r="N234" s="3">
        <f>+IF(F234="Pasajero",'2.2 OPEX LAP 2023'!I235*'2.1 OPEX TUUA'!$N$7,'2.2 OPEX LAP 2023'!I235*'2.1 OPEX TUUA'!$N$8)</f>
        <v>2.1303718609920397</v>
      </c>
      <c r="O234" s="3">
        <f>+IF(F234="Pasajero",'2.2 OPEX LAP 2023'!J235*'2.1 OPEX TUUA'!$O$7,'2.2 OPEX LAP 2023'!J235*'2.1 OPEX TUUA'!$O$8)</f>
        <v>2.1033493934167047</v>
      </c>
      <c r="P234" s="3">
        <f>+IF(F234="Pasajero",'2.2 OPEX LAP 2023'!K235*'2.1 OPEX TUUA'!$P$7,'2.2 OPEX LAP 2023'!K235*'2.1 OPEX TUUA'!$P$8)</f>
        <v>2.0931626000821701</v>
      </c>
      <c r="Q234" s="3">
        <f>+IF(F234="Pasajero",'2.2 OPEX LAP 2023'!L235*'2.1 OPEX TUUA'!$Q$7,'2.2 OPEX LAP 2023'!L235*'2.1 OPEX TUUA'!$Q$8)</f>
        <v>2.0826142242964814</v>
      </c>
      <c r="R234" s="3">
        <f>+IF(F234="Pasajero",'2.2 OPEX LAP 2023'!M235*'2.1 OPEX TUUA'!$R$7,'2.2 OPEX LAP 2023'!M235*'2.1 OPEX TUUA'!$R$8)</f>
        <v>2.0956191363756993</v>
      </c>
      <c r="S234" s="3">
        <f>+IF(F234="Pasajero",'2.2 OPEX LAP 2023'!N235*'2.1 OPEX TUUA'!$S$7,'2.2 OPEX LAP 2023'!N235*'2.1 OPEX TUUA'!$S$8)</f>
        <v>2.0991444848175931</v>
      </c>
      <c r="AA234" s="6"/>
      <c r="AB234" s="6"/>
      <c r="AC234" s="6"/>
      <c r="AD234" s="6"/>
      <c r="AE234" s="6"/>
      <c r="AF234" s="6"/>
    </row>
    <row r="235" spans="2:32" x14ac:dyDescent="0.25">
      <c r="B235" s="16">
        <v>6344000001</v>
      </c>
      <c r="C235" s="190" t="s">
        <v>176</v>
      </c>
      <c r="D235" s="190" t="s">
        <v>52</v>
      </c>
      <c r="E235" s="190" t="s">
        <v>83</v>
      </c>
      <c r="F235" s="162" t="s">
        <v>190</v>
      </c>
      <c r="G235" s="3">
        <f>+IF(F235="Pasajero",'2.2 OPEX LAP 2023'!I236*'2.1 OPEX TUUA'!$G$7,'2.2 OPEX LAP 2023'!I236*'2.1 OPEX TUUA'!$G$8)</f>
        <v>0</v>
      </c>
      <c r="H235" s="3">
        <f>+IF(F235="Pasajero",'2.2 OPEX LAP 2023'!J236*'2.1 OPEX TUUA'!$H$7,'2.2 OPEX LAP 2023'!J236*'2.1 OPEX TUUA'!$H$8)</f>
        <v>0</v>
      </c>
      <c r="I235" s="3">
        <f>+IF(F235="Pasajero",'2.2 OPEX LAP 2023'!K236*'2.1 OPEX TUUA'!$I$7,'2.2 OPEX LAP 2023'!K236*'2.1 OPEX TUUA'!$I$8)</f>
        <v>0</v>
      </c>
      <c r="J235" s="3">
        <f>+IF(F235="Pasajero",'2.2 OPEX LAP 2023'!L236*'2.1 OPEX TUUA'!$J$7,'2.2 OPEX LAP 2023'!L236*'2.1 OPEX TUUA'!$J$8)</f>
        <v>0</v>
      </c>
      <c r="K235" s="3">
        <f>+IF(F235="Pasajero",'2.2 OPEX LAP 2023'!M236*'2.1 OPEX TUUA'!$K$7,'2.2 OPEX LAP 2023'!M236*'2.1 OPEX TUUA'!$K$8)</f>
        <v>0</v>
      </c>
      <c r="L235" s="3">
        <f>+IF(F235="Pasajero",'2.2 OPEX LAP 2023'!N236*'2.1 OPEX TUUA'!$L$7,'2.2 OPEX LAP 2023'!N236*'2.1 OPEX TUUA'!$L$8)</f>
        <v>0</v>
      </c>
      <c r="M235" s="3"/>
      <c r="N235" s="3">
        <f>+IF(F235="Pasajero",'2.2 OPEX LAP 2023'!I236*'2.1 OPEX TUUA'!$N$7,'2.2 OPEX LAP 2023'!I236*'2.1 OPEX TUUA'!$N$8)</f>
        <v>0</v>
      </c>
      <c r="O235" s="3">
        <f>+IF(F235="Pasajero",'2.2 OPEX LAP 2023'!J236*'2.1 OPEX TUUA'!$O$7,'2.2 OPEX LAP 2023'!J236*'2.1 OPEX TUUA'!$O$8)</f>
        <v>0</v>
      </c>
      <c r="P235" s="3">
        <f>+IF(F235="Pasajero",'2.2 OPEX LAP 2023'!K236*'2.1 OPEX TUUA'!$P$7,'2.2 OPEX LAP 2023'!K236*'2.1 OPEX TUUA'!$P$8)</f>
        <v>0</v>
      </c>
      <c r="Q235" s="3">
        <f>+IF(F235="Pasajero",'2.2 OPEX LAP 2023'!L236*'2.1 OPEX TUUA'!$Q$7,'2.2 OPEX LAP 2023'!L236*'2.1 OPEX TUUA'!$Q$8)</f>
        <v>0</v>
      </c>
      <c r="R235" s="3">
        <f>+IF(F235="Pasajero",'2.2 OPEX LAP 2023'!M236*'2.1 OPEX TUUA'!$R$7,'2.2 OPEX LAP 2023'!M236*'2.1 OPEX TUUA'!$R$8)</f>
        <v>0</v>
      </c>
      <c r="S235" s="3">
        <f>+IF(F235="Pasajero",'2.2 OPEX LAP 2023'!N236*'2.1 OPEX TUUA'!$S$7,'2.2 OPEX LAP 2023'!N236*'2.1 OPEX TUUA'!$S$8)</f>
        <v>0</v>
      </c>
      <c r="AA235" s="6"/>
      <c r="AB235" s="6"/>
      <c r="AC235" s="6"/>
      <c r="AD235" s="6"/>
      <c r="AE235" s="6"/>
      <c r="AF235" s="6"/>
    </row>
    <row r="236" spans="2:32" x14ac:dyDescent="0.25">
      <c r="B236" s="16">
        <v>6344000002</v>
      </c>
      <c r="C236" s="190" t="s">
        <v>176</v>
      </c>
      <c r="D236" s="190" t="s">
        <v>52</v>
      </c>
      <c r="E236" s="190" t="s">
        <v>84</v>
      </c>
      <c r="F236" s="162" t="s">
        <v>190</v>
      </c>
      <c r="G236" s="3">
        <f>+IF(F236="Pasajero",'2.2 OPEX LAP 2023'!I237*'2.1 OPEX TUUA'!$G$7,'2.2 OPEX LAP 2023'!I237*'2.1 OPEX TUUA'!$G$8)</f>
        <v>308.93587518505865</v>
      </c>
      <c r="H236" s="3">
        <f>+IF(F236="Pasajero",'2.2 OPEX LAP 2023'!J237*'2.1 OPEX TUUA'!$H$7,'2.2 OPEX LAP 2023'!J237*'2.1 OPEX TUUA'!$H$8)</f>
        <v>363.23780866654687</v>
      </c>
      <c r="I236" s="3">
        <f>+IF(F236="Pasajero",'2.2 OPEX LAP 2023'!K237*'2.1 OPEX TUUA'!$I$7,'2.2 OPEX LAP 2023'!K237*'2.1 OPEX TUUA'!$I$8)</f>
        <v>408.90308003505123</v>
      </c>
      <c r="J236" s="3">
        <f>+IF(F236="Pasajero",'2.2 OPEX LAP 2023'!L237*'2.1 OPEX TUUA'!$J$7,'2.2 OPEX LAP 2023'!L237*'2.1 OPEX TUUA'!$J$8)</f>
        <v>433.88276415606998</v>
      </c>
      <c r="K236" s="3">
        <f>+IF(F236="Pasajero",'2.2 OPEX LAP 2023'!M237*'2.1 OPEX TUUA'!$K$7,'2.2 OPEX LAP 2023'!M237*'2.1 OPEX TUUA'!$K$8)</f>
        <v>452.08519958124617</v>
      </c>
      <c r="L236" s="3">
        <f>+IF(F236="Pasajero",'2.2 OPEX LAP 2023'!N237*'2.1 OPEX TUUA'!$L$7,'2.2 OPEX LAP 2023'!N237*'2.1 OPEX TUUA'!$L$8)</f>
        <v>472.37934356359779</v>
      </c>
      <c r="M236" s="3"/>
      <c r="N236" s="3">
        <f>+IF(F236="Pasajero",'2.2 OPEX LAP 2023'!I237*'2.1 OPEX TUUA'!$N$7,'2.2 OPEX LAP 2023'!I237*'2.1 OPEX TUUA'!$N$8)</f>
        <v>152.3724947306078</v>
      </c>
      <c r="O236" s="3">
        <f>+IF(F236="Pasajero",'2.2 OPEX LAP 2023'!J237*'2.1 OPEX TUUA'!$O$7,'2.2 OPEX LAP 2023'!J237*'2.1 OPEX TUUA'!$O$8)</f>
        <v>150.43974257891847</v>
      </c>
      <c r="P236" s="3">
        <f>+IF(F236="Pasajero",'2.2 OPEX LAP 2023'!K237*'2.1 OPEX TUUA'!$P$7,'2.2 OPEX LAP 2023'!K237*'2.1 OPEX TUUA'!$P$8)</f>
        <v>149.71114343521529</v>
      </c>
      <c r="Q236" s="3">
        <f>+IF(F236="Pasajero",'2.2 OPEX LAP 2023'!L237*'2.1 OPEX TUUA'!$Q$7,'2.2 OPEX LAP 2023'!L237*'2.1 OPEX TUUA'!$Q$8)</f>
        <v>148.95668250599854</v>
      </c>
      <c r="R236" s="3">
        <f>+IF(F236="Pasajero",'2.2 OPEX LAP 2023'!M237*'2.1 OPEX TUUA'!$R$7,'2.2 OPEX LAP 2023'!M237*'2.1 OPEX TUUA'!$R$8)</f>
        <v>149.88684448079098</v>
      </c>
      <c r="S236" s="3">
        <f>+IF(F236="Pasajero",'2.2 OPEX LAP 2023'!N237*'2.1 OPEX TUUA'!$S$7,'2.2 OPEX LAP 2023'!N237*'2.1 OPEX TUUA'!$S$8)</f>
        <v>150.13899113496052</v>
      </c>
      <c r="AA236" s="6"/>
      <c r="AB236" s="6"/>
      <c r="AC236" s="6"/>
      <c r="AD236" s="6"/>
      <c r="AE236" s="6"/>
      <c r="AF236" s="6"/>
    </row>
    <row r="237" spans="2:32" x14ac:dyDescent="0.25">
      <c r="B237" s="16">
        <v>6344000003</v>
      </c>
      <c r="C237" s="190" t="s">
        <v>176</v>
      </c>
      <c r="D237" s="190" t="s">
        <v>52</v>
      </c>
      <c r="E237" s="190" t="s">
        <v>85</v>
      </c>
      <c r="F237" s="162" t="s">
        <v>190</v>
      </c>
      <c r="G237" s="3">
        <f>+IF(F237="Pasajero",'2.2 OPEX LAP 2023'!I238*'2.1 OPEX TUUA'!$G$7,'2.2 OPEX LAP 2023'!I238*'2.1 OPEX TUUA'!$G$8)</f>
        <v>827.44592234173933</v>
      </c>
      <c r="H237" s="3">
        <f>+IF(F237="Pasajero",'2.2 OPEX LAP 2023'!J238*'2.1 OPEX TUUA'!$H$7,'2.2 OPEX LAP 2023'!J238*'2.1 OPEX TUUA'!$H$8)</f>
        <v>972.88682786174309</v>
      </c>
      <c r="I237" s="3">
        <f>+IF(F237="Pasajero",'2.2 OPEX LAP 2023'!K238*'2.1 OPEX TUUA'!$I$7,'2.2 OPEX LAP 2023'!K238*'2.1 OPEX TUUA'!$I$8)</f>
        <v>1095.1955191520105</v>
      </c>
      <c r="J237" s="3">
        <f>+IF(F237="Pasajero",'2.2 OPEX LAP 2023'!L238*'2.1 OPEX TUUA'!$J$7,'2.2 OPEX LAP 2023'!L238*'2.1 OPEX TUUA'!$J$8)</f>
        <v>1162.1004642476241</v>
      </c>
      <c r="K237" s="3">
        <f>+IF(F237="Pasajero",'2.2 OPEX LAP 2023'!M238*'2.1 OPEX TUUA'!$K$7,'2.2 OPEX LAP 2023'!M238*'2.1 OPEX TUUA'!$K$8)</f>
        <v>1210.853400306697</v>
      </c>
      <c r="L237" s="3">
        <f>+IF(F237="Pasajero",'2.2 OPEX LAP 2023'!N238*'2.1 OPEX TUUA'!$L$7,'2.2 OPEX LAP 2023'!N238*'2.1 OPEX TUUA'!$L$8)</f>
        <v>1265.2087149024978</v>
      </c>
      <c r="M237" s="3"/>
      <c r="N237" s="3">
        <f>+IF(F237="Pasajero",'2.2 OPEX LAP 2023'!I238*'2.1 OPEX TUUA'!$N$7,'2.2 OPEX LAP 2023'!I238*'2.1 OPEX TUUA'!$N$8)</f>
        <v>408.1105807681131</v>
      </c>
      <c r="O237" s="3">
        <f>+IF(F237="Pasajero",'2.2 OPEX LAP 2023'!J238*'2.1 OPEX TUUA'!$O$7,'2.2 OPEX LAP 2023'!J238*'2.1 OPEX TUUA'!$O$8)</f>
        <v>402.93394698981018</v>
      </c>
      <c r="P237" s="3">
        <f>+IF(F237="Pasajero",'2.2 OPEX LAP 2023'!K238*'2.1 OPEX TUUA'!$P$7,'2.2 OPEX LAP 2023'!K238*'2.1 OPEX TUUA'!$P$8)</f>
        <v>400.98248573553622</v>
      </c>
      <c r="Q237" s="3">
        <f>+IF(F237="Pasajero",'2.2 OPEX LAP 2023'!L238*'2.1 OPEX TUUA'!$Q$7,'2.2 OPEX LAP 2023'!L238*'2.1 OPEX TUUA'!$Q$8)</f>
        <v>398.96175693842702</v>
      </c>
      <c r="R237" s="3">
        <f>+IF(F237="Pasajero",'2.2 OPEX LAP 2023'!M238*'2.1 OPEX TUUA'!$R$7,'2.2 OPEX LAP 2023'!M238*'2.1 OPEX TUUA'!$R$8)</f>
        <v>401.45307890839354</v>
      </c>
      <c r="S237" s="3">
        <f>+IF(F237="Pasajero",'2.2 OPEX LAP 2023'!N238*'2.1 OPEX TUUA'!$S$7,'2.2 OPEX LAP 2023'!N238*'2.1 OPEX TUUA'!$S$8)</f>
        <v>402.12842203809544</v>
      </c>
      <c r="AA237" s="6"/>
      <c r="AB237" s="6"/>
      <c r="AC237" s="6"/>
      <c r="AD237" s="6"/>
      <c r="AE237" s="6"/>
      <c r="AF237" s="6"/>
    </row>
    <row r="238" spans="2:32" x14ac:dyDescent="0.25">
      <c r="B238" s="16">
        <v>6345000001</v>
      </c>
      <c r="C238" s="190" t="s">
        <v>176</v>
      </c>
      <c r="D238" s="190" t="s">
        <v>52</v>
      </c>
      <c r="E238" s="190" t="s">
        <v>86</v>
      </c>
      <c r="F238" s="162" t="s">
        <v>190</v>
      </c>
      <c r="G238" s="3">
        <f>+IF(F238="Pasajero",'2.2 OPEX LAP 2023'!I239*'2.1 OPEX TUUA'!$G$7,'2.2 OPEX LAP 2023'!I239*'2.1 OPEX TUUA'!$G$8)</f>
        <v>189.4520898617869</v>
      </c>
      <c r="H238" s="3">
        <f>+IF(F238="Pasajero",'2.2 OPEX LAP 2023'!J239*'2.1 OPEX TUUA'!$H$7,'2.2 OPEX LAP 2023'!J239*'2.1 OPEX TUUA'!$H$8)</f>
        <v>222.75225215417589</v>
      </c>
      <c r="I238" s="3">
        <f>+IF(F238="Pasajero",'2.2 OPEX LAP 2023'!K239*'2.1 OPEX TUUA'!$I$7,'2.2 OPEX LAP 2023'!K239*'2.1 OPEX TUUA'!$I$8)</f>
        <v>250.75606067815011</v>
      </c>
      <c r="J238" s="3">
        <f>+IF(F238="Pasajero",'2.2 OPEX LAP 2023'!L239*'2.1 OPEX TUUA'!$J$7,'2.2 OPEX LAP 2023'!L239*'2.1 OPEX TUUA'!$J$8)</f>
        <v>266.07462268710901</v>
      </c>
      <c r="K238" s="3">
        <f>+IF(F238="Pasajero",'2.2 OPEX LAP 2023'!M239*'2.1 OPEX TUUA'!$K$7,'2.2 OPEX LAP 2023'!M239*'2.1 OPEX TUUA'!$K$8)</f>
        <v>277.23709913892327</v>
      </c>
      <c r="L238" s="3">
        <f>+IF(F238="Pasajero",'2.2 OPEX LAP 2023'!N239*'2.1 OPEX TUUA'!$L$7,'2.2 OPEX LAP 2023'!N239*'2.1 OPEX TUUA'!$L$8)</f>
        <v>289.68229666449207</v>
      </c>
      <c r="M238" s="3"/>
      <c r="N238" s="3">
        <f>+IF(F238="Pasajero",'2.2 OPEX LAP 2023'!I239*'2.1 OPEX TUUA'!$N$7,'2.2 OPEX LAP 2023'!I239*'2.1 OPEX TUUA'!$N$8)</f>
        <v>93.441033829029053</v>
      </c>
      <c r="O238" s="3">
        <f>+IF(F238="Pasajero",'2.2 OPEX LAP 2023'!J239*'2.1 OPEX TUUA'!$O$7,'2.2 OPEX LAP 2023'!J239*'2.1 OPEX TUUA'!$O$8)</f>
        <v>92.255791311943355</v>
      </c>
      <c r="P238" s="3">
        <f>+IF(F238="Pasajero",'2.2 OPEX LAP 2023'!K239*'2.1 OPEX TUUA'!$P$7,'2.2 OPEX LAP 2023'!K239*'2.1 OPEX TUUA'!$P$8)</f>
        <v>91.80898457457954</v>
      </c>
      <c r="Q238" s="3">
        <f>+IF(F238="Pasajero",'2.2 OPEX LAP 2023'!L239*'2.1 OPEX TUUA'!$Q$7,'2.2 OPEX LAP 2023'!L239*'2.1 OPEX TUUA'!$Q$8)</f>
        <v>91.346318334624215</v>
      </c>
      <c r="R238" s="3">
        <f>+IF(F238="Pasajero",'2.2 OPEX LAP 2023'!M239*'2.1 OPEX TUUA'!$R$7,'2.2 OPEX LAP 2023'!M239*'2.1 OPEX TUUA'!$R$8)</f>
        <v>91.916731628091142</v>
      </c>
      <c r="S238" s="3">
        <f>+IF(F238="Pasajero",'2.2 OPEX LAP 2023'!N239*'2.1 OPEX TUUA'!$S$7,'2.2 OPEX LAP 2023'!N239*'2.1 OPEX TUUA'!$S$8)</f>
        <v>92.071358249410068</v>
      </c>
      <c r="AA238" s="6"/>
      <c r="AB238" s="6"/>
      <c r="AC238" s="6"/>
      <c r="AD238" s="6"/>
      <c r="AE238" s="6"/>
      <c r="AF238" s="6"/>
    </row>
    <row r="239" spans="2:32" x14ac:dyDescent="0.25">
      <c r="B239" s="16">
        <v>6346000001</v>
      </c>
      <c r="C239" s="190" t="s">
        <v>176</v>
      </c>
      <c r="D239" s="190" t="s">
        <v>52</v>
      </c>
      <c r="E239" s="190" t="s">
        <v>87</v>
      </c>
      <c r="F239" s="162" t="s">
        <v>190</v>
      </c>
      <c r="G239" s="3">
        <f>+IF(F239="Pasajero",'2.2 OPEX LAP 2023'!I240*'2.1 OPEX TUUA'!$G$7,'2.2 OPEX LAP 2023'!I240*'2.1 OPEX TUUA'!$G$8)</f>
        <v>0</v>
      </c>
      <c r="H239" s="3">
        <f>+IF(F239="Pasajero",'2.2 OPEX LAP 2023'!J240*'2.1 OPEX TUUA'!$H$7,'2.2 OPEX LAP 2023'!J240*'2.1 OPEX TUUA'!$H$8)</f>
        <v>0</v>
      </c>
      <c r="I239" s="3">
        <f>+IF(F239="Pasajero",'2.2 OPEX LAP 2023'!K240*'2.1 OPEX TUUA'!$I$7,'2.2 OPEX LAP 2023'!K240*'2.1 OPEX TUUA'!$I$8)</f>
        <v>0</v>
      </c>
      <c r="J239" s="3">
        <f>+IF(F239="Pasajero",'2.2 OPEX LAP 2023'!L240*'2.1 OPEX TUUA'!$J$7,'2.2 OPEX LAP 2023'!L240*'2.1 OPEX TUUA'!$J$8)</f>
        <v>0</v>
      </c>
      <c r="K239" s="3">
        <f>+IF(F239="Pasajero",'2.2 OPEX LAP 2023'!M240*'2.1 OPEX TUUA'!$K$7,'2.2 OPEX LAP 2023'!M240*'2.1 OPEX TUUA'!$K$8)</f>
        <v>0</v>
      </c>
      <c r="L239" s="3">
        <f>+IF(F239="Pasajero",'2.2 OPEX LAP 2023'!N240*'2.1 OPEX TUUA'!$L$7,'2.2 OPEX LAP 2023'!N240*'2.1 OPEX TUUA'!$L$8)</f>
        <v>0</v>
      </c>
      <c r="M239" s="3"/>
      <c r="N239" s="3">
        <f>+IF(F239="Pasajero",'2.2 OPEX LAP 2023'!I240*'2.1 OPEX TUUA'!$N$7,'2.2 OPEX LAP 2023'!I240*'2.1 OPEX TUUA'!$N$8)</f>
        <v>0</v>
      </c>
      <c r="O239" s="3">
        <f>+IF(F239="Pasajero",'2.2 OPEX LAP 2023'!J240*'2.1 OPEX TUUA'!$O$7,'2.2 OPEX LAP 2023'!J240*'2.1 OPEX TUUA'!$O$8)</f>
        <v>0</v>
      </c>
      <c r="P239" s="3">
        <f>+IF(F239="Pasajero",'2.2 OPEX LAP 2023'!K240*'2.1 OPEX TUUA'!$P$7,'2.2 OPEX LAP 2023'!K240*'2.1 OPEX TUUA'!$P$8)</f>
        <v>0</v>
      </c>
      <c r="Q239" s="3">
        <f>+IF(F239="Pasajero",'2.2 OPEX LAP 2023'!L240*'2.1 OPEX TUUA'!$Q$7,'2.2 OPEX LAP 2023'!L240*'2.1 OPEX TUUA'!$Q$8)</f>
        <v>0</v>
      </c>
      <c r="R239" s="3">
        <f>+IF(F239="Pasajero",'2.2 OPEX LAP 2023'!M240*'2.1 OPEX TUUA'!$R$7,'2.2 OPEX LAP 2023'!M240*'2.1 OPEX TUUA'!$R$8)</f>
        <v>0</v>
      </c>
      <c r="S239" s="3">
        <f>+IF(F239="Pasajero",'2.2 OPEX LAP 2023'!N240*'2.1 OPEX TUUA'!$S$7,'2.2 OPEX LAP 2023'!N240*'2.1 OPEX TUUA'!$S$8)</f>
        <v>0</v>
      </c>
      <c r="AA239" s="6"/>
      <c r="AB239" s="6"/>
      <c r="AC239" s="6"/>
      <c r="AD239" s="6"/>
      <c r="AE239" s="6"/>
      <c r="AF239" s="6"/>
    </row>
    <row r="240" spans="2:32" x14ac:dyDescent="0.25">
      <c r="B240" s="16">
        <v>6347000001</v>
      </c>
      <c r="C240" s="190" t="s">
        <v>176</v>
      </c>
      <c r="D240" s="190" t="s">
        <v>52</v>
      </c>
      <c r="E240" s="190" t="s">
        <v>88</v>
      </c>
      <c r="F240" s="162" t="s">
        <v>190</v>
      </c>
      <c r="G240" s="3">
        <f>+IF(F240="Pasajero",'2.2 OPEX LAP 2023'!I241*'2.1 OPEX TUUA'!$G$7,'2.2 OPEX LAP 2023'!I241*'2.1 OPEX TUUA'!$G$8)</f>
        <v>0</v>
      </c>
      <c r="H240" s="3">
        <f>+IF(F240="Pasajero",'2.2 OPEX LAP 2023'!J241*'2.1 OPEX TUUA'!$H$7,'2.2 OPEX LAP 2023'!J241*'2.1 OPEX TUUA'!$H$8)</f>
        <v>0</v>
      </c>
      <c r="I240" s="3">
        <f>+IF(F240="Pasajero",'2.2 OPEX LAP 2023'!K241*'2.1 OPEX TUUA'!$I$7,'2.2 OPEX LAP 2023'!K241*'2.1 OPEX TUUA'!$I$8)</f>
        <v>0</v>
      </c>
      <c r="J240" s="3">
        <f>+IF(F240="Pasajero",'2.2 OPEX LAP 2023'!L241*'2.1 OPEX TUUA'!$J$7,'2.2 OPEX LAP 2023'!L241*'2.1 OPEX TUUA'!$J$8)</f>
        <v>0</v>
      </c>
      <c r="K240" s="3">
        <f>+IF(F240="Pasajero",'2.2 OPEX LAP 2023'!M241*'2.1 OPEX TUUA'!$K$7,'2.2 OPEX LAP 2023'!M241*'2.1 OPEX TUUA'!$K$8)</f>
        <v>0</v>
      </c>
      <c r="L240" s="3">
        <f>+IF(F240="Pasajero",'2.2 OPEX LAP 2023'!N241*'2.1 OPEX TUUA'!$L$7,'2.2 OPEX LAP 2023'!N241*'2.1 OPEX TUUA'!$L$8)</f>
        <v>0</v>
      </c>
      <c r="M240" s="3"/>
      <c r="N240" s="3">
        <f>+IF(F240="Pasajero",'2.2 OPEX LAP 2023'!I241*'2.1 OPEX TUUA'!$N$7,'2.2 OPEX LAP 2023'!I241*'2.1 OPEX TUUA'!$N$8)</f>
        <v>0</v>
      </c>
      <c r="O240" s="3">
        <f>+IF(F240="Pasajero",'2.2 OPEX LAP 2023'!J241*'2.1 OPEX TUUA'!$O$7,'2.2 OPEX LAP 2023'!J241*'2.1 OPEX TUUA'!$O$8)</f>
        <v>0</v>
      </c>
      <c r="P240" s="3">
        <f>+IF(F240="Pasajero",'2.2 OPEX LAP 2023'!K241*'2.1 OPEX TUUA'!$P$7,'2.2 OPEX LAP 2023'!K241*'2.1 OPEX TUUA'!$P$8)</f>
        <v>0</v>
      </c>
      <c r="Q240" s="3">
        <f>+IF(F240="Pasajero",'2.2 OPEX LAP 2023'!L241*'2.1 OPEX TUUA'!$Q$7,'2.2 OPEX LAP 2023'!L241*'2.1 OPEX TUUA'!$Q$8)</f>
        <v>0</v>
      </c>
      <c r="R240" s="3">
        <f>+IF(F240="Pasajero",'2.2 OPEX LAP 2023'!M241*'2.1 OPEX TUUA'!$R$7,'2.2 OPEX LAP 2023'!M241*'2.1 OPEX TUUA'!$R$8)</f>
        <v>0</v>
      </c>
      <c r="S240" s="3">
        <f>+IF(F240="Pasajero",'2.2 OPEX LAP 2023'!N241*'2.1 OPEX TUUA'!$S$7,'2.2 OPEX LAP 2023'!N241*'2.1 OPEX TUUA'!$S$8)</f>
        <v>0</v>
      </c>
      <c r="AA240" s="6"/>
      <c r="AB240" s="6"/>
      <c r="AC240" s="6"/>
      <c r="AD240" s="6"/>
      <c r="AE240" s="6"/>
      <c r="AF240" s="6"/>
    </row>
    <row r="241" spans="2:32" x14ac:dyDescent="0.25">
      <c r="B241" s="16">
        <v>6348000001</v>
      </c>
      <c r="C241" s="190" t="s">
        <v>176</v>
      </c>
      <c r="D241" s="190" t="s">
        <v>52</v>
      </c>
      <c r="E241" s="190" t="s">
        <v>89</v>
      </c>
      <c r="F241" s="162" t="s">
        <v>190</v>
      </c>
      <c r="G241" s="3">
        <f>+IF(F241="Pasajero",'2.2 OPEX LAP 2023'!I242*'2.1 OPEX TUUA'!$G$7,'2.2 OPEX LAP 2023'!I242*'2.1 OPEX TUUA'!$G$8)</f>
        <v>149.53782664926155</v>
      </c>
      <c r="H241" s="3">
        <f>+IF(F241="Pasajero",'2.2 OPEX LAP 2023'!J242*'2.1 OPEX TUUA'!$H$7,'2.2 OPEX LAP 2023'!J242*'2.1 OPEX TUUA'!$H$8)</f>
        <v>175.82222340574174</v>
      </c>
      <c r="I241" s="3">
        <f>+IF(F241="Pasajero",'2.2 OPEX LAP 2023'!K242*'2.1 OPEX TUUA'!$I$7,'2.2 OPEX LAP 2023'!K242*'2.1 OPEX TUUA'!$I$8)</f>
        <v>197.92611609772635</v>
      </c>
      <c r="J241" s="3">
        <f>+IF(F241="Pasajero",'2.2 OPEX LAP 2023'!L242*'2.1 OPEX TUUA'!$J$7,'2.2 OPEX LAP 2023'!L242*'2.1 OPEX TUUA'!$J$8)</f>
        <v>210.01732328305121</v>
      </c>
      <c r="K241" s="3">
        <f>+IF(F241="Pasajero",'2.2 OPEX LAP 2023'!M242*'2.1 OPEX TUUA'!$K$7,'2.2 OPEX LAP 2023'!M242*'2.1 OPEX TUUA'!$K$8)</f>
        <v>218.8280599175514</v>
      </c>
      <c r="L241" s="3">
        <f>+IF(F241="Pasajero",'2.2 OPEX LAP 2023'!N242*'2.1 OPEX TUUA'!$L$7,'2.2 OPEX LAP 2023'!N242*'2.1 OPEX TUUA'!$L$8)</f>
        <v>228.65127058549396</v>
      </c>
      <c r="M241" s="3"/>
      <c r="N241" s="3">
        <f>+IF(F241="Pasajero",'2.2 OPEX LAP 2023'!I242*'2.1 OPEX TUUA'!$N$7,'2.2 OPEX LAP 2023'!I242*'2.1 OPEX TUUA'!$N$8)</f>
        <v>73.754631732207272</v>
      </c>
      <c r="O241" s="3">
        <f>+IF(F241="Pasajero",'2.2 OPEX LAP 2023'!J242*'2.1 OPEX TUUA'!$O$7,'2.2 OPEX LAP 2023'!J242*'2.1 OPEX TUUA'!$O$8)</f>
        <v>72.819099217434811</v>
      </c>
      <c r="P241" s="3">
        <f>+IF(F241="Pasajero",'2.2 OPEX LAP 2023'!K242*'2.1 OPEX TUUA'!$P$7,'2.2 OPEX LAP 2023'!K242*'2.1 OPEX TUUA'!$P$8)</f>
        <v>72.466426895443661</v>
      </c>
      <c r="Q241" s="3">
        <f>+IF(F241="Pasajero",'2.2 OPEX LAP 2023'!L242*'2.1 OPEX TUUA'!$Q$7,'2.2 OPEX LAP 2023'!L242*'2.1 OPEX TUUA'!$Q$8)</f>
        <v>72.101236392465395</v>
      </c>
      <c r="R241" s="3">
        <f>+IF(F241="Pasajero",'2.2 OPEX LAP 2023'!M242*'2.1 OPEX TUUA'!$R$7,'2.2 OPEX LAP 2023'!M242*'2.1 OPEX TUUA'!$R$8)</f>
        <v>72.551473517107937</v>
      </c>
      <c r="S241" s="3">
        <f>+IF(F241="Pasajero",'2.2 OPEX LAP 2023'!N242*'2.1 OPEX TUUA'!$S$7,'2.2 OPEX LAP 2023'!N242*'2.1 OPEX TUUA'!$S$8)</f>
        <v>72.673522996271885</v>
      </c>
      <c r="AA241" s="6"/>
      <c r="AB241" s="6"/>
      <c r="AC241" s="6"/>
      <c r="AD241" s="6"/>
      <c r="AE241" s="6"/>
      <c r="AF241" s="6"/>
    </row>
    <row r="242" spans="2:32" x14ac:dyDescent="0.25">
      <c r="B242" s="16">
        <v>6354000001</v>
      </c>
      <c r="C242" s="190" t="s">
        <v>176</v>
      </c>
      <c r="D242" s="190" t="s">
        <v>40</v>
      </c>
      <c r="E242" s="190" t="s">
        <v>90</v>
      </c>
      <c r="F242" s="162" t="s">
        <v>190</v>
      </c>
      <c r="G242" s="3">
        <f>+IF(F242="Pasajero",'2.2 OPEX LAP 2023'!I243*'2.1 OPEX TUUA'!$G$7,'2.2 OPEX LAP 2023'!I243*'2.1 OPEX TUUA'!$G$8)</f>
        <v>0</v>
      </c>
      <c r="H242" s="3">
        <f>+IF(F242="Pasajero",'2.2 OPEX LAP 2023'!J243*'2.1 OPEX TUUA'!$H$7,'2.2 OPEX LAP 2023'!J243*'2.1 OPEX TUUA'!$H$8)</f>
        <v>0</v>
      </c>
      <c r="I242" s="3">
        <f>+IF(F242="Pasajero",'2.2 OPEX LAP 2023'!K243*'2.1 OPEX TUUA'!$I$7,'2.2 OPEX LAP 2023'!K243*'2.1 OPEX TUUA'!$I$8)</f>
        <v>0</v>
      </c>
      <c r="J242" s="3">
        <f>+IF(F242="Pasajero",'2.2 OPEX LAP 2023'!L243*'2.1 OPEX TUUA'!$J$7,'2.2 OPEX LAP 2023'!L243*'2.1 OPEX TUUA'!$J$8)</f>
        <v>0</v>
      </c>
      <c r="K242" s="3">
        <f>+IF(F242="Pasajero",'2.2 OPEX LAP 2023'!M243*'2.1 OPEX TUUA'!$K$7,'2.2 OPEX LAP 2023'!M243*'2.1 OPEX TUUA'!$K$8)</f>
        <v>0</v>
      </c>
      <c r="L242" s="3">
        <f>+IF(F242="Pasajero",'2.2 OPEX LAP 2023'!N243*'2.1 OPEX TUUA'!$L$7,'2.2 OPEX LAP 2023'!N243*'2.1 OPEX TUUA'!$L$8)</f>
        <v>0</v>
      </c>
      <c r="M242" s="3"/>
      <c r="N242" s="3">
        <f>+IF(F242="Pasajero",'2.2 OPEX LAP 2023'!I243*'2.1 OPEX TUUA'!$N$7,'2.2 OPEX LAP 2023'!I243*'2.1 OPEX TUUA'!$N$8)</f>
        <v>0</v>
      </c>
      <c r="O242" s="3">
        <f>+IF(F242="Pasajero",'2.2 OPEX LAP 2023'!J243*'2.1 OPEX TUUA'!$O$7,'2.2 OPEX LAP 2023'!J243*'2.1 OPEX TUUA'!$O$8)</f>
        <v>0</v>
      </c>
      <c r="P242" s="3">
        <f>+IF(F242="Pasajero",'2.2 OPEX LAP 2023'!K243*'2.1 OPEX TUUA'!$P$7,'2.2 OPEX LAP 2023'!K243*'2.1 OPEX TUUA'!$P$8)</f>
        <v>0</v>
      </c>
      <c r="Q242" s="3">
        <f>+IF(F242="Pasajero",'2.2 OPEX LAP 2023'!L243*'2.1 OPEX TUUA'!$Q$7,'2.2 OPEX LAP 2023'!L243*'2.1 OPEX TUUA'!$Q$8)</f>
        <v>0</v>
      </c>
      <c r="R242" s="3">
        <f>+IF(F242="Pasajero",'2.2 OPEX LAP 2023'!M243*'2.1 OPEX TUUA'!$R$7,'2.2 OPEX LAP 2023'!M243*'2.1 OPEX TUUA'!$R$8)</f>
        <v>0</v>
      </c>
      <c r="S242" s="3">
        <f>+IF(F242="Pasajero",'2.2 OPEX LAP 2023'!N243*'2.1 OPEX TUUA'!$S$7,'2.2 OPEX LAP 2023'!N243*'2.1 OPEX TUUA'!$S$8)</f>
        <v>0</v>
      </c>
      <c r="AA242" s="6"/>
      <c r="AB242" s="6"/>
      <c r="AC242" s="6"/>
      <c r="AD242" s="6"/>
      <c r="AE242" s="6"/>
      <c r="AF242" s="6"/>
    </row>
    <row r="243" spans="2:32" x14ac:dyDescent="0.25">
      <c r="B243" s="16">
        <v>6356000001</v>
      </c>
      <c r="C243" s="190" t="s">
        <v>176</v>
      </c>
      <c r="D243" s="190" t="s">
        <v>40</v>
      </c>
      <c r="E243" s="190" t="s">
        <v>91</v>
      </c>
      <c r="F243" s="162" t="s">
        <v>190</v>
      </c>
      <c r="G243" s="3">
        <f>+IF(F243="Pasajero",'2.2 OPEX LAP 2023'!I244*'2.1 OPEX TUUA'!$G$7,'2.2 OPEX LAP 2023'!I244*'2.1 OPEX TUUA'!$G$8)</f>
        <v>0</v>
      </c>
      <c r="H243" s="3">
        <f>+IF(F243="Pasajero",'2.2 OPEX LAP 2023'!J244*'2.1 OPEX TUUA'!$H$7,'2.2 OPEX LAP 2023'!J244*'2.1 OPEX TUUA'!$H$8)</f>
        <v>0</v>
      </c>
      <c r="I243" s="3">
        <f>+IF(F243="Pasajero",'2.2 OPEX LAP 2023'!K244*'2.1 OPEX TUUA'!$I$7,'2.2 OPEX LAP 2023'!K244*'2.1 OPEX TUUA'!$I$8)</f>
        <v>0</v>
      </c>
      <c r="J243" s="3">
        <f>+IF(F243="Pasajero",'2.2 OPEX LAP 2023'!L244*'2.1 OPEX TUUA'!$J$7,'2.2 OPEX LAP 2023'!L244*'2.1 OPEX TUUA'!$J$8)</f>
        <v>0</v>
      </c>
      <c r="K243" s="3">
        <f>+IF(F243="Pasajero",'2.2 OPEX LAP 2023'!M244*'2.1 OPEX TUUA'!$K$7,'2.2 OPEX LAP 2023'!M244*'2.1 OPEX TUUA'!$K$8)</f>
        <v>0</v>
      </c>
      <c r="L243" s="3">
        <f>+IF(F243="Pasajero",'2.2 OPEX LAP 2023'!N244*'2.1 OPEX TUUA'!$L$7,'2.2 OPEX LAP 2023'!N244*'2.1 OPEX TUUA'!$L$8)</f>
        <v>0</v>
      </c>
      <c r="M243" s="3"/>
      <c r="N243" s="3">
        <f>+IF(F243="Pasajero",'2.2 OPEX LAP 2023'!I244*'2.1 OPEX TUUA'!$N$7,'2.2 OPEX LAP 2023'!I244*'2.1 OPEX TUUA'!$N$8)</f>
        <v>0</v>
      </c>
      <c r="O243" s="3">
        <f>+IF(F243="Pasajero",'2.2 OPEX LAP 2023'!J244*'2.1 OPEX TUUA'!$O$7,'2.2 OPEX LAP 2023'!J244*'2.1 OPEX TUUA'!$O$8)</f>
        <v>0</v>
      </c>
      <c r="P243" s="3">
        <f>+IF(F243="Pasajero",'2.2 OPEX LAP 2023'!K244*'2.1 OPEX TUUA'!$P$7,'2.2 OPEX LAP 2023'!K244*'2.1 OPEX TUUA'!$P$8)</f>
        <v>0</v>
      </c>
      <c r="Q243" s="3">
        <f>+IF(F243="Pasajero",'2.2 OPEX LAP 2023'!L244*'2.1 OPEX TUUA'!$Q$7,'2.2 OPEX LAP 2023'!L244*'2.1 OPEX TUUA'!$Q$8)</f>
        <v>0</v>
      </c>
      <c r="R243" s="3">
        <f>+IF(F243="Pasajero",'2.2 OPEX LAP 2023'!M244*'2.1 OPEX TUUA'!$R$7,'2.2 OPEX LAP 2023'!M244*'2.1 OPEX TUUA'!$R$8)</f>
        <v>0</v>
      </c>
      <c r="S243" s="3">
        <f>+IF(F243="Pasajero",'2.2 OPEX LAP 2023'!N244*'2.1 OPEX TUUA'!$S$7,'2.2 OPEX LAP 2023'!N244*'2.1 OPEX TUUA'!$S$8)</f>
        <v>0</v>
      </c>
      <c r="AA243" s="6"/>
      <c r="AB243" s="6"/>
      <c r="AC243" s="6"/>
      <c r="AD243" s="6"/>
      <c r="AE243" s="6"/>
      <c r="AF243" s="6"/>
    </row>
    <row r="244" spans="2:32" x14ac:dyDescent="0.25">
      <c r="B244" s="16">
        <v>6356000002</v>
      </c>
      <c r="C244" s="190" t="s">
        <v>176</v>
      </c>
      <c r="D244" s="190" t="s">
        <v>40</v>
      </c>
      <c r="E244" s="190" t="s">
        <v>92</v>
      </c>
      <c r="F244" s="162" t="s">
        <v>190</v>
      </c>
      <c r="G244" s="3">
        <f>+IF(F244="Pasajero",'2.2 OPEX LAP 2023'!I245*'2.1 OPEX TUUA'!$G$7,'2.2 OPEX LAP 2023'!I245*'2.1 OPEX TUUA'!$G$8)</f>
        <v>2597.6496983640268</v>
      </c>
      <c r="H244" s="3">
        <f>+IF(F244="Pasajero",'2.2 OPEX LAP 2023'!J245*'2.1 OPEX TUUA'!$H$7,'2.2 OPEX LAP 2023'!J245*'2.1 OPEX TUUA'!$H$8)</f>
        <v>3054.2408956287504</v>
      </c>
      <c r="I244" s="3">
        <f>+IF(F244="Pasajero",'2.2 OPEX LAP 2023'!K245*'2.1 OPEX TUUA'!$I$7,'2.2 OPEX LAP 2023'!K245*'2.1 OPEX TUUA'!$I$8)</f>
        <v>3438.2117708955016</v>
      </c>
      <c r="J244" s="3">
        <f>+IF(F244="Pasajero",'2.2 OPEX LAP 2023'!L245*'2.1 OPEX TUUA'!$J$7,'2.2 OPEX LAP 2023'!L245*'2.1 OPEX TUUA'!$J$8)</f>
        <v>3648.2504039397336</v>
      </c>
      <c r="K244" s="3">
        <f>+IF(F244="Pasajero",'2.2 OPEX LAP 2023'!M245*'2.1 OPEX TUUA'!$K$7,'2.2 OPEX LAP 2023'!M245*'2.1 OPEX TUUA'!$K$8)</f>
        <v>3801.3033663494111</v>
      </c>
      <c r="L244" s="3">
        <f>+IF(F244="Pasajero",'2.2 OPEX LAP 2023'!N245*'2.1 OPEX TUUA'!$L$7,'2.2 OPEX LAP 2023'!N245*'2.1 OPEX TUUA'!$L$8)</f>
        <v>3971.9442055291697</v>
      </c>
      <c r="M244" s="3"/>
      <c r="N244" s="3">
        <f>+IF(F244="Pasajero",'2.2 OPEX LAP 2023'!I245*'2.1 OPEX TUUA'!$N$7,'2.2 OPEX LAP 2023'!I245*'2.1 OPEX TUUA'!$N$8)</f>
        <v>1281.2055729650674</v>
      </c>
      <c r="O244" s="3">
        <f>+IF(F244="Pasajero",'2.2 OPEX LAP 2023'!J245*'2.1 OPEX TUUA'!$O$7,'2.2 OPEX LAP 2023'!J245*'2.1 OPEX TUUA'!$O$8)</f>
        <v>1264.9542617800496</v>
      </c>
      <c r="P244" s="3">
        <f>+IF(F244="Pasajero",'2.2 OPEX LAP 2023'!K245*'2.1 OPEX TUUA'!$P$7,'2.2 OPEX LAP 2023'!K245*'2.1 OPEX TUUA'!$P$8)</f>
        <v>1258.8279245758154</v>
      </c>
      <c r="Q244" s="3">
        <f>+IF(F244="Pasajero",'2.2 OPEX LAP 2023'!L245*'2.1 OPEX TUUA'!$Q$7,'2.2 OPEX LAP 2023'!L245*'2.1 OPEX TUUA'!$Q$8)</f>
        <v>1252.4841316963598</v>
      </c>
      <c r="R244" s="3">
        <f>+IF(F244="Pasajero",'2.2 OPEX LAP 2023'!M245*'2.1 OPEX TUUA'!$R$7,'2.2 OPEX LAP 2023'!M245*'2.1 OPEX TUUA'!$R$8)</f>
        <v>1260.3052854286739</v>
      </c>
      <c r="S244" s="3">
        <f>+IF(F244="Pasajero",'2.2 OPEX LAP 2023'!N245*'2.1 OPEX TUUA'!$S$7,'2.2 OPEX LAP 2023'!N245*'2.1 OPEX TUUA'!$S$8)</f>
        <v>1262.4254298753315</v>
      </c>
      <c r="AA244" s="6"/>
      <c r="AB244" s="6"/>
      <c r="AC244" s="6"/>
      <c r="AD244" s="6"/>
      <c r="AE244" s="6"/>
      <c r="AF244" s="6"/>
    </row>
    <row r="245" spans="2:32" x14ac:dyDescent="0.25">
      <c r="B245" s="16">
        <v>6357000001</v>
      </c>
      <c r="C245" s="190" t="s">
        <v>176</v>
      </c>
      <c r="D245" s="190" t="s">
        <v>40</v>
      </c>
      <c r="E245" s="190" t="s">
        <v>93</v>
      </c>
      <c r="F245" s="162" t="s">
        <v>190</v>
      </c>
      <c r="G245" s="3">
        <f>+IF(F245="Pasajero",'2.2 OPEX LAP 2023'!I246*'2.1 OPEX TUUA'!$G$7,'2.2 OPEX LAP 2023'!I246*'2.1 OPEX TUUA'!$G$8)</f>
        <v>0</v>
      </c>
      <c r="H245" s="3">
        <f>+IF(F245="Pasajero",'2.2 OPEX LAP 2023'!J246*'2.1 OPEX TUUA'!$H$7,'2.2 OPEX LAP 2023'!J246*'2.1 OPEX TUUA'!$H$8)</f>
        <v>0</v>
      </c>
      <c r="I245" s="3">
        <f>+IF(F245="Pasajero",'2.2 OPEX LAP 2023'!K246*'2.1 OPEX TUUA'!$I$7,'2.2 OPEX LAP 2023'!K246*'2.1 OPEX TUUA'!$I$8)</f>
        <v>0</v>
      </c>
      <c r="J245" s="3">
        <f>+IF(F245="Pasajero",'2.2 OPEX LAP 2023'!L246*'2.1 OPEX TUUA'!$J$7,'2.2 OPEX LAP 2023'!L246*'2.1 OPEX TUUA'!$J$8)</f>
        <v>0</v>
      </c>
      <c r="K245" s="3">
        <f>+IF(F245="Pasajero",'2.2 OPEX LAP 2023'!M246*'2.1 OPEX TUUA'!$K$7,'2.2 OPEX LAP 2023'!M246*'2.1 OPEX TUUA'!$K$8)</f>
        <v>0</v>
      </c>
      <c r="L245" s="3">
        <f>+IF(F245="Pasajero",'2.2 OPEX LAP 2023'!N246*'2.1 OPEX TUUA'!$L$7,'2.2 OPEX LAP 2023'!N246*'2.1 OPEX TUUA'!$L$8)</f>
        <v>0</v>
      </c>
      <c r="M245" s="3"/>
      <c r="N245" s="3">
        <f>+IF(F245="Pasajero",'2.2 OPEX LAP 2023'!I246*'2.1 OPEX TUUA'!$N$7,'2.2 OPEX LAP 2023'!I246*'2.1 OPEX TUUA'!$N$8)</f>
        <v>0</v>
      </c>
      <c r="O245" s="3">
        <f>+IF(F245="Pasajero",'2.2 OPEX LAP 2023'!J246*'2.1 OPEX TUUA'!$O$7,'2.2 OPEX LAP 2023'!J246*'2.1 OPEX TUUA'!$O$8)</f>
        <v>0</v>
      </c>
      <c r="P245" s="3">
        <f>+IF(F245="Pasajero",'2.2 OPEX LAP 2023'!K246*'2.1 OPEX TUUA'!$P$7,'2.2 OPEX LAP 2023'!K246*'2.1 OPEX TUUA'!$P$8)</f>
        <v>0</v>
      </c>
      <c r="Q245" s="3">
        <f>+IF(F245="Pasajero",'2.2 OPEX LAP 2023'!L246*'2.1 OPEX TUUA'!$Q$7,'2.2 OPEX LAP 2023'!L246*'2.1 OPEX TUUA'!$Q$8)</f>
        <v>0</v>
      </c>
      <c r="R245" s="3">
        <f>+IF(F245="Pasajero",'2.2 OPEX LAP 2023'!M246*'2.1 OPEX TUUA'!$R$7,'2.2 OPEX LAP 2023'!M246*'2.1 OPEX TUUA'!$R$8)</f>
        <v>0</v>
      </c>
      <c r="S245" s="3">
        <f>+IF(F245="Pasajero",'2.2 OPEX LAP 2023'!N246*'2.1 OPEX TUUA'!$S$7,'2.2 OPEX LAP 2023'!N246*'2.1 OPEX TUUA'!$S$8)</f>
        <v>0</v>
      </c>
      <c r="AA245" s="6"/>
      <c r="AB245" s="6"/>
      <c r="AC245" s="6"/>
      <c r="AD245" s="6"/>
      <c r="AE245" s="6"/>
      <c r="AF245" s="6"/>
    </row>
    <row r="246" spans="2:32" x14ac:dyDescent="0.25">
      <c r="B246" s="16">
        <v>6358000001</v>
      </c>
      <c r="C246" s="190" t="s">
        <v>176</v>
      </c>
      <c r="D246" s="190" t="s">
        <v>40</v>
      </c>
      <c r="E246" s="190" t="s">
        <v>94</v>
      </c>
      <c r="F246" s="162" t="s">
        <v>190</v>
      </c>
      <c r="G246" s="3">
        <f>+IF(F246="Pasajero",'2.2 OPEX LAP 2023'!I247*'2.1 OPEX TUUA'!$G$7,'2.2 OPEX LAP 2023'!I247*'2.1 OPEX TUUA'!$G$8)</f>
        <v>0</v>
      </c>
      <c r="H246" s="3">
        <f>+IF(F246="Pasajero",'2.2 OPEX LAP 2023'!J247*'2.1 OPEX TUUA'!$H$7,'2.2 OPEX LAP 2023'!J247*'2.1 OPEX TUUA'!$H$8)</f>
        <v>0</v>
      </c>
      <c r="I246" s="3">
        <f>+IF(F246="Pasajero",'2.2 OPEX LAP 2023'!K247*'2.1 OPEX TUUA'!$I$7,'2.2 OPEX LAP 2023'!K247*'2.1 OPEX TUUA'!$I$8)</f>
        <v>0</v>
      </c>
      <c r="J246" s="3">
        <f>+IF(F246="Pasajero",'2.2 OPEX LAP 2023'!L247*'2.1 OPEX TUUA'!$J$7,'2.2 OPEX LAP 2023'!L247*'2.1 OPEX TUUA'!$J$8)</f>
        <v>0</v>
      </c>
      <c r="K246" s="3">
        <f>+IF(F246="Pasajero",'2.2 OPEX LAP 2023'!M247*'2.1 OPEX TUUA'!$K$7,'2.2 OPEX LAP 2023'!M247*'2.1 OPEX TUUA'!$K$8)</f>
        <v>0</v>
      </c>
      <c r="L246" s="3">
        <f>+IF(F246="Pasajero",'2.2 OPEX LAP 2023'!N247*'2.1 OPEX TUUA'!$L$7,'2.2 OPEX LAP 2023'!N247*'2.1 OPEX TUUA'!$L$8)</f>
        <v>0</v>
      </c>
      <c r="M246" s="3"/>
      <c r="N246" s="3">
        <f>+IF(F246="Pasajero",'2.2 OPEX LAP 2023'!I247*'2.1 OPEX TUUA'!$N$7,'2.2 OPEX LAP 2023'!I247*'2.1 OPEX TUUA'!$N$8)</f>
        <v>0</v>
      </c>
      <c r="O246" s="3">
        <f>+IF(F246="Pasajero",'2.2 OPEX LAP 2023'!J247*'2.1 OPEX TUUA'!$O$7,'2.2 OPEX LAP 2023'!J247*'2.1 OPEX TUUA'!$O$8)</f>
        <v>0</v>
      </c>
      <c r="P246" s="3">
        <f>+IF(F246="Pasajero",'2.2 OPEX LAP 2023'!K247*'2.1 OPEX TUUA'!$P$7,'2.2 OPEX LAP 2023'!K247*'2.1 OPEX TUUA'!$P$8)</f>
        <v>0</v>
      </c>
      <c r="Q246" s="3">
        <f>+IF(F246="Pasajero",'2.2 OPEX LAP 2023'!L247*'2.1 OPEX TUUA'!$Q$7,'2.2 OPEX LAP 2023'!L247*'2.1 OPEX TUUA'!$Q$8)</f>
        <v>0</v>
      </c>
      <c r="R246" s="3">
        <f>+IF(F246="Pasajero",'2.2 OPEX LAP 2023'!M247*'2.1 OPEX TUUA'!$R$7,'2.2 OPEX LAP 2023'!M247*'2.1 OPEX TUUA'!$R$8)</f>
        <v>0</v>
      </c>
      <c r="S246" s="3">
        <f>+IF(F246="Pasajero",'2.2 OPEX LAP 2023'!N247*'2.1 OPEX TUUA'!$S$7,'2.2 OPEX LAP 2023'!N247*'2.1 OPEX TUUA'!$S$8)</f>
        <v>0</v>
      </c>
      <c r="AA246" s="6"/>
      <c r="AB246" s="6"/>
      <c r="AC246" s="6"/>
      <c r="AD246" s="6"/>
      <c r="AE246" s="6"/>
      <c r="AF246" s="6"/>
    </row>
    <row r="247" spans="2:32" x14ac:dyDescent="0.25">
      <c r="B247" s="16">
        <v>6360000001</v>
      </c>
      <c r="C247" s="190" t="s">
        <v>176</v>
      </c>
      <c r="D247" s="190" t="s">
        <v>40</v>
      </c>
      <c r="E247" s="190" t="s">
        <v>95</v>
      </c>
      <c r="F247" s="162" t="s">
        <v>190</v>
      </c>
      <c r="G247" s="3">
        <f>+IF(F247="Pasajero",'2.2 OPEX LAP 2023'!I248*'2.1 OPEX TUUA'!$G$7,'2.2 OPEX LAP 2023'!I248*'2.1 OPEX TUUA'!$G$8)</f>
        <v>4721.6956163700906</v>
      </c>
      <c r="H247" s="3">
        <f>+IF(F247="Pasajero",'2.2 OPEX LAP 2023'!J248*'2.1 OPEX TUUA'!$H$7,'2.2 OPEX LAP 2023'!J248*'2.1 OPEX TUUA'!$H$8)</f>
        <v>5551.6322533060766</v>
      </c>
      <c r="I247" s="3">
        <f>+IF(F247="Pasajero",'2.2 OPEX LAP 2023'!K248*'2.1 OPEX TUUA'!$I$7,'2.2 OPEX LAP 2023'!K248*'2.1 OPEX TUUA'!$I$8)</f>
        <v>6249.5683913860539</v>
      </c>
      <c r="J247" s="3">
        <f>+IF(F247="Pasajero",'2.2 OPEX LAP 2023'!L248*'2.1 OPEX TUUA'!$J$7,'2.2 OPEX LAP 2023'!L248*'2.1 OPEX TUUA'!$J$8)</f>
        <v>6631.3513906634007</v>
      </c>
      <c r="K247" s="3">
        <f>+IF(F247="Pasajero",'2.2 OPEX LAP 2023'!M248*'2.1 OPEX TUUA'!$K$7,'2.2 OPEX LAP 2023'!M248*'2.1 OPEX TUUA'!$K$8)</f>
        <v>6909.552682445491</v>
      </c>
      <c r="L247" s="3">
        <f>+IF(F247="Pasajero",'2.2 OPEX LAP 2023'!N248*'2.1 OPEX TUUA'!$L$7,'2.2 OPEX LAP 2023'!N248*'2.1 OPEX TUUA'!$L$8)</f>
        <v>7219.7231041294508</v>
      </c>
      <c r="M247" s="3"/>
      <c r="N247" s="3">
        <f>+IF(F247="Pasajero",'2.2 OPEX LAP 2023'!I248*'2.1 OPEX TUUA'!$N$7,'2.2 OPEX LAP 2023'!I248*'2.1 OPEX TUUA'!$N$8)</f>
        <v>2328.8216041400733</v>
      </c>
      <c r="O247" s="3">
        <f>+IF(F247="Pasajero",'2.2 OPEX LAP 2023'!J248*'2.1 OPEX TUUA'!$O$7,'2.2 OPEX LAP 2023'!J248*'2.1 OPEX TUUA'!$O$8)</f>
        <v>2299.2819226230113</v>
      </c>
      <c r="P247" s="3">
        <f>+IF(F247="Pasajero",'2.2 OPEX LAP 2023'!K248*'2.1 OPEX TUUA'!$P$7,'2.2 OPEX LAP 2023'!K248*'2.1 OPEX TUUA'!$P$8)</f>
        <v>2288.146202691315</v>
      </c>
      <c r="Q247" s="3">
        <f>+IF(F247="Pasajero",'2.2 OPEX LAP 2023'!L248*'2.1 OPEX TUUA'!$Q$7,'2.2 OPEX LAP 2023'!L248*'2.1 OPEX TUUA'!$Q$8)</f>
        <v>2276.6152179519368</v>
      </c>
      <c r="R247" s="3">
        <f>+IF(F247="Pasajero",'2.2 OPEX LAP 2023'!M248*'2.1 OPEX TUUA'!$R$7,'2.2 OPEX LAP 2023'!M248*'2.1 OPEX TUUA'!$R$8)</f>
        <v>2290.8315718029125</v>
      </c>
      <c r="S247" s="3">
        <f>+IF(F247="Pasajero",'2.2 OPEX LAP 2023'!N248*'2.1 OPEX TUUA'!$S$7,'2.2 OPEX LAP 2023'!N248*'2.1 OPEX TUUA'!$S$8)</f>
        <v>2294.6853157261826</v>
      </c>
      <c r="AA247" s="6"/>
      <c r="AB247" s="6"/>
      <c r="AC247" s="6"/>
      <c r="AD247" s="6"/>
      <c r="AE247" s="6"/>
      <c r="AF247" s="6"/>
    </row>
    <row r="248" spans="2:32" x14ac:dyDescent="0.25">
      <c r="B248" s="16">
        <v>6360000002</v>
      </c>
      <c r="C248" s="190" t="s">
        <v>176</v>
      </c>
      <c r="D248" s="190" t="s">
        <v>40</v>
      </c>
      <c r="E248" s="190" t="s">
        <v>96</v>
      </c>
      <c r="F248" s="162" t="s">
        <v>191</v>
      </c>
      <c r="G248" s="3">
        <f>+IF(F248="Pasajero",'2.2 OPEX LAP 2023'!I249*'2.1 OPEX TUUA'!$G$7,'2.2 OPEX LAP 2023'!I249*'2.1 OPEX TUUA'!$G$8)</f>
        <v>2400.0120882587221</v>
      </c>
      <c r="H248" s="3">
        <f>+IF(F248="Pasajero",'2.2 OPEX LAP 2023'!J249*'2.1 OPEX TUUA'!$H$7,'2.2 OPEX LAP 2023'!J249*'2.1 OPEX TUUA'!$H$8)</f>
        <v>2459.9232181584348</v>
      </c>
      <c r="I248" s="3">
        <f>+IF(F248="Pasajero",'2.2 OPEX LAP 2023'!K249*'2.1 OPEX TUUA'!$I$7,'2.2 OPEX LAP 2023'!K249*'2.1 OPEX TUUA'!$I$8)</f>
        <v>2504.8768626871401</v>
      </c>
      <c r="J248" s="3">
        <f>+IF(F248="Pasajero",'2.2 OPEX LAP 2023'!L249*'2.1 OPEX TUUA'!$J$7,'2.2 OPEX LAP 2023'!L249*'2.1 OPEX TUUA'!$J$8)</f>
        <v>2550.4759063457327</v>
      </c>
      <c r="K248" s="3">
        <f>+IF(F248="Pasajero",'2.2 OPEX LAP 2023'!M249*'2.1 OPEX TUUA'!$K$7,'2.2 OPEX LAP 2023'!M249*'2.1 OPEX TUUA'!$K$8)</f>
        <v>2599.3275452474295</v>
      </c>
      <c r="L248" s="3">
        <f>+IF(F248="Pasajero",'2.2 OPEX LAP 2023'!N249*'2.1 OPEX TUUA'!$L$7,'2.2 OPEX LAP 2023'!N249*'2.1 OPEX TUUA'!$L$8)</f>
        <v>2645.3629305424161</v>
      </c>
      <c r="M248" s="3"/>
      <c r="N248" s="3">
        <f>+IF(F248="Pasajero",'2.2 OPEX LAP 2023'!I249*'2.1 OPEX TUUA'!$N$7,'2.2 OPEX LAP 2023'!I249*'2.1 OPEX TUUA'!$N$8)</f>
        <v>448.50401600245328</v>
      </c>
      <c r="O248" s="3">
        <f>+IF(F248="Pasajero",'2.2 OPEX LAP 2023'!J249*'2.1 OPEX TUUA'!$O$7,'2.2 OPEX LAP 2023'!J249*'2.1 OPEX TUUA'!$O$8)</f>
        <v>459.69995226240815</v>
      </c>
      <c r="P248" s="3">
        <f>+IF(F248="Pasajero",'2.2 OPEX LAP 2023'!K249*'2.1 OPEX TUUA'!$P$7,'2.2 OPEX LAP 2023'!K249*'2.1 OPEX TUUA'!$P$8)</f>
        <v>468.10069749352863</v>
      </c>
      <c r="Q248" s="3">
        <f>+IF(F248="Pasajero",'2.2 OPEX LAP 2023'!L249*'2.1 OPEX TUUA'!$Q$7,'2.2 OPEX LAP 2023'!L249*'2.1 OPEX TUUA'!$Q$8)</f>
        <v>476.62205215953287</v>
      </c>
      <c r="R248" s="3">
        <f>+IF(F248="Pasajero",'2.2 OPEX LAP 2023'!M249*'2.1 OPEX TUUA'!$R$7,'2.2 OPEX LAP 2023'!M249*'2.1 OPEX TUUA'!$R$8)</f>
        <v>485.75123794276323</v>
      </c>
      <c r="S248" s="3">
        <f>+IF(F248="Pasajero",'2.2 OPEX LAP 2023'!N249*'2.1 OPEX TUUA'!$S$7,'2.2 OPEX LAP 2023'!N249*'2.1 OPEX TUUA'!$S$8)</f>
        <v>494.35413427150706</v>
      </c>
      <c r="AA248" s="6"/>
      <c r="AB248" s="6"/>
      <c r="AC248" s="6"/>
      <c r="AD248" s="6"/>
      <c r="AE248" s="6"/>
      <c r="AF248" s="6"/>
    </row>
    <row r="249" spans="2:32" x14ac:dyDescent="0.25">
      <c r="B249" s="16">
        <v>6360000003</v>
      </c>
      <c r="C249" s="190" t="s">
        <v>176</v>
      </c>
      <c r="D249" s="190" t="s">
        <v>40</v>
      </c>
      <c r="E249" s="190" t="s">
        <v>97</v>
      </c>
      <c r="F249" s="162" t="s">
        <v>191</v>
      </c>
      <c r="G249" s="3">
        <f>+IF(F249="Pasajero",'2.2 OPEX LAP 2023'!I250*'2.1 OPEX TUUA'!$G$7,'2.2 OPEX LAP 2023'!I250*'2.1 OPEX TUUA'!$G$8)</f>
        <v>393.45060415864003</v>
      </c>
      <c r="H249" s="3">
        <f>+IF(F249="Pasajero",'2.2 OPEX LAP 2023'!J250*'2.1 OPEX TUUA'!$H$7,'2.2 OPEX LAP 2023'!J250*'2.1 OPEX TUUA'!$H$8)</f>
        <v>403.27225062875044</v>
      </c>
      <c r="I249" s="3">
        <f>+IF(F249="Pasajero",'2.2 OPEX LAP 2023'!K250*'2.1 OPEX TUUA'!$I$7,'2.2 OPEX LAP 2023'!K250*'2.1 OPEX TUUA'!$I$8)</f>
        <v>410.64181292615717</v>
      </c>
      <c r="J249" s="3">
        <f>+IF(F249="Pasajero",'2.2 OPEX LAP 2023'!L250*'2.1 OPEX TUUA'!$J$7,'2.2 OPEX LAP 2023'!L250*'2.1 OPEX TUUA'!$J$8)</f>
        <v>418.11717997297325</v>
      </c>
      <c r="K249" s="3">
        <f>+IF(F249="Pasajero",'2.2 OPEX LAP 2023'!M250*'2.1 OPEX TUUA'!$K$7,'2.2 OPEX LAP 2023'!M250*'2.1 OPEX TUUA'!$K$8)</f>
        <v>426.12576748552931</v>
      </c>
      <c r="L249" s="3">
        <f>+IF(F249="Pasajero",'2.2 OPEX LAP 2023'!N250*'2.1 OPEX TUUA'!$L$7,'2.2 OPEX LAP 2023'!N250*'2.1 OPEX TUUA'!$L$8)</f>
        <v>433.67266703891005</v>
      </c>
      <c r="M249" s="3"/>
      <c r="N249" s="3">
        <f>+IF(F249="Pasajero",'2.2 OPEX LAP 2023'!I250*'2.1 OPEX TUUA'!$N$7,'2.2 OPEX LAP 2023'!I250*'2.1 OPEX TUUA'!$N$8)</f>
        <v>73.526369690817447</v>
      </c>
      <c r="O249" s="3">
        <f>+IF(F249="Pasajero",'2.2 OPEX LAP 2023'!J250*'2.1 OPEX TUUA'!$O$7,'2.2 OPEX LAP 2023'!J250*'2.1 OPEX TUUA'!$O$8)</f>
        <v>75.361797065184064</v>
      </c>
      <c r="P249" s="3">
        <f>+IF(F249="Pasajero",'2.2 OPEX LAP 2023'!K250*'2.1 OPEX TUUA'!$P$7,'2.2 OPEX LAP 2023'!K250*'2.1 OPEX TUUA'!$P$8)</f>
        <v>76.738989414646454</v>
      </c>
      <c r="Q249" s="3">
        <f>+IF(F249="Pasajero",'2.2 OPEX LAP 2023'!L250*'2.1 OPEX TUUA'!$Q$7,'2.2 OPEX LAP 2023'!L250*'2.1 OPEX TUUA'!$Q$8)</f>
        <v>78.135954104112642</v>
      </c>
      <c r="R249" s="3">
        <f>+IF(F249="Pasajero",'2.2 OPEX LAP 2023'!M250*'2.1 OPEX TUUA'!$R$7,'2.2 OPEX LAP 2023'!M250*'2.1 OPEX TUUA'!$R$8)</f>
        <v>79.632564758475837</v>
      </c>
      <c r="S249" s="3">
        <f>+IF(F249="Pasajero",'2.2 OPEX LAP 2023'!N250*'2.1 OPEX TUUA'!$S$7,'2.2 OPEX LAP 2023'!N250*'2.1 OPEX TUUA'!$S$8)</f>
        <v>81.042897137474043</v>
      </c>
      <c r="AA249" s="6"/>
      <c r="AB249" s="6"/>
      <c r="AC249" s="6"/>
      <c r="AD249" s="6"/>
      <c r="AE249" s="6"/>
      <c r="AF249" s="6"/>
    </row>
    <row r="250" spans="2:32" x14ac:dyDescent="0.25">
      <c r="B250" s="16">
        <v>6360000004</v>
      </c>
      <c r="C250" s="190" t="s">
        <v>176</v>
      </c>
      <c r="D250" s="190" t="s">
        <v>40</v>
      </c>
      <c r="E250" s="190" t="s">
        <v>98</v>
      </c>
      <c r="F250" s="162" t="s">
        <v>190</v>
      </c>
      <c r="G250" s="3">
        <f>+IF(F250="Pasajero",'2.2 OPEX LAP 2023'!I251*'2.1 OPEX TUUA'!$G$7,'2.2 OPEX LAP 2023'!I251*'2.1 OPEX TUUA'!$G$8)</f>
        <v>7646.4647370217626</v>
      </c>
      <c r="H250" s="3">
        <f>+IF(F250="Pasajero",'2.2 OPEX LAP 2023'!J251*'2.1 OPEX TUUA'!$H$7,'2.2 OPEX LAP 2023'!J251*'2.1 OPEX TUUA'!$H$8)</f>
        <v>8990.4906429466646</v>
      </c>
      <c r="I250" s="3">
        <f>+IF(F250="Pasajero",'2.2 OPEX LAP 2023'!K251*'2.1 OPEX TUUA'!$I$7,'2.2 OPEX LAP 2023'!K251*'2.1 OPEX TUUA'!$I$8)</f>
        <v>10120.750723672589</v>
      </c>
      <c r="J250" s="3">
        <f>+IF(F250="Pasajero",'2.2 OPEX LAP 2023'!L251*'2.1 OPEX TUUA'!$J$7,'2.2 OPEX LAP 2023'!L251*'2.1 OPEX TUUA'!$J$8)</f>
        <v>10739.022310482946</v>
      </c>
      <c r="K250" s="3">
        <f>+IF(F250="Pasajero",'2.2 OPEX LAP 2023'!M251*'2.1 OPEX TUUA'!$K$7,'2.2 OPEX LAP 2023'!M251*'2.1 OPEX TUUA'!$K$8)</f>
        <v>11189.550370790448</v>
      </c>
      <c r="L250" s="3">
        <f>+IF(F250="Pasajero",'2.2 OPEX LAP 2023'!N251*'2.1 OPEX TUUA'!$L$7,'2.2 OPEX LAP 2023'!N251*'2.1 OPEX TUUA'!$L$8)</f>
        <v>11691.850261459147</v>
      </c>
      <c r="M250" s="3"/>
      <c r="N250" s="3">
        <f>+IF(F250="Pasajero",'2.2 OPEX LAP 2023'!I251*'2.1 OPEX TUUA'!$N$7,'2.2 OPEX LAP 2023'!I251*'2.1 OPEX TUUA'!$N$8)</f>
        <v>3771.3681104588541</v>
      </c>
      <c r="O250" s="3">
        <f>+IF(F250="Pasajero",'2.2 OPEX LAP 2023'!J251*'2.1 OPEX TUUA'!$O$7,'2.2 OPEX LAP 2023'!J251*'2.1 OPEX TUUA'!$O$8)</f>
        <v>3723.5306064317065</v>
      </c>
      <c r="P250" s="3">
        <f>+IF(F250="Pasajero",'2.2 OPEX LAP 2023'!K251*'2.1 OPEX TUUA'!$P$7,'2.2 OPEX LAP 2023'!K251*'2.1 OPEX TUUA'!$P$8)</f>
        <v>3705.4970657934973</v>
      </c>
      <c r="Q250" s="3">
        <f>+IF(F250="Pasajero",'2.2 OPEX LAP 2023'!L251*'2.1 OPEX TUUA'!$Q$7,'2.2 OPEX LAP 2023'!L251*'2.1 OPEX TUUA'!$Q$8)</f>
        <v>3686.8234206972102</v>
      </c>
      <c r="R250" s="3">
        <f>+IF(F250="Pasajero",'2.2 OPEX LAP 2023'!M251*'2.1 OPEX TUUA'!$R$7,'2.2 OPEX LAP 2023'!M251*'2.1 OPEX TUUA'!$R$8)</f>
        <v>3709.8458383290526</v>
      </c>
      <c r="S250" s="3">
        <f>+IF(F250="Pasajero",'2.2 OPEX LAP 2023'!N251*'2.1 OPEX TUUA'!$S$7,'2.2 OPEX LAP 2023'!N251*'2.1 OPEX TUUA'!$S$8)</f>
        <v>3716.0867143636347</v>
      </c>
      <c r="AA250" s="6"/>
      <c r="AB250" s="6"/>
      <c r="AC250" s="6"/>
      <c r="AD250" s="6"/>
      <c r="AE250" s="6"/>
      <c r="AF250" s="6"/>
    </row>
    <row r="251" spans="2:32" x14ac:dyDescent="0.25">
      <c r="B251" s="16">
        <v>6360000005</v>
      </c>
      <c r="C251" s="190" t="s">
        <v>176</v>
      </c>
      <c r="D251" s="190" t="s">
        <v>40</v>
      </c>
      <c r="E251" s="190" t="s">
        <v>99</v>
      </c>
      <c r="F251" s="162" t="s">
        <v>190</v>
      </c>
      <c r="G251" s="3">
        <f>+IF(F251="Pasajero",'2.2 OPEX LAP 2023'!I252*'2.1 OPEX TUUA'!$G$7,'2.2 OPEX LAP 2023'!I252*'2.1 OPEX TUUA'!$G$8)</f>
        <v>502.94206708836703</v>
      </c>
      <c r="H251" s="3">
        <f>+IF(F251="Pasajero",'2.2 OPEX LAP 2023'!J252*'2.1 OPEX TUUA'!$H$7,'2.2 OPEX LAP 2023'!J252*'2.1 OPEX TUUA'!$H$8)</f>
        <v>591.3446414275079</v>
      </c>
      <c r="I251" s="3">
        <f>+IF(F251="Pasajero",'2.2 OPEX LAP 2023'!K252*'2.1 OPEX TUUA'!$I$7,'2.2 OPEX LAP 2023'!K252*'2.1 OPEX TUUA'!$I$8)</f>
        <v>665.68688465992341</v>
      </c>
      <c r="J251" s="3">
        <f>+IF(F251="Pasajero",'2.2 OPEX LAP 2023'!L252*'2.1 OPEX TUUA'!$J$7,'2.2 OPEX LAP 2023'!L252*'2.1 OPEX TUUA'!$J$8)</f>
        <v>706.35336264508442</v>
      </c>
      <c r="K251" s="3">
        <f>+IF(F251="Pasajero",'2.2 OPEX LAP 2023'!M252*'2.1 OPEX TUUA'!$K$7,'2.2 OPEX LAP 2023'!M252*'2.1 OPEX TUUA'!$K$8)</f>
        <v>735.98660123641582</v>
      </c>
      <c r="L251" s="3">
        <f>+IF(F251="Pasajero",'2.2 OPEX LAP 2023'!N252*'2.1 OPEX TUUA'!$L$7,'2.2 OPEX LAP 2023'!N252*'2.1 OPEX TUUA'!$L$8)</f>
        <v>769.0251038647001</v>
      </c>
      <c r="M251" s="3"/>
      <c r="N251" s="3">
        <f>+IF(F251="Pasajero",'2.2 OPEX LAP 2023'!I252*'2.1 OPEX TUUA'!$N$7,'2.2 OPEX LAP 2023'!I252*'2.1 OPEX TUUA'!$N$8)</f>
        <v>248.05969012604189</v>
      </c>
      <c r="O251" s="3">
        <f>+IF(F251="Pasajero",'2.2 OPEX LAP 2023'!J252*'2.1 OPEX TUUA'!$O$7,'2.2 OPEX LAP 2023'!J252*'2.1 OPEX TUUA'!$O$8)</f>
        <v>244.91320426790762</v>
      </c>
      <c r="P251" s="3">
        <f>+IF(F251="Pasajero",'2.2 OPEX LAP 2023'!K252*'2.1 OPEX TUUA'!$P$7,'2.2 OPEX LAP 2023'!K252*'2.1 OPEX TUUA'!$P$8)</f>
        <v>243.72705792218656</v>
      </c>
      <c r="Q251" s="3">
        <f>+IF(F251="Pasajero",'2.2 OPEX LAP 2023'!L252*'2.1 OPEX TUUA'!$Q$7,'2.2 OPEX LAP 2023'!L252*'2.1 OPEX TUUA'!$Q$8)</f>
        <v>242.49880905322505</v>
      </c>
      <c r="R251" s="3">
        <f>+IF(F251="Pasajero",'2.2 OPEX LAP 2023'!M252*'2.1 OPEX TUUA'!$R$7,'2.2 OPEX LAP 2023'!M252*'2.1 OPEX TUUA'!$R$8)</f>
        <v>244.01309607492132</v>
      </c>
      <c r="S251" s="3">
        <f>+IF(F251="Pasajero",'2.2 OPEX LAP 2023'!N252*'2.1 OPEX TUUA'!$S$7,'2.2 OPEX LAP 2023'!N252*'2.1 OPEX TUUA'!$S$8)</f>
        <v>244.42358630815002</v>
      </c>
      <c r="AA251" s="6"/>
      <c r="AB251" s="6"/>
      <c r="AC251" s="6"/>
      <c r="AD251" s="6"/>
      <c r="AE251" s="6"/>
      <c r="AF251" s="6"/>
    </row>
    <row r="252" spans="2:32" x14ac:dyDescent="0.25">
      <c r="B252" s="16">
        <v>6370000001</v>
      </c>
      <c r="C252" s="190" t="s">
        <v>176</v>
      </c>
      <c r="D252" s="190" t="s">
        <v>40</v>
      </c>
      <c r="E252" s="190" t="s">
        <v>100</v>
      </c>
      <c r="F252" s="162" t="s">
        <v>190</v>
      </c>
      <c r="G252" s="3">
        <f>+IF(F252="Pasajero",'2.2 OPEX LAP 2023'!I253*'2.1 OPEX TUUA'!$G$7,'2.2 OPEX LAP 2023'!I253*'2.1 OPEX TUUA'!$G$8)</f>
        <v>0</v>
      </c>
      <c r="H252" s="3">
        <f>+IF(F252="Pasajero",'2.2 OPEX LAP 2023'!J253*'2.1 OPEX TUUA'!$H$7,'2.2 OPEX LAP 2023'!J253*'2.1 OPEX TUUA'!$H$8)</f>
        <v>0</v>
      </c>
      <c r="I252" s="3">
        <f>+IF(F252="Pasajero",'2.2 OPEX LAP 2023'!K253*'2.1 OPEX TUUA'!$I$7,'2.2 OPEX LAP 2023'!K253*'2.1 OPEX TUUA'!$I$8)</f>
        <v>0</v>
      </c>
      <c r="J252" s="3">
        <f>+IF(F252="Pasajero",'2.2 OPEX LAP 2023'!L253*'2.1 OPEX TUUA'!$J$7,'2.2 OPEX LAP 2023'!L253*'2.1 OPEX TUUA'!$J$8)</f>
        <v>0</v>
      </c>
      <c r="K252" s="3">
        <f>+IF(F252="Pasajero",'2.2 OPEX LAP 2023'!M253*'2.1 OPEX TUUA'!$K$7,'2.2 OPEX LAP 2023'!M253*'2.1 OPEX TUUA'!$K$8)</f>
        <v>0</v>
      </c>
      <c r="L252" s="3">
        <f>+IF(F252="Pasajero",'2.2 OPEX LAP 2023'!N253*'2.1 OPEX TUUA'!$L$7,'2.2 OPEX LAP 2023'!N253*'2.1 OPEX TUUA'!$L$8)</f>
        <v>0</v>
      </c>
      <c r="M252" s="3"/>
      <c r="N252" s="3">
        <f>+IF(F252="Pasajero",'2.2 OPEX LAP 2023'!I253*'2.1 OPEX TUUA'!$N$7,'2.2 OPEX LAP 2023'!I253*'2.1 OPEX TUUA'!$N$8)</f>
        <v>0</v>
      </c>
      <c r="O252" s="3">
        <f>+IF(F252="Pasajero",'2.2 OPEX LAP 2023'!J253*'2.1 OPEX TUUA'!$O$7,'2.2 OPEX LAP 2023'!J253*'2.1 OPEX TUUA'!$O$8)</f>
        <v>0</v>
      </c>
      <c r="P252" s="3">
        <f>+IF(F252="Pasajero",'2.2 OPEX LAP 2023'!K253*'2.1 OPEX TUUA'!$P$7,'2.2 OPEX LAP 2023'!K253*'2.1 OPEX TUUA'!$P$8)</f>
        <v>0</v>
      </c>
      <c r="Q252" s="3">
        <f>+IF(F252="Pasajero",'2.2 OPEX LAP 2023'!L253*'2.1 OPEX TUUA'!$Q$7,'2.2 OPEX LAP 2023'!L253*'2.1 OPEX TUUA'!$Q$8)</f>
        <v>0</v>
      </c>
      <c r="R252" s="3">
        <f>+IF(F252="Pasajero",'2.2 OPEX LAP 2023'!M253*'2.1 OPEX TUUA'!$R$7,'2.2 OPEX LAP 2023'!M253*'2.1 OPEX TUUA'!$R$8)</f>
        <v>0</v>
      </c>
      <c r="S252" s="3">
        <f>+IF(F252="Pasajero",'2.2 OPEX LAP 2023'!N253*'2.1 OPEX TUUA'!$S$7,'2.2 OPEX LAP 2023'!N253*'2.1 OPEX TUUA'!$S$8)</f>
        <v>0</v>
      </c>
      <c r="AA252" s="6"/>
      <c r="AB252" s="6"/>
      <c r="AC252" s="6"/>
      <c r="AD252" s="6"/>
      <c r="AE252" s="6"/>
      <c r="AF252" s="6"/>
    </row>
    <row r="253" spans="2:32" x14ac:dyDescent="0.25">
      <c r="B253" s="16">
        <v>6370000002</v>
      </c>
      <c r="C253" s="190" t="s">
        <v>176</v>
      </c>
      <c r="D253" s="190" t="s">
        <v>40</v>
      </c>
      <c r="E253" s="190" t="s">
        <v>101</v>
      </c>
      <c r="F253" s="162" t="s">
        <v>190</v>
      </c>
      <c r="G253" s="3">
        <f>+IF(F253="Pasajero",'2.2 OPEX LAP 2023'!I254*'2.1 OPEX TUUA'!$G$7,'2.2 OPEX LAP 2023'!I254*'2.1 OPEX TUUA'!$G$8)</f>
        <v>0</v>
      </c>
      <c r="H253" s="3">
        <f>+IF(F253="Pasajero",'2.2 OPEX LAP 2023'!J254*'2.1 OPEX TUUA'!$H$7,'2.2 OPEX LAP 2023'!J254*'2.1 OPEX TUUA'!$H$8)</f>
        <v>0</v>
      </c>
      <c r="I253" s="3">
        <f>+IF(F253="Pasajero",'2.2 OPEX LAP 2023'!K254*'2.1 OPEX TUUA'!$I$7,'2.2 OPEX LAP 2023'!K254*'2.1 OPEX TUUA'!$I$8)</f>
        <v>0</v>
      </c>
      <c r="J253" s="3">
        <f>+IF(F253="Pasajero",'2.2 OPEX LAP 2023'!L254*'2.1 OPEX TUUA'!$J$7,'2.2 OPEX LAP 2023'!L254*'2.1 OPEX TUUA'!$J$8)</f>
        <v>0</v>
      </c>
      <c r="K253" s="3">
        <f>+IF(F253="Pasajero",'2.2 OPEX LAP 2023'!M254*'2.1 OPEX TUUA'!$K$7,'2.2 OPEX LAP 2023'!M254*'2.1 OPEX TUUA'!$K$8)</f>
        <v>0</v>
      </c>
      <c r="L253" s="3">
        <f>+IF(F253="Pasajero",'2.2 OPEX LAP 2023'!N254*'2.1 OPEX TUUA'!$L$7,'2.2 OPEX LAP 2023'!N254*'2.1 OPEX TUUA'!$L$8)</f>
        <v>0</v>
      </c>
      <c r="M253" s="3"/>
      <c r="N253" s="3">
        <f>+IF(F253="Pasajero",'2.2 OPEX LAP 2023'!I254*'2.1 OPEX TUUA'!$N$7,'2.2 OPEX LAP 2023'!I254*'2.1 OPEX TUUA'!$N$8)</f>
        <v>0</v>
      </c>
      <c r="O253" s="3">
        <f>+IF(F253="Pasajero",'2.2 OPEX LAP 2023'!J254*'2.1 OPEX TUUA'!$O$7,'2.2 OPEX LAP 2023'!J254*'2.1 OPEX TUUA'!$O$8)</f>
        <v>0</v>
      </c>
      <c r="P253" s="3">
        <f>+IF(F253="Pasajero",'2.2 OPEX LAP 2023'!K254*'2.1 OPEX TUUA'!$P$7,'2.2 OPEX LAP 2023'!K254*'2.1 OPEX TUUA'!$P$8)</f>
        <v>0</v>
      </c>
      <c r="Q253" s="3">
        <f>+IF(F253="Pasajero",'2.2 OPEX LAP 2023'!L254*'2.1 OPEX TUUA'!$Q$7,'2.2 OPEX LAP 2023'!L254*'2.1 OPEX TUUA'!$Q$8)</f>
        <v>0</v>
      </c>
      <c r="R253" s="3">
        <f>+IF(F253="Pasajero",'2.2 OPEX LAP 2023'!M254*'2.1 OPEX TUUA'!$R$7,'2.2 OPEX LAP 2023'!M254*'2.1 OPEX TUUA'!$R$8)</f>
        <v>0</v>
      </c>
      <c r="S253" s="3">
        <f>+IF(F253="Pasajero",'2.2 OPEX LAP 2023'!N254*'2.1 OPEX TUUA'!$S$7,'2.2 OPEX LAP 2023'!N254*'2.1 OPEX TUUA'!$S$8)</f>
        <v>0</v>
      </c>
      <c r="AA253" s="6"/>
      <c r="AB253" s="6"/>
      <c r="AC253" s="6"/>
      <c r="AD253" s="6"/>
      <c r="AE253" s="6"/>
      <c r="AF253" s="6"/>
    </row>
    <row r="254" spans="2:32" x14ac:dyDescent="0.25">
      <c r="B254" s="16">
        <v>6370000003</v>
      </c>
      <c r="C254" s="190" t="s">
        <v>176</v>
      </c>
      <c r="D254" s="190" t="s">
        <v>40</v>
      </c>
      <c r="E254" s="190" t="s">
        <v>102</v>
      </c>
      <c r="F254" s="162" t="s">
        <v>190</v>
      </c>
      <c r="G254" s="3">
        <f>+IF(F254="Pasajero",'2.2 OPEX LAP 2023'!I255*'2.1 OPEX TUUA'!$G$7,'2.2 OPEX LAP 2023'!I255*'2.1 OPEX TUUA'!$G$8)</f>
        <v>34.92262530152631</v>
      </c>
      <c r="H254" s="3">
        <f>+IF(F254="Pasajero",'2.2 OPEX LAP 2023'!J255*'2.1 OPEX TUUA'!$H$7,'2.2 OPEX LAP 2023'!J255*'2.1 OPEX TUUA'!$H$8)</f>
        <v>41.061006203344391</v>
      </c>
      <c r="I254" s="3">
        <f>+IF(F254="Pasajero",'2.2 OPEX LAP 2023'!K255*'2.1 OPEX TUUA'!$I$7,'2.2 OPEX LAP 2023'!K255*'2.1 OPEX TUUA'!$I$8)</f>
        <v>46.223084451264</v>
      </c>
      <c r="J254" s="3">
        <f>+IF(F254="Pasajero",'2.2 OPEX LAP 2023'!L255*'2.1 OPEX TUUA'!$J$7,'2.2 OPEX LAP 2023'!L255*'2.1 OPEX TUUA'!$J$8)</f>
        <v>49.046829502518619</v>
      </c>
      <c r="K254" s="3">
        <f>+IF(F254="Pasajero",'2.2 OPEX LAP 2023'!M255*'2.1 OPEX TUUA'!$K$7,'2.2 OPEX LAP 2023'!M255*'2.1 OPEX TUUA'!$K$8)</f>
        <v>51.104463086018342</v>
      </c>
      <c r="L254" s="3">
        <f>+IF(F254="Pasajero",'2.2 OPEX LAP 2023'!N255*'2.1 OPEX TUUA'!$L$7,'2.2 OPEX LAP 2023'!N255*'2.1 OPEX TUUA'!$L$8)</f>
        <v>53.398546884756023</v>
      </c>
      <c r="M254" s="3"/>
      <c r="N254" s="3">
        <f>+IF(F254="Pasajero",'2.2 OPEX LAP 2023'!I255*'2.1 OPEX TUUA'!$N$7,'2.2 OPEX LAP 2023'!I255*'2.1 OPEX TUUA'!$N$8)</f>
        <v>17.224440303504011</v>
      </c>
      <c r="O254" s="3">
        <f>+IF(F254="Pasajero",'2.2 OPEX LAP 2023'!J255*'2.1 OPEX TUUA'!$O$7,'2.2 OPEX LAP 2023'!J255*'2.1 OPEX TUUA'!$O$8)</f>
        <v>17.005958784794881</v>
      </c>
      <c r="P254" s="3">
        <f>+IF(F254="Pasajero",'2.2 OPEX LAP 2023'!K255*'2.1 OPEX TUUA'!$P$7,'2.2 OPEX LAP 2023'!K255*'2.1 OPEX TUUA'!$P$8)</f>
        <v>16.923596725434454</v>
      </c>
      <c r="Q254" s="3">
        <f>+IF(F254="Pasajero",'2.2 OPEX LAP 2023'!L255*'2.1 OPEX TUUA'!$Q$7,'2.2 OPEX LAP 2023'!L255*'2.1 OPEX TUUA'!$Q$8)</f>
        <v>16.838311206813813</v>
      </c>
      <c r="R254" s="3">
        <f>+IF(F254="Pasajero",'2.2 OPEX LAP 2023'!M255*'2.1 OPEX TUUA'!$R$7,'2.2 OPEX LAP 2023'!M255*'2.1 OPEX TUUA'!$R$8)</f>
        <v>16.943458263936737</v>
      </c>
      <c r="S254" s="3">
        <f>+IF(F254="Pasajero",'2.2 OPEX LAP 2023'!N255*'2.1 OPEX TUUA'!$S$7,'2.2 OPEX LAP 2023'!N255*'2.1 OPEX TUUA'!$S$8)</f>
        <v>16.971961341215547</v>
      </c>
      <c r="AA254" s="6"/>
      <c r="AB254" s="6"/>
      <c r="AC254" s="6"/>
      <c r="AD254" s="6"/>
      <c r="AE254" s="6"/>
      <c r="AF254" s="6"/>
    </row>
    <row r="255" spans="2:32" x14ac:dyDescent="0.25">
      <c r="B255" s="16">
        <v>6380000002</v>
      </c>
      <c r="C255" s="190" t="s">
        <v>176</v>
      </c>
      <c r="D255" s="190" t="s">
        <v>40</v>
      </c>
      <c r="E255" s="190" t="s">
        <v>103</v>
      </c>
      <c r="F255" s="162" t="s">
        <v>190</v>
      </c>
      <c r="G255" s="3">
        <f>+IF(F255="Pasajero",'2.2 OPEX LAP 2023'!I256*'2.1 OPEX TUUA'!$G$7,'2.2 OPEX LAP 2023'!I256*'2.1 OPEX TUUA'!$G$8)</f>
        <v>0</v>
      </c>
      <c r="H255" s="3">
        <f>+IF(F255="Pasajero",'2.2 OPEX LAP 2023'!J256*'2.1 OPEX TUUA'!$H$7,'2.2 OPEX LAP 2023'!J256*'2.1 OPEX TUUA'!$H$8)</f>
        <v>0</v>
      </c>
      <c r="I255" s="3">
        <f>+IF(F255="Pasajero",'2.2 OPEX LAP 2023'!K256*'2.1 OPEX TUUA'!$I$7,'2.2 OPEX LAP 2023'!K256*'2.1 OPEX TUUA'!$I$8)</f>
        <v>0</v>
      </c>
      <c r="J255" s="3">
        <f>+IF(F255="Pasajero",'2.2 OPEX LAP 2023'!L256*'2.1 OPEX TUUA'!$J$7,'2.2 OPEX LAP 2023'!L256*'2.1 OPEX TUUA'!$J$8)</f>
        <v>0</v>
      </c>
      <c r="K255" s="3">
        <f>+IF(F255="Pasajero",'2.2 OPEX LAP 2023'!M256*'2.1 OPEX TUUA'!$K$7,'2.2 OPEX LAP 2023'!M256*'2.1 OPEX TUUA'!$K$8)</f>
        <v>0</v>
      </c>
      <c r="L255" s="3">
        <f>+IF(F255="Pasajero",'2.2 OPEX LAP 2023'!N256*'2.1 OPEX TUUA'!$L$7,'2.2 OPEX LAP 2023'!N256*'2.1 OPEX TUUA'!$L$8)</f>
        <v>0</v>
      </c>
      <c r="M255" s="3"/>
      <c r="N255" s="3">
        <f>+IF(F255="Pasajero",'2.2 OPEX LAP 2023'!I256*'2.1 OPEX TUUA'!$N$7,'2.2 OPEX LAP 2023'!I256*'2.1 OPEX TUUA'!$N$8)</f>
        <v>0</v>
      </c>
      <c r="O255" s="3">
        <f>+IF(F255="Pasajero",'2.2 OPEX LAP 2023'!J256*'2.1 OPEX TUUA'!$O$7,'2.2 OPEX LAP 2023'!J256*'2.1 OPEX TUUA'!$O$8)</f>
        <v>0</v>
      </c>
      <c r="P255" s="3">
        <f>+IF(F255="Pasajero",'2.2 OPEX LAP 2023'!K256*'2.1 OPEX TUUA'!$P$7,'2.2 OPEX LAP 2023'!K256*'2.1 OPEX TUUA'!$P$8)</f>
        <v>0</v>
      </c>
      <c r="Q255" s="3">
        <f>+IF(F255="Pasajero",'2.2 OPEX LAP 2023'!L256*'2.1 OPEX TUUA'!$Q$7,'2.2 OPEX LAP 2023'!L256*'2.1 OPEX TUUA'!$Q$8)</f>
        <v>0</v>
      </c>
      <c r="R255" s="3">
        <f>+IF(F255="Pasajero",'2.2 OPEX LAP 2023'!M256*'2.1 OPEX TUUA'!$R$7,'2.2 OPEX LAP 2023'!M256*'2.1 OPEX TUUA'!$R$8)</f>
        <v>0</v>
      </c>
      <c r="S255" s="3">
        <f>+IF(F255="Pasajero",'2.2 OPEX LAP 2023'!N256*'2.1 OPEX TUUA'!$S$7,'2.2 OPEX LAP 2023'!N256*'2.1 OPEX TUUA'!$S$8)</f>
        <v>0</v>
      </c>
      <c r="AA255" s="6"/>
      <c r="AB255" s="6"/>
      <c r="AC255" s="6"/>
      <c r="AD255" s="6"/>
      <c r="AE255" s="6"/>
      <c r="AF255" s="6"/>
    </row>
    <row r="256" spans="2:32" x14ac:dyDescent="0.25">
      <c r="B256" s="16">
        <v>6380000003</v>
      </c>
      <c r="C256" s="190" t="s">
        <v>176</v>
      </c>
      <c r="D256" s="190" t="s">
        <v>38</v>
      </c>
      <c r="E256" s="190" t="s">
        <v>104</v>
      </c>
      <c r="F256" s="162" t="s">
        <v>190</v>
      </c>
      <c r="G256" s="3">
        <f>+IF(F256="Pasajero",'2.2 OPEX LAP 2023'!I257*'2.1 OPEX TUUA'!$G$7,'2.2 OPEX LAP 2023'!I257*'2.1 OPEX TUUA'!$G$8)</f>
        <v>0</v>
      </c>
      <c r="H256" s="3">
        <f>+IF(F256="Pasajero",'2.2 OPEX LAP 2023'!J257*'2.1 OPEX TUUA'!$H$7,'2.2 OPEX LAP 2023'!J257*'2.1 OPEX TUUA'!$H$8)</f>
        <v>0</v>
      </c>
      <c r="I256" s="3">
        <f>+IF(F256="Pasajero",'2.2 OPEX LAP 2023'!K257*'2.1 OPEX TUUA'!$I$7,'2.2 OPEX LAP 2023'!K257*'2.1 OPEX TUUA'!$I$8)</f>
        <v>0</v>
      </c>
      <c r="J256" s="3">
        <f>+IF(F256="Pasajero",'2.2 OPEX LAP 2023'!L257*'2.1 OPEX TUUA'!$J$7,'2.2 OPEX LAP 2023'!L257*'2.1 OPEX TUUA'!$J$8)</f>
        <v>0</v>
      </c>
      <c r="K256" s="3">
        <f>+IF(F256="Pasajero",'2.2 OPEX LAP 2023'!M257*'2.1 OPEX TUUA'!$K$7,'2.2 OPEX LAP 2023'!M257*'2.1 OPEX TUUA'!$K$8)</f>
        <v>0</v>
      </c>
      <c r="L256" s="3">
        <f>+IF(F256="Pasajero",'2.2 OPEX LAP 2023'!N257*'2.1 OPEX TUUA'!$L$7,'2.2 OPEX LAP 2023'!N257*'2.1 OPEX TUUA'!$L$8)</f>
        <v>0</v>
      </c>
      <c r="M256" s="3"/>
      <c r="N256" s="3">
        <f>+IF(F256="Pasajero",'2.2 OPEX LAP 2023'!I257*'2.1 OPEX TUUA'!$N$7,'2.2 OPEX LAP 2023'!I257*'2.1 OPEX TUUA'!$N$8)</f>
        <v>0</v>
      </c>
      <c r="O256" s="3">
        <f>+IF(F256="Pasajero",'2.2 OPEX LAP 2023'!J257*'2.1 OPEX TUUA'!$O$7,'2.2 OPEX LAP 2023'!J257*'2.1 OPEX TUUA'!$O$8)</f>
        <v>0</v>
      </c>
      <c r="P256" s="3">
        <f>+IF(F256="Pasajero",'2.2 OPEX LAP 2023'!K257*'2.1 OPEX TUUA'!$P$7,'2.2 OPEX LAP 2023'!K257*'2.1 OPEX TUUA'!$P$8)</f>
        <v>0</v>
      </c>
      <c r="Q256" s="3">
        <f>+IF(F256="Pasajero",'2.2 OPEX LAP 2023'!L257*'2.1 OPEX TUUA'!$Q$7,'2.2 OPEX LAP 2023'!L257*'2.1 OPEX TUUA'!$Q$8)</f>
        <v>0</v>
      </c>
      <c r="R256" s="3">
        <f>+IF(F256="Pasajero",'2.2 OPEX LAP 2023'!M257*'2.1 OPEX TUUA'!$R$7,'2.2 OPEX LAP 2023'!M257*'2.1 OPEX TUUA'!$R$8)</f>
        <v>0</v>
      </c>
      <c r="S256" s="3">
        <f>+IF(F256="Pasajero",'2.2 OPEX LAP 2023'!N257*'2.1 OPEX TUUA'!$S$7,'2.2 OPEX LAP 2023'!N257*'2.1 OPEX TUUA'!$S$8)</f>
        <v>0</v>
      </c>
      <c r="AA256" s="6"/>
      <c r="AB256" s="6"/>
      <c r="AC256" s="6"/>
      <c r="AD256" s="6"/>
      <c r="AE256" s="6"/>
      <c r="AF256" s="6"/>
    </row>
    <row r="257" spans="2:32" x14ac:dyDescent="0.25">
      <c r="B257" s="16">
        <v>6380000004</v>
      </c>
      <c r="C257" s="190" t="s">
        <v>176</v>
      </c>
      <c r="D257" s="190" t="s">
        <v>49</v>
      </c>
      <c r="E257" s="190" t="s">
        <v>105</v>
      </c>
      <c r="F257" s="162" t="s">
        <v>191</v>
      </c>
      <c r="G257" s="3">
        <f>+IF(F257="Pasajero",'2.2 OPEX LAP 2023'!I258*'2.1 OPEX TUUA'!$G$7,'2.2 OPEX LAP 2023'!I258*'2.1 OPEX TUUA'!$G$8)</f>
        <v>3861.0130226030183</v>
      </c>
      <c r="H257" s="3">
        <f>+IF(F257="Pasajero",'2.2 OPEX LAP 2023'!J258*'2.1 OPEX TUUA'!$H$7,'2.2 OPEX LAP 2023'!J258*'2.1 OPEX TUUA'!$H$8)</f>
        <v>3957.3948924582983</v>
      </c>
      <c r="I257" s="3">
        <f>+IF(F257="Pasajero",'2.2 OPEX LAP 2023'!K258*'2.1 OPEX TUUA'!$I$7,'2.2 OPEX LAP 2023'!K258*'2.1 OPEX TUUA'!$I$8)</f>
        <v>4029.7139477613605</v>
      </c>
      <c r="J257" s="3">
        <f>+IF(F257="Pasajero",'2.2 OPEX LAP 2023'!L258*'2.1 OPEX TUUA'!$J$7,'2.2 OPEX LAP 2023'!L258*'2.1 OPEX TUUA'!$J$8)</f>
        <v>4103.0712871870155</v>
      </c>
      <c r="K257" s="3">
        <f>+IF(F257="Pasajero",'2.2 OPEX LAP 2023'!M258*'2.1 OPEX TUUA'!$K$7,'2.2 OPEX LAP 2023'!M258*'2.1 OPEX TUUA'!$K$8)</f>
        <v>4181.661230503425</v>
      </c>
      <c r="L257" s="3">
        <f>+IF(F257="Pasajero",'2.2 OPEX LAP 2023'!N258*'2.1 OPEX TUUA'!$L$7,'2.2 OPEX LAP 2023'!N258*'2.1 OPEX TUUA'!$L$8)</f>
        <v>4255.7205333686234</v>
      </c>
      <c r="M257" s="3"/>
      <c r="N257" s="3">
        <f>+IF(F257="Pasajero",'2.2 OPEX LAP 2023'!I258*'2.1 OPEX TUUA'!$N$7,'2.2 OPEX LAP 2023'!I258*'2.1 OPEX TUUA'!$N$8)</f>
        <v>721.52963518263289</v>
      </c>
      <c r="O257" s="3">
        <f>+IF(F257="Pasajero",'2.2 OPEX LAP 2023'!J258*'2.1 OPEX TUUA'!$O$7,'2.2 OPEX LAP 2023'!J258*'2.1 OPEX TUUA'!$O$8)</f>
        <v>739.54106767140911</v>
      </c>
      <c r="P257" s="3">
        <f>+IF(F257="Pasajero",'2.2 OPEX LAP 2023'!K258*'2.1 OPEX TUUA'!$P$7,'2.2 OPEX LAP 2023'!K258*'2.1 OPEX TUUA'!$P$8)</f>
        <v>753.0557440747516</v>
      </c>
      <c r="Q257" s="3">
        <f>+IF(F257="Pasajero",'2.2 OPEX LAP 2023'!L258*'2.1 OPEX TUUA'!$Q$7,'2.2 OPEX LAP 2023'!L258*'2.1 OPEX TUUA'!$Q$8)</f>
        <v>766.76445058361423</v>
      </c>
      <c r="R257" s="3">
        <f>+IF(F257="Pasajero",'2.2 OPEX LAP 2023'!M258*'2.1 OPEX TUUA'!$R$7,'2.2 OPEX LAP 2023'!M258*'2.1 OPEX TUUA'!$R$8)</f>
        <v>781.45100377526433</v>
      </c>
      <c r="S257" s="3">
        <f>+IF(F257="Pasajero",'2.2 OPEX LAP 2023'!N258*'2.1 OPEX TUUA'!$S$7,'2.2 OPEX LAP 2023'!N258*'2.1 OPEX TUUA'!$S$8)</f>
        <v>795.29089021578739</v>
      </c>
      <c r="AA257" s="6"/>
      <c r="AB257" s="6"/>
      <c r="AC257" s="6"/>
      <c r="AD257" s="6"/>
      <c r="AE257" s="6"/>
      <c r="AF257" s="6"/>
    </row>
    <row r="258" spans="2:32" x14ac:dyDescent="0.25">
      <c r="B258" s="16">
        <v>6380000005</v>
      </c>
      <c r="C258" s="190" t="s">
        <v>176</v>
      </c>
      <c r="D258" s="190" t="s">
        <v>38</v>
      </c>
      <c r="E258" s="190" t="s">
        <v>106</v>
      </c>
      <c r="F258" s="162" t="s">
        <v>190</v>
      </c>
      <c r="G258" s="3">
        <f>+IF(F258="Pasajero",'2.2 OPEX LAP 2023'!I259*'2.1 OPEX TUUA'!$G$7,'2.2 OPEX LAP 2023'!I259*'2.1 OPEX TUUA'!$G$8)</f>
        <v>0</v>
      </c>
      <c r="H258" s="3">
        <f>+IF(F258="Pasajero",'2.2 OPEX LAP 2023'!J259*'2.1 OPEX TUUA'!$H$7,'2.2 OPEX LAP 2023'!J259*'2.1 OPEX TUUA'!$H$8)</f>
        <v>0</v>
      </c>
      <c r="I258" s="3">
        <f>+IF(F258="Pasajero",'2.2 OPEX LAP 2023'!K259*'2.1 OPEX TUUA'!$I$7,'2.2 OPEX LAP 2023'!K259*'2.1 OPEX TUUA'!$I$8)</f>
        <v>0</v>
      </c>
      <c r="J258" s="3">
        <f>+IF(F258="Pasajero",'2.2 OPEX LAP 2023'!L259*'2.1 OPEX TUUA'!$J$7,'2.2 OPEX LAP 2023'!L259*'2.1 OPEX TUUA'!$J$8)</f>
        <v>0</v>
      </c>
      <c r="K258" s="3">
        <f>+IF(F258="Pasajero",'2.2 OPEX LAP 2023'!M259*'2.1 OPEX TUUA'!$K$7,'2.2 OPEX LAP 2023'!M259*'2.1 OPEX TUUA'!$K$8)</f>
        <v>0</v>
      </c>
      <c r="L258" s="3">
        <f>+IF(F258="Pasajero",'2.2 OPEX LAP 2023'!N259*'2.1 OPEX TUUA'!$L$7,'2.2 OPEX LAP 2023'!N259*'2.1 OPEX TUUA'!$L$8)</f>
        <v>0</v>
      </c>
      <c r="M258" s="3"/>
      <c r="N258" s="3">
        <f>+IF(F258="Pasajero",'2.2 OPEX LAP 2023'!I259*'2.1 OPEX TUUA'!$N$7,'2.2 OPEX LAP 2023'!I259*'2.1 OPEX TUUA'!$N$8)</f>
        <v>0</v>
      </c>
      <c r="O258" s="3">
        <f>+IF(F258="Pasajero",'2.2 OPEX LAP 2023'!J259*'2.1 OPEX TUUA'!$O$7,'2.2 OPEX LAP 2023'!J259*'2.1 OPEX TUUA'!$O$8)</f>
        <v>0</v>
      </c>
      <c r="P258" s="3">
        <f>+IF(F258="Pasajero",'2.2 OPEX LAP 2023'!K259*'2.1 OPEX TUUA'!$P$7,'2.2 OPEX LAP 2023'!K259*'2.1 OPEX TUUA'!$P$8)</f>
        <v>0</v>
      </c>
      <c r="Q258" s="3">
        <f>+IF(F258="Pasajero",'2.2 OPEX LAP 2023'!L259*'2.1 OPEX TUUA'!$Q$7,'2.2 OPEX LAP 2023'!L259*'2.1 OPEX TUUA'!$Q$8)</f>
        <v>0</v>
      </c>
      <c r="R258" s="3">
        <f>+IF(F258="Pasajero",'2.2 OPEX LAP 2023'!M259*'2.1 OPEX TUUA'!$R$7,'2.2 OPEX LAP 2023'!M259*'2.1 OPEX TUUA'!$R$8)</f>
        <v>0</v>
      </c>
      <c r="S258" s="3">
        <f>+IF(F258="Pasajero",'2.2 OPEX LAP 2023'!N259*'2.1 OPEX TUUA'!$S$7,'2.2 OPEX LAP 2023'!N259*'2.1 OPEX TUUA'!$S$8)</f>
        <v>0</v>
      </c>
      <c r="AA258" s="6"/>
      <c r="AB258" s="6"/>
      <c r="AC258" s="6"/>
      <c r="AD258" s="6"/>
      <c r="AE258" s="6"/>
      <c r="AF258" s="6"/>
    </row>
    <row r="259" spans="2:32" x14ac:dyDescent="0.25">
      <c r="B259" s="16">
        <v>6380000007</v>
      </c>
      <c r="C259" s="190" t="s">
        <v>176</v>
      </c>
      <c r="D259" s="190" t="s">
        <v>40</v>
      </c>
      <c r="E259" s="190" t="s">
        <v>107</v>
      </c>
      <c r="F259" s="162" t="s">
        <v>191</v>
      </c>
      <c r="G259" s="3">
        <f>+IF(F259="Pasajero",'2.2 OPEX LAP 2023'!I260*'2.1 OPEX TUUA'!$G$7,'2.2 OPEX LAP 2023'!I260*'2.1 OPEX TUUA'!$G$8)</f>
        <v>21854.247059389349</v>
      </c>
      <c r="H259" s="3">
        <f>+IF(F259="Pasajero",'2.2 OPEX LAP 2023'!J260*'2.1 OPEX TUUA'!$H$7,'2.2 OPEX LAP 2023'!J260*'2.1 OPEX TUUA'!$H$8)</f>
        <v>22399.791242621119</v>
      </c>
      <c r="I259" s="3">
        <f>+IF(F259="Pasajero",'2.2 OPEX LAP 2023'!K260*'2.1 OPEX TUUA'!$I$7,'2.2 OPEX LAP 2023'!K260*'2.1 OPEX TUUA'!$I$8)</f>
        <v>22809.134203248905</v>
      </c>
      <c r="J259" s="3">
        <f>+IF(F259="Pasajero",'2.2 OPEX LAP 2023'!L260*'2.1 OPEX TUUA'!$J$7,'2.2 OPEX LAP 2023'!L260*'2.1 OPEX TUUA'!$J$8)</f>
        <v>23224.354097624426</v>
      </c>
      <c r="K259" s="3">
        <f>+IF(F259="Pasajero",'2.2 OPEX LAP 2023'!M260*'2.1 OPEX TUUA'!$K$7,'2.2 OPEX LAP 2023'!M260*'2.1 OPEX TUUA'!$K$8)</f>
        <v>23669.191767833137</v>
      </c>
      <c r="L259" s="3">
        <f>+IF(F259="Pasajero",'2.2 OPEX LAP 2023'!N260*'2.1 OPEX TUUA'!$L$7,'2.2 OPEX LAP 2023'!N260*'2.1 OPEX TUUA'!$L$8)</f>
        <v>24088.384941331169</v>
      </c>
      <c r="M259" s="3"/>
      <c r="N259" s="3">
        <f>+IF(F259="Pasajero",'2.2 OPEX LAP 2023'!I260*'2.1 OPEX TUUA'!$N$7,'2.2 OPEX LAP 2023'!I260*'2.1 OPEX TUUA'!$N$8)</f>
        <v>4084.0284183557405</v>
      </c>
      <c r="O259" s="3">
        <f>+IF(F259="Pasajero",'2.2 OPEX LAP 2023'!J260*'2.1 OPEX TUUA'!$O$7,'2.2 OPEX LAP 2023'!J260*'2.1 OPEX TUUA'!$O$8)</f>
        <v>4185.9773869810406</v>
      </c>
      <c r="P259" s="3">
        <f>+IF(F259="Pasajero",'2.2 OPEX LAP 2023'!K260*'2.1 OPEX TUUA'!$P$7,'2.2 OPEX LAP 2023'!K260*'2.1 OPEX TUUA'!$P$8)</f>
        <v>4262.4736524215596</v>
      </c>
      <c r="Q259" s="3">
        <f>+IF(F259="Pasajero",'2.2 OPEX LAP 2023'!L260*'2.1 OPEX TUUA'!$Q$7,'2.2 OPEX LAP 2023'!L260*'2.1 OPEX TUUA'!$Q$8)</f>
        <v>4340.068174158594</v>
      </c>
      <c r="R259" s="3">
        <f>+IF(F259="Pasajero",'2.2 OPEX LAP 2023'!M260*'2.1 OPEX TUUA'!$R$7,'2.2 OPEX LAP 2023'!M260*'2.1 OPEX TUUA'!$R$8)</f>
        <v>4423.1975394371384</v>
      </c>
      <c r="S259" s="3">
        <f>+IF(F259="Pasajero",'2.2 OPEX LAP 2023'!N260*'2.1 OPEX TUUA'!$S$7,'2.2 OPEX LAP 2023'!N260*'2.1 OPEX TUUA'!$S$8)</f>
        <v>4501.5345706189637</v>
      </c>
      <c r="AA259" s="6"/>
      <c r="AB259" s="6"/>
      <c r="AC259" s="6"/>
      <c r="AD259" s="6"/>
      <c r="AE259" s="6"/>
      <c r="AF259" s="6"/>
    </row>
    <row r="260" spans="2:32" x14ac:dyDescent="0.25">
      <c r="B260" s="16">
        <v>6380000008</v>
      </c>
      <c r="C260" s="190" t="s">
        <v>176</v>
      </c>
      <c r="D260" s="190" t="s">
        <v>40</v>
      </c>
      <c r="E260" s="190" t="s">
        <v>108</v>
      </c>
      <c r="F260" s="162" t="s">
        <v>190</v>
      </c>
      <c r="G260" s="3">
        <f>+IF(F260="Pasajero",'2.2 OPEX LAP 2023'!I261*'2.1 OPEX TUUA'!$G$7,'2.2 OPEX LAP 2023'!I261*'2.1 OPEX TUUA'!$G$8)</f>
        <v>0</v>
      </c>
      <c r="H260" s="3">
        <f>+IF(F260="Pasajero",'2.2 OPEX LAP 2023'!J261*'2.1 OPEX TUUA'!$H$7,'2.2 OPEX LAP 2023'!J261*'2.1 OPEX TUUA'!$H$8)</f>
        <v>0</v>
      </c>
      <c r="I260" s="3">
        <f>+IF(F260="Pasajero",'2.2 OPEX LAP 2023'!K261*'2.1 OPEX TUUA'!$I$7,'2.2 OPEX LAP 2023'!K261*'2.1 OPEX TUUA'!$I$8)</f>
        <v>0</v>
      </c>
      <c r="J260" s="3">
        <f>+IF(F260="Pasajero",'2.2 OPEX LAP 2023'!L261*'2.1 OPEX TUUA'!$J$7,'2.2 OPEX LAP 2023'!L261*'2.1 OPEX TUUA'!$J$8)</f>
        <v>0</v>
      </c>
      <c r="K260" s="3">
        <f>+IF(F260="Pasajero",'2.2 OPEX LAP 2023'!M261*'2.1 OPEX TUUA'!$K$7,'2.2 OPEX LAP 2023'!M261*'2.1 OPEX TUUA'!$K$8)</f>
        <v>0</v>
      </c>
      <c r="L260" s="3">
        <f>+IF(F260="Pasajero",'2.2 OPEX LAP 2023'!N261*'2.1 OPEX TUUA'!$L$7,'2.2 OPEX LAP 2023'!N261*'2.1 OPEX TUUA'!$L$8)</f>
        <v>0</v>
      </c>
      <c r="M260" s="3"/>
      <c r="N260" s="3">
        <f>+IF(F260="Pasajero",'2.2 OPEX LAP 2023'!I261*'2.1 OPEX TUUA'!$N$7,'2.2 OPEX LAP 2023'!I261*'2.1 OPEX TUUA'!$N$8)</f>
        <v>0</v>
      </c>
      <c r="O260" s="3">
        <f>+IF(F260="Pasajero",'2.2 OPEX LAP 2023'!J261*'2.1 OPEX TUUA'!$O$7,'2.2 OPEX LAP 2023'!J261*'2.1 OPEX TUUA'!$O$8)</f>
        <v>0</v>
      </c>
      <c r="P260" s="3">
        <f>+IF(F260="Pasajero",'2.2 OPEX LAP 2023'!K261*'2.1 OPEX TUUA'!$P$7,'2.2 OPEX LAP 2023'!K261*'2.1 OPEX TUUA'!$P$8)</f>
        <v>0</v>
      </c>
      <c r="Q260" s="3">
        <f>+IF(F260="Pasajero",'2.2 OPEX LAP 2023'!L261*'2.1 OPEX TUUA'!$Q$7,'2.2 OPEX LAP 2023'!L261*'2.1 OPEX TUUA'!$Q$8)</f>
        <v>0</v>
      </c>
      <c r="R260" s="3">
        <f>+IF(F260="Pasajero",'2.2 OPEX LAP 2023'!M261*'2.1 OPEX TUUA'!$R$7,'2.2 OPEX LAP 2023'!M261*'2.1 OPEX TUUA'!$R$8)</f>
        <v>0</v>
      </c>
      <c r="S260" s="3">
        <f>+IF(F260="Pasajero",'2.2 OPEX LAP 2023'!N261*'2.1 OPEX TUUA'!$S$7,'2.2 OPEX LAP 2023'!N261*'2.1 OPEX TUUA'!$S$8)</f>
        <v>0</v>
      </c>
      <c r="AA260" s="6"/>
      <c r="AB260" s="6"/>
      <c r="AC260" s="6"/>
      <c r="AD260" s="6"/>
      <c r="AE260" s="6"/>
      <c r="AF260" s="6"/>
    </row>
    <row r="261" spans="2:32" x14ac:dyDescent="0.25">
      <c r="B261" s="16">
        <v>6380000009</v>
      </c>
      <c r="C261" s="190" t="s">
        <v>176</v>
      </c>
      <c r="D261" s="190" t="s">
        <v>40</v>
      </c>
      <c r="E261" s="190" t="s">
        <v>109</v>
      </c>
      <c r="F261" s="162" t="s">
        <v>190</v>
      </c>
      <c r="G261" s="3">
        <f>+IF(F261="Pasajero",'2.2 OPEX LAP 2023'!I262*'2.1 OPEX TUUA'!$G$7,'2.2 OPEX LAP 2023'!I262*'2.1 OPEX TUUA'!$G$8)</f>
        <v>0</v>
      </c>
      <c r="H261" s="3">
        <f>+IF(F261="Pasajero",'2.2 OPEX LAP 2023'!J262*'2.1 OPEX TUUA'!$H$7,'2.2 OPEX LAP 2023'!J262*'2.1 OPEX TUUA'!$H$8)</f>
        <v>0</v>
      </c>
      <c r="I261" s="3">
        <f>+IF(F261="Pasajero",'2.2 OPEX LAP 2023'!K262*'2.1 OPEX TUUA'!$I$7,'2.2 OPEX LAP 2023'!K262*'2.1 OPEX TUUA'!$I$8)</f>
        <v>0</v>
      </c>
      <c r="J261" s="3">
        <f>+IF(F261="Pasajero",'2.2 OPEX LAP 2023'!L262*'2.1 OPEX TUUA'!$J$7,'2.2 OPEX LAP 2023'!L262*'2.1 OPEX TUUA'!$J$8)</f>
        <v>0</v>
      </c>
      <c r="K261" s="3">
        <f>+IF(F261="Pasajero",'2.2 OPEX LAP 2023'!M262*'2.1 OPEX TUUA'!$K$7,'2.2 OPEX LAP 2023'!M262*'2.1 OPEX TUUA'!$K$8)</f>
        <v>0</v>
      </c>
      <c r="L261" s="3">
        <f>+IF(F261="Pasajero",'2.2 OPEX LAP 2023'!N262*'2.1 OPEX TUUA'!$L$7,'2.2 OPEX LAP 2023'!N262*'2.1 OPEX TUUA'!$L$8)</f>
        <v>0</v>
      </c>
      <c r="M261" s="3"/>
      <c r="N261" s="3">
        <f>+IF(F261="Pasajero",'2.2 OPEX LAP 2023'!I262*'2.1 OPEX TUUA'!$N$7,'2.2 OPEX LAP 2023'!I262*'2.1 OPEX TUUA'!$N$8)</f>
        <v>0</v>
      </c>
      <c r="O261" s="3">
        <f>+IF(F261="Pasajero",'2.2 OPEX LAP 2023'!J262*'2.1 OPEX TUUA'!$O$7,'2.2 OPEX LAP 2023'!J262*'2.1 OPEX TUUA'!$O$8)</f>
        <v>0</v>
      </c>
      <c r="P261" s="3">
        <f>+IF(F261="Pasajero",'2.2 OPEX LAP 2023'!K262*'2.1 OPEX TUUA'!$P$7,'2.2 OPEX LAP 2023'!K262*'2.1 OPEX TUUA'!$P$8)</f>
        <v>0</v>
      </c>
      <c r="Q261" s="3">
        <f>+IF(F261="Pasajero",'2.2 OPEX LAP 2023'!L262*'2.1 OPEX TUUA'!$Q$7,'2.2 OPEX LAP 2023'!L262*'2.1 OPEX TUUA'!$Q$8)</f>
        <v>0</v>
      </c>
      <c r="R261" s="3">
        <f>+IF(F261="Pasajero",'2.2 OPEX LAP 2023'!M262*'2.1 OPEX TUUA'!$R$7,'2.2 OPEX LAP 2023'!M262*'2.1 OPEX TUUA'!$R$8)</f>
        <v>0</v>
      </c>
      <c r="S261" s="3">
        <f>+IF(F261="Pasajero",'2.2 OPEX LAP 2023'!N262*'2.1 OPEX TUUA'!$S$7,'2.2 OPEX LAP 2023'!N262*'2.1 OPEX TUUA'!$S$8)</f>
        <v>0</v>
      </c>
      <c r="AA261" s="6"/>
      <c r="AB261" s="6"/>
      <c r="AC261" s="6"/>
      <c r="AD261" s="6"/>
      <c r="AE261" s="6"/>
      <c r="AF261" s="6"/>
    </row>
    <row r="262" spans="2:32" x14ac:dyDescent="0.25">
      <c r="B262" s="16">
        <v>6380000010</v>
      </c>
      <c r="C262" s="190" t="s">
        <v>176</v>
      </c>
      <c r="D262" s="190" t="s">
        <v>40</v>
      </c>
      <c r="E262" s="190" t="s">
        <v>110</v>
      </c>
      <c r="F262" s="162" t="s">
        <v>190</v>
      </c>
      <c r="G262" s="3">
        <f>+IF(F262="Pasajero",'2.2 OPEX LAP 2023'!I263*'2.1 OPEX TUUA'!$G$7,'2.2 OPEX LAP 2023'!I263*'2.1 OPEX TUUA'!$G$8)</f>
        <v>25.482961679559473</v>
      </c>
      <c r="H262" s="3">
        <f>+IF(F262="Pasajero",'2.2 OPEX LAP 2023'!J263*'2.1 OPEX TUUA'!$H$7,'2.2 OPEX LAP 2023'!J263*'2.1 OPEX TUUA'!$H$8)</f>
        <v>29.962124512965737</v>
      </c>
      <c r="I262" s="3">
        <f>+IF(F262="Pasajero",'2.2 OPEX LAP 2023'!K263*'2.1 OPEX TUUA'!$I$7,'2.2 OPEX LAP 2023'!K263*'2.1 OPEX TUUA'!$I$8)</f>
        <v>33.728881480485974</v>
      </c>
      <c r="J262" s="3">
        <f>+IF(F262="Pasajero",'2.2 OPEX LAP 2023'!L263*'2.1 OPEX TUUA'!$J$7,'2.2 OPEX LAP 2023'!L263*'2.1 OPEX TUUA'!$J$8)</f>
        <v>35.789361937286635</v>
      </c>
      <c r="K262" s="3">
        <f>+IF(F262="Pasajero",'2.2 OPEX LAP 2023'!M263*'2.1 OPEX TUUA'!$K$7,'2.2 OPEX LAP 2023'!M263*'2.1 OPEX TUUA'!$K$8)</f>
        <v>37.290812567248473</v>
      </c>
      <c r="L262" s="3">
        <f>+IF(F262="Pasajero",'2.2 OPEX LAP 2023'!N263*'2.1 OPEX TUUA'!$L$7,'2.2 OPEX LAP 2023'!N263*'2.1 OPEX TUUA'!$L$8)</f>
        <v>38.964800391135682</v>
      </c>
      <c r="M262" s="3"/>
      <c r="N262" s="3">
        <f>+IF(F262="Pasajero",'2.2 OPEX LAP 2023'!I263*'2.1 OPEX TUUA'!$N$7,'2.2 OPEX LAP 2023'!I263*'2.1 OPEX TUUA'!$N$8)</f>
        <v>12.568635617061378</v>
      </c>
      <c r="O262" s="3">
        <f>+IF(F262="Pasajero",'2.2 OPEX LAP 2023'!J263*'2.1 OPEX TUUA'!$O$7,'2.2 OPEX LAP 2023'!J263*'2.1 OPEX TUUA'!$O$8)</f>
        <v>12.409210140858324</v>
      </c>
      <c r="P262" s="3">
        <f>+IF(F262="Pasajero",'2.2 OPEX LAP 2023'!K263*'2.1 OPEX TUUA'!$P$7,'2.2 OPEX LAP 2023'!K263*'2.1 OPEX TUUA'!$P$8)</f>
        <v>12.349110730106414</v>
      </c>
      <c r="Q262" s="3">
        <f>+IF(F262="Pasajero",'2.2 OPEX LAP 2023'!L263*'2.1 OPEX TUUA'!$Q$7,'2.2 OPEX LAP 2023'!L263*'2.1 OPEX TUUA'!$Q$8)</f>
        <v>12.28687807766215</v>
      </c>
      <c r="R262" s="3">
        <f>+IF(F262="Pasajero",'2.2 OPEX LAP 2023'!M263*'2.1 OPEX TUUA'!$R$7,'2.2 OPEX LAP 2023'!M263*'2.1 OPEX TUUA'!$R$8)</f>
        <v>12.363603650388919</v>
      </c>
      <c r="S262" s="3">
        <f>+IF(F262="Pasajero",'2.2 OPEX LAP 2023'!N263*'2.1 OPEX TUUA'!$S$7,'2.2 OPEX LAP 2023'!N263*'2.1 OPEX TUUA'!$S$8)</f>
        <v>12.384402282214964</v>
      </c>
      <c r="AA262" s="6"/>
      <c r="AB262" s="6"/>
      <c r="AC262" s="6"/>
      <c r="AD262" s="6"/>
      <c r="AE262" s="6"/>
      <c r="AF262" s="6"/>
    </row>
    <row r="263" spans="2:32" x14ac:dyDescent="0.25">
      <c r="B263" s="16">
        <v>6380000012</v>
      </c>
      <c r="C263" s="190" t="s">
        <v>176</v>
      </c>
      <c r="D263" s="190" t="s">
        <v>40</v>
      </c>
      <c r="E263" s="190" t="s">
        <v>111</v>
      </c>
      <c r="F263" s="162" t="s">
        <v>190</v>
      </c>
      <c r="G263" s="3">
        <f>+IF(F263="Pasajero",'2.2 OPEX LAP 2023'!I264*'2.1 OPEX TUUA'!$G$7,'2.2 OPEX LAP 2023'!I264*'2.1 OPEX TUUA'!$G$8)</f>
        <v>22.628173312997404</v>
      </c>
      <c r="H263" s="3">
        <f>+IF(F263="Pasajero",'2.2 OPEX LAP 2023'!J264*'2.1 OPEX TUUA'!$H$7,'2.2 OPEX LAP 2023'!J264*'2.1 OPEX TUUA'!$H$8)</f>
        <v>26.605547456786706</v>
      </c>
      <c r="I263" s="3">
        <f>+IF(F263="Pasajero",'2.2 OPEX LAP 2023'!K264*'2.1 OPEX TUUA'!$I$7,'2.2 OPEX LAP 2023'!K264*'2.1 OPEX TUUA'!$I$8)</f>
        <v>29.950324667567408</v>
      </c>
      <c r="J263" s="3">
        <f>+IF(F263="Pasajero",'2.2 OPEX LAP 2023'!L264*'2.1 OPEX TUUA'!$J$7,'2.2 OPEX LAP 2023'!L264*'2.1 OPEX TUUA'!$J$8)</f>
        <v>31.77997498336757</v>
      </c>
      <c r="K263" s="3">
        <f>+IF(F263="Pasajero",'2.2 OPEX LAP 2023'!M264*'2.1 OPEX TUUA'!$K$7,'2.2 OPEX LAP 2023'!M264*'2.1 OPEX TUUA'!$K$8)</f>
        <v>33.11322209580733</v>
      </c>
      <c r="L263" s="3">
        <f>+IF(F263="Pasajero",'2.2 OPEX LAP 2023'!N264*'2.1 OPEX TUUA'!$L$7,'2.2 OPEX LAP 2023'!N264*'2.1 OPEX TUUA'!$L$8)</f>
        <v>34.599677519595502</v>
      </c>
      <c r="M263" s="3"/>
      <c r="N263" s="3">
        <f>+IF(F263="Pasajero",'2.2 OPEX LAP 2023'!I264*'2.1 OPEX TUUA'!$N$7,'2.2 OPEX LAP 2023'!I264*'2.1 OPEX TUUA'!$N$8)</f>
        <v>11.160604824003075</v>
      </c>
      <c r="O263" s="3">
        <f>+IF(F263="Pasajero",'2.2 OPEX LAP 2023'!J264*'2.1 OPEX TUUA'!$O$7,'2.2 OPEX LAP 2023'!J264*'2.1 OPEX TUUA'!$O$8)</f>
        <v>11.019039359541244</v>
      </c>
      <c r="P263" s="3">
        <f>+IF(F263="Pasajero",'2.2 OPEX LAP 2023'!K264*'2.1 OPEX TUUA'!$P$7,'2.2 OPEX LAP 2023'!K264*'2.1 OPEX TUUA'!$P$8)</f>
        <v>10.965672725803609</v>
      </c>
      <c r="Q263" s="3">
        <f>+IF(F263="Pasajero",'2.2 OPEX LAP 2023'!L264*'2.1 OPEX TUUA'!$Q$7,'2.2 OPEX LAP 2023'!L264*'2.1 OPEX TUUA'!$Q$8)</f>
        <v>10.910411831762165</v>
      </c>
      <c r="R263" s="3">
        <f>+IF(F263="Pasajero",'2.2 OPEX LAP 2023'!M264*'2.1 OPEX TUUA'!$R$7,'2.2 OPEX LAP 2023'!M264*'2.1 OPEX TUUA'!$R$8)</f>
        <v>10.978542042804039</v>
      </c>
      <c r="S263" s="3">
        <f>+IF(F263="Pasajero",'2.2 OPEX LAP 2023'!N264*'2.1 OPEX TUUA'!$S$7,'2.2 OPEX LAP 2023'!N264*'2.1 OPEX TUUA'!$S$8)</f>
        <v>10.997010659268287</v>
      </c>
      <c r="AA263" s="6"/>
      <c r="AB263" s="6"/>
      <c r="AC263" s="6"/>
      <c r="AD263" s="6"/>
      <c r="AE263" s="6"/>
      <c r="AF263" s="6"/>
    </row>
    <row r="264" spans="2:32" x14ac:dyDescent="0.25">
      <c r="B264" s="16">
        <v>6380000014</v>
      </c>
      <c r="C264" s="190" t="s">
        <v>176</v>
      </c>
      <c r="D264" s="190" t="s">
        <v>49</v>
      </c>
      <c r="E264" s="190" t="s">
        <v>112</v>
      </c>
      <c r="F264" s="162" t="s">
        <v>190</v>
      </c>
      <c r="G264" s="3">
        <f>+IF(F264="Pasajero",'2.2 OPEX LAP 2023'!I265*'2.1 OPEX TUUA'!$G$7,'2.2 OPEX LAP 2023'!I265*'2.1 OPEX TUUA'!$G$8)</f>
        <v>0</v>
      </c>
      <c r="H264" s="3">
        <f>+IF(F264="Pasajero",'2.2 OPEX LAP 2023'!J265*'2.1 OPEX TUUA'!$H$7,'2.2 OPEX LAP 2023'!J265*'2.1 OPEX TUUA'!$H$8)</f>
        <v>0</v>
      </c>
      <c r="I264" s="3">
        <f>+IF(F264="Pasajero",'2.2 OPEX LAP 2023'!K265*'2.1 OPEX TUUA'!$I$7,'2.2 OPEX LAP 2023'!K265*'2.1 OPEX TUUA'!$I$8)</f>
        <v>0</v>
      </c>
      <c r="J264" s="3">
        <f>+IF(F264="Pasajero",'2.2 OPEX LAP 2023'!L265*'2.1 OPEX TUUA'!$J$7,'2.2 OPEX LAP 2023'!L265*'2.1 OPEX TUUA'!$J$8)</f>
        <v>0</v>
      </c>
      <c r="K264" s="3">
        <f>+IF(F264="Pasajero",'2.2 OPEX LAP 2023'!M265*'2.1 OPEX TUUA'!$K$7,'2.2 OPEX LAP 2023'!M265*'2.1 OPEX TUUA'!$K$8)</f>
        <v>0</v>
      </c>
      <c r="L264" s="3">
        <f>+IF(F264="Pasajero",'2.2 OPEX LAP 2023'!N265*'2.1 OPEX TUUA'!$L$7,'2.2 OPEX LAP 2023'!N265*'2.1 OPEX TUUA'!$L$8)</f>
        <v>0</v>
      </c>
      <c r="M264" s="3"/>
      <c r="N264" s="3">
        <f>+IF(F264="Pasajero",'2.2 OPEX LAP 2023'!I265*'2.1 OPEX TUUA'!$N$7,'2.2 OPEX LAP 2023'!I265*'2.1 OPEX TUUA'!$N$8)</f>
        <v>0</v>
      </c>
      <c r="O264" s="3">
        <f>+IF(F264="Pasajero",'2.2 OPEX LAP 2023'!J265*'2.1 OPEX TUUA'!$O$7,'2.2 OPEX LAP 2023'!J265*'2.1 OPEX TUUA'!$O$8)</f>
        <v>0</v>
      </c>
      <c r="P264" s="3">
        <f>+IF(F264="Pasajero",'2.2 OPEX LAP 2023'!K265*'2.1 OPEX TUUA'!$P$7,'2.2 OPEX LAP 2023'!K265*'2.1 OPEX TUUA'!$P$8)</f>
        <v>0</v>
      </c>
      <c r="Q264" s="3">
        <f>+IF(F264="Pasajero",'2.2 OPEX LAP 2023'!L265*'2.1 OPEX TUUA'!$Q$7,'2.2 OPEX LAP 2023'!L265*'2.1 OPEX TUUA'!$Q$8)</f>
        <v>0</v>
      </c>
      <c r="R264" s="3">
        <f>+IF(F264="Pasajero",'2.2 OPEX LAP 2023'!M265*'2.1 OPEX TUUA'!$R$7,'2.2 OPEX LAP 2023'!M265*'2.1 OPEX TUUA'!$R$8)</f>
        <v>0</v>
      </c>
      <c r="S264" s="3">
        <f>+IF(F264="Pasajero",'2.2 OPEX LAP 2023'!N265*'2.1 OPEX TUUA'!$S$7,'2.2 OPEX LAP 2023'!N265*'2.1 OPEX TUUA'!$S$8)</f>
        <v>0</v>
      </c>
      <c r="AA264" s="6"/>
      <c r="AB264" s="6"/>
      <c r="AC264" s="6"/>
      <c r="AD264" s="6"/>
      <c r="AE264" s="6"/>
      <c r="AF264" s="6"/>
    </row>
    <row r="265" spans="2:32" x14ac:dyDescent="0.25">
      <c r="B265" s="16">
        <v>6380000015</v>
      </c>
      <c r="C265" s="190" t="s">
        <v>176</v>
      </c>
      <c r="D265" s="190" t="s">
        <v>40</v>
      </c>
      <c r="E265" s="190" t="s">
        <v>113</v>
      </c>
      <c r="F265" s="162" t="s">
        <v>190</v>
      </c>
      <c r="G265" s="3">
        <f>+IF(F265="Pasajero",'2.2 OPEX LAP 2023'!I266*'2.1 OPEX TUUA'!$G$7,'2.2 OPEX LAP 2023'!I266*'2.1 OPEX TUUA'!$G$8)</f>
        <v>0</v>
      </c>
      <c r="H265" s="3">
        <f>+IF(F265="Pasajero",'2.2 OPEX LAP 2023'!J266*'2.1 OPEX TUUA'!$H$7,'2.2 OPEX LAP 2023'!J266*'2.1 OPEX TUUA'!$H$8)</f>
        <v>0</v>
      </c>
      <c r="I265" s="3">
        <f>+IF(F265="Pasajero",'2.2 OPEX LAP 2023'!K266*'2.1 OPEX TUUA'!$I$7,'2.2 OPEX LAP 2023'!K266*'2.1 OPEX TUUA'!$I$8)</f>
        <v>0</v>
      </c>
      <c r="J265" s="3">
        <f>+IF(F265="Pasajero",'2.2 OPEX LAP 2023'!L266*'2.1 OPEX TUUA'!$J$7,'2.2 OPEX LAP 2023'!L266*'2.1 OPEX TUUA'!$J$8)</f>
        <v>0</v>
      </c>
      <c r="K265" s="3">
        <f>+IF(F265="Pasajero",'2.2 OPEX LAP 2023'!M266*'2.1 OPEX TUUA'!$K$7,'2.2 OPEX LAP 2023'!M266*'2.1 OPEX TUUA'!$K$8)</f>
        <v>0</v>
      </c>
      <c r="L265" s="3">
        <f>+IF(F265="Pasajero",'2.2 OPEX LAP 2023'!N266*'2.1 OPEX TUUA'!$L$7,'2.2 OPEX LAP 2023'!N266*'2.1 OPEX TUUA'!$L$8)</f>
        <v>0</v>
      </c>
      <c r="M265" s="3"/>
      <c r="N265" s="3">
        <f>+IF(F265="Pasajero",'2.2 OPEX LAP 2023'!I266*'2.1 OPEX TUUA'!$N$7,'2.2 OPEX LAP 2023'!I266*'2.1 OPEX TUUA'!$N$8)</f>
        <v>0</v>
      </c>
      <c r="O265" s="3">
        <f>+IF(F265="Pasajero",'2.2 OPEX LAP 2023'!J266*'2.1 OPEX TUUA'!$O$7,'2.2 OPEX LAP 2023'!J266*'2.1 OPEX TUUA'!$O$8)</f>
        <v>0</v>
      </c>
      <c r="P265" s="3">
        <f>+IF(F265="Pasajero",'2.2 OPEX LAP 2023'!K266*'2.1 OPEX TUUA'!$P$7,'2.2 OPEX LAP 2023'!K266*'2.1 OPEX TUUA'!$P$8)</f>
        <v>0</v>
      </c>
      <c r="Q265" s="3">
        <f>+IF(F265="Pasajero",'2.2 OPEX LAP 2023'!L266*'2.1 OPEX TUUA'!$Q$7,'2.2 OPEX LAP 2023'!L266*'2.1 OPEX TUUA'!$Q$8)</f>
        <v>0</v>
      </c>
      <c r="R265" s="3">
        <f>+IF(F265="Pasajero",'2.2 OPEX LAP 2023'!M266*'2.1 OPEX TUUA'!$R$7,'2.2 OPEX LAP 2023'!M266*'2.1 OPEX TUUA'!$R$8)</f>
        <v>0</v>
      </c>
      <c r="S265" s="3">
        <f>+IF(F265="Pasajero",'2.2 OPEX LAP 2023'!N266*'2.1 OPEX TUUA'!$S$7,'2.2 OPEX LAP 2023'!N266*'2.1 OPEX TUUA'!$S$8)</f>
        <v>0</v>
      </c>
      <c r="AA265" s="6"/>
      <c r="AB265" s="6"/>
      <c r="AC265" s="6"/>
      <c r="AD265" s="6"/>
      <c r="AE265" s="6"/>
      <c r="AF265" s="6"/>
    </row>
    <row r="266" spans="2:32" x14ac:dyDescent="0.25">
      <c r="B266" s="16">
        <v>6380000016</v>
      </c>
      <c r="C266" s="190" t="s">
        <v>176</v>
      </c>
      <c r="D266" s="190" t="s">
        <v>49</v>
      </c>
      <c r="E266" s="190" t="s">
        <v>114</v>
      </c>
      <c r="F266" s="162" t="s">
        <v>190</v>
      </c>
      <c r="G266" s="3">
        <f>+IF(F266="Pasajero",'2.2 OPEX LAP 2023'!I267*'2.1 OPEX TUUA'!$G$7,'2.2 OPEX LAP 2023'!I267*'2.1 OPEX TUUA'!$G$8)</f>
        <v>0</v>
      </c>
      <c r="H266" s="3">
        <f>+IF(F266="Pasajero",'2.2 OPEX LAP 2023'!J267*'2.1 OPEX TUUA'!$H$7,'2.2 OPEX LAP 2023'!J267*'2.1 OPEX TUUA'!$H$8)</f>
        <v>0</v>
      </c>
      <c r="I266" s="3">
        <f>+IF(F266="Pasajero",'2.2 OPEX LAP 2023'!K267*'2.1 OPEX TUUA'!$I$7,'2.2 OPEX LAP 2023'!K267*'2.1 OPEX TUUA'!$I$8)</f>
        <v>0</v>
      </c>
      <c r="J266" s="3">
        <f>+IF(F266="Pasajero",'2.2 OPEX LAP 2023'!L267*'2.1 OPEX TUUA'!$J$7,'2.2 OPEX LAP 2023'!L267*'2.1 OPEX TUUA'!$J$8)</f>
        <v>0</v>
      </c>
      <c r="K266" s="3">
        <f>+IF(F266="Pasajero",'2.2 OPEX LAP 2023'!M267*'2.1 OPEX TUUA'!$K$7,'2.2 OPEX LAP 2023'!M267*'2.1 OPEX TUUA'!$K$8)</f>
        <v>0</v>
      </c>
      <c r="L266" s="3">
        <f>+IF(F266="Pasajero",'2.2 OPEX LAP 2023'!N267*'2.1 OPEX TUUA'!$L$7,'2.2 OPEX LAP 2023'!N267*'2.1 OPEX TUUA'!$L$8)</f>
        <v>0</v>
      </c>
      <c r="M266" s="3"/>
      <c r="N266" s="3">
        <f>+IF(F266="Pasajero",'2.2 OPEX LAP 2023'!I267*'2.1 OPEX TUUA'!$N$7,'2.2 OPEX LAP 2023'!I267*'2.1 OPEX TUUA'!$N$8)</f>
        <v>0</v>
      </c>
      <c r="O266" s="3">
        <f>+IF(F266="Pasajero",'2.2 OPEX LAP 2023'!J267*'2.1 OPEX TUUA'!$O$7,'2.2 OPEX LAP 2023'!J267*'2.1 OPEX TUUA'!$O$8)</f>
        <v>0</v>
      </c>
      <c r="P266" s="3">
        <f>+IF(F266="Pasajero",'2.2 OPEX LAP 2023'!K267*'2.1 OPEX TUUA'!$P$7,'2.2 OPEX LAP 2023'!K267*'2.1 OPEX TUUA'!$P$8)</f>
        <v>0</v>
      </c>
      <c r="Q266" s="3">
        <f>+IF(F266="Pasajero",'2.2 OPEX LAP 2023'!L267*'2.1 OPEX TUUA'!$Q$7,'2.2 OPEX LAP 2023'!L267*'2.1 OPEX TUUA'!$Q$8)</f>
        <v>0</v>
      </c>
      <c r="R266" s="3">
        <f>+IF(F266="Pasajero",'2.2 OPEX LAP 2023'!M267*'2.1 OPEX TUUA'!$R$7,'2.2 OPEX LAP 2023'!M267*'2.1 OPEX TUUA'!$R$8)</f>
        <v>0</v>
      </c>
      <c r="S266" s="3">
        <f>+IF(F266="Pasajero",'2.2 OPEX LAP 2023'!N267*'2.1 OPEX TUUA'!$S$7,'2.2 OPEX LAP 2023'!N267*'2.1 OPEX TUUA'!$S$8)</f>
        <v>0</v>
      </c>
      <c r="AA266" s="6"/>
      <c r="AB266" s="6"/>
      <c r="AC266" s="6"/>
      <c r="AD266" s="6"/>
      <c r="AE266" s="6"/>
      <c r="AF266" s="6"/>
    </row>
    <row r="267" spans="2:32" x14ac:dyDescent="0.25">
      <c r="B267" s="16">
        <v>6380000017</v>
      </c>
      <c r="C267" s="190" t="s">
        <v>176</v>
      </c>
      <c r="D267" s="190" t="s">
        <v>49</v>
      </c>
      <c r="E267" s="190" t="s">
        <v>115</v>
      </c>
      <c r="F267" s="162" t="s">
        <v>190</v>
      </c>
      <c r="G267" s="3">
        <f>+IF(F267="Pasajero",'2.2 OPEX LAP 2023'!I268*'2.1 OPEX TUUA'!$G$7,'2.2 OPEX LAP 2023'!I268*'2.1 OPEX TUUA'!$G$8)</f>
        <v>0</v>
      </c>
      <c r="H267" s="3">
        <f>+IF(F267="Pasajero",'2.2 OPEX LAP 2023'!J268*'2.1 OPEX TUUA'!$H$7,'2.2 OPEX LAP 2023'!J268*'2.1 OPEX TUUA'!$H$8)</f>
        <v>0</v>
      </c>
      <c r="I267" s="3">
        <f>+IF(F267="Pasajero",'2.2 OPEX LAP 2023'!K268*'2.1 OPEX TUUA'!$I$7,'2.2 OPEX LAP 2023'!K268*'2.1 OPEX TUUA'!$I$8)</f>
        <v>0</v>
      </c>
      <c r="J267" s="3">
        <f>+IF(F267="Pasajero",'2.2 OPEX LAP 2023'!L268*'2.1 OPEX TUUA'!$J$7,'2.2 OPEX LAP 2023'!L268*'2.1 OPEX TUUA'!$J$8)</f>
        <v>0</v>
      </c>
      <c r="K267" s="3">
        <f>+IF(F267="Pasajero",'2.2 OPEX LAP 2023'!M268*'2.1 OPEX TUUA'!$K$7,'2.2 OPEX LAP 2023'!M268*'2.1 OPEX TUUA'!$K$8)</f>
        <v>0</v>
      </c>
      <c r="L267" s="3">
        <f>+IF(F267="Pasajero",'2.2 OPEX LAP 2023'!N268*'2.1 OPEX TUUA'!$L$7,'2.2 OPEX LAP 2023'!N268*'2.1 OPEX TUUA'!$L$8)</f>
        <v>0</v>
      </c>
      <c r="M267" s="3"/>
      <c r="N267" s="3">
        <f>+IF(F267="Pasajero",'2.2 OPEX LAP 2023'!I268*'2.1 OPEX TUUA'!$N$7,'2.2 OPEX LAP 2023'!I268*'2.1 OPEX TUUA'!$N$8)</f>
        <v>0</v>
      </c>
      <c r="O267" s="3">
        <f>+IF(F267="Pasajero",'2.2 OPEX LAP 2023'!J268*'2.1 OPEX TUUA'!$O$7,'2.2 OPEX LAP 2023'!J268*'2.1 OPEX TUUA'!$O$8)</f>
        <v>0</v>
      </c>
      <c r="P267" s="3">
        <f>+IF(F267="Pasajero",'2.2 OPEX LAP 2023'!K268*'2.1 OPEX TUUA'!$P$7,'2.2 OPEX LAP 2023'!K268*'2.1 OPEX TUUA'!$P$8)</f>
        <v>0</v>
      </c>
      <c r="Q267" s="3">
        <f>+IF(F267="Pasajero",'2.2 OPEX LAP 2023'!L268*'2.1 OPEX TUUA'!$Q$7,'2.2 OPEX LAP 2023'!L268*'2.1 OPEX TUUA'!$Q$8)</f>
        <v>0</v>
      </c>
      <c r="R267" s="3">
        <f>+IF(F267="Pasajero",'2.2 OPEX LAP 2023'!M268*'2.1 OPEX TUUA'!$R$7,'2.2 OPEX LAP 2023'!M268*'2.1 OPEX TUUA'!$R$8)</f>
        <v>0</v>
      </c>
      <c r="S267" s="3">
        <f>+IF(F267="Pasajero",'2.2 OPEX LAP 2023'!N268*'2.1 OPEX TUUA'!$S$7,'2.2 OPEX LAP 2023'!N268*'2.1 OPEX TUUA'!$S$8)</f>
        <v>0</v>
      </c>
      <c r="AA267" s="6"/>
      <c r="AB267" s="6"/>
      <c r="AC267" s="6"/>
      <c r="AD267" s="6"/>
      <c r="AE267" s="6"/>
      <c r="AF267" s="6"/>
    </row>
    <row r="268" spans="2:32" x14ac:dyDescent="0.25">
      <c r="B268" s="16">
        <v>6380000018</v>
      </c>
      <c r="C268" s="190" t="s">
        <v>176</v>
      </c>
      <c r="D268" s="190" t="s">
        <v>49</v>
      </c>
      <c r="E268" s="190" t="s">
        <v>116</v>
      </c>
      <c r="F268" s="162" t="s">
        <v>190</v>
      </c>
      <c r="G268" s="3">
        <f>+IF(F268="Pasajero",'2.2 OPEX LAP 2023'!I269*'2.1 OPEX TUUA'!$G$7,'2.2 OPEX LAP 2023'!I269*'2.1 OPEX TUUA'!$G$8)</f>
        <v>0</v>
      </c>
      <c r="H268" s="3">
        <f>+IF(F268="Pasajero",'2.2 OPEX LAP 2023'!J269*'2.1 OPEX TUUA'!$H$7,'2.2 OPEX LAP 2023'!J269*'2.1 OPEX TUUA'!$H$8)</f>
        <v>0</v>
      </c>
      <c r="I268" s="3">
        <f>+IF(F268="Pasajero",'2.2 OPEX LAP 2023'!K269*'2.1 OPEX TUUA'!$I$7,'2.2 OPEX LAP 2023'!K269*'2.1 OPEX TUUA'!$I$8)</f>
        <v>0</v>
      </c>
      <c r="J268" s="3">
        <f>+IF(F268="Pasajero",'2.2 OPEX LAP 2023'!L269*'2.1 OPEX TUUA'!$J$7,'2.2 OPEX LAP 2023'!L269*'2.1 OPEX TUUA'!$J$8)</f>
        <v>0</v>
      </c>
      <c r="K268" s="3">
        <f>+IF(F268="Pasajero",'2.2 OPEX LAP 2023'!M269*'2.1 OPEX TUUA'!$K$7,'2.2 OPEX LAP 2023'!M269*'2.1 OPEX TUUA'!$K$8)</f>
        <v>0</v>
      </c>
      <c r="L268" s="3">
        <f>+IF(F268="Pasajero",'2.2 OPEX LAP 2023'!N269*'2.1 OPEX TUUA'!$L$7,'2.2 OPEX LAP 2023'!N269*'2.1 OPEX TUUA'!$L$8)</f>
        <v>0</v>
      </c>
      <c r="M268" s="3"/>
      <c r="N268" s="3">
        <f>+IF(F268="Pasajero",'2.2 OPEX LAP 2023'!I269*'2.1 OPEX TUUA'!$N$7,'2.2 OPEX LAP 2023'!I269*'2.1 OPEX TUUA'!$N$8)</f>
        <v>0</v>
      </c>
      <c r="O268" s="3">
        <f>+IF(F268="Pasajero",'2.2 OPEX LAP 2023'!J269*'2.1 OPEX TUUA'!$O$7,'2.2 OPEX LAP 2023'!J269*'2.1 OPEX TUUA'!$O$8)</f>
        <v>0</v>
      </c>
      <c r="P268" s="3">
        <f>+IF(F268="Pasajero",'2.2 OPEX LAP 2023'!K269*'2.1 OPEX TUUA'!$P$7,'2.2 OPEX LAP 2023'!K269*'2.1 OPEX TUUA'!$P$8)</f>
        <v>0</v>
      </c>
      <c r="Q268" s="3">
        <f>+IF(F268="Pasajero",'2.2 OPEX LAP 2023'!L269*'2.1 OPEX TUUA'!$Q$7,'2.2 OPEX LAP 2023'!L269*'2.1 OPEX TUUA'!$Q$8)</f>
        <v>0</v>
      </c>
      <c r="R268" s="3">
        <f>+IF(F268="Pasajero",'2.2 OPEX LAP 2023'!M269*'2.1 OPEX TUUA'!$R$7,'2.2 OPEX LAP 2023'!M269*'2.1 OPEX TUUA'!$R$8)</f>
        <v>0</v>
      </c>
      <c r="S268" s="3">
        <f>+IF(F268="Pasajero",'2.2 OPEX LAP 2023'!N269*'2.1 OPEX TUUA'!$S$7,'2.2 OPEX LAP 2023'!N269*'2.1 OPEX TUUA'!$S$8)</f>
        <v>0</v>
      </c>
      <c r="AA268" s="6"/>
      <c r="AB268" s="6"/>
      <c r="AC268" s="6"/>
      <c r="AD268" s="6"/>
      <c r="AE268" s="6"/>
      <c r="AF268" s="6"/>
    </row>
    <row r="269" spans="2:32" x14ac:dyDescent="0.25">
      <c r="B269" s="16">
        <v>6380000019</v>
      </c>
      <c r="C269" s="190" t="s">
        <v>176</v>
      </c>
      <c r="D269" s="190" t="s">
        <v>40</v>
      </c>
      <c r="E269" s="190" t="s">
        <v>117</v>
      </c>
      <c r="F269" s="162" t="s">
        <v>190</v>
      </c>
      <c r="G269" s="3">
        <f>+IF(F269="Pasajero",'2.2 OPEX LAP 2023'!I270*'2.1 OPEX TUUA'!$G$7,'2.2 OPEX LAP 2023'!I270*'2.1 OPEX TUUA'!$G$8)</f>
        <v>0</v>
      </c>
      <c r="H269" s="3">
        <f>+IF(F269="Pasajero",'2.2 OPEX LAP 2023'!J270*'2.1 OPEX TUUA'!$H$7,'2.2 OPEX LAP 2023'!J270*'2.1 OPEX TUUA'!$H$8)</f>
        <v>0</v>
      </c>
      <c r="I269" s="3">
        <f>+IF(F269="Pasajero",'2.2 OPEX LAP 2023'!K270*'2.1 OPEX TUUA'!$I$7,'2.2 OPEX LAP 2023'!K270*'2.1 OPEX TUUA'!$I$8)</f>
        <v>0</v>
      </c>
      <c r="J269" s="3">
        <f>+IF(F269="Pasajero",'2.2 OPEX LAP 2023'!L270*'2.1 OPEX TUUA'!$J$7,'2.2 OPEX LAP 2023'!L270*'2.1 OPEX TUUA'!$J$8)</f>
        <v>0</v>
      </c>
      <c r="K269" s="3">
        <f>+IF(F269="Pasajero",'2.2 OPEX LAP 2023'!M270*'2.1 OPEX TUUA'!$K$7,'2.2 OPEX LAP 2023'!M270*'2.1 OPEX TUUA'!$K$8)</f>
        <v>0</v>
      </c>
      <c r="L269" s="3">
        <f>+IF(F269="Pasajero",'2.2 OPEX LAP 2023'!N270*'2.1 OPEX TUUA'!$L$7,'2.2 OPEX LAP 2023'!N270*'2.1 OPEX TUUA'!$L$8)</f>
        <v>0</v>
      </c>
      <c r="M269" s="3"/>
      <c r="N269" s="3">
        <f>+IF(F269="Pasajero",'2.2 OPEX LAP 2023'!I270*'2.1 OPEX TUUA'!$N$7,'2.2 OPEX LAP 2023'!I270*'2.1 OPEX TUUA'!$N$8)</f>
        <v>0</v>
      </c>
      <c r="O269" s="3">
        <f>+IF(F269="Pasajero",'2.2 OPEX LAP 2023'!J270*'2.1 OPEX TUUA'!$O$7,'2.2 OPEX LAP 2023'!J270*'2.1 OPEX TUUA'!$O$8)</f>
        <v>0</v>
      </c>
      <c r="P269" s="3">
        <f>+IF(F269="Pasajero",'2.2 OPEX LAP 2023'!K270*'2.1 OPEX TUUA'!$P$7,'2.2 OPEX LAP 2023'!K270*'2.1 OPEX TUUA'!$P$8)</f>
        <v>0</v>
      </c>
      <c r="Q269" s="3">
        <f>+IF(F269="Pasajero",'2.2 OPEX LAP 2023'!L270*'2.1 OPEX TUUA'!$Q$7,'2.2 OPEX LAP 2023'!L270*'2.1 OPEX TUUA'!$Q$8)</f>
        <v>0</v>
      </c>
      <c r="R269" s="3">
        <f>+IF(F269="Pasajero",'2.2 OPEX LAP 2023'!M270*'2.1 OPEX TUUA'!$R$7,'2.2 OPEX LAP 2023'!M270*'2.1 OPEX TUUA'!$R$8)</f>
        <v>0</v>
      </c>
      <c r="S269" s="3">
        <f>+IF(F269="Pasajero",'2.2 OPEX LAP 2023'!N270*'2.1 OPEX TUUA'!$S$7,'2.2 OPEX LAP 2023'!N270*'2.1 OPEX TUUA'!$S$8)</f>
        <v>0</v>
      </c>
      <c r="AA269" s="6"/>
      <c r="AB269" s="6"/>
      <c r="AC269" s="6"/>
      <c r="AD269" s="6"/>
      <c r="AE269" s="6"/>
      <c r="AF269" s="6"/>
    </row>
    <row r="270" spans="2:32" x14ac:dyDescent="0.25">
      <c r="B270" s="16">
        <v>6380000020</v>
      </c>
      <c r="C270" s="190" t="s">
        <v>176</v>
      </c>
      <c r="D270" s="190" t="s">
        <v>49</v>
      </c>
      <c r="E270" s="190" t="s">
        <v>118</v>
      </c>
      <c r="F270" s="162" t="s">
        <v>190</v>
      </c>
      <c r="G270" s="3">
        <f>+IF(F270="Pasajero",'2.2 OPEX LAP 2023'!I271*'2.1 OPEX TUUA'!$G$7,'2.2 OPEX LAP 2023'!I271*'2.1 OPEX TUUA'!$G$8)</f>
        <v>0</v>
      </c>
      <c r="H270" s="3">
        <f>+IF(F270="Pasajero",'2.2 OPEX LAP 2023'!J271*'2.1 OPEX TUUA'!$H$7,'2.2 OPEX LAP 2023'!J271*'2.1 OPEX TUUA'!$H$8)</f>
        <v>0</v>
      </c>
      <c r="I270" s="3">
        <f>+IF(F270="Pasajero",'2.2 OPEX LAP 2023'!K271*'2.1 OPEX TUUA'!$I$7,'2.2 OPEX LAP 2023'!K271*'2.1 OPEX TUUA'!$I$8)</f>
        <v>0</v>
      </c>
      <c r="J270" s="3">
        <f>+IF(F270="Pasajero",'2.2 OPEX LAP 2023'!L271*'2.1 OPEX TUUA'!$J$7,'2.2 OPEX LAP 2023'!L271*'2.1 OPEX TUUA'!$J$8)</f>
        <v>0</v>
      </c>
      <c r="K270" s="3">
        <f>+IF(F270="Pasajero",'2.2 OPEX LAP 2023'!M271*'2.1 OPEX TUUA'!$K$7,'2.2 OPEX LAP 2023'!M271*'2.1 OPEX TUUA'!$K$8)</f>
        <v>0</v>
      </c>
      <c r="L270" s="3">
        <f>+IF(F270="Pasajero",'2.2 OPEX LAP 2023'!N271*'2.1 OPEX TUUA'!$L$7,'2.2 OPEX LAP 2023'!N271*'2.1 OPEX TUUA'!$L$8)</f>
        <v>0</v>
      </c>
      <c r="M270" s="3"/>
      <c r="N270" s="3">
        <f>+IF(F270="Pasajero",'2.2 OPEX LAP 2023'!I271*'2.1 OPEX TUUA'!$N$7,'2.2 OPEX LAP 2023'!I271*'2.1 OPEX TUUA'!$N$8)</f>
        <v>0</v>
      </c>
      <c r="O270" s="3">
        <f>+IF(F270="Pasajero",'2.2 OPEX LAP 2023'!J271*'2.1 OPEX TUUA'!$O$7,'2.2 OPEX LAP 2023'!J271*'2.1 OPEX TUUA'!$O$8)</f>
        <v>0</v>
      </c>
      <c r="P270" s="3">
        <f>+IF(F270="Pasajero",'2.2 OPEX LAP 2023'!K271*'2.1 OPEX TUUA'!$P$7,'2.2 OPEX LAP 2023'!K271*'2.1 OPEX TUUA'!$P$8)</f>
        <v>0</v>
      </c>
      <c r="Q270" s="3">
        <f>+IF(F270="Pasajero",'2.2 OPEX LAP 2023'!L271*'2.1 OPEX TUUA'!$Q$7,'2.2 OPEX LAP 2023'!L271*'2.1 OPEX TUUA'!$Q$8)</f>
        <v>0</v>
      </c>
      <c r="R270" s="3">
        <f>+IF(F270="Pasajero",'2.2 OPEX LAP 2023'!M271*'2.1 OPEX TUUA'!$R$7,'2.2 OPEX LAP 2023'!M271*'2.1 OPEX TUUA'!$R$8)</f>
        <v>0</v>
      </c>
      <c r="S270" s="3">
        <f>+IF(F270="Pasajero",'2.2 OPEX LAP 2023'!N271*'2.1 OPEX TUUA'!$S$7,'2.2 OPEX LAP 2023'!N271*'2.1 OPEX TUUA'!$S$8)</f>
        <v>0</v>
      </c>
      <c r="AA270" s="6"/>
      <c r="AB270" s="6"/>
      <c r="AC270" s="6"/>
      <c r="AD270" s="6"/>
      <c r="AE270" s="6"/>
      <c r="AF270" s="6"/>
    </row>
    <row r="271" spans="2:32" x14ac:dyDescent="0.25">
      <c r="B271" s="16">
        <v>6380000021</v>
      </c>
      <c r="C271" s="190" t="s">
        <v>176</v>
      </c>
      <c r="D271" s="190" t="s">
        <v>40</v>
      </c>
      <c r="E271" s="190" t="s">
        <v>119</v>
      </c>
      <c r="F271" s="162" t="s">
        <v>190</v>
      </c>
      <c r="G271" s="3">
        <f>+IF(F271="Pasajero",'2.2 OPEX LAP 2023'!I272*'2.1 OPEX TUUA'!$G$7,'2.2 OPEX LAP 2023'!I272*'2.1 OPEX TUUA'!$G$8)</f>
        <v>16261.150868270399</v>
      </c>
      <c r="H271" s="3">
        <f>+IF(F271="Pasajero",'2.2 OPEX LAP 2023'!J272*'2.1 OPEX TUUA'!$H$7,'2.2 OPEX LAP 2023'!J272*'2.1 OPEX TUUA'!$H$8)</f>
        <v>19119.387815508468</v>
      </c>
      <c r="I271" s="3">
        <f>+IF(F271="Pasajero",'2.2 OPEX LAP 2023'!K272*'2.1 OPEX TUUA'!$I$7,'2.2 OPEX LAP 2023'!K272*'2.1 OPEX TUUA'!$I$8)</f>
        <v>21523.025355884591</v>
      </c>
      <c r="J271" s="3">
        <f>+IF(F271="Pasajero",'2.2 OPEX LAP 2023'!L272*'2.1 OPEX TUUA'!$J$7,'2.2 OPEX LAP 2023'!L272*'2.1 OPEX TUUA'!$J$8)</f>
        <v>22837.856182477011</v>
      </c>
      <c r="K271" s="3">
        <f>+IF(F271="Pasajero",'2.2 OPEX LAP 2023'!M272*'2.1 OPEX TUUA'!$K$7,'2.2 OPEX LAP 2023'!M272*'2.1 OPEX TUUA'!$K$8)</f>
        <v>23795.959699724513</v>
      </c>
      <c r="L271" s="3">
        <f>+IF(F271="Pasajero",'2.2 OPEX LAP 2023'!N272*'2.1 OPEX TUUA'!$L$7,'2.2 OPEX LAP 2023'!N272*'2.1 OPEX TUUA'!$L$8)</f>
        <v>24864.162403090511</v>
      </c>
      <c r="M271" s="3"/>
      <c r="N271" s="3">
        <f>+IF(F271="Pasajero",'2.2 OPEX LAP 2023'!I272*'2.1 OPEX TUUA'!$N$7,'2.2 OPEX LAP 2023'!I272*'2.1 OPEX TUUA'!$N$8)</f>
        <v>8020.2796891261905</v>
      </c>
      <c r="O271" s="3">
        <f>+IF(F271="Pasajero",'2.2 OPEX LAP 2023'!J272*'2.1 OPEX TUUA'!$O$7,'2.2 OPEX LAP 2023'!J272*'2.1 OPEX TUUA'!$O$8)</f>
        <v>7918.5473334689923</v>
      </c>
      <c r="P271" s="3">
        <f>+IF(F271="Pasajero",'2.2 OPEX LAP 2023'!K272*'2.1 OPEX TUUA'!$P$7,'2.2 OPEX LAP 2023'!K272*'2.1 OPEX TUUA'!$P$8)</f>
        <v>7880.196783889236</v>
      </c>
      <c r="Q271" s="3">
        <f>+IF(F271="Pasajero",'2.2 OPEX LAP 2023'!L272*'2.1 OPEX TUUA'!$Q$7,'2.2 OPEX LAP 2023'!L272*'2.1 OPEX TUUA'!$Q$8)</f>
        <v>7840.4849731878712</v>
      </c>
      <c r="R271" s="3">
        <f>+IF(F271="Pasajero",'2.2 OPEX LAP 2023'!M272*'2.1 OPEX TUUA'!$R$7,'2.2 OPEX LAP 2023'!M272*'2.1 OPEX TUUA'!$R$8)</f>
        <v>7889.4449853423939</v>
      </c>
      <c r="S271" s="3">
        <f>+IF(F271="Pasajero",'2.2 OPEX LAP 2023'!N272*'2.1 OPEX TUUA'!$S$7,'2.2 OPEX LAP 2023'!N272*'2.1 OPEX TUUA'!$S$8)</f>
        <v>7902.716978379538</v>
      </c>
      <c r="AA271" s="6"/>
      <c r="AB271" s="6"/>
      <c r="AC271" s="6"/>
      <c r="AD271" s="6"/>
      <c r="AE271" s="6"/>
      <c r="AF271" s="6"/>
    </row>
    <row r="272" spans="2:32" x14ac:dyDescent="0.25">
      <c r="B272" s="16">
        <v>6380000022</v>
      </c>
      <c r="C272" s="190" t="s">
        <v>176</v>
      </c>
      <c r="D272" s="190" t="s">
        <v>40</v>
      </c>
      <c r="E272" s="190" t="s">
        <v>120</v>
      </c>
      <c r="F272" s="162" t="s">
        <v>190</v>
      </c>
      <c r="G272" s="3">
        <f>+IF(F272="Pasajero",'2.2 OPEX LAP 2023'!I273*'2.1 OPEX TUUA'!$G$7,'2.2 OPEX LAP 2023'!I273*'2.1 OPEX TUUA'!$G$8)</f>
        <v>29.527420541077174</v>
      </c>
      <c r="H272" s="3">
        <f>+IF(F272="Pasajero",'2.2 OPEX LAP 2023'!J273*'2.1 OPEX TUUA'!$H$7,'2.2 OPEX LAP 2023'!J273*'2.1 OPEX TUUA'!$H$8)</f>
        <v>34.717481504832307</v>
      </c>
      <c r="I272" s="3">
        <f>+IF(F272="Pasajero",'2.2 OPEX LAP 2023'!K273*'2.1 OPEX TUUA'!$I$7,'2.2 OPEX LAP 2023'!K273*'2.1 OPEX TUUA'!$I$8)</f>
        <v>39.082069045895757</v>
      </c>
      <c r="J272" s="3">
        <f>+IF(F272="Pasajero",'2.2 OPEX LAP 2023'!L273*'2.1 OPEX TUUA'!$J$7,'2.2 OPEX LAP 2023'!L273*'2.1 OPEX TUUA'!$J$8)</f>
        <v>41.469573046791602</v>
      </c>
      <c r="K272" s="3">
        <f>+IF(F272="Pasajero",'2.2 OPEX LAP 2023'!M273*'2.1 OPEX TUUA'!$K$7,'2.2 OPEX LAP 2023'!M273*'2.1 OPEX TUUA'!$K$8)</f>
        <v>43.209322324369104</v>
      </c>
      <c r="L272" s="3">
        <f>+IF(F272="Pasajero",'2.2 OPEX LAP 2023'!N273*'2.1 OPEX TUUA'!$L$7,'2.2 OPEX LAP 2023'!N273*'2.1 OPEX TUUA'!$L$8)</f>
        <v>45.148992566710213</v>
      </c>
      <c r="M272" s="3"/>
      <c r="N272" s="3">
        <f>+IF(F272="Pasajero",'2.2 OPEX LAP 2023'!I273*'2.1 OPEX TUUA'!$N$7,'2.2 OPEX LAP 2023'!I273*'2.1 OPEX TUUA'!$N$8)</f>
        <v>14.563432389031004</v>
      </c>
      <c r="O272" s="3">
        <f>+IF(F272="Pasajero",'2.2 OPEX LAP 2023'!J273*'2.1 OPEX TUUA'!$O$7,'2.2 OPEX LAP 2023'!J273*'2.1 OPEX TUUA'!$O$8)</f>
        <v>14.378704132558953</v>
      </c>
      <c r="P272" s="3">
        <f>+IF(F272="Pasajero",'2.2 OPEX LAP 2023'!K273*'2.1 OPEX TUUA'!$P$7,'2.2 OPEX LAP 2023'!K273*'2.1 OPEX TUUA'!$P$8)</f>
        <v>14.309066207507016</v>
      </c>
      <c r="Q272" s="3">
        <f>+IF(F272="Pasajero",'2.2 OPEX LAP 2023'!L273*'2.1 OPEX TUUA'!$Q$7,'2.2 OPEX LAP 2023'!L273*'2.1 OPEX TUUA'!$Q$8)</f>
        <v>14.236956469117288</v>
      </c>
      <c r="R272" s="3">
        <f>+IF(F272="Pasajero",'2.2 OPEX LAP 2023'!M273*'2.1 OPEX TUUA'!$R$7,'2.2 OPEX LAP 2023'!M273*'2.1 OPEX TUUA'!$R$8)</f>
        <v>14.325859332161484</v>
      </c>
      <c r="S272" s="3">
        <f>+IF(F272="Pasajero",'2.2 OPEX LAP 2023'!N273*'2.1 OPEX TUUA'!$S$7,'2.2 OPEX LAP 2023'!N273*'2.1 OPEX TUUA'!$S$8)</f>
        <v>14.349958962193861</v>
      </c>
      <c r="AA272" s="6"/>
      <c r="AB272" s="6"/>
      <c r="AC272" s="6"/>
      <c r="AD272" s="6"/>
      <c r="AE272" s="6"/>
      <c r="AF272" s="6"/>
    </row>
    <row r="273" spans="2:32" x14ac:dyDescent="0.25">
      <c r="B273" s="16">
        <v>6380000023</v>
      </c>
      <c r="C273" s="190" t="s">
        <v>176</v>
      </c>
      <c r="D273" s="190" t="s">
        <v>49</v>
      </c>
      <c r="E273" s="190" t="s">
        <v>121</v>
      </c>
      <c r="F273" s="162" t="s">
        <v>190</v>
      </c>
      <c r="G273" s="3">
        <f>+IF(F273="Pasajero",'2.2 OPEX LAP 2023'!I274*'2.1 OPEX TUUA'!$G$7,'2.2 OPEX LAP 2023'!I274*'2.1 OPEX TUUA'!$G$8)</f>
        <v>0</v>
      </c>
      <c r="H273" s="3">
        <f>+IF(F273="Pasajero",'2.2 OPEX LAP 2023'!J274*'2.1 OPEX TUUA'!$H$7,'2.2 OPEX LAP 2023'!J274*'2.1 OPEX TUUA'!$H$8)</f>
        <v>0</v>
      </c>
      <c r="I273" s="3">
        <f>+IF(F273="Pasajero",'2.2 OPEX LAP 2023'!K274*'2.1 OPEX TUUA'!$I$7,'2.2 OPEX LAP 2023'!K274*'2.1 OPEX TUUA'!$I$8)</f>
        <v>0</v>
      </c>
      <c r="J273" s="3">
        <f>+IF(F273="Pasajero",'2.2 OPEX LAP 2023'!L274*'2.1 OPEX TUUA'!$J$7,'2.2 OPEX LAP 2023'!L274*'2.1 OPEX TUUA'!$J$8)</f>
        <v>0</v>
      </c>
      <c r="K273" s="3">
        <f>+IF(F273="Pasajero",'2.2 OPEX LAP 2023'!M274*'2.1 OPEX TUUA'!$K$7,'2.2 OPEX LAP 2023'!M274*'2.1 OPEX TUUA'!$K$8)</f>
        <v>0</v>
      </c>
      <c r="L273" s="3">
        <f>+IF(F273="Pasajero",'2.2 OPEX LAP 2023'!N274*'2.1 OPEX TUUA'!$L$7,'2.2 OPEX LAP 2023'!N274*'2.1 OPEX TUUA'!$L$8)</f>
        <v>0</v>
      </c>
      <c r="M273" s="3"/>
      <c r="N273" s="3">
        <f>+IF(F273="Pasajero",'2.2 OPEX LAP 2023'!I274*'2.1 OPEX TUUA'!$N$7,'2.2 OPEX LAP 2023'!I274*'2.1 OPEX TUUA'!$N$8)</f>
        <v>0</v>
      </c>
      <c r="O273" s="3">
        <f>+IF(F273="Pasajero",'2.2 OPEX LAP 2023'!J274*'2.1 OPEX TUUA'!$O$7,'2.2 OPEX LAP 2023'!J274*'2.1 OPEX TUUA'!$O$8)</f>
        <v>0</v>
      </c>
      <c r="P273" s="3">
        <f>+IF(F273="Pasajero",'2.2 OPEX LAP 2023'!K274*'2.1 OPEX TUUA'!$P$7,'2.2 OPEX LAP 2023'!K274*'2.1 OPEX TUUA'!$P$8)</f>
        <v>0</v>
      </c>
      <c r="Q273" s="3">
        <f>+IF(F273="Pasajero",'2.2 OPEX LAP 2023'!L274*'2.1 OPEX TUUA'!$Q$7,'2.2 OPEX LAP 2023'!L274*'2.1 OPEX TUUA'!$Q$8)</f>
        <v>0</v>
      </c>
      <c r="R273" s="3">
        <f>+IF(F273="Pasajero",'2.2 OPEX LAP 2023'!M274*'2.1 OPEX TUUA'!$R$7,'2.2 OPEX LAP 2023'!M274*'2.1 OPEX TUUA'!$R$8)</f>
        <v>0</v>
      </c>
      <c r="S273" s="3">
        <f>+IF(F273="Pasajero",'2.2 OPEX LAP 2023'!N274*'2.1 OPEX TUUA'!$S$7,'2.2 OPEX LAP 2023'!N274*'2.1 OPEX TUUA'!$S$8)</f>
        <v>0</v>
      </c>
      <c r="AA273" s="6"/>
      <c r="AB273" s="6"/>
      <c r="AC273" s="6"/>
      <c r="AD273" s="6"/>
      <c r="AE273" s="6"/>
      <c r="AF273" s="6"/>
    </row>
    <row r="274" spans="2:32" x14ac:dyDescent="0.25">
      <c r="B274" s="16">
        <v>6380000024</v>
      </c>
      <c r="C274" s="190" t="s">
        <v>176</v>
      </c>
      <c r="D274" s="190" t="s">
        <v>49</v>
      </c>
      <c r="E274" s="190" t="s">
        <v>122</v>
      </c>
      <c r="F274" s="162" t="s">
        <v>190</v>
      </c>
      <c r="G274" s="3">
        <f>+IF(F274="Pasajero",'2.2 OPEX LAP 2023'!I275*'2.1 OPEX TUUA'!$G$7,'2.2 OPEX LAP 2023'!I275*'2.1 OPEX TUUA'!$G$8)</f>
        <v>0</v>
      </c>
      <c r="H274" s="3">
        <f>+IF(F274="Pasajero",'2.2 OPEX LAP 2023'!J275*'2.1 OPEX TUUA'!$H$7,'2.2 OPEX LAP 2023'!J275*'2.1 OPEX TUUA'!$H$8)</f>
        <v>0</v>
      </c>
      <c r="I274" s="3">
        <f>+IF(F274="Pasajero",'2.2 OPEX LAP 2023'!K275*'2.1 OPEX TUUA'!$I$7,'2.2 OPEX LAP 2023'!K275*'2.1 OPEX TUUA'!$I$8)</f>
        <v>0</v>
      </c>
      <c r="J274" s="3">
        <f>+IF(F274="Pasajero",'2.2 OPEX LAP 2023'!L275*'2.1 OPEX TUUA'!$J$7,'2.2 OPEX LAP 2023'!L275*'2.1 OPEX TUUA'!$J$8)</f>
        <v>0</v>
      </c>
      <c r="K274" s="3">
        <f>+IF(F274="Pasajero",'2.2 OPEX LAP 2023'!M275*'2.1 OPEX TUUA'!$K$7,'2.2 OPEX LAP 2023'!M275*'2.1 OPEX TUUA'!$K$8)</f>
        <v>0</v>
      </c>
      <c r="L274" s="3">
        <f>+IF(F274="Pasajero",'2.2 OPEX LAP 2023'!N275*'2.1 OPEX TUUA'!$L$7,'2.2 OPEX LAP 2023'!N275*'2.1 OPEX TUUA'!$L$8)</f>
        <v>0</v>
      </c>
      <c r="M274" s="3"/>
      <c r="N274" s="3">
        <f>+IF(F274="Pasajero",'2.2 OPEX LAP 2023'!I275*'2.1 OPEX TUUA'!$N$7,'2.2 OPEX LAP 2023'!I275*'2.1 OPEX TUUA'!$N$8)</f>
        <v>0</v>
      </c>
      <c r="O274" s="3">
        <f>+IF(F274="Pasajero",'2.2 OPEX LAP 2023'!J275*'2.1 OPEX TUUA'!$O$7,'2.2 OPEX LAP 2023'!J275*'2.1 OPEX TUUA'!$O$8)</f>
        <v>0</v>
      </c>
      <c r="P274" s="3">
        <f>+IF(F274="Pasajero",'2.2 OPEX LAP 2023'!K275*'2.1 OPEX TUUA'!$P$7,'2.2 OPEX LAP 2023'!K275*'2.1 OPEX TUUA'!$P$8)</f>
        <v>0</v>
      </c>
      <c r="Q274" s="3">
        <f>+IF(F274="Pasajero",'2.2 OPEX LAP 2023'!L275*'2.1 OPEX TUUA'!$Q$7,'2.2 OPEX LAP 2023'!L275*'2.1 OPEX TUUA'!$Q$8)</f>
        <v>0</v>
      </c>
      <c r="R274" s="3">
        <f>+IF(F274="Pasajero",'2.2 OPEX LAP 2023'!M275*'2.1 OPEX TUUA'!$R$7,'2.2 OPEX LAP 2023'!M275*'2.1 OPEX TUUA'!$R$8)</f>
        <v>0</v>
      </c>
      <c r="S274" s="3">
        <f>+IF(F274="Pasajero",'2.2 OPEX LAP 2023'!N275*'2.1 OPEX TUUA'!$S$7,'2.2 OPEX LAP 2023'!N275*'2.1 OPEX TUUA'!$S$8)</f>
        <v>0</v>
      </c>
      <c r="AA274" s="6"/>
      <c r="AB274" s="6"/>
      <c r="AC274" s="6"/>
      <c r="AD274" s="6"/>
      <c r="AE274" s="6"/>
      <c r="AF274" s="6"/>
    </row>
    <row r="275" spans="2:32" x14ac:dyDescent="0.25">
      <c r="B275" s="16">
        <v>6380000025</v>
      </c>
      <c r="C275" s="190" t="s">
        <v>176</v>
      </c>
      <c r="D275" s="190" t="s">
        <v>49</v>
      </c>
      <c r="E275" s="190" t="s">
        <v>123</v>
      </c>
      <c r="F275" s="162" t="s">
        <v>190</v>
      </c>
      <c r="G275" s="3">
        <f>+IF(F275="Pasajero",'2.2 OPEX LAP 2023'!I276*'2.1 OPEX TUUA'!$G$7,'2.2 OPEX LAP 2023'!I276*'2.1 OPEX TUUA'!$G$8)</f>
        <v>0</v>
      </c>
      <c r="H275" s="3">
        <f>+IF(F275="Pasajero",'2.2 OPEX LAP 2023'!J276*'2.1 OPEX TUUA'!$H$7,'2.2 OPEX LAP 2023'!J276*'2.1 OPEX TUUA'!$H$8)</f>
        <v>0</v>
      </c>
      <c r="I275" s="3">
        <f>+IF(F275="Pasajero",'2.2 OPEX LAP 2023'!K276*'2.1 OPEX TUUA'!$I$7,'2.2 OPEX LAP 2023'!K276*'2.1 OPEX TUUA'!$I$8)</f>
        <v>0</v>
      </c>
      <c r="J275" s="3">
        <f>+IF(F275="Pasajero",'2.2 OPEX LAP 2023'!L276*'2.1 OPEX TUUA'!$J$7,'2.2 OPEX LAP 2023'!L276*'2.1 OPEX TUUA'!$J$8)</f>
        <v>0</v>
      </c>
      <c r="K275" s="3">
        <f>+IF(F275="Pasajero",'2.2 OPEX LAP 2023'!M276*'2.1 OPEX TUUA'!$K$7,'2.2 OPEX LAP 2023'!M276*'2.1 OPEX TUUA'!$K$8)</f>
        <v>0</v>
      </c>
      <c r="L275" s="3">
        <f>+IF(F275="Pasajero",'2.2 OPEX LAP 2023'!N276*'2.1 OPEX TUUA'!$L$7,'2.2 OPEX LAP 2023'!N276*'2.1 OPEX TUUA'!$L$8)</f>
        <v>0</v>
      </c>
      <c r="M275" s="3"/>
      <c r="N275" s="3">
        <f>+IF(F275="Pasajero",'2.2 OPEX LAP 2023'!I276*'2.1 OPEX TUUA'!$N$7,'2.2 OPEX LAP 2023'!I276*'2.1 OPEX TUUA'!$N$8)</f>
        <v>0</v>
      </c>
      <c r="O275" s="3">
        <f>+IF(F275="Pasajero",'2.2 OPEX LAP 2023'!J276*'2.1 OPEX TUUA'!$O$7,'2.2 OPEX LAP 2023'!J276*'2.1 OPEX TUUA'!$O$8)</f>
        <v>0</v>
      </c>
      <c r="P275" s="3">
        <f>+IF(F275="Pasajero",'2.2 OPEX LAP 2023'!K276*'2.1 OPEX TUUA'!$P$7,'2.2 OPEX LAP 2023'!K276*'2.1 OPEX TUUA'!$P$8)</f>
        <v>0</v>
      </c>
      <c r="Q275" s="3">
        <f>+IF(F275="Pasajero",'2.2 OPEX LAP 2023'!L276*'2.1 OPEX TUUA'!$Q$7,'2.2 OPEX LAP 2023'!L276*'2.1 OPEX TUUA'!$Q$8)</f>
        <v>0</v>
      </c>
      <c r="R275" s="3">
        <f>+IF(F275="Pasajero",'2.2 OPEX LAP 2023'!M276*'2.1 OPEX TUUA'!$R$7,'2.2 OPEX LAP 2023'!M276*'2.1 OPEX TUUA'!$R$8)</f>
        <v>0</v>
      </c>
      <c r="S275" s="3">
        <f>+IF(F275="Pasajero",'2.2 OPEX LAP 2023'!N276*'2.1 OPEX TUUA'!$S$7,'2.2 OPEX LAP 2023'!N276*'2.1 OPEX TUUA'!$S$8)</f>
        <v>0</v>
      </c>
      <c r="AA275" s="6"/>
      <c r="AB275" s="6"/>
      <c r="AC275" s="6"/>
      <c r="AD275" s="6"/>
      <c r="AE275" s="6"/>
      <c r="AF275" s="6"/>
    </row>
    <row r="276" spans="2:32" x14ac:dyDescent="0.25">
      <c r="B276" s="16">
        <v>6380000026</v>
      </c>
      <c r="C276" s="190" t="s">
        <v>176</v>
      </c>
      <c r="D276" s="190" t="s">
        <v>49</v>
      </c>
      <c r="E276" s="190" t="s">
        <v>124</v>
      </c>
      <c r="F276" s="162" t="s">
        <v>190</v>
      </c>
      <c r="G276" s="3">
        <f>+IF(F276="Pasajero",'2.2 OPEX LAP 2023'!I277*'2.1 OPEX TUUA'!$G$7,'2.2 OPEX LAP 2023'!I277*'2.1 OPEX TUUA'!$G$8)</f>
        <v>0</v>
      </c>
      <c r="H276" s="3">
        <f>+IF(F276="Pasajero",'2.2 OPEX LAP 2023'!J277*'2.1 OPEX TUUA'!$H$7,'2.2 OPEX LAP 2023'!J277*'2.1 OPEX TUUA'!$H$8)</f>
        <v>0</v>
      </c>
      <c r="I276" s="3">
        <f>+IF(F276="Pasajero",'2.2 OPEX LAP 2023'!K277*'2.1 OPEX TUUA'!$I$7,'2.2 OPEX LAP 2023'!K277*'2.1 OPEX TUUA'!$I$8)</f>
        <v>0</v>
      </c>
      <c r="J276" s="3">
        <f>+IF(F276="Pasajero",'2.2 OPEX LAP 2023'!L277*'2.1 OPEX TUUA'!$J$7,'2.2 OPEX LAP 2023'!L277*'2.1 OPEX TUUA'!$J$8)</f>
        <v>0</v>
      </c>
      <c r="K276" s="3">
        <f>+IF(F276="Pasajero",'2.2 OPEX LAP 2023'!M277*'2.1 OPEX TUUA'!$K$7,'2.2 OPEX LAP 2023'!M277*'2.1 OPEX TUUA'!$K$8)</f>
        <v>0</v>
      </c>
      <c r="L276" s="3">
        <f>+IF(F276="Pasajero",'2.2 OPEX LAP 2023'!N277*'2.1 OPEX TUUA'!$L$7,'2.2 OPEX LAP 2023'!N277*'2.1 OPEX TUUA'!$L$8)</f>
        <v>0</v>
      </c>
      <c r="M276" s="3"/>
      <c r="N276" s="3">
        <f>+IF(F276="Pasajero",'2.2 OPEX LAP 2023'!I277*'2.1 OPEX TUUA'!$N$7,'2.2 OPEX LAP 2023'!I277*'2.1 OPEX TUUA'!$N$8)</f>
        <v>0</v>
      </c>
      <c r="O276" s="3">
        <f>+IF(F276="Pasajero",'2.2 OPEX LAP 2023'!J277*'2.1 OPEX TUUA'!$O$7,'2.2 OPEX LAP 2023'!J277*'2.1 OPEX TUUA'!$O$8)</f>
        <v>0</v>
      </c>
      <c r="P276" s="3">
        <f>+IF(F276="Pasajero",'2.2 OPEX LAP 2023'!K277*'2.1 OPEX TUUA'!$P$7,'2.2 OPEX LAP 2023'!K277*'2.1 OPEX TUUA'!$P$8)</f>
        <v>0</v>
      </c>
      <c r="Q276" s="3">
        <f>+IF(F276="Pasajero",'2.2 OPEX LAP 2023'!L277*'2.1 OPEX TUUA'!$Q$7,'2.2 OPEX LAP 2023'!L277*'2.1 OPEX TUUA'!$Q$8)</f>
        <v>0</v>
      </c>
      <c r="R276" s="3">
        <f>+IF(F276="Pasajero",'2.2 OPEX LAP 2023'!M277*'2.1 OPEX TUUA'!$R$7,'2.2 OPEX LAP 2023'!M277*'2.1 OPEX TUUA'!$R$8)</f>
        <v>0</v>
      </c>
      <c r="S276" s="3">
        <f>+IF(F276="Pasajero",'2.2 OPEX LAP 2023'!N277*'2.1 OPEX TUUA'!$S$7,'2.2 OPEX LAP 2023'!N277*'2.1 OPEX TUUA'!$S$8)</f>
        <v>0</v>
      </c>
      <c r="AA276" s="6"/>
      <c r="AB276" s="6"/>
      <c r="AC276" s="6"/>
      <c r="AD276" s="6"/>
      <c r="AE276" s="6"/>
      <c r="AF276" s="6"/>
    </row>
    <row r="277" spans="2:32" x14ac:dyDescent="0.25">
      <c r="B277" s="16">
        <v>6380000027</v>
      </c>
      <c r="C277" s="190" t="s">
        <v>176</v>
      </c>
      <c r="D277" s="190" t="s">
        <v>49</v>
      </c>
      <c r="E277" s="190" t="s">
        <v>125</v>
      </c>
      <c r="F277" s="162" t="s">
        <v>190</v>
      </c>
      <c r="G277" s="3">
        <f>+IF(F277="Pasajero",'2.2 OPEX LAP 2023'!I278*'2.1 OPEX TUUA'!$G$7,'2.2 OPEX LAP 2023'!I278*'2.1 OPEX TUUA'!$G$8)</f>
        <v>0</v>
      </c>
      <c r="H277" s="3">
        <f>+IF(F277="Pasajero",'2.2 OPEX LAP 2023'!J278*'2.1 OPEX TUUA'!$H$7,'2.2 OPEX LAP 2023'!J278*'2.1 OPEX TUUA'!$H$8)</f>
        <v>0</v>
      </c>
      <c r="I277" s="3">
        <f>+IF(F277="Pasajero",'2.2 OPEX LAP 2023'!K278*'2.1 OPEX TUUA'!$I$7,'2.2 OPEX LAP 2023'!K278*'2.1 OPEX TUUA'!$I$8)</f>
        <v>0</v>
      </c>
      <c r="J277" s="3">
        <f>+IF(F277="Pasajero",'2.2 OPEX LAP 2023'!L278*'2.1 OPEX TUUA'!$J$7,'2.2 OPEX LAP 2023'!L278*'2.1 OPEX TUUA'!$J$8)</f>
        <v>0</v>
      </c>
      <c r="K277" s="3">
        <f>+IF(F277="Pasajero",'2.2 OPEX LAP 2023'!M278*'2.1 OPEX TUUA'!$K$7,'2.2 OPEX LAP 2023'!M278*'2.1 OPEX TUUA'!$K$8)</f>
        <v>0</v>
      </c>
      <c r="L277" s="3">
        <f>+IF(F277="Pasajero",'2.2 OPEX LAP 2023'!N278*'2.1 OPEX TUUA'!$L$7,'2.2 OPEX LAP 2023'!N278*'2.1 OPEX TUUA'!$L$8)</f>
        <v>0</v>
      </c>
      <c r="M277" s="3"/>
      <c r="N277" s="3">
        <f>+IF(F277="Pasajero",'2.2 OPEX LAP 2023'!I278*'2.1 OPEX TUUA'!$N$7,'2.2 OPEX LAP 2023'!I278*'2.1 OPEX TUUA'!$N$8)</f>
        <v>0</v>
      </c>
      <c r="O277" s="3">
        <f>+IF(F277="Pasajero",'2.2 OPEX LAP 2023'!J278*'2.1 OPEX TUUA'!$O$7,'2.2 OPEX LAP 2023'!J278*'2.1 OPEX TUUA'!$O$8)</f>
        <v>0</v>
      </c>
      <c r="P277" s="3">
        <f>+IF(F277="Pasajero",'2.2 OPEX LAP 2023'!K278*'2.1 OPEX TUUA'!$P$7,'2.2 OPEX LAP 2023'!K278*'2.1 OPEX TUUA'!$P$8)</f>
        <v>0</v>
      </c>
      <c r="Q277" s="3">
        <f>+IF(F277="Pasajero",'2.2 OPEX LAP 2023'!L278*'2.1 OPEX TUUA'!$Q$7,'2.2 OPEX LAP 2023'!L278*'2.1 OPEX TUUA'!$Q$8)</f>
        <v>0</v>
      </c>
      <c r="R277" s="3">
        <f>+IF(F277="Pasajero",'2.2 OPEX LAP 2023'!M278*'2.1 OPEX TUUA'!$R$7,'2.2 OPEX LAP 2023'!M278*'2.1 OPEX TUUA'!$R$8)</f>
        <v>0</v>
      </c>
      <c r="S277" s="3">
        <f>+IF(F277="Pasajero",'2.2 OPEX LAP 2023'!N278*'2.1 OPEX TUUA'!$S$7,'2.2 OPEX LAP 2023'!N278*'2.1 OPEX TUUA'!$S$8)</f>
        <v>0</v>
      </c>
      <c r="AA277" s="6"/>
      <c r="AB277" s="6"/>
      <c r="AC277" s="6"/>
      <c r="AD277" s="6"/>
      <c r="AE277" s="6"/>
      <c r="AF277" s="6"/>
    </row>
    <row r="278" spans="2:32" x14ac:dyDescent="0.25">
      <c r="B278" s="16">
        <v>6380000028</v>
      </c>
      <c r="C278" s="190" t="s">
        <v>176</v>
      </c>
      <c r="D278" s="190" t="s">
        <v>49</v>
      </c>
      <c r="E278" s="190" t="s">
        <v>126</v>
      </c>
      <c r="F278" s="162" t="s">
        <v>190</v>
      </c>
      <c r="G278" s="3">
        <f>+IF(F278="Pasajero",'2.2 OPEX LAP 2023'!I279*'2.1 OPEX TUUA'!$G$7,'2.2 OPEX LAP 2023'!I279*'2.1 OPEX TUUA'!$G$8)</f>
        <v>0</v>
      </c>
      <c r="H278" s="3">
        <f>+IF(F278="Pasajero",'2.2 OPEX LAP 2023'!J279*'2.1 OPEX TUUA'!$H$7,'2.2 OPEX LAP 2023'!J279*'2.1 OPEX TUUA'!$H$8)</f>
        <v>0</v>
      </c>
      <c r="I278" s="3">
        <f>+IF(F278="Pasajero",'2.2 OPEX LAP 2023'!K279*'2.1 OPEX TUUA'!$I$7,'2.2 OPEX LAP 2023'!K279*'2.1 OPEX TUUA'!$I$8)</f>
        <v>0</v>
      </c>
      <c r="J278" s="3">
        <f>+IF(F278="Pasajero",'2.2 OPEX LAP 2023'!L279*'2.1 OPEX TUUA'!$J$7,'2.2 OPEX LAP 2023'!L279*'2.1 OPEX TUUA'!$J$8)</f>
        <v>0</v>
      </c>
      <c r="K278" s="3">
        <f>+IF(F278="Pasajero",'2.2 OPEX LAP 2023'!M279*'2.1 OPEX TUUA'!$K$7,'2.2 OPEX LAP 2023'!M279*'2.1 OPEX TUUA'!$K$8)</f>
        <v>0</v>
      </c>
      <c r="L278" s="3">
        <f>+IF(F278="Pasajero",'2.2 OPEX LAP 2023'!N279*'2.1 OPEX TUUA'!$L$7,'2.2 OPEX LAP 2023'!N279*'2.1 OPEX TUUA'!$L$8)</f>
        <v>0</v>
      </c>
      <c r="M278" s="3"/>
      <c r="N278" s="3">
        <f>+IF(F278="Pasajero",'2.2 OPEX LAP 2023'!I279*'2.1 OPEX TUUA'!$N$7,'2.2 OPEX LAP 2023'!I279*'2.1 OPEX TUUA'!$N$8)</f>
        <v>0</v>
      </c>
      <c r="O278" s="3">
        <f>+IF(F278="Pasajero",'2.2 OPEX LAP 2023'!J279*'2.1 OPEX TUUA'!$O$7,'2.2 OPEX LAP 2023'!J279*'2.1 OPEX TUUA'!$O$8)</f>
        <v>0</v>
      </c>
      <c r="P278" s="3">
        <f>+IF(F278="Pasajero",'2.2 OPEX LAP 2023'!K279*'2.1 OPEX TUUA'!$P$7,'2.2 OPEX LAP 2023'!K279*'2.1 OPEX TUUA'!$P$8)</f>
        <v>0</v>
      </c>
      <c r="Q278" s="3">
        <f>+IF(F278="Pasajero",'2.2 OPEX LAP 2023'!L279*'2.1 OPEX TUUA'!$Q$7,'2.2 OPEX LAP 2023'!L279*'2.1 OPEX TUUA'!$Q$8)</f>
        <v>0</v>
      </c>
      <c r="R278" s="3">
        <f>+IF(F278="Pasajero",'2.2 OPEX LAP 2023'!M279*'2.1 OPEX TUUA'!$R$7,'2.2 OPEX LAP 2023'!M279*'2.1 OPEX TUUA'!$R$8)</f>
        <v>0</v>
      </c>
      <c r="S278" s="3">
        <f>+IF(F278="Pasajero",'2.2 OPEX LAP 2023'!N279*'2.1 OPEX TUUA'!$S$7,'2.2 OPEX LAP 2023'!N279*'2.1 OPEX TUUA'!$S$8)</f>
        <v>0</v>
      </c>
      <c r="AA278" s="6"/>
      <c r="AB278" s="6"/>
      <c r="AC278" s="6"/>
      <c r="AD278" s="6"/>
      <c r="AE278" s="6"/>
      <c r="AF278" s="6"/>
    </row>
    <row r="279" spans="2:32" x14ac:dyDescent="0.25">
      <c r="B279" s="16">
        <v>6380000029</v>
      </c>
      <c r="C279" s="190" t="s">
        <v>176</v>
      </c>
      <c r="D279" s="190" t="s">
        <v>40</v>
      </c>
      <c r="E279" s="190" t="s">
        <v>127</v>
      </c>
      <c r="F279" s="162" t="s">
        <v>190</v>
      </c>
      <c r="G279" s="3">
        <f>+IF(F279="Pasajero",'2.2 OPEX LAP 2023'!I280*'2.1 OPEX TUUA'!$G$7,'2.2 OPEX LAP 2023'!I280*'2.1 OPEX TUUA'!$G$8)</f>
        <v>0</v>
      </c>
      <c r="H279" s="3">
        <f>+IF(F279="Pasajero",'2.2 OPEX LAP 2023'!J280*'2.1 OPEX TUUA'!$H$7,'2.2 OPEX LAP 2023'!J280*'2.1 OPEX TUUA'!$H$8)</f>
        <v>0</v>
      </c>
      <c r="I279" s="3">
        <f>+IF(F279="Pasajero",'2.2 OPEX LAP 2023'!K280*'2.1 OPEX TUUA'!$I$7,'2.2 OPEX LAP 2023'!K280*'2.1 OPEX TUUA'!$I$8)</f>
        <v>0</v>
      </c>
      <c r="J279" s="3">
        <f>+IF(F279="Pasajero",'2.2 OPEX LAP 2023'!L280*'2.1 OPEX TUUA'!$J$7,'2.2 OPEX LAP 2023'!L280*'2.1 OPEX TUUA'!$J$8)</f>
        <v>0</v>
      </c>
      <c r="K279" s="3">
        <f>+IF(F279="Pasajero",'2.2 OPEX LAP 2023'!M280*'2.1 OPEX TUUA'!$K$7,'2.2 OPEX LAP 2023'!M280*'2.1 OPEX TUUA'!$K$8)</f>
        <v>0</v>
      </c>
      <c r="L279" s="3">
        <f>+IF(F279="Pasajero",'2.2 OPEX LAP 2023'!N280*'2.1 OPEX TUUA'!$L$7,'2.2 OPEX LAP 2023'!N280*'2.1 OPEX TUUA'!$L$8)</f>
        <v>0</v>
      </c>
      <c r="M279" s="3"/>
      <c r="N279" s="3">
        <f>+IF(F279="Pasajero",'2.2 OPEX LAP 2023'!I280*'2.1 OPEX TUUA'!$N$7,'2.2 OPEX LAP 2023'!I280*'2.1 OPEX TUUA'!$N$8)</f>
        <v>0</v>
      </c>
      <c r="O279" s="3">
        <f>+IF(F279="Pasajero",'2.2 OPEX LAP 2023'!J280*'2.1 OPEX TUUA'!$O$7,'2.2 OPEX LAP 2023'!J280*'2.1 OPEX TUUA'!$O$8)</f>
        <v>0</v>
      </c>
      <c r="P279" s="3">
        <f>+IF(F279="Pasajero",'2.2 OPEX LAP 2023'!K280*'2.1 OPEX TUUA'!$P$7,'2.2 OPEX LAP 2023'!K280*'2.1 OPEX TUUA'!$P$8)</f>
        <v>0</v>
      </c>
      <c r="Q279" s="3">
        <f>+IF(F279="Pasajero",'2.2 OPEX LAP 2023'!L280*'2.1 OPEX TUUA'!$Q$7,'2.2 OPEX LAP 2023'!L280*'2.1 OPEX TUUA'!$Q$8)</f>
        <v>0</v>
      </c>
      <c r="R279" s="3">
        <f>+IF(F279="Pasajero",'2.2 OPEX LAP 2023'!M280*'2.1 OPEX TUUA'!$R$7,'2.2 OPEX LAP 2023'!M280*'2.1 OPEX TUUA'!$R$8)</f>
        <v>0</v>
      </c>
      <c r="S279" s="3">
        <f>+IF(F279="Pasajero",'2.2 OPEX LAP 2023'!N280*'2.1 OPEX TUUA'!$S$7,'2.2 OPEX LAP 2023'!N280*'2.1 OPEX TUUA'!$S$8)</f>
        <v>0</v>
      </c>
      <c r="AA279" s="6"/>
      <c r="AB279" s="6"/>
      <c r="AC279" s="6"/>
      <c r="AD279" s="6"/>
      <c r="AE279" s="6"/>
      <c r="AF279" s="6"/>
    </row>
    <row r="280" spans="2:32" x14ac:dyDescent="0.25">
      <c r="B280" s="16">
        <v>6380000030</v>
      </c>
      <c r="C280" s="190" t="s">
        <v>176</v>
      </c>
      <c r="D280" s="190" t="s">
        <v>40</v>
      </c>
      <c r="E280" s="190" t="s">
        <v>128</v>
      </c>
      <c r="F280" s="162" t="s">
        <v>190</v>
      </c>
      <c r="G280" s="3">
        <f>+IF(F280="Pasajero",'2.2 OPEX LAP 2023'!I281*'2.1 OPEX TUUA'!$G$7,'2.2 OPEX LAP 2023'!I281*'2.1 OPEX TUUA'!$G$8)</f>
        <v>51417.570327149988</v>
      </c>
      <c r="H280" s="3">
        <f>+IF(F280="Pasajero",'2.2 OPEX LAP 2023'!J281*'2.1 OPEX TUUA'!$H$7,'2.2 OPEX LAP 2023'!J281*'2.1 OPEX TUUA'!$H$8)</f>
        <v>60455.282383129685</v>
      </c>
      <c r="I280" s="3">
        <f>+IF(F280="Pasajero",'2.2 OPEX LAP 2023'!K281*'2.1 OPEX TUUA'!$I$7,'2.2 OPEX LAP 2023'!K281*'2.1 OPEX TUUA'!$I$8)</f>
        <v>68055.556390452286</v>
      </c>
      <c r="J280" s="3">
        <f>+IF(F280="Pasajero",'2.2 OPEX LAP 2023'!L281*'2.1 OPEX TUUA'!$J$7,'2.2 OPEX LAP 2023'!L281*'2.1 OPEX TUUA'!$J$8)</f>
        <v>72213.036204906006</v>
      </c>
      <c r="K280" s="3">
        <f>+IF(F280="Pasajero",'2.2 OPEX LAP 2023'!M281*'2.1 OPEX TUUA'!$K$7,'2.2 OPEX LAP 2023'!M281*'2.1 OPEX TUUA'!$K$8)</f>
        <v>75242.548407199647</v>
      </c>
      <c r="L280" s="3">
        <f>+IF(F280="Pasajero",'2.2 OPEX LAP 2023'!N281*'2.1 OPEX TUUA'!$L$7,'2.2 OPEX LAP 2023'!N281*'2.1 OPEX TUUA'!$L$8)</f>
        <v>78620.192958247033</v>
      </c>
      <c r="M280" s="3"/>
      <c r="N280" s="3">
        <f>+IF(F280="Pasajero",'2.2 OPEX LAP 2023'!I281*'2.1 OPEX TUUA'!$N$7,'2.2 OPEX LAP 2023'!I281*'2.1 OPEX TUUA'!$N$8)</f>
        <v>25360.031297890622</v>
      </c>
      <c r="O280" s="3">
        <f>+IF(F280="Pasajero",'2.2 OPEX LAP 2023'!J281*'2.1 OPEX TUUA'!$O$7,'2.2 OPEX LAP 2023'!J281*'2.1 OPEX TUUA'!$O$8)</f>
        <v>25038.354769954502</v>
      </c>
      <c r="P280" s="3">
        <f>+IF(F280="Pasajero",'2.2 OPEX LAP 2023'!K281*'2.1 OPEX TUUA'!$P$7,'2.2 OPEX LAP 2023'!K281*'2.1 OPEX TUUA'!$P$8)</f>
        <v>24917.09077725952</v>
      </c>
      <c r="Q280" s="3">
        <f>+IF(F280="Pasajero",'2.2 OPEX LAP 2023'!L281*'2.1 OPEX TUUA'!$Q$7,'2.2 OPEX LAP 2023'!L281*'2.1 OPEX TUUA'!$Q$8)</f>
        <v>24791.522492696087</v>
      </c>
      <c r="R280" s="3">
        <f>+IF(F280="Pasajero",'2.2 OPEX LAP 2023'!M281*'2.1 OPEX TUUA'!$R$7,'2.2 OPEX LAP 2023'!M281*'2.1 OPEX TUUA'!$R$8)</f>
        <v>24946.333482924667</v>
      </c>
      <c r="S280" s="3">
        <f>+IF(F280="Pasajero",'2.2 OPEX LAP 2023'!N281*'2.1 OPEX TUUA'!$S$7,'2.2 OPEX LAP 2023'!N281*'2.1 OPEX TUUA'!$S$8)</f>
        <v>24988.299370880381</v>
      </c>
      <c r="AA280" s="6"/>
      <c r="AB280" s="6"/>
      <c r="AC280" s="6"/>
      <c r="AD280" s="6"/>
      <c r="AE280" s="6"/>
      <c r="AF280" s="6"/>
    </row>
    <row r="281" spans="2:32" x14ac:dyDescent="0.25">
      <c r="B281" s="16">
        <v>6380000031</v>
      </c>
      <c r="C281" s="190" t="s">
        <v>176</v>
      </c>
      <c r="D281" s="190" t="s">
        <v>49</v>
      </c>
      <c r="E281" s="190" t="s">
        <v>129</v>
      </c>
      <c r="F281" s="162" t="s">
        <v>190</v>
      </c>
      <c r="G281" s="3">
        <f>+IF(F281="Pasajero",'2.2 OPEX LAP 2023'!I282*'2.1 OPEX TUUA'!$G$7,'2.2 OPEX LAP 2023'!I282*'2.1 OPEX TUUA'!$G$8)</f>
        <v>0</v>
      </c>
      <c r="H281" s="3">
        <f>+IF(F281="Pasajero",'2.2 OPEX LAP 2023'!J282*'2.1 OPEX TUUA'!$H$7,'2.2 OPEX LAP 2023'!J282*'2.1 OPEX TUUA'!$H$8)</f>
        <v>0</v>
      </c>
      <c r="I281" s="3">
        <f>+IF(F281="Pasajero",'2.2 OPEX LAP 2023'!K282*'2.1 OPEX TUUA'!$I$7,'2.2 OPEX LAP 2023'!K282*'2.1 OPEX TUUA'!$I$8)</f>
        <v>0</v>
      </c>
      <c r="J281" s="3">
        <f>+IF(F281="Pasajero",'2.2 OPEX LAP 2023'!L282*'2.1 OPEX TUUA'!$J$7,'2.2 OPEX LAP 2023'!L282*'2.1 OPEX TUUA'!$J$8)</f>
        <v>0</v>
      </c>
      <c r="K281" s="3">
        <f>+IF(F281="Pasajero",'2.2 OPEX LAP 2023'!M282*'2.1 OPEX TUUA'!$K$7,'2.2 OPEX LAP 2023'!M282*'2.1 OPEX TUUA'!$K$8)</f>
        <v>0</v>
      </c>
      <c r="L281" s="3">
        <f>+IF(F281="Pasajero",'2.2 OPEX LAP 2023'!N282*'2.1 OPEX TUUA'!$L$7,'2.2 OPEX LAP 2023'!N282*'2.1 OPEX TUUA'!$L$8)</f>
        <v>0</v>
      </c>
      <c r="M281" s="3"/>
      <c r="N281" s="3">
        <f>+IF(F281="Pasajero",'2.2 OPEX LAP 2023'!I282*'2.1 OPEX TUUA'!$N$7,'2.2 OPEX LAP 2023'!I282*'2.1 OPEX TUUA'!$N$8)</f>
        <v>0</v>
      </c>
      <c r="O281" s="3">
        <f>+IF(F281="Pasajero",'2.2 OPEX LAP 2023'!J282*'2.1 OPEX TUUA'!$O$7,'2.2 OPEX LAP 2023'!J282*'2.1 OPEX TUUA'!$O$8)</f>
        <v>0</v>
      </c>
      <c r="P281" s="3">
        <f>+IF(F281="Pasajero",'2.2 OPEX LAP 2023'!K282*'2.1 OPEX TUUA'!$P$7,'2.2 OPEX LAP 2023'!K282*'2.1 OPEX TUUA'!$P$8)</f>
        <v>0</v>
      </c>
      <c r="Q281" s="3">
        <f>+IF(F281="Pasajero",'2.2 OPEX LAP 2023'!L282*'2.1 OPEX TUUA'!$Q$7,'2.2 OPEX LAP 2023'!L282*'2.1 OPEX TUUA'!$Q$8)</f>
        <v>0</v>
      </c>
      <c r="R281" s="3">
        <f>+IF(F281="Pasajero",'2.2 OPEX LAP 2023'!M282*'2.1 OPEX TUUA'!$R$7,'2.2 OPEX LAP 2023'!M282*'2.1 OPEX TUUA'!$R$8)</f>
        <v>0</v>
      </c>
      <c r="S281" s="3">
        <f>+IF(F281="Pasajero",'2.2 OPEX LAP 2023'!N282*'2.1 OPEX TUUA'!$S$7,'2.2 OPEX LAP 2023'!N282*'2.1 OPEX TUUA'!$S$8)</f>
        <v>0</v>
      </c>
      <c r="AA281" s="6"/>
      <c r="AB281" s="6"/>
      <c r="AC281" s="6"/>
      <c r="AD281" s="6"/>
      <c r="AE281" s="6"/>
      <c r="AF281" s="6"/>
    </row>
    <row r="282" spans="2:32" x14ac:dyDescent="0.25">
      <c r="B282" s="16">
        <v>6381000001</v>
      </c>
      <c r="C282" s="190" t="s">
        <v>176</v>
      </c>
      <c r="D282" s="190" t="s">
        <v>49</v>
      </c>
      <c r="E282" s="190" t="s">
        <v>130</v>
      </c>
      <c r="F282" s="162" t="s">
        <v>190</v>
      </c>
      <c r="G282" s="3">
        <f>+IF(F282="Pasajero",'2.2 OPEX LAP 2023'!I283*'2.1 OPEX TUUA'!$G$7,'2.2 OPEX LAP 2023'!I283*'2.1 OPEX TUUA'!$G$8)</f>
        <v>164083.31323227039</v>
      </c>
      <c r="H282" s="3">
        <f>+IF(F282="Pasajero",'2.2 OPEX LAP 2023'!J283*'2.1 OPEX TUUA'!$H$7,'2.2 OPEX LAP 2023'!J283*'2.1 OPEX TUUA'!$H$8)</f>
        <v>192924.38309903044</v>
      </c>
      <c r="I282" s="3">
        <f>+IF(F282="Pasajero",'2.2 OPEX LAP 2023'!K283*'2.1 OPEX TUUA'!$I$7,'2.2 OPEX LAP 2023'!K283*'2.1 OPEX TUUA'!$I$8)</f>
        <v>217178.31288723176</v>
      </c>
      <c r="J282" s="3">
        <f>+IF(F282="Pasajero",'2.2 OPEX LAP 2023'!L283*'2.1 OPEX TUUA'!$J$7,'2.2 OPEX LAP 2023'!L283*'2.1 OPEX TUUA'!$J$8)</f>
        <v>230445.62712070195</v>
      </c>
      <c r="K282" s="3">
        <f>+IF(F282="Pasajero",'2.2 OPEX LAP 2023'!M283*'2.1 OPEX TUUA'!$K$7,'2.2 OPEX LAP 2023'!M283*'2.1 OPEX TUUA'!$K$8)</f>
        <v>240113.38070118285</v>
      </c>
      <c r="L282" s="3">
        <f>+IF(F282="Pasajero",'2.2 OPEX LAP 2023'!N283*'2.1 OPEX TUUA'!$L$7,'2.2 OPEX LAP 2023'!N283*'2.1 OPEX TUUA'!$L$8)</f>
        <v>250892.09127289066</v>
      </c>
      <c r="M282" s="3"/>
      <c r="N282" s="3">
        <f>+IF(F282="Pasajero",'2.2 OPEX LAP 2023'!I283*'2.1 OPEX TUUA'!$N$7,'2.2 OPEX LAP 2023'!I283*'2.1 OPEX TUUA'!$N$8)</f>
        <v>80928.716245363976</v>
      </c>
      <c r="O282" s="3">
        <f>+IF(F282="Pasajero",'2.2 OPEX LAP 2023'!J283*'2.1 OPEX TUUA'!$O$7,'2.2 OPEX LAP 2023'!J283*'2.1 OPEX TUUA'!$O$8)</f>
        <v>79902.184844580494</v>
      </c>
      <c r="P282" s="3">
        <f>+IF(F282="Pasajero",'2.2 OPEX LAP 2023'!K283*'2.1 OPEX TUUA'!$P$7,'2.2 OPEX LAP 2023'!K283*'2.1 OPEX TUUA'!$P$8)</f>
        <v>79515.208222181449</v>
      </c>
      <c r="Q282" s="3">
        <f>+IF(F282="Pasajero",'2.2 OPEX LAP 2023'!L283*'2.1 OPEX TUUA'!$Q$7,'2.2 OPEX LAP 2023'!L283*'2.1 OPEX TUUA'!$Q$8)</f>
        <v>79114.495780170531</v>
      </c>
      <c r="R282" s="3">
        <f>+IF(F282="Pasajero",'2.2 OPEX LAP 2023'!M283*'2.1 OPEX TUUA'!$R$7,'2.2 OPEX LAP 2023'!M283*'2.1 OPEX TUUA'!$R$8)</f>
        <v>79608.527295853812</v>
      </c>
      <c r="S282" s="3">
        <f>+IF(F282="Pasajero",'2.2 OPEX LAP 2023'!N283*'2.1 OPEX TUUA'!$S$7,'2.2 OPEX LAP 2023'!N283*'2.1 OPEX TUUA'!$S$8)</f>
        <v>79742.448480668565</v>
      </c>
      <c r="AA282" s="6"/>
      <c r="AB282" s="6"/>
      <c r="AC282" s="6"/>
      <c r="AD282" s="6"/>
      <c r="AE282" s="6"/>
      <c r="AF282" s="6"/>
    </row>
    <row r="283" spans="2:32" x14ac:dyDescent="0.25">
      <c r="B283" s="16">
        <v>6381000002</v>
      </c>
      <c r="C283" s="190" t="s">
        <v>176</v>
      </c>
      <c r="D283" s="190" t="s">
        <v>49</v>
      </c>
      <c r="E283" s="190" t="s">
        <v>131</v>
      </c>
      <c r="F283" s="162" t="s">
        <v>190</v>
      </c>
      <c r="G283" s="3">
        <f>+IF(F283="Pasajero",'2.2 OPEX LAP 2023'!I284*'2.1 OPEX TUUA'!$G$7,'2.2 OPEX LAP 2023'!I284*'2.1 OPEX TUUA'!$G$8)</f>
        <v>4184.8928815921518</v>
      </c>
      <c r="H283" s="3">
        <f>+IF(F283="Pasajero",'2.2 OPEX LAP 2023'!J284*'2.1 OPEX TUUA'!$H$7,'2.2 OPEX LAP 2023'!J284*'2.1 OPEX TUUA'!$H$8)</f>
        <v>4920.4752245209056</v>
      </c>
      <c r="I283" s="3">
        <f>+IF(F283="Pasajero",'2.2 OPEX LAP 2023'!K284*'2.1 OPEX TUUA'!$I$7,'2.2 OPEX LAP 2023'!K284*'2.1 OPEX TUUA'!$I$8)</f>
        <v>5539.064014092698</v>
      </c>
      <c r="J283" s="3">
        <f>+IF(F283="Pasajero",'2.2 OPEX LAP 2023'!L284*'2.1 OPEX TUUA'!$J$7,'2.2 OPEX LAP 2023'!L284*'2.1 OPEX TUUA'!$J$8)</f>
        <v>5877.4426572329676</v>
      </c>
      <c r="K283" s="3">
        <f>+IF(F283="Pasajero",'2.2 OPEX LAP 2023'!M284*'2.1 OPEX TUUA'!$K$7,'2.2 OPEX LAP 2023'!M284*'2.1 OPEX TUUA'!$K$8)</f>
        <v>6124.0156471546788</v>
      </c>
      <c r="L283" s="3">
        <f>+IF(F283="Pasajero",'2.2 OPEX LAP 2023'!N284*'2.1 OPEX TUUA'!$L$7,'2.2 OPEX LAP 2023'!N284*'2.1 OPEX TUUA'!$L$8)</f>
        <v>6398.9232429101903</v>
      </c>
      <c r="M283" s="3"/>
      <c r="N283" s="3">
        <f>+IF(F283="Pasajero",'2.2 OPEX LAP 2023'!I284*'2.1 OPEX TUUA'!$N$7,'2.2 OPEX LAP 2023'!I284*'2.1 OPEX TUUA'!$N$8)</f>
        <v>2064.0612494958245</v>
      </c>
      <c r="O283" s="3">
        <f>+IF(F283="Pasajero",'2.2 OPEX LAP 2023'!J284*'2.1 OPEX TUUA'!$O$7,'2.2 OPEX LAP 2023'!J284*'2.1 OPEX TUUA'!$O$8)</f>
        <v>2037.8798915792615</v>
      </c>
      <c r="P283" s="3">
        <f>+IF(F283="Pasajero",'2.2 OPEX LAP 2023'!K284*'2.1 OPEX TUUA'!$P$7,'2.2 OPEX LAP 2023'!K284*'2.1 OPEX TUUA'!$P$8)</f>
        <v>2028.0101755153987</v>
      </c>
      <c r="Q283" s="3">
        <f>+IF(F283="Pasajero",'2.2 OPEX LAP 2023'!L284*'2.1 OPEX TUUA'!$Q$7,'2.2 OPEX LAP 2023'!L284*'2.1 OPEX TUUA'!$Q$8)</f>
        <v>2017.7901317272585</v>
      </c>
      <c r="R283" s="3">
        <f>+IF(F283="Pasajero",'2.2 OPEX LAP 2023'!M284*'2.1 OPEX TUUA'!$R$7,'2.2 OPEX LAP 2023'!M284*'2.1 OPEX TUUA'!$R$8)</f>
        <v>2030.3902489027237</v>
      </c>
      <c r="S283" s="3">
        <f>+IF(F283="Pasajero",'2.2 OPEX LAP 2023'!N284*'2.1 OPEX TUUA'!$S$7,'2.2 OPEX LAP 2023'!N284*'2.1 OPEX TUUA'!$S$8)</f>
        <v>2033.8058662618898</v>
      </c>
      <c r="AA283" s="6"/>
      <c r="AB283" s="6"/>
      <c r="AC283" s="6"/>
      <c r="AD283" s="6"/>
      <c r="AE283" s="6"/>
      <c r="AF283" s="6"/>
    </row>
    <row r="284" spans="2:32" x14ac:dyDescent="0.25">
      <c r="B284" s="16">
        <v>6381000003</v>
      </c>
      <c r="C284" s="190" t="s">
        <v>176</v>
      </c>
      <c r="D284" s="190" t="s">
        <v>49</v>
      </c>
      <c r="E284" s="190" t="s">
        <v>132</v>
      </c>
      <c r="F284" s="162" t="s">
        <v>190</v>
      </c>
      <c r="G284" s="3">
        <f>+IF(F284="Pasajero",'2.2 OPEX LAP 2023'!I285*'2.1 OPEX TUUA'!$G$7,'2.2 OPEX LAP 2023'!I285*'2.1 OPEX TUUA'!$G$8)</f>
        <v>7234.7406010828208</v>
      </c>
      <c r="H284" s="3">
        <f>+IF(F284="Pasajero",'2.2 OPEX LAP 2023'!J285*'2.1 OPEX TUUA'!$H$7,'2.2 OPEX LAP 2023'!J285*'2.1 OPEX TUUA'!$H$8)</f>
        <v>8506.3973895360559</v>
      </c>
      <c r="I284" s="3">
        <f>+IF(F284="Pasajero",'2.2 OPEX LAP 2023'!K285*'2.1 OPEX TUUA'!$I$7,'2.2 OPEX LAP 2023'!K285*'2.1 OPEX TUUA'!$I$8)</f>
        <v>9575.7985804184082</v>
      </c>
      <c r="J284" s="3">
        <f>+IF(F284="Pasajero",'2.2 OPEX LAP 2023'!L285*'2.1 OPEX TUUA'!$J$7,'2.2 OPEX LAP 2023'!L285*'2.1 OPEX TUUA'!$J$8)</f>
        <v>10160.779314055455</v>
      </c>
      <c r="K284" s="3">
        <f>+IF(F284="Pasajero",'2.2 OPEX LAP 2023'!M285*'2.1 OPEX TUUA'!$K$7,'2.2 OPEX LAP 2023'!M285*'2.1 OPEX TUUA'!$K$8)</f>
        <v>10587.04867668686</v>
      </c>
      <c r="L284" s="3">
        <f>+IF(F284="Pasajero",'2.2 OPEX LAP 2023'!N285*'2.1 OPEX TUUA'!$L$7,'2.2 OPEX LAP 2023'!N285*'2.1 OPEX TUUA'!$L$8)</f>
        <v>11062.302213833978</v>
      </c>
      <c r="M284" s="3"/>
      <c r="N284" s="3">
        <f>+IF(F284="Pasajero",'2.2 OPEX LAP 2023'!I285*'2.1 OPEX TUUA'!$N$7,'2.2 OPEX LAP 2023'!I285*'2.1 OPEX TUUA'!$N$8)</f>
        <v>3568.2986751068065</v>
      </c>
      <c r="O284" s="3">
        <f>+IF(F284="Pasajero",'2.2 OPEX LAP 2023'!J285*'2.1 OPEX TUUA'!$O$7,'2.2 OPEX LAP 2023'!J285*'2.1 OPEX TUUA'!$O$8)</f>
        <v>3523.0369829990805</v>
      </c>
      <c r="P284" s="3">
        <f>+IF(F284="Pasajero",'2.2 OPEX LAP 2023'!K285*'2.1 OPEX TUUA'!$P$7,'2.2 OPEX LAP 2023'!K285*'2.1 OPEX TUUA'!$P$8)</f>
        <v>3505.9744589276825</v>
      </c>
      <c r="Q284" s="3">
        <f>+IF(F284="Pasajero",'2.2 OPEX LAP 2023'!L285*'2.1 OPEX TUUA'!$Q$7,'2.2 OPEX LAP 2023'!L285*'2.1 OPEX TUUA'!$Q$8)</f>
        <v>3488.3062968430245</v>
      </c>
      <c r="R284" s="3">
        <f>+IF(F284="Pasajero",'2.2 OPEX LAP 2023'!M285*'2.1 OPEX TUUA'!$R$7,'2.2 OPEX LAP 2023'!M285*'2.1 OPEX TUUA'!$R$8)</f>
        <v>3510.0890716683289</v>
      </c>
      <c r="S284" s="3">
        <f>+IF(F284="Pasajero",'2.2 OPEX LAP 2023'!N285*'2.1 OPEX TUUA'!$S$7,'2.2 OPEX LAP 2023'!N285*'2.1 OPEX TUUA'!$S$8)</f>
        <v>3515.9939075351722</v>
      </c>
      <c r="AA284" s="6"/>
      <c r="AB284" s="6"/>
      <c r="AC284" s="6"/>
      <c r="AD284" s="6"/>
      <c r="AE284" s="6"/>
      <c r="AF284" s="6"/>
    </row>
    <row r="285" spans="2:32" x14ac:dyDescent="0.25">
      <c r="B285" s="16">
        <v>6381000004</v>
      </c>
      <c r="C285" s="190" t="s">
        <v>176</v>
      </c>
      <c r="D285" s="190" t="s">
        <v>40</v>
      </c>
      <c r="E285" s="190" t="s">
        <v>133</v>
      </c>
      <c r="F285" s="162" t="s">
        <v>190</v>
      </c>
      <c r="G285" s="3">
        <f>+IF(F285="Pasajero",'2.2 OPEX LAP 2023'!I286*'2.1 OPEX TUUA'!$G$7,'2.2 OPEX LAP 2023'!I286*'2.1 OPEX TUUA'!$G$8)</f>
        <v>25428.038094248186</v>
      </c>
      <c r="H285" s="3">
        <f>+IF(F285="Pasajero",'2.2 OPEX LAP 2023'!J286*'2.1 OPEX TUUA'!$H$7,'2.2 OPEX LAP 2023'!J286*'2.1 OPEX TUUA'!$H$8)</f>
        <v>29897.546960227224</v>
      </c>
      <c r="I285" s="3">
        <f>+IF(F285="Pasajero",'2.2 OPEX LAP 2023'!K286*'2.1 OPEX TUUA'!$I$7,'2.2 OPEX LAP 2023'!K286*'2.1 OPEX TUUA'!$I$8)</f>
        <v>33656.185413100146</v>
      </c>
      <c r="J285" s="3">
        <f>+IF(F285="Pasajero",'2.2 OPEX LAP 2023'!L286*'2.1 OPEX TUUA'!$J$7,'2.2 OPEX LAP 2023'!L286*'2.1 OPEX TUUA'!$J$8)</f>
        <v>35712.224903596558</v>
      </c>
      <c r="K285" s="3">
        <f>+IF(F285="Pasajero",'2.2 OPEX LAP 2023'!M286*'2.1 OPEX TUUA'!$K$7,'2.2 OPEX LAP 2023'!M286*'2.1 OPEX TUUA'!$K$8)</f>
        <v>37210.439447706129</v>
      </c>
      <c r="L285" s="3">
        <f>+IF(F285="Pasajero",'2.2 OPEX LAP 2023'!N286*'2.1 OPEX TUUA'!$L$7,'2.2 OPEX LAP 2023'!N286*'2.1 OPEX TUUA'!$L$8)</f>
        <v>38880.819315257198</v>
      </c>
      <c r="M285" s="3"/>
      <c r="N285" s="3">
        <f>+IF(F285="Pasajero",'2.2 OPEX LAP 2023'!I286*'2.1 OPEX TUUA'!$N$7,'2.2 OPEX LAP 2023'!I286*'2.1 OPEX TUUA'!$N$8)</f>
        <v>12541.546358785961</v>
      </c>
      <c r="O285" s="3">
        <f>+IF(F285="Pasajero",'2.2 OPEX LAP 2023'!J286*'2.1 OPEX TUUA'!$O$7,'2.2 OPEX LAP 2023'!J286*'2.1 OPEX TUUA'!$O$8)</f>
        <v>12382.46449330026</v>
      </c>
      <c r="P285" s="3">
        <f>+IF(F285="Pasajero",'2.2 OPEX LAP 2023'!K286*'2.1 OPEX TUUA'!$P$7,'2.2 OPEX LAP 2023'!K286*'2.1 OPEX TUUA'!$P$8)</f>
        <v>12322.494615180984</v>
      </c>
      <c r="Q285" s="3">
        <f>+IF(F285="Pasajero",'2.2 OPEX LAP 2023'!L286*'2.1 OPEX TUUA'!$Q$7,'2.2 OPEX LAP 2023'!L286*'2.1 OPEX TUUA'!$Q$8)</f>
        <v>12260.396093158397</v>
      </c>
      <c r="R285" s="3">
        <f>+IF(F285="Pasajero",'2.2 OPEX LAP 2023'!M286*'2.1 OPEX TUUA'!$R$7,'2.2 OPEX LAP 2023'!M286*'2.1 OPEX TUUA'!$R$8)</f>
        <v>12336.956298782543</v>
      </c>
      <c r="S285" s="3">
        <f>+IF(F285="Pasajero",'2.2 OPEX LAP 2023'!N286*'2.1 OPEX TUUA'!$S$7,'2.2 OPEX LAP 2023'!N286*'2.1 OPEX TUUA'!$S$8)</f>
        <v>12357.710103188454</v>
      </c>
      <c r="AA285" s="6"/>
      <c r="AB285" s="6"/>
      <c r="AC285" s="6"/>
      <c r="AD285" s="6"/>
      <c r="AE285" s="6"/>
      <c r="AF285" s="6"/>
    </row>
    <row r="286" spans="2:32" x14ac:dyDescent="0.25">
      <c r="B286" s="16">
        <v>6381000005</v>
      </c>
      <c r="C286" s="190" t="s">
        <v>176</v>
      </c>
      <c r="D286" s="190" t="s">
        <v>49</v>
      </c>
      <c r="E286" s="190" t="s">
        <v>134</v>
      </c>
      <c r="F286" s="162" t="s">
        <v>190</v>
      </c>
      <c r="G286" s="3">
        <f>+IF(F286="Pasajero",'2.2 OPEX LAP 2023'!I287*'2.1 OPEX TUUA'!$G$7,'2.2 OPEX LAP 2023'!I287*'2.1 OPEX TUUA'!$G$8)</f>
        <v>19679.996936797084</v>
      </c>
      <c r="H286" s="3">
        <f>+IF(F286="Pasajero",'2.2 OPEX LAP 2023'!J287*'2.1 OPEX TUUA'!$H$7,'2.2 OPEX LAP 2023'!J287*'2.1 OPEX TUUA'!$H$8)</f>
        <v>23139.167497476377</v>
      </c>
      <c r="I286" s="3">
        <f>+IF(F286="Pasajero",'2.2 OPEX LAP 2023'!K287*'2.1 OPEX TUUA'!$I$7,'2.2 OPEX LAP 2023'!K287*'2.1 OPEX TUUA'!$I$8)</f>
        <v>26048.160828574099</v>
      </c>
      <c r="J286" s="3">
        <f>+IF(F286="Pasajero",'2.2 OPEX LAP 2023'!L287*'2.1 OPEX TUUA'!$J$7,'2.2 OPEX LAP 2023'!L287*'2.1 OPEX TUUA'!$J$8)</f>
        <v>27639.429912131742</v>
      </c>
      <c r="K286" s="3">
        <f>+IF(F286="Pasajero",'2.2 OPEX LAP 2023'!M287*'2.1 OPEX TUUA'!$K$7,'2.2 OPEX LAP 2023'!M287*'2.1 OPEX TUUA'!$K$8)</f>
        <v>28798.971105575631</v>
      </c>
      <c r="L286" s="3">
        <f>+IF(F286="Pasajero",'2.2 OPEX LAP 2023'!N287*'2.1 OPEX TUUA'!$L$7,'2.2 OPEX LAP 2023'!N287*'2.1 OPEX TUUA'!$L$8)</f>
        <v>30091.759426674162</v>
      </c>
      <c r="M286" s="3"/>
      <c r="N286" s="3">
        <f>+IF(F286="Pasajero",'2.2 OPEX LAP 2023'!I287*'2.1 OPEX TUUA'!$N$7,'2.2 OPEX LAP 2023'!I287*'2.1 OPEX TUUA'!$N$8)</f>
        <v>9706.5134560828101</v>
      </c>
      <c r="O286" s="3">
        <f>+IF(F286="Pasajero",'2.2 OPEX LAP 2023'!J287*'2.1 OPEX TUUA'!$O$7,'2.2 OPEX LAP 2023'!J287*'2.1 OPEX TUUA'!$O$8)</f>
        <v>9583.3922536583614</v>
      </c>
      <c r="P286" s="3">
        <f>+IF(F286="Pasajero",'2.2 OPEX LAP 2023'!K287*'2.1 OPEX TUUA'!$P$7,'2.2 OPEX LAP 2023'!K287*'2.1 OPEX TUUA'!$P$8)</f>
        <v>9536.9786446605649</v>
      </c>
      <c r="Q286" s="3">
        <f>+IF(F286="Pasajero",'2.2 OPEX LAP 2023'!L287*'2.1 OPEX TUUA'!$Q$7,'2.2 OPEX LAP 2023'!L287*'2.1 OPEX TUUA'!$Q$8)</f>
        <v>9488.9175744885579</v>
      </c>
      <c r="R286" s="3">
        <f>+IF(F286="Pasajero",'2.2 OPEX LAP 2023'!M287*'2.1 OPEX TUUA'!$R$7,'2.2 OPEX LAP 2023'!M287*'2.1 OPEX TUUA'!$R$8)</f>
        <v>9548.1712458327347</v>
      </c>
      <c r="S286" s="3">
        <f>+IF(F286="Pasajero",'2.2 OPEX LAP 2023'!N287*'2.1 OPEX TUUA'!$S$7,'2.2 OPEX LAP 2023'!N287*'2.1 OPEX TUUA'!$S$8)</f>
        <v>9564.2336256994531</v>
      </c>
      <c r="AA286" s="6"/>
      <c r="AB286" s="6"/>
      <c r="AC286" s="6"/>
      <c r="AD286" s="6"/>
      <c r="AE286" s="6"/>
      <c r="AF286" s="6"/>
    </row>
    <row r="287" spans="2:32" x14ac:dyDescent="0.25">
      <c r="B287" s="16">
        <v>6381000006</v>
      </c>
      <c r="C287" s="190" t="s">
        <v>176</v>
      </c>
      <c r="D287" s="190" t="s">
        <v>49</v>
      </c>
      <c r="E287" s="190" t="s">
        <v>135</v>
      </c>
      <c r="F287" s="162" t="s">
        <v>190</v>
      </c>
      <c r="G287" s="3">
        <f>+IF(F287="Pasajero",'2.2 OPEX LAP 2023'!I288*'2.1 OPEX TUUA'!$G$7,'2.2 OPEX LAP 2023'!I288*'2.1 OPEX TUUA'!$G$8)</f>
        <v>97793.157753539941</v>
      </c>
      <c r="H287" s="3">
        <f>+IF(F287="Pasajero",'2.2 OPEX LAP 2023'!J288*'2.1 OPEX TUUA'!$H$7,'2.2 OPEX LAP 2023'!J288*'2.1 OPEX TUUA'!$H$8)</f>
        <v>114982.34804779242</v>
      </c>
      <c r="I287" s="3">
        <f>+IF(F287="Pasajero",'2.2 OPEX LAP 2023'!K288*'2.1 OPEX TUUA'!$I$7,'2.2 OPEX LAP 2023'!K288*'2.1 OPEX TUUA'!$I$8)</f>
        <v>129437.61674756154</v>
      </c>
      <c r="J287" s="3">
        <f>+IF(F287="Pasajero",'2.2 OPEX LAP 2023'!L288*'2.1 OPEX TUUA'!$J$7,'2.2 OPEX LAP 2023'!L288*'2.1 OPEX TUUA'!$J$8)</f>
        <v>137344.89585011665</v>
      </c>
      <c r="K287" s="3">
        <f>+IF(F287="Pasajero",'2.2 OPEX LAP 2023'!M288*'2.1 OPEX TUUA'!$K$7,'2.2 OPEX LAP 2023'!M288*'2.1 OPEX TUUA'!$K$8)</f>
        <v>143106.84770490392</v>
      </c>
      <c r="L287" s="3">
        <f>+IF(F287="Pasajero",'2.2 OPEX LAP 2023'!N288*'2.1 OPEX TUUA'!$L$7,'2.2 OPEX LAP 2023'!N288*'2.1 OPEX TUUA'!$L$8)</f>
        <v>149530.92656188461</v>
      </c>
      <c r="M287" s="3"/>
      <c r="N287" s="3">
        <f>+IF(F287="Pasajero",'2.2 OPEX LAP 2023'!I288*'2.1 OPEX TUUA'!$N$7,'2.2 OPEX LAP 2023'!I288*'2.1 OPEX TUUA'!$N$8)</f>
        <v>48233.269786374854</v>
      </c>
      <c r="O287" s="3">
        <f>+IF(F287="Pasajero",'2.2 OPEX LAP 2023'!J288*'2.1 OPEX TUUA'!$O$7,'2.2 OPEX LAP 2023'!J288*'2.1 OPEX TUUA'!$O$8)</f>
        <v>47621.460180399408</v>
      </c>
      <c r="P287" s="3">
        <f>+IF(F287="Pasajero",'2.2 OPEX LAP 2023'!K288*'2.1 OPEX TUUA'!$P$7,'2.2 OPEX LAP 2023'!K288*'2.1 OPEX TUUA'!$P$8)</f>
        <v>47390.823285423787</v>
      </c>
      <c r="Q287" s="3">
        <f>+IF(F287="Pasajero",'2.2 OPEX LAP 2023'!L288*'2.1 OPEX TUUA'!$Q$7,'2.2 OPEX LAP 2023'!L288*'2.1 OPEX TUUA'!$Q$8)</f>
        <v>47151.999883558979</v>
      </c>
      <c r="R287" s="3">
        <f>+IF(F287="Pasajero",'2.2 OPEX LAP 2023'!M288*'2.1 OPEX TUUA'!$R$7,'2.2 OPEX LAP 2023'!M288*'2.1 OPEX TUUA'!$R$8)</f>
        <v>47446.441170711965</v>
      </c>
      <c r="S287" s="3">
        <f>+IF(F287="Pasajero",'2.2 OPEX LAP 2023'!N288*'2.1 OPEX TUUA'!$S$7,'2.2 OPEX LAP 2023'!N288*'2.1 OPEX TUUA'!$S$8)</f>
        <v>47526.257791275879</v>
      </c>
      <c r="AA287" s="6"/>
      <c r="AB287" s="6"/>
      <c r="AC287" s="6"/>
      <c r="AD287" s="6"/>
      <c r="AE287" s="6"/>
      <c r="AF287" s="6"/>
    </row>
    <row r="288" spans="2:32" x14ac:dyDescent="0.25">
      <c r="B288" s="16">
        <v>6382000001</v>
      </c>
      <c r="C288" s="190" t="s">
        <v>176</v>
      </c>
      <c r="D288" s="190" t="s">
        <v>40</v>
      </c>
      <c r="E288" s="190" t="s">
        <v>136</v>
      </c>
      <c r="F288" s="162" t="s">
        <v>190</v>
      </c>
      <c r="G288" s="3">
        <f>+IF(F288="Pasajero",'2.2 OPEX LAP 2023'!I289*'2.1 OPEX TUUA'!$G$7,'2.2 OPEX LAP 2023'!I289*'2.1 OPEX TUUA'!$G$8)</f>
        <v>0</v>
      </c>
      <c r="H288" s="3">
        <f>+IF(F288="Pasajero",'2.2 OPEX LAP 2023'!J289*'2.1 OPEX TUUA'!$H$7,'2.2 OPEX LAP 2023'!J289*'2.1 OPEX TUUA'!$H$8)</f>
        <v>0</v>
      </c>
      <c r="I288" s="3">
        <f>+IF(F288="Pasajero",'2.2 OPEX LAP 2023'!K289*'2.1 OPEX TUUA'!$I$7,'2.2 OPEX LAP 2023'!K289*'2.1 OPEX TUUA'!$I$8)</f>
        <v>0</v>
      </c>
      <c r="J288" s="3">
        <f>+IF(F288="Pasajero",'2.2 OPEX LAP 2023'!L289*'2.1 OPEX TUUA'!$J$7,'2.2 OPEX LAP 2023'!L289*'2.1 OPEX TUUA'!$J$8)</f>
        <v>0</v>
      </c>
      <c r="K288" s="3">
        <f>+IF(F288="Pasajero",'2.2 OPEX LAP 2023'!M289*'2.1 OPEX TUUA'!$K$7,'2.2 OPEX LAP 2023'!M289*'2.1 OPEX TUUA'!$K$8)</f>
        <v>0</v>
      </c>
      <c r="L288" s="3">
        <f>+IF(F288="Pasajero",'2.2 OPEX LAP 2023'!N289*'2.1 OPEX TUUA'!$L$7,'2.2 OPEX LAP 2023'!N289*'2.1 OPEX TUUA'!$L$8)</f>
        <v>0</v>
      </c>
      <c r="M288" s="3"/>
      <c r="N288" s="3">
        <f>+IF(F288="Pasajero",'2.2 OPEX LAP 2023'!I289*'2.1 OPEX TUUA'!$N$7,'2.2 OPEX LAP 2023'!I289*'2.1 OPEX TUUA'!$N$8)</f>
        <v>0</v>
      </c>
      <c r="O288" s="3">
        <f>+IF(F288="Pasajero",'2.2 OPEX LAP 2023'!J289*'2.1 OPEX TUUA'!$O$7,'2.2 OPEX LAP 2023'!J289*'2.1 OPEX TUUA'!$O$8)</f>
        <v>0</v>
      </c>
      <c r="P288" s="3">
        <f>+IF(F288="Pasajero",'2.2 OPEX LAP 2023'!K289*'2.1 OPEX TUUA'!$P$7,'2.2 OPEX LAP 2023'!K289*'2.1 OPEX TUUA'!$P$8)</f>
        <v>0</v>
      </c>
      <c r="Q288" s="3">
        <f>+IF(F288="Pasajero",'2.2 OPEX LAP 2023'!L289*'2.1 OPEX TUUA'!$Q$7,'2.2 OPEX LAP 2023'!L289*'2.1 OPEX TUUA'!$Q$8)</f>
        <v>0</v>
      </c>
      <c r="R288" s="3">
        <f>+IF(F288="Pasajero",'2.2 OPEX LAP 2023'!M289*'2.1 OPEX TUUA'!$R$7,'2.2 OPEX LAP 2023'!M289*'2.1 OPEX TUUA'!$R$8)</f>
        <v>0</v>
      </c>
      <c r="S288" s="3">
        <f>+IF(F288="Pasajero",'2.2 OPEX LAP 2023'!N289*'2.1 OPEX TUUA'!$S$7,'2.2 OPEX LAP 2023'!N289*'2.1 OPEX TUUA'!$S$8)</f>
        <v>0</v>
      </c>
      <c r="AA288" s="6"/>
      <c r="AB288" s="6"/>
      <c r="AC288" s="6"/>
      <c r="AD288" s="6"/>
      <c r="AE288" s="6"/>
      <c r="AF288" s="6"/>
    </row>
    <row r="289" spans="2:32" x14ac:dyDescent="0.25">
      <c r="B289" s="16">
        <v>6382000002</v>
      </c>
      <c r="C289" s="190" t="s">
        <v>176</v>
      </c>
      <c r="D289" s="190" t="s">
        <v>40</v>
      </c>
      <c r="E289" s="190" t="s">
        <v>137</v>
      </c>
      <c r="F289" s="162" t="s">
        <v>190</v>
      </c>
      <c r="G289" s="3">
        <f>+IF(F289="Pasajero",'2.2 OPEX LAP 2023'!I290*'2.1 OPEX TUUA'!$G$7,'2.2 OPEX LAP 2023'!I290*'2.1 OPEX TUUA'!$G$8)</f>
        <v>0</v>
      </c>
      <c r="H289" s="3">
        <f>+IF(F289="Pasajero",'2.2 OPEX LAP 2023'!J290*'2.1 OPEX TUUA'!$H$7,'2.2 OPEX LAP 2023'!J290*'2.1 OPEX TUUA'!$H$8)</f>
        <v>0</v>
      </c>
      <c r="I289" s="3">
        <f>+IF(F289="Pasajero",'2.2 OPEX LAP 2023'!K290*'2.1 OPEX TUUA'!$I$7,'2.2 OPEX LAP 2023'!K290*'2.1 OPEX TUUA'!$I$8)</f>
        <v>0</v>
      </c>
      <c r="J289" s="3">
        <f>+IF(F289="Pasajero",'2.2 OPEX LAP 2023'!L290*'2.1 OPEX TUUA'!$J$7,'2.2 OPEX LAP 2023'!L290*'2.1 OPEX TUUA'!$J$8)</f>
        <v>0</v>
      </c>
      <c r="K289" s="3">
        <f>+IF(F289="Pasajero",'2.2 OPEX LAP 2023'!M290*'2.1 OPEX TUUA'!$K$7,'2.2 OPEX LAP 2023'!M290*'2.1 OPEX TUUA'!$K$8)</f>
        <v>0</v>
      </c>
      <c r="L289" s="3">
        <f>+IF(F289="Pasajero",'2.2 OPEX LAP 2023'!N290*'2.1 OPEX TUUA'!$L$7,'2.2 OPEX LAP 2023'!N290*'2.1 OPEX TUUA'!$L$8)</f>
        <v>0</v>
      </c>
      <c r="M289" s="3"/>
      <c r="N289" s="3">
        <f>+IF(F289="Pasajero",'2.2 OPEX LAP 2023'!I290*'2.1 OPEX TUUA'!$N$7,'2.2 OPEX LAP 2023'!I290*'2.1 OPEX TUUA'!$N$8)</f>
        <v>0</v>
      </c>
      <c r="O289" s="3">
        <f>+IF(F289="Pasajero",'2.2 OPEX LAP 2023'!J290*'2.1 OPEX TUUA'!$O$7,'2.2 OPEX LAP 2023'!J290*'2.1 OPEX TUUA'!$O$8)</f>
        <v>0</v>
      </c>
      <c r="P289" s="3">
        <f>+IF(F289="Pasajero",'2.2 OPEX LAP 2023'!K290*'2.1 OPEX TUUA'!$P$7,'2.2 OPEX LAP 2023'!K290*'2.1 OPEX TUUA'!$P$8)</f>
        <v>0</v>
      </c>
      <c r="Q289" s="3">
        <f>+IF(F289="Pasajero",'2.2 OPEX LAP 2023'!L290*'2.1 OPEX TUUA'!$Q$7,'2.2 OPEX LAP 2023'!L290*'2.1 OPEX TUUA'!$Q$8)</f>
        <v>0</v>
      </c>
      <c r="R289" s="3">
        <f>+IF(F289="Pasajero",'2.2 OPEX LAP 2023'!M290*'2.1 OPEX TUUA'!$R$7,'2.2 OPEX LAP 2023'!M290*'2.1 OPEX TUUA'!$R$8)</f>
        <v>0</v>
      </c>
      <c r="S289" s="3">
        <f>+IF(F289="Pasajero",'2.2 OPEX LAP 2023'!N290*'2.1 OPEX TUUA'!$S$7,'2.2 OPEX LAP 2023'!N290*'2.1 OPEX TUUA'!$S$8)</f>
        <v>0</v>
      </c>
      <c r="AA289" s="6"/>
      <c r="AB289" s="6"/>
      <c r="AC289" s="6"/>
      <c r="AD289" s="6"/>
      <c r="AE289" s="6"/>
      <c r="AF289" s="6"/>
    </row>
    <row r="290" spans="2:32" x14ac:dyDescent="0.25">
      <c r="B290" s="16">
        <v>6390000001</v>
      </c>
      <c r="C290" s="190" t="s">
        <v>176</v>
      </c>
      <c r="D290" s="190" t="s">
        <v>38</v>
      </c>
      <c r="E290" s="190" t="s">
        <v>138</v>
      </c>
      <c r="F290" s="162" t="s">
        <v>190</v>
      </c>
      <c r="G290" s="3">
        <f>+IF(F290="Pasajero",'2.2 OPEX LAP 2023'!I291*'2.1 OPEX TUUA'!$G$7,'2.2 OPEX LAP 2023'!I291*'2.1 OPEX TUUA'!$G$8)</f>
        <v>0</v>
      </c>
      <c r="H290" s="3">
        <f>+IF(F290="Pasajero",'2.2 OPEX LAP 2023'!J291*'2.1 OPEX TUUA'!$H$7,'2.2 OPEX LAP 2023'!J291*'2.1 OPEX TUUA'!$H$8)</f>
        <v>0</v>
      </c>
      <c r="I290" s="3">
        <f>+IF(F290="Pasajero",'2.2 OPEX LAP 2023'!K291*'2.1 OPEX TUUA'!$I$7,'2.2 OPEX LAP 2023'!K291*'2.1 OPEX TUUA'!$I$8)</f>
        <v>0</v>
      </c>
      <c r="J290" s="3">
        <f>+IF(F290="Pasajero",'2.2 OPEX LAP 2023'!L291*'2.1 OPEX TUUA'!$J$7,'2.2 OPEX LAP 2023'!L291*'2.1 OPEX TUUA'!$J$8)</f>
        <v>0</v>
      </c>
      <c r="K290" s="3">
        <f>+IF(F290="Pasajero",'2.2 OPEX LAP 2023'!M291*'2.1 OPEX TUUA'!$K$7,'2.2 OPEX LAP 2023'!M291*'2.1 OPEX TUUA'!$K$8)</f>
        <v>0</v>
      </c>
      <c r="L290" s="3">
        <f>+IF(F290="Pasajero",'2.2 OPEX LAP 2023'!N291*'2.1 OPEX TUUA'!$L$7,'2.2 OPEX LAP 2023'!N291*'2.1 OPEX TUUA'!$L$8)</f>
        <v>0</v>
      </c>
      <c r="M290" s="3"/>
      <c r="N290" s="3">
        <f>+IF(F290="Pasajero",'2.2 OPEX LAP 2023'!I291*'2.1 OPEX TUUA'!$N$7,'2.2 OPEX LAP 2023'!I291*'2.1 OPEX TUUA'!$N$8)</f>
        <v>0</v>
      </c>
      <c r="O290" s="3">
        <f>+IF(F290="Pasajero",'2.2 OPEX LAP 2023'!J291*'2.1 OPEX TUUA'!$O$7,'2.2 OPEX LAP 2023'!J291*'2.1 OPEX TUUA'!$O$8)</f>
        <v>0</v>
      </c>
      <c r="P290" s="3">
        <f>+IF(F290="Pasajero",'2.2 OPEX LAP 2023'!K291*'2.1 OPEX TUUA'!$P$7,'2.2 OPEX LAP 2023'!K291*'2.1 OPEX TUUA'!$P$8)</f>
        <v>0</v>
      </c>
      <c r="Q290" s="3">
        <f>+IF(F290="Pasajero",'2.2 OPEX LAP 2023'!L291*'2.1 OPEX TUUA'!$Q$7,'2.2 OPEX LAP 2023'!L291*'2.1 OPEX TUUA'!$Q$8)</f>
        <v>0</v>
      </c>
      <c r="R290" s="3">
        <f>+IF(F290="Pasajero",'2.2 OPEX LAP 2023'!M291*'2.1 OPEX TUUA'!$R$7,'2.2 OPEX LAP 2023'!M291*'2.1 OPEX TUUA'!$R$8)</f>
        <v>0</v>
      </c>
      <c r="S290" s="3">
        <f>+IF(F290="Pasajero",'2.2 OPEX LAP 2023'!N291*'2.1 OPEX TUUA'!$S$7,'2.2 OPEX LAP 2023'!N291*'2.1 OPEX TUUA'!$S$8)</f>
        <v>0</v>
      </c>
      <c r="AA290" s="6"/>
      <c r="AB290" s="6"/>
      <c r="AC290" s="6"/>
      <c r="AD290" s="6"/>
      <c r="AE290" s="6"/>
      <c r="AF290" s="6"/>
    </row>
    <row r="291" spans="2:32" x14ac:dyDescent="0.25">
      <c r="B291" s="16">
        <v>6391000001</v>
      </c>
      <c r="C291" s="190" t="s">
        <v>176</v>
      </c>
      <c r="D291" s="190" t="s">
        <v>38</v>
      </c>
      <c r="E291" s="190" t="s">
        <v>139</v>
      </c>
      <c r="F291" s="162" t="s">
        <v>190</v>
      </c>
      <c r="G291" s="3">
        <f>+IF(F291="Pasajero",'2.2 OPEX LAP 2023'!I292*'2.1 OPEX TUUA'!$G$7,'2.2 OPEX LAP 2023'!I292*'2.1 OPEX TUUA'!$G$8)</f>
        <v>0</v>
      </c>
      <c r="H291" s="3">
        <f>+IF(F291="Pasajero",'2.2 OPEX LAP 2023'!J292*'2.1 OPEX TUUA'!$H$7,'2.2 OPEX LAP 2023'!J292*'2.1 OPEX TUUA'!$H$8)</f>
        <v>0</v>
      </c>
      <c r="I291" s="3">
        <f>+IF(F291="Pasajero",'2.2 OPEX LAP 2023'!K292*'2.1 OPEX TUUA'!$I$7,'2.2 OPEX LAP 2023'!K292*'2.1 OPEX TUUA'!$I$8)</f>
        <v>0</v>
      </c>
      <c r="J291" s="3">
        <f>+IF(F291="Pasajero",'2.2 OPEX LAP 2023'!L292*'2.1 OPEX TUUA'!$J$7,'2.2 OPEX LAP 2023'!L292*'2.1 OPEX TUUA'!$J$8)</f>
        <v>0</v>
      </c>
      <c r="K291" s="3">
        <f>+IF(F291="Pasajero",'2.2 OPEX LAP 2023'!M292*'2.1 OPEX TUUA'!$K$7,'2.2 OPEX LAP 2023'!M292*'2.1 OPEX TUUA'!$K$8)</f>
        <v>0</v>
      </c>
      <c r="L291" s="3">
        <f>+IF(F291="Pasajero",'2.2 OPEX LAP 2023'!N292*'2.1 OPEX TUUA'!$L$7,'2.2 OPEX LAP 2023'!N292*'2.1 OPEX TUUA'!$L$8)</f>
        <v>0</v>
      </c>
      <c r="M291" s="3"/>
      <c r="N291" s="3">
        <f>+IF(F291="Pasajero",'2.2 OPEX LAP 2023'!I292*'2.1 OPEX TUUA'!$N$7,'2.2 OPEX LAP 2023'!I292*'2.1 OPEX TUUA'!$N$8)</f>
        <v>0</v>
      </c>
      <c r="O291" s="3">
        <f>+IF(F291="Pasajero",'2.2 OPEX LAP 2023'!J292*'2.1 OPEX TUUA'!$O$7,'2.2 OPEX LAP 2023'!J292*'2.1 OPEX TUUA'!$O$8)</f>
        <v>0</v>
      </c>
      <c r="P291" s="3">
        <f>+IF(F291="Pasajero",'2.2 OPEX LAP 2023'!K292*'2.1 OPEX TUUA'!$P$7,'2.2 OPEX LAP 2023'!K292*'2.1 OPEX TUUA'!$P$8)</f>
        <v>0</v>
      </c>
      <c r="Q291" s="3">
        <f>+IF(F291="Pasajero",'2.2 OPEX LAP 2023'!L292*'2.1 OPEX TUUA'!$Q$7,'2.2 OPEX LAP 2023'!L292*'2.1 OPEX TUUA'!$Q$8)</f>
        <v>0</v>
      </c>
      <c r="R291" s="3">
        <f>+IF(F291="Pasajero",'2.2 OPEX LAP 2023'!M292*'2.1 OPEX TUUA'!$R$7,'2.2 OPEX LAP 2023'!M292*'2.1 OPEX TUUA'!$R$8)</f>
        <v>0</v>
      </c>
      <c r="S291" s="3">
        <f>+IF(F291="Pasajero",'2.2 OPEX LAP 2023'!N292*'2.1 OPEX TUUA'!$S$7,'2.2 OPEX LAP 2023'!N292*'2.1 OPEX TUUA'!$S$8)</f>
        <v>0</v>
      </c>
      <c r="AA291" s="6"/>
      <c r="AB291" s="6"/>
      <c r="AC291" s="6"/>
      <c r="AD291" s="6"/>
      <c r="AE291" s="6"/>
      <c r="AF291" s="6"/>
    </row>
    <row r="292" spans="2:32" x14ac:dyDescent="0.25">
      <c r="B292" s="16">
        <v>6391000003</v>
      </c>
      <c r="C292" s="190" t="s">
        <v>176</v>
      </c>
      <c r="D292" s="190" t="s">
        <v>38</v>
      </c>
      <c r="E292" s="190" t="s">
        <v>140</v>
      </c>
      <c r="F292" s="162" t="s">
        <v>190</v>
      </c>
      <c r="G292" s="3">
        <f>+IF(F292="Pasajero",'2.2 OPEX LAP 2023'!I293*'2.1 OPEX TUUA'!$G$7,'2.2 OPEX LAP 2023'!I293*'2.1 OPEX TUUA'!$G$8)</f>
        <v>0</v>
      </c>
      <c r="H292" s="3">
        <f>+IF(F292="Pasajero",'2.2 OPEX LAP 2023'!J293*'2.1 OPEX TUUA'!$H$7,'2.2 OPEX LAP 2023'!J293*'2.1 OPEX TUUA'!$H$8)</f>
        <v>0</v>
      </c>
      <c r="I292" s="3">
        <f>+IF(F292="Pasajero",'2.2 OPEX LAP 2023'!K293*'2.1 OPEX TUUA'!$I$7,'2.2 OPEX LAP 2023'!K293*'2.1 OPEX TUUA'!$I$8)</f>
        <v>0</v>
      </c>
      <c r="J292" s="3">
        <f>+IF(F292="Pasajero",'2.2 OPEX LAP 2023'!L293*'2.1 OPEX TUUA'!$J$7,'2.2 OPEX LAP 2023'!L293*'2.1 OPEX TUUA'!$J$8)</f>
        <v>0</v>
      </c>
      <c r="K292" s="3">
        <f>+IF(F292="Pasajero",'2.2 OPEX LAP 2023'!M293*'2.1 OPEX TUUA'!$K$7,'2.2 OPEX LAP 2023'!M293*'2.1 OPEX TUUA'!$K$8)</f>
        <v>0</v>
      </c>
      <c r="L292" s="3">
        <f>+IF(F292="Pasajero",'2.2 OPEX LAP 2023'!N293*'2.1 OPEX TUUA'!$L$7,'2.2 OPEX LAP 2023'!N293*'2.1 OPEX TUUA'!$L$8)</f>
        <v>0</v>
      </c>
      <c r="M292" s="3"/>
      <c r="N292" s="3">
        <f>+IF(F292="Pasajero",'2.2 OPEX LAP 2023'!I293*'2.1 OPEX TUUA'!$N$7,'2.2 OPEX LAP 2023'!I293*'2.1 OPEX TUUA'!$N$8)</f>
        <v>0</v>
      </c>
      <c r="O292" s="3">
        <f>+IF(F292="Pasajero",'2.2 OPEX LAP 2023'!J293*'2.1 OPEX TUUA'!$O$7,'2.2 OPEX LAP 2023'!J293*'2.1 OPEX TUUA'!$O$8)</f>
        <v>0</v>
      </c>
      <c r="P292" s="3">
        <f>+IF(F292="Pasajero",'2.2 OPEX LAP 2023'!K293*'2.1 OPEX TUUA'!$P$7,'2.2 OPEX LAP 2023'!K293*'2.1 OPEX TUUA'!$P$8)</f>
        <v>0</v>
      </c>
      <c r="Q292" s="3">
        <f>+IF(F292="Pasajero",'2.2 OPEX LAP 2023'!L293*'2.1 OPEX TUUA'!$Q$7,'2.2 OPEX LAP 2023'!L293*'2.1 OPEX TUUA'!$Q$8)</f>
        <v>0</v>
      </c>
      <c r="R292" s="3">
        <f>+IF(F292="Pasajero",'2.2 OPEX LAP 2023'!M293*'2.1 OPEX TUUA'!$R$7,'2.2 OPEX LAP 2023'!M293*'2.1 OPEX TUUA'!$R$8)</f>
        <v>0</v>
      </c>
      <c r="S292" s="3">
        <f>+IF(F292="Pasajero",'2.2 OPEX LAP 2023'!N293*'2.1 OPEX TUUA'!$S$7,'2.2 OPEX LAP 2023'!N293*'2.1 OPEX TUUA'!$S$8)</f>
        <v>0</v>
      </c>
      <c r="AA292" s="6"/>
      <c r="AB292" s="6"/>
      <c r="AC292" s="6"/>
      <c r="AD292" s="6"/>
      <c r="AE292" s="6"/>
      <c r="AF292" s="6"/>
    </row>
    <row r="293" spans="2:32" x14ac:dyDescent="0.25">
      <c r="B293" s="16">
        <v>6410000001</v>
      </c>
      <c r="C293" s="190" t="s">
        <v>176</v>
      </c>
      <c r="D293" s="190" t="s">
        <v>38</v>
      </c>
      <c r="E293" s="190" t="s">
        <v>141</v>
      </c>
      <c r="F293" s="162" t="s">
        <v>190</v>
      </c>
      <c r="G293" s="3">
        <f>+IF(F293="Pasajero",'2.2 OPEX LAP 2023'!I294*'2.1 OPEX TUUA'!$G$7,'2.2 OPEX LAP 2023'!I294*'2.1 OPEX TUUA'!$G$8)</f>
        <v>0</v>
      </c>
      <c r="H293" s="3">
        <f>+IF(F293="Pasajero",'2.2 OPEX LAP 2023'!J294*'2.1 OPEX TUUA'!$H$7,'2.2 OPEX LAP 2023'!J294*'2.1 OPEX TUUA'!$H$8)</f>
        <v>0</v>
      </c>
      <c r="I293" s="3">
        <f>+IF(F293="Pasajero",'2.2 OPEX LAP 2023'!K294*'2.1 OPEX TUUA'!$I$7,'2.2 OPEX LAP 2023'!K294*'2.1 OPEX TUUA'!$I$8)</f>
        <v>0</v>
      </c>
      <c r="J293" s="3">
        <f>+IF(F293="Pasajero",'2.2 OPEX LAP 2023'!L294*'2.1 OPEX TUUA'!$J$7,'2.2 OPEX LAP 2023'!L294*'2.1 OPEX TUUA'!$J$8)</f>
        <v>0</v>
      </c>
      <c r="K293" s="3">
        <f>+IF(F293="Pasajero",'2.2 OPEX LAP 2023'!M294*'2.1 OPEX TUUA'!$K$7,'2.2 OPEX LAP 2023'!M294*'2.1 OPEX TUUA'!$K$8)</f>
        <v>0</v>
      </c>
      <c r="L293" s="3">
        <f>+IF(F293="Pasajero",'2.2 OPEX LAP 2023'!N294*'2.1 OPEX TUUA'!$L$7,'2.2 OPEX LAP 2023'!N294*'2.1 OPEX TUUA'!$L$8)</f>
        <v>0</v>
      </c>
      <c r="M293" s="3"/>
      <c r="N293" s="3">
        <f>+IF(F293="Pasajero",'2.2 OPEX LAP 2023'!I294*'2.1 OPEX TUUA'!$N$7,'2.2 OPEX LAP 2023'!I294*'2.1 OPEX TUUA'!$N$8)</f>
        <v>0</v>
      </c>
      <c r="O293" s="3">
        <f>+IF(F293="Pasajero",'2.2 OPEX LAP 2023'!J294*'2.1 OPEX TUUA'!$O$7,'2.2 OPEX LAP 2023'!J294*'2.1 OPEX TUUA'!$O$8)</f>
        <v>0</v>
      </c>
      <c r="P293" s="3">
        <f>+IF(F293="Pasajero",'2.2 OPEX LAP 2023'!K294*'2.1 OPEX TUUA'!$P$7,'2.2 OPEX LAP 2023'!K294*'2.1 OPEX TUUA'!$P$8)</f>
        <v>0</v>
      </c>
      <c r="Q293" s="3">
        <f>+IF(F293="Pasajero",'2.2 OPEX LAP 2023'!L294*'2.1 OPEX TUUA'!$Q$7,'2.2 OPEX LAP 2023'!L294*'2.1 OPEX TUUA'!$Q$8)</f>
        <v>0</v>
      </c>
      <c r="R293" s="3">
        <f>+IF(F293="Pasajero",'2.2 OPEX LAP 2023'!M294*'2.1 OPEX TUUA'!$R$7,'2.2 OPEX LAP 2023'!M294*'2.1 OPEX TUUA'!$R$8)</f>
        <v>0</v>
      </c>
      <c r="S293" s="3">
        <f>+IF(F293="Pasajero",'2.2 OPEX LAP 2023'!N294*'2.1 OPEX TUUA'!$S$7,'2.2 OPEX LAP 2023'!N294*'2.1 OPEX TUUA'!$S$8)</f>
        <v>0</v>
      </c>
      <c r="AA293" s="6"/>
      <c r="AB293" s="6"/>
      <c r="AC293" s="6"/>
      <c r="AD293" s="6"/>
      <c r="AE293" s="6"/>
      <c r="AF293" s="6"/>
    </row>
    <row r="294" spans="2:32" x14ac:dyDescent="0.25">
      <c r="B294" s="16">
        <v>6410000002</v>
      </c>
      <c r="C294" s="190" t="s">
        <v>176</v>
      </c>
      <c r="D294" s="190" t="s">
        <v>38</v>
      </c>
      <c r="E294" s="190" t="s">
        <v>142</v>
      </c>
      <c r="F294" s="162" t="s">
        <v>190</v>
      </c>
      <c r="G294" s="3">
        <f>+IF(F294="Pasajero",'2.2 OPEX LAP 2023'!I295*'2.1 OPEX TUUA'!$G$7,'2.2 OPEX LAP 2023'!I295*'2.1 OPEX TUUA'!$G$8)</f>
        <v>0</v>
      </c>
      <c r="H294" s="3">
        <f>+IF(F294="Pasajero",'2.2 OPEX LAP 2023'!J295*'2.1 OPEX TUUA'!$H$7,'2.2 OPEX LAP 2023'!J295*'2.1 OPEX TUUA'!$H$8)</f>
        <v>0</v>
      </c>
      <c r="I294" s="3">
        <f>+IF(F294="Pasajero",'2.2 OPEX LAP 2023'!K295*'2.1 OPEX TUUA'!$I$7,'2.2 OPEX LAP 2023'!K295*'2.1 OPEX TUUA'!$I$8)</f>
        <v>0</v>
      </c>
      <c r="J294" s="3">
        <f>+IF(F294="Pasajero",'2.2 OPEX LAP 2023'!L295*'2.1 OPEX TUUA'!$J$7,'2.2 OPEX LAP 2023'!L295*'2.1 OPEX TUUA'!$J$8)</f>
        <v>0</v>
      </c>
      <c r="K294" s="3">
        <f>+IF(F294="Pasajero",'2.2 OPEX LAP 2023'!M295*'2.1 OPEX TUUA'!$K$7,'2.2 OPEX LAP 2023'!M295*'2.1 OPEX TUUA'!$K$8)</f>
        <v>0</v>
      </c>
      <c r="L294" s="3">
        <f>+IF(F294="Pasajero",'2.2 OPEX LAP 2023'!N295*'2.1 OPEX TUUA'!$L$7,'2.2 OPEX LAP 2023'!N295*'2.1 OPEX TUUA'!$L$8)</f>
        <v>0</v>
      </c>
      <c r="M294" s="3"/>
      <c r="N294" s="3">
        <f>+IF(F294="Pasajero",'2.2 OPEX LAP 2023'!I295*'2.1 OPEX TUUA'!$N$7,'2.2 OPEX LAP 2023'!I295*'2.1 OPEX TUUA'!$N$8)</f>
        <v>0</v>
      </c>
      <c r="O294" s="3">
        <f>+IF(F294="Pasajero",'2.2 OPEX LAP 2023'!J295*'2.1 OPEX TUUA'!$O$7,'2.2 OPEX LAP 2023'!J295*'2.1 OPEX TUUA'!$O$8)</f>
        <v>0</v>
      </c>
      <c r="P294" s="3">
        <f>+IF(F294="Pasajero",'2.2 OPEX LAP 2023'!K295*'2.1 OPEX TUUA'!$P$7,'2.2 OPEX LAP 2023'!K295*'2.1 OPEX TUUA'!$P$8)</f>
        <v>0</v>
      </c>
      <c r="Q294" s="3">
        <f>+IF(F294="Pasajero",'2.2 OPEX LAP 2023'!L295*'2.1 OPEX TUUA'!$Q$7,'2.2 OPEX LAP 2023'!L295*'2.1 OPEX TUUA'!$Q$8)</f>
        <v>0</v>
      </c>
      <c r="R294" s="3">
        <f>+IF(F294="Pasajero",'2.2 OPEX LAP 2023'!M295*'2.1 OPEX TUUA'!$R$7,'2.2 OPEX LAP 2023'!M295*'2.1 OPEX TUUA'!$R$8)</f>
        <v>0</v>
      </c>
      <c r="S294" s="3">
        <f>+IF(F294="Pasajero",'2.2 OPEX LAP 2023'!N295*'2.1 OPEX TUUA'!$S$7,'2.2 OPEX LAP 2023'!N295*'2.1 OPEX TUUA'!$S$8)</f>
        <v>0</v>
      </c>
      <c r="AA294" s="6"/>
      <c r="AB294" s="6"/>
      <c r="AC294" s="6"/>
      <c r="AD294" s="6"/>
      <c r="AE294" s="6"/>
      <c r="AF294" s="6"/>
    </row>
    <row r="295" spans="2:32" x14ac:dyDescent="0.25">
      <c r="B295" s="16">
        <v>6430000001</v>
      </c>
      <c r="C295" s="190" t="s">
        <v>176</v>
      </c>
      <c r="D295" s="190" t="s">
        <v>38</v>
      </c>
      <c r="E295" s="190" t="s">
        <v>143</v>
      </c>
      <c r="F295" s="162" t="s">
        <v>192</v>
      </c>
      <c r="G295" s="3">
        <f>+IF(F295="Pasajero",'2.2 OPEX LAP 2023'!I296*'2.1 OPEX TUUA'!$G$7,'2.2 OPEX LAP 2023'!I296*'2.1 OPEX TUUA'!$G$8)</f>
        <v>1639.4343390614374</v>
      </c>
      <c r="H295" s="3">
        <f>+IF(F295="Pasajero",'2.2 OPEX LAP 2023'!J296*'2.1 OPEX TUUA'!$H$7,'2.2 OPEX LAP 2023'!J296*'2.1 OPEX TUUA'!$H$8)</f>
        <v>1639.4343390614374</v>
      </c>
      <c r="I295" s="3">
        <f>+IF(F295="Pasajero",'2.2 OPEX LAP 2023'!K296*'2.1 OPEX TUUA'!$I$7,'2.2 OPEX LAP 2023'!K296*'2.1 OPEX TUUA'!$I$8)</f>
        <v>1639.4343390614374</v>
      </c>
      <c r="J295" s="3">
        <f>+IF(F295="Pasajero",'2.2 OPEX LAP 2023'!L296*'2.1 OPEX TUUA'!$J$7,'2.2 OPEX LAP 2023'!L296*'2.1 OPEX TUUA'!$J$8)</f>
        <v>1639.4343390614374</v>
      </c>
      <c r="K295" s="3">
        <f>+IF(F295="Pasajero",'2.2 OPEX LAP 2023'!M296*'2.1 OPEX TUUA'!$K$7,'2.2 OPEX LAP 2023'!M296*'2.1 OPEX TUUA'!$K$8)</f>
        <v>1639.4343390614374</v>
      </c>
      <c r="L295" s="3">
        <f>+IF(F295="Pasajero",'2.2 OPEX LAP 2023'!N296*'2.1 OPEX TUUA'!$L$7,'2.2 OPEX LAP 2023'!N296*'2.1 OPEX TUUA'!$L$8)</f>
        <v>1639.4343390614374</v>
      </c>
      <c r="M295" s="3"/>
      <c r="N295" s="3">
        <f>+IF(F295="Pasajero",'2.2 OPEX LAP 2023'!I296*'2.1 OPEX TUUA'!$N$7,'2.2 OPEX LAP 2023'!I296*'2.1 OPEX TUUA'!$N$8)</f>
        <v>306.37049231483599</v>
      </c>
      <c r="O295" s="3">
        <f>+IF(F295="Pasajero",'2.2 OPEX LAP 2023'!J296*'2.1 OPEX TUUA'!$O$7,'2.2 OPEX LAP 2023'!J296*'2.1 OPEX TUUA'!$O$8)</f>
        <v>306.37049231483599</v>
      </c>
      <c r="P295" s="3">
        <f>+IF(F295="Pasajero",'2.2 OPEX LAP 2023'!K296*'2.1 OPEX TUUA'!$P$7,'2.2 OPEX LAP 2023'!K296*'2.1 OPEX TUUA'!$P$8)</f>
        <v>306.37049231483599</v>
      </c>
      <c r="Q295" s="3">
        <f>+IF(F295="Pasajero",'2.2 OPEX LAP 2023'!L296*'2.1 OPEX TUUA'!$Q$7,'2.2 OPEX LAP 2023'!L296*'2.1 OPEX TUUA'!$Q$8)</f>
        <v>306.37049231483599</v>
      </c>
      <c r="R295" s="3">
        <f>+IF(F295="Pasajero",'2.2 OPEX LAP 2023'!M296*'2.1 OPEX TUUA'!$R$7,'2.2 OPEX LAP 2023'!M296*'2.1 OPEX TUUA'!$R$8)</f>
        <v>306.37049231483599</v>
      </c>
      <c r="S295" s="3">
        <f>+IF(F295="Pasajero",'2.2 OPEX LAP 2023'!N296*'2.1 OPEX TUUA'!$S$7,'2.2 OPEX LAP 2023'!N296*'2.1 OPEX TUUA'!$S$8)</f>
        <v>306.37049231483599</v>
      </c>
      <c r="AA295" s="6"/>
      <c r="AB295" s="6"/>
      <c r="AC295" s="6"/>
      <c r="AD295" s="6"/>
      <c r="AE295" s="6"/>
      <c r="AF295" s="6"/>
    </row>
    <row r="296" spans="2:32" x14ac:dyDescent="0.25">
      <c r="B296" s="16">
        <v>6430000002</v>
      </c>
      <c r="C296" s="190" t="s">
        <v>176</v>
      </c>
      <c r="D296" s="190" t="s">
        <v>38</v>
      </c>
      <c r="E296" s="190" t="s">
        <v>144</v>
      </c>
      <c r="F296" s="162" t="s">
        <v>192</v>
      </c>
      <c r="G296" s="3">
        <f>+IF(F296="Pasajero",'2.2 OPEX LAP 2023'!I297*'2.1 OPEX TUUA'!$G$7,'2.2 OPEX LAP 2023'!I297*'2.1 OPEX TUUA'!$G$8)</f>
        <v>123.04676072913588</v>
      </c>
      <c r="H296" s="3">
        <f>+IF(F296="Pasajero",'2.2 OPEX LAP 2023'!J297*'2.1 OPEX TUUA'!$H$7,'2.2 OPEX LAP 2023'!J297*'2.1 OPEX TUUA'!$H$8)</f>
        <v>123.04676072913588</v>
      </c>
      <c r="I296" s="3">
        <f>+IF(F296="Pasajero",'2.2 OPEX LAP 2023'!K297*'2.1 OPEX TUUA'!$I$7,'2.2 OPEX LAP 2023'!K297*'2.1 OPEX TUUA'!$I$8)</f>
        <v>123.04676072913588</v>
      </c>
      <c r="J296" s="3">
        <f>+IF(F296="Pasajero",'2.2 OPEX LAP 2023'!L297*'2.1 OPEX TUUA'!$J$7,'2.2 OPEX LAP 2023'!L297*'2.1 OPEX TUUA'!$J$8)</f>
        <v>123.04676072913588</v>
      </c>
      <c r="K296" s="3">
        <f>+IF(F296="Pasajero",'2.2 OPEX LAP 2023'!M297*'2.1 OPEX TUUA'!$K$7,'2.2 OPEX LAP 2023'!M297*'2.1 OPEX TUUA'!$K$8)</f>
        <v>123.04676072913588</v>
      </c>
      <c r="L296" s="3">
        <f>+IF(F296="Pasajero",'2.2 OPEX LAP 2023'!N297*'2.1 OPEX TUUA'!$L$7,'2.2 OPEX LAP 2023'!N297*'2.1 OPEX TUUA'!$L$8)</f>
        <v>123.04676072913588</v>
      </c>
      <c r="M296" s="3"/>
      <c r="N296" s="3">
        <f>+IF(F296="Pasajero",'2.2 OPEX LAP 2023'!I297*'2.1 OPEX TUUA'!$N$7,'2.2 OPEX LAP 2023'!I297*'2.1 OPEX TUUA'!$N$8)</f>
        <v>22.994453491753092</v>
      </c>
      <c r="O296" s="3">
        <f>+IF(F296="Pasajero",'2.2 OPEX LAP 2023'!J297*'2.1 OPEX TUUA'!$O$7,'2.2 OPEX LAP 2023'!J297*'2.1 OPEX TUUA'!$O$8)</f>
        <v>22.994453491753092</v>
      </c>
      <c r="P296" s="3">
        <f>+IF(F296="Pasajero",'2.2 OPEX LAP 2023'!K297*'2.1 OPEX TUUA'!$P$7,'2.2 OPEX LAP 2023'!K297*'2.1 OPEX TUUA'!$P$8)</f>
        <v>22.994453491753092</v>
      </c>
      <c r="Q296" s="3">
        <f>+IF(F296="Pasajero",'2.2 OPEX LAP 2023'!L297*'2.1 OPEX TUUA'!$Q$7,'2.2 OPEX LAP 2023'!L297*'2.1 OPEX TUUA'!$Q$8)</f>
        <v>22.994453491753092</v>
      </c>
      <c r="R296" s="3">
        <f>+IF(F296="Pasajero",'2.2 OPEX LAP 2023'!M297*'2.1 OPEX TUUA'!$R$7,'2.2 OPEX LAP 2023'!M297*'2.1 OPEX TUUA'!$R$8)</f>
        <v>22.994453491753092</v>
      </c>
      <c r="S296" s="3">
        <f>+IF(F296="Pasajero",'2.2 OPEX LAP 2023'!N297*'2.1 OPEX TUUA'!$S$7,'2.2 OPEX LAP 2023'!N297*'2.1 OPEX TUUA'!$S$8)</f>
        <v>22.994453491753092</v>
      </c>
      <c r="AA296" s="6"/>
      <c r="AB296" s="6"/>
      <c r="AC296" s="6"/>
      <c r="AD296" s="6"/>
      <c r="AE296" s="6"/>
      <c r="AF296" s="6"/>
    </row>
    <row r="297" spans="2:32" x14ac:dyDescent="0.25">
      <c r="B297" s="16">
        <v>6430000003</v>
      </c>
      <c r="C297" s="190" t="s">
        <v>176</v>
      </c>
      <c r="D297" s="190" t="s">
        <v>38</v>
      </c>
      <c r="E297" s="190" t="s">
        <v>145</v>
      </c>
      <c r="F297" s="162" t="s">
        <v>190</v>
      </c>
      <c r="G297" s="3">
        <f>+IF(F297="Pasajero",'2.2 OPEX LAP 2023'!I298*'2.1 OPEX TUUA'!$G$7,'2.2 OPEX LAP 2023'!I298*'2.1 OPEX TUUA'!$G$8)</f>
        <v>0</v>
      </c>
      <c r="H297" s="3">
        <f>+IF(F297="Pasajero",'2.2 OPEX LAP 2023'!J298*'2.1 OPEX TUUA'!$H$7,'2.2 OPEX LAP 2023'!J298*'2.1 OPEX TUUA'!$H$8)</f>
        <v>0</v>
      </c>
      <c r="I297" s="3">
        <f>+IF(F297="Pasajero",'2.2 OPEX LAP 2023'!K298*'2.1 OPEX TUUA'!$I$7,'2.2 OPEX LAP 2023'!K298*'2.1 OPEX TUUA'!$I$8)</f>
        <v>0</v>
      </c>
      <c r="J297" s="3">
        <f>+IF(F297="Pasajero",'2.2 OPEX LAP 2023'!L298*'2.1 OPEX TUUA'!$J$7,'2.2 OPEX LAP 2023'!L298*'2.1 OPEX TUUA'!$J$8)</f>
        <v>0</v>
      </c>
      <c r="K297" s="3">
        <f>+IF(F297="Pasajero",'2.2 OPEX LAP 2023'!M298*'2.1 OPEX TUUA'!$K$7,'2.2 OPEX LAP 2023'!M298*'2.1 OPEX TUUA'!$K$8)</f>
        <v>0</v>
      </c>
      <c r="L297" s="3">
        <f>+IF(F297="Pasajero",'2.2 OPEX LAP 2023'!N298*'2.1 OPEX TUUA'!$L$7,'2.2 OPEX LAP 2023'!N298*'2.1 OPEX TUUA'!$L$8)</f>
        <v>0</v>
      </c>
      <c r="M297" s="3"/>
      <c r="N297" s="3">
        <f>+IF(F297="Pasajero",'2.2 OPEX LAP 2023'!I298*'2.1 OPEX TUUA'!$N$7,'2.2 OPEX LAP 2023'!I298*'2.1 OPEX TUUA'!$N$8)</f>
        <v>0</v>
      </c>
      <c r="O297" s="3">
        <f>+IF(F297="Pasajero",'2.2 OPEX LAP 2023'!J298*'2.1 OPEX TUUA'!$O$7,'2.2 OPEX LAP 2023'!J298*'2.1 OPEX TUUA'!$O$8)</f>
        <v>0</v>
      </c>
      <c r="P297" s="3">
        <f>+IF(F297="Pasajero",'2.2 OPEX LAP 2023'!K298*'2.1 OPEX TUUA'!$P$7,'2.2 OPEX LAP 2023'!K298*'2.1 OPEX TUUA'!$P$8)</f>
        <v>0</v>
      </c>
      <c r="Q297" s="3">
        <f>+IF(F297="Pasajero",'2.2 OPEX LAP 2023'!L298*'2.1 OPEX TUUA'!$Q$7,'2.2 OPEX LAP 2023'!L298*'2.1 OPEX TUUA'!$Q$8)</f>
        <v>0</v>
      </c>
      <c r="R297" s="3">
        <f>+IF(F297="Pasajero",'2.2 OPEX LAP 2023'!M298*'2.1 OPEX TUUA'!$R$7,'2.2 OPEX LAP 2023'!M298*'2.1 OPEX TUUA'!$R$8)</f>
        <v>0</v>
      </c>
      <c r="S297" s="3">
        <f>+IF(F297="Pasajero",'2.2 OPEX LAP 2023'!N298*'2.1 OPEX TUUA'!$S$7,'2.2 OPEX LAP 2023'!N298*'2.1 OPEX TUUA'!$S$8)</f>
        <v>0</v>
      </c>
      <c r="AA297" s="6"/>
      <c r="AB297" s="6"/>
      <c r="AC297" s="6"/>
      <c r="AD297" s="6"/>
      <c r="AE297" s="6"/>
      <c r="AF297" s="6"/>
    </row>
    <row r="298" spans="2:32" x14ac:dyDescent="0.25">
      <c r="B298" s="16">
        <v>6510000001</v>
      </c>
      <c r="C298" s="190" t="s">
        <v>176</v>
      </c>
      <c r="D298" s="190" t="s">
        <v>38</v>
      </c>
      <c r="E298" s="190" t="s">
        <v>146</v>
      </c>
      <c r="F298" s="162" t="s">
        <v>192</v>
      </c>
      <c r="G298" s="3">
        <f>+IF(F298="Pasajero",'2.2 OPEX LAP 2023'!I299*'2.1 OPEX TUUA'!$G$7,'2.2 OPEX LAP 2023'!I299*'2.1 OPEX TUUA'!$G$8)</f>
        <v>3985.880597220807</v>
      </c>
      <c r="H298" s="3">
        <f>+IF(F298="Pasajero",'2.2 OPEX LAP 2023'!J299*'2.1 OPEX TUUA'!$H$7,'2.2 OPEX LAP 2023'!J299*'2.1 OPEX TUUA'!$H$8)</f>
        <v>3985.880597220807</v>
      </c>
      <c r="I298" s="3">
        <f>+IF(F298="Pasajero",'2.2 OPEX LAP 2023'!K299*'2.1 OPEX TUUA'!$I$7,'2.2 OPEX LAP 2023'!K299*'2.1 OPEX TUUA'!$I$8)</f>
        <v>3985.880597220807</v>
      </c>
      <c r="J298" s="3">
        <f>+IF(F298="Pasajero",'2.2 OPEX LAP 2023'!L299*'2.1 OPEX TUUA'!$J$7,'2.2 OPEX LAP 2023'!L299*'2.1 OPEX TUUA'!$J$8)</f>
        <v>3985.880597220807</v>
      </c>
      <c r="K298" s="3">
        <f>+IF(F298="Pasajero",'2.2 OPEX LAP 2023'!M299*'2.1 OPEX TUUA'!$K$7,'2.2 OPEX LAP 2023'!M299*'2.1 OPEX TUUA'!$K$8)</f>
        <v>3985.880597220807</v>
      </c>
      <c r="L298" s="3">
        <f>+IF(F298="Pasajero",'2.2 OPEX LAP 2023'!N299*'2.1 OPEX TUUA'!$L$7,'2.2 OPEX LAP 2023'!N299*'2.1 OPEX TUUA'!$L$8)</f>
        <v>3985.880597220807</v>
      </c>
      <c r="M298" s="3"/>
      <c r="N298" s="3">
        <f>+IF(F298="Pasajero",'2.2 OPEX LAP 2023'!I299*'2.1 OPEX TUUA'!$N$7,'2.2 OPEX LAP 2023'!I299*'2.1 OPEX TUUA'!$N$8)</f>
        <v>744.86435460281552</v>
      </c>
      <c r="O298" s="3">
        <f>+IF(F298="Pasajero",'2.2 OPEX LAP 2023'!J299*'2.1 OPEX TUUA'!$O$7,'2.2 OPEX LAP 2023'!J299*'2.1 OPEX TUUA'!$O$8)</f>
        <v>744.86435460281552</v>
      </c>
      <c r="P298" s="3">
        <f>+IF(F298="Pasajero",'2.2 OPEX LAP 2023'!K299*'2.1 OPEX TUUA'!$P$7,'2.2 OPEX LAP 2023'!K299*'2.1 OPEX TUUA'!$P$8)</f>
        <v>744.86435460281552</v>
      </c>
      <c r="Q298" s="3">
        <f>+IF(F298="Pasajero",'2.2 OPEX LAP 2023'!L299*'2.1 OPEX TUUA'!$Q$7,'2.2 OPEX LAP 2023'!L299*'2.1 OPEX TUUA'!$Q$8)</f>
        <v>744.86435460281552</v>
      </c>
      <c r="R298" s="3">
        <f>+IF(F298="Pasajero",'2.2 OPEX LAP 2023'!M299*'2.1 OPEX TUUA'!$R$7,'2.2 OPEX LAP 2023'!M299*'2.1 OPEX TUUA'!$R$8)</f>
        <v>744.86435460281552</v>
      </c>
      <c r="S298" s="3">
        <f>+IF(F298="Pasajero",'2.2 OPEX LAP 2023'!N299*'2.1 OPEX TUUA'!$S$7,'2.2 OPEX LAP 2023'!N299*'2.1 OPEX TUUA'!$S$8)</f>
        <v>744.86435460281552</v>
      </c>
      <c r="AA298" s="6"/>
      <c r="AB298" s="6"/>
      <c r="AC298" s="6"/>
      <c r="AD298" s="6"/>
      <c r="AE298" s="6"/>
      <c r="AF298" s="6"/>
    </row>
    <row r="299" spans="2:32" x14ac:dyDescent="0.25">
      <c r="B299" s="16">
        <v>6530000001</v>
      </c>
      <c r="C299" s="190" t="s">
        <v>176</v>
      </c>
      <c r="D299" s="190" t="s">
        <v>38</v>
      </c>
      <c r="E299" s="190" t="s">
        <v>147</v>
      </c>
      <c r="F299" s="162" t="s">
        <v>190</v>
      </c>
      <c r="G299" s="3">
        <f>+IF(F299="Pasajero",'2.2 OPEX LAP 2023'!I300*'2.1 OPEX TUUA'!$G$7,'2.2 OPEX LAP 2023'!I300*'2.1 OPEX TUUA'!$G$8)</f>
        <v>79.49635144906307</v>
      </c>
      <c r="H299" s="3">
        <f>+IF(F299="Pasajero",'2.2 OPEX LAP 2023'!J300*'2.1 OPEX TUUA'!$H$7,'2.2 OPEX LAP 2023'!J300*'2.1 OPEX TUUA'!$H$8)</f>
        <v>93.469495829987366</v>
      </c>
      <c r="I299" s="3">
        <f>+IF(F299="Pasajero",'2.2 OPEX LAP 2023'!K300*'2.1 OPEX TUUA'!$I$7,'2.2 OPEX LAP 2023'!K300*'2.1 OPEX TUUA'!$I$8)</f>
        <v>105.2202271413085</v>
      </c>
      <c r="J299" s="3">
        <f>+IF(F299="Pasajero",'2.2 OPEX LAP 2023'!L300*'2.1 OPEX TUUA'!$J$7,'2.2 OPEX LAP 2023'!L300*'2.1 OPEX TUUA'!$J$8)</f>
        <v>111.64807805626475</v>
      </c>
      <c r="K299" s="3">
        <f>+IF(F299="Pasajero",'2.2 OPEX LAP 2023'!M300*'2.1 OPEX TUUA'!$K$7,'2.2 OPEX LAP 2023'!M300*'2.1 OPEX TUUA'!$K$8)</f>
        <v>116.33198601263881</v>
      </c>
      <c r="L299" s="3">
        <f>+IF(F299="Pasajero",'2.2 OPEX LAP 2023'!N300*'2.1 OPEX TUUA'!$L$7,'2.2 OPEX LAP 2023'!N300*'2.1 OPEX TUUA'!$L$8)</f>
        <v>121.55413899636886</v>
      </c>
      <c r="M299" s="3"/>
      <c r="N299" s="3">
        <f>+IF(F299="Pasajero",'2.2 OPEX LAP 2023'!I300*'2.1 OPEX TUUA'!$N$7,'2.2 OPEX LAP 2023'!I300*'2.1 OPEX TUUA'!$N$8)</f>
        <v>39.208969774128533</v>
      </c>
      <c r="O299" s="3">
        <f>+IF(F299="Pasajero",'2.2 OPEX LAP 2023'!J300*'2.1 OPEX TUUA'!$O$7,'2.2 OPEX LAP 2023'!J300*'2.1 OPEX TUUA'!$O$8)</f>
        <v>38.711627909178112</v>
      </c>
      <c r="P299" s="3">
        <f>+IF(F299="Pasajero",'2.2 OPEX LAP 2023'!K300*'2.1 OPEX TUUA'!$P$7,'2.2 OPEX LAP 2023'!K300*'2.1 OPEX TUUA'!$P$8)</f>
        <v>38.524142485031057</v>
      </c>
      <c r="Q299" s="3">
        <f>+IF(F299="Pasajero",'2.2 OPEX LAP 2023'!L300*'2.1 OPEX TUUA'!$Q$7,'2.2 OPEX LAP 2023'!L300*'2.1 OPEX TUUA'!$Q$8)</f>
        <v>38.330002224863229</v>
      </c>
      <c r="R299" s="3">
        <f>+IF(F299="Pasajero",'2.2 OPEX LAP 2023'!M300*'2.1 OPEX TUUA'!$R$7,'2.2 OPEX LAP 2023'!M300*'2.1 OPEX TUUA'!$R$8)</f>
        <v>38.569354430910394</v>
      </c>
      <c r="S299" s="3">
        <f>+IF(F299="Pasajero",'2.2 OPEX LAP 2023'!N300*'2.1 OPEX TUUA'!$S$7,'2.2 OPEX LAP 2023'!N300*'2.1 OPEX TUUA'!$S$8)</f>
        <v>38.63423760132418</v>
      </c>
      <c r="AA299" s="6"/>
      <c r="AB299" s="6"/>
      <c r="AC299" s="6"/>
      <c r="AD299" s="6"/>
      <c r="AE299" s="6"/>
      <c r="AF299" s="6"/>
    </row>
    <row r="300" spans="2:32" x14ac:dyDescent="0.25">
      <c r="B300" s="16">
        <v>6530000002</v>
      </c>
      <c r="C300" s="190" t="s">
        <v>176</v>
      </c>
      <c r="D300" s="190" t="s">
        <v>38</v>
      </c>
      <c r="E300" s="190" t="s">
        <v>148</v>
      </c>
      <c r="F300" s="162" t="s">
        <v>190</v>
      </c>
      <c r="G300" s="3">
        <f>+IF(F300="Pasajero",'2.2 OPEX LAP 2023'!I301*'2.1 OPEX TUUA'!$G$7,'2.2 OPEX LAP 2023'!I301*'2.1 OPEX TUUA'!$G$8)</f>
        <v>451.14249602240841</v>
      </c>
      <c r="H300" s="3">
        <f>+IF(F300="Pasajero",'2.2 OPEX LAP 2023'!J301*'2.1 OPEX TUUA'!$H$7,'2.2 OPEX LAP 2023'!J301*'2.1 OPEX TUUA'!$H$8)</f>
        <v>530.44021369604104</v>
      </c>
      <c r="I300" s="3">
        <f>+IF(F300="Pasajero",'2.2 OPEX LAP 2023'!K301*'2.1 OPEX TUUA'!$I$7,'2.2 OPEX LAP 2023'!K301*'2.1 OPEX TUUA'!$I$8)</f>
        <v>597.12571758705712</v>
      </c>
      <c r="J300" s="3">
        <f>+IF(F300="Pasajero",'2.2 OPEX LAP 2023'!L301*'2.1 OPEX TUUA'!$J$7,'2.2 OPEX LAP 2023'!L301*'2.1 OPEX TUUA'!$J$8)</f>
        <v>633.60382825470663</v>
      </c>
      <c r="K300" s="3">
        <f>+IF(F300="Pasajero",'2.2 OPEX LAP 2023'!M301*'2.1 OPEX TUUA'!$K$7,'2.2 OPEX LAP 2023'!M301*'2.1 OPEX TUUA'!$K$8)</f>
        <v>660.18504724224442</v>
      </c>
      <c r="L300" s="3">
        <f>+IF(F300="Pasajero",'2.2 OPEX LAP 2023'!N301*'2.1 OPEX TUUA'!$L$7,'2.2 OPEX LAP 2023'!N301*'2.1 OPEX TUUA'!$L$8)</f>
        <v>689.82081150999704</v>
      </c>
      <c r="M300" s="3"/>
      <c r="N300" s="3">
        <f>+IF(F300="Pasajero",'2.2 OPEX LAP 2023'!I301*'2.1 OPEX TUUA'!$N$7,'2.2 OPEX LAP 2023'!I301*'2.1 OPEX TUUA'!$N$8)</f>
        <v>222.51124948421756</v>
      </c>
      <c r="O300" s="3">
        <f>+IF(F300="Pasajero",'2.2 OPEX LAP 2023'!J301*'2.1 OPEX TUUA'!$O$7,'2.2 OPEX LAP 2023'!J301*'2.1 OPEX TUUA'!$O$8)</f>
        <v>219.68883001162155</v>
      </c>
      <c r="P300" s="3">
        <f>+IF(F300="Pasajero",'2.2 OPEX LAP 2023'!K301*'2.1 OPEX TUUA'!$P$7,'2.2 OPEX LAP 2023'!K301*'2.1 OPEX TUUA'!$P$8)</f>
        <v>218.62484857504302</v>
      </c>
      <c r="Q300" s="3">
        <f>+IF(F300="Pasajero",'2.2 OPEX LAP 2023'!L301*'2.1 OPEX TUUA'!$Q$7,'2.2 OPEX LAP 2023'!L301*'2.1 OPEX TUUA'!$Q$8)</f>
        <v>217.52310088531826</v>
      </c>
      <c r="R300" s="3">
        <f>+IF(F300="Pasajero",'2.2 OPEX LAP 2023'!M301*'2.1 OPEX TUUA'!$R$7,'2.2 OPEX LAP 2023'!M301*'2.1 OPEX TUUA'!$R$8)</f>
        <v>218.88142676690009</v>
      </c>
      <c r="S300" s="3">
        <f>+IF(F300="Pasajero",'2.2 OPEX LAP 2023'!N301*'2.1 OPEX TUUA'!$S$7,'2.2 OPEX LAP 2023'!N301*'2.1 OPEX TUUA'!$S$8)</f>
        <v>219.24963933158716</v>
      </c>
      <c r="AA300" s="6"/>
      <c r="AB300" s="6"/>
      <c r="AC300" s="6"/>
      <c r="AD300" s="6"/>
      <c r="AE300" s="6"/>
      <c r="AF300" s="6"/>
    </row>
    <row r="301" spans="2:32" x14ac:dyDescent="0.25">
      <c r="B301" s="16">
        <v>6540000001</v>
      </c>
      <c r="C301" s="190" t="s">
        <v>176</v>
      </c>
      <c r="D301" s="190" t="s">
        <v>38</v>
      </c>
      <c r="E301" s="190" t="s">
        <v>149</v>
      </c>
      <c r="F301" s="162" t="s">
        <v>190</v>
      </c>
      <c r="G301" s="3">
        <f>+IF(F301="Pasajero",'2.2 OPEX LAP 2023'!I302*'2.1 OPEX TUUA'!$G$7,'2.2 OPEX LAP 2023'!I302*'2.1 OPEX TUUA'!$G$8)</f>
        <v>41.61128061556218</v>
      </c>
      <c r="H301" s="3">
        <f>+IF(F301="Pasajero",'2.2 OPEX LAP 2023'!J302*'2.1 OPEX TUUA'!$H$7,'2.2 OPEX LAP 2023'!J302*'2.1 OPEX TUUA'!$H$8)</f>
        <v>48.925332409360067</v>
      </c>
      <c r="I301" s="3">
        <f>+IF(F301="Pasajero",'2.2 OPEX LAP 2023'!K302*'2.1 OPEX TUUA'!$I$7,'2.2 OPEX LAP 2023'!K302*'2.1 OPEX TUUA'!$I$8)</f>
        <v>55.076092401744837</v>
      </c>
      <c r="J301" s="3">
        <f>+IF(F301="Pasajero",'2.2 OPEX LAP 2023'!L302*'2.1 OPEX TUUA'!$J$7,'2.2 OPEX LAP 2023'!L302*'2.1 OPEX TUUA'!$J$8)</f>
        <v>58.440663269486144</v>
      </c>
      <c r="K301" s="3">
        <f>+IF(F301="Pasajero",'2.2 OPEX LAP 2023'!M302*'2.1 OPEX TUUA'!$K$7,'2.2 OPEX LAP 2023'!M302*'2.1 OPEX TUUA'!$K$8)</f>
        <v>60.89239098777054</v>
      </c>
      <c r="L301" s="3">
        <f>+IF(F301="Pasajero",'2.2 OPEX LAP 2023'!N302*'2.1 OPEX TUUA'!$L$7,'2.2 OPEX LAP 2023'!N302*'2.1 OPEX TUUA'!$L$8)</f>
        <v>63.625855722471229</v>
      </c>
      <c r="M301" s="3"/>
      <c r="N301" s="3">
        <f>+IF(F301="Pasajero",'2.2 OPEX LAP 2023'!I302*'2.1 OPEX TUUA'!$N$7,'2.2 OPEX LAP 2023'!I302*'2.1 OPEX TUUA'!$N$8)</f>
        <v>20.52340030930548</v>
      </c>
      <c r="O301" s="3">
        <f>+IF(F301="Pasajero",'2.2 OPEX LAP 2023'!J302*'2.1 OPEX TUUA'!$O$7,'2.2 OPEX LAP 2023'!J302*'2.1 OPEX TUUA'!$O$8)</f>
        <v>20.263073495217924</v>
      </c>
      <c r="P301" s="3">
        <f>+IF(F301="Pasajero",'2.2 OPEX LAP 2023'!K302*'2.1 OPEX TUUA'!$P$7,'2.2 OPEX LAP 2023'!K302*'2.1 OPEX TUUA'!$P$8)</f>
        <v>20.164936807768694</v>
      </c>
      <c r="Q301" s="3">
        <f>+IF(F301="Pasajero",'2.2 OPEX LAP 2023'!L302*'2.1 OPEX TUUA'!$Q$7,'2.2 OPEX LAP 2023'!L302*'2.1 OPEX TUUA'!$Q$8)</f>
        <v>20.063316737194789</v>
      </c>
      <c r="R301" s="3">
        <f>+IF(F301="Pasajero",'2.2 OPEX LAP 2023'!M302*'2.1 OPEX TUUA'!$R$7,'2.2 OPEX LAP 2023'!M302*'2.1 OPEX TUUA'!$R$8)</f>
        <v>20.188602384023046</v>
      </c>
      <c r="S301" s="3">
        <f>+IF(F301="Pasajero",'2.2 OPEX LAP 2023'!N302*'2.1 OPEX TUUA'!$S$7,'2.2 OPEX LAP 2023'!N302*'2.1 OPEX TUUA'!$S$8)</f>
        <v>20.222564594389965</v>
      </c>
      <c r="AA301" s="6"/>
      <c r="AB301" s="6"/>
      <c r="AC301" s="6"/>
      <c r="AD301" s="6"/>
      <c r="AE301" s="6"/>
      <c r="AF301" s="6"/>
    </row>
    <row r="302" spans="2:32" x14ac:dyDescent="0.25">
      <c r="B302" s="16">
        <v>6561000001</v>
      </c>
      <c r="C302" s="190" t="s">
        <v>176</v>
      </c>
      <c r="D302" s="190" t="s">
        <v>38</v>
      </c>
      <c r="E302" s="190" t="s">
        <v>150</v>
      </c>
      <c r="F302" s="162" t="s">
        <v>190</v>
      </c>
      <c r="G302" s="3">
        <f>+IF(F302="Pasajero",'2.2 OPEX LAP 2023'!I303*'2.1 OPEX TUUA'!$G$7,'2.2 OPEX LAP 2023'!I303*'2.1 OPEX TUUA'!$G$8)</f>
        <v>1600.9697991426174</v>
      </c>
      <c r="H302" s="3">
        <f>+IF(F302="Pasajero",'2.2 OPEX LAP 2023'!J303*'2.1 OPEX TUUA'!$H$7,'2.2 OPEX LAP 2023'!J303*'2.1 OPEX TUUA'!$H$8)</f>
        <v>1882.3736842913972</v>
      </c>
      <c r="I302" s="3">
        <f>+IF(F302="Pasajero",'2.2 OPEX LAP 2023'!K303*'2.1 OPEX TUUA'!$I$7,'2.2 OPEX LAP 2023'!K303*'2.1 OPEX TUUA'!$I$8)</f>
        <v>2119.0205945501489</v>
      </c>
      <c r="J302" s="3">
        <f>+IF(F302="Pasajero",'2.2 OPEX LAP 2023'!L303*'2.1 OPEX TUUA'!$J$7,'2.2 OPEX LAP 2023'!L303*'2.1 OPEX TUUA'!$J$8)</f>
        <v>2248.4705001200914</v>
      </c>
      <c r="K302" s="3">
        <f>+IF(F302="Pasajero",'2.2 OPEX LAP 2023'!M303*'2.1 OPEX TUUA'!$K$7,'2.2 OPEX LAP 2023'!M303*'2.1 OPEX TUUA'!$K$8)</f>
        <v>2342.7992968941612</v>
      </c>
      <c r="L302" s="3">
        <f>+IF(F302="Pasajero",'2.2 OPEX LAP 2023'!N303*'2.1 OPEX TUUA'!$L$7,'2.2 OPEX LAP 2023'!N303*'2.1 OPEX TUUA'!$L$8)</f>
        <v>2447.9677613715689</v>
      </c>
      <c r="M302" s="3"/>
      <c r="N302" s="3">
        <f>+IF(F302="Pasajero",'2.2 OPEX LAP 2023'!I303*'2.1 OPEX TUUA'!$N$7,'2.2 OPEX LAP 2023'!I303*'2.1 OPEX TUUA'!$N$8)</f>
        <v>789.62587992603198</v>
      </c>
      <c r="O302" s="3">
        <f>+IF(F302="Pasajero",'2.2 OPEX LAP 2023'!J303*'2.1 OPEX TUUA'!$O$7,'2.2 OPEX LAP 2023'!J303*'2.1 OPEX TUUA'!$O$8)</f>
        <v>779.60995729409751</v>
      </c>
      <c r="P302" s="3">
        <f>+IF(F302="Pasajero",'2.2 OPEX LAP 2023'!K303*'2.1 OPEX TUUA'!$P$7,'2.2 OPEX LAP 2023'!K303*'2.1 OPEX TUUA'!$P$8)</f>
        <v>775.83420537130371</v>
      </c>
      <c r="Q302" s="3">
        <f>+IF(F302="Pasajero",'2.2 OPEX LAP 2023'!L303*'2.1 OPEX TUUA'!$Q$7,'2.2 OPEX LAP 2023'!L303*'2.1 OPEX TUUA'!$Q$8)</f>
        <v>771.92443231051686</v>
      </c>
      <c r="R302" s="3">
        <f>+IF(F302="Pasajero",'2.2 OPEX LAP 2023'!M303*'2.1 OPEX TUUA'!$R$7,'2.2 OPEX LAP 2023'!M303*'2.1 OPEX TUUA'!$R$8)</f>
        <v>776.7447246416084</v>
      </c>
      <c r="S302" s="3">
        <f>+IF(F302="Pasajero",'2.2 OPEX LAP 2023'!N303*'2.1 OPEX TUUA'!$S$7,'2.2 OPEX LAP 2023'!N303*'2.1 OPEX TUUA'!$S$8)</f>
        <v>778.05140091557121</v>
      </c>
      <c r="AA302" s="6"/>
      <c r="AB302" s="6"/>
      <c r="AC302" s="6"/>
      <c r="AD302" s="6"/>
      <c r="AE302" s="6"/>
      <c r="AF302" s="6"/>
    </row>
    <row r="303" spans="2:32" x14ac:dyDescent="0.25">
      <c r="B303" s="16">
        <v>6561000002</v>
      </c>
      <c r="C303" s="190" t="s">
        <v>176</v>
      </c>
      <c r="D303" s="190" t="s">
        <v>38</v>
      </c>
      <c r="E303" s="190" t="s">
        <v>151</v>
      </c>
      <c r="F303" s="162" t="s">
        <v>190</v>
      </c>
      <c r="G303" s="3">
        <f>+IF(F303="Pasajero",'2.2 OPEX LAP 2023'!I304*'2.1 OPEX TUUA'!$G$7,'2.2 OPEX LAP 2023'!I304*'2.1 OPEX TUUA'!$G$8)</f>
        <v>9141.7836979405038</v>
      </c>
      <c r="H303" s="3">
        <f>+IF(F303="Pasajero",'2.2 OPEX LAP 2023'!J304*'2.1 OPEX TUUA'!$H$7,'2.2 OPEX LAP 2023'!J304*'2.1 OPEX TUUA'!$H$8)</f>
        <v>10748.643147236755</v>
      </c>
      <c r="I303" s="3">
        <f>+IF(F303="Pasajero",'2.2 OPEX LAP 2023'!K304*'2.1 OPEX TUUA'!$I$7,'2.2 OPEX LAP 2023'!K304*'2.1 OPEX TUUA'!$I$8)</f>
        <v>12099.933388645444</v>
      </c>
      <c r="J303" s="3">
        <f>+IF(F303="Pasajero",'2.2 OPEX LAP 2023'!L304*'2.1 OPEX TUUA'!$J$7,'2.2 OPEX LAP 2023'!L304*'2.1 OPEX TUUA'!$J$8)</f>
        <v>12839.112252027502</v>
      </c>
      <c r="K303" s="3">
        <f>+IF(F303="Pasajero",'2.2 OPEX LAP 2023'!M304*'2.1 OPEX TUUA'!$K$7,'2.2 OPEX LAP 2023'!M304*'2.1 OPEX TUUA'!$K$8)</f>
        <v>13377.744184408328</v>
      </c>
      <c r="L303" s="3">
        <f>+IF(F303="Pasajero",'2.2 OPEX LAP 2023'!N304*'2.1 OPEX TUUA'!$L$7,'2.2 OPEX LAP 2023'!N304*'2.1 OPEX TUUA'!$L$8)</f>
        <v>13978.272285945211</v>
      </c>
      <c r="M303" s="3"/>
      <c r="N303" s="3">
        <f>+IF(F303="Pasajero",'2.2 OPEX LAP 2023'!I304*'2.1 OPEX TUUA'!$N$7,'2.2 OPEX LAP 2023'!I304*'2.1 OPEX TUUA'!$N$8)</f>
        <v>4508.8851772504167</v>
      </c>
      <c r="O303" s="3">
        <f>+IF(F303="Pasajero",'2.2 OPEX LAP 2023'!J304*'2.1 OPEX TUUA'!$O$7,'2.2 OPEX LAP 2023'!J304*'2.1 OPEX TUUA'!$O$8)</f>
        <v>4451.6927191006835</v>
      </c>
      <c r="P303" s="3">
        <f>+IF(F303="Pasajero",'2.2 OPEX LAP 2023'!K304*'2.1 OPEX TUUA'!$P$7,'2.2 OPEX LAP 2023'!K304*'2.1 OPEX TUUA'!$P$8)</f>
        <v>4430.1325951097442</v>
      </c>
      <c r="Q303" s="3">
        <f>+IF(F303="Pasajero",'2.2 OPEX LAP 2023'!L304*'2.1 OPEX TUUA'!$Q$7,'2.2 OPEX LAP 2023'!L304*'2.1 OPEX TUUA'!$Q$8)</f>
        <v>4407.8071898154722</v>
      </c>
      <c r="R303" s="3">
        <f>+IF(F303="Pasajero",'2.2 OPEX LAP 2023'!M304*'2.1 OPEX TUUA'!$R$7,'2.2 OPEX LAP 2023'!M304*'2.1 OPEX TUUA'!$R$8)</f>
        <v>4435.3318001330927</v>
      </c>
      <c r="S303" s="3">
        <f>+IF(F303="Pasajero",'2.2 OPEX LAP 2023'!N304*'2.1 OPEX TUUA'!$S$7,'2.2 OPEX LAP 2023'!N304*'2.1 OPEX TUUA'!$S$8)</f>
        <v>4442.7931225554121</v>
      </c>
      <c r="AA303" s="6"/>
      <c r="AB303" s="6"/>
      <c r="AC303" s="6"/>
      <c r="AD303" s="6"/>
      <c r="AE303" s="6"/>
      <c r="AF303" s="6"/>
    </row>
    <row r="304" spans="2:32" x14ac:dyDescent="0.25">
      <c r="B304" s="16">
        <v>6561000003</v>
      </c>
      <c r="C304" s="190" t="s">
        <v>176</v>
      </c>
      <c r="D304" s="190" t="s">
        <v>38</v>
      </c>
      <c r="E304" s="190" t="s">
        <v>152</v>
      </c>
      <c r="F304" s="162" t="s">
        <v>190</v>
      </c>
      <c r="G304" s="3">
        <f>+IF(F304="Pasajero",'2.2 OPEX LAP 2023'!I305*'2.1 OPEX TUUA'!$G$7,'2.2 OPEX LAP 2023'!I305*'2.1 OPEX TUUA'!$G$8)</f>
        <v>30816.344768238949</v>
      </c>
      <c r="H304" s="3">
        <f>+IF(F304="Pasajero",'2.2 OPEX LAP 2023'!J305*'2.1 OPEX TUUA'!$H$7,'2.2 OPEX LAP 2023'!J305*'2.1 OPEX TUUA'!$H$8)</f>
        <v>36232.961089490491</v>
      </c>
      <c r="I304" s="3">
        <f>+IF(F304="Pasajero",'2.2 OPEX LAP 2023'!K305*'2.1 OPEX TUUA'!$I$7,'2.2 OPEX LAP 2023'!K305*'2.1 OPEX TUUA'!$I$8)</f>
        <v>40788.070610468138</v>
      </c>
      <c r="J304" s="3">
        <f>+IF(F304="Pasajero",'2.2 OPEX LAP 2023'!L305*'2.1 OPEX TUUA'!$J$7,'2.2 OPEX LAP 2023'!L305*'2.1 OPEX TUUA'!$J$8)</f>
        <v>43279.793391494793</v>
      </c>
      <c r="K304" s="3">
        <f>+IF(F304="Pasajero",'2.2 OPEX LAP 2023'!M305*'2.1 OPEX TUUA'!$K$7,'2.2 OPEX LAP 2023'!M305*'2.1 OPEX TUUA'!$K$8)</f>
        <v>45095.48580775375</v>
      </c>
      <c r="L304" s="3">
        <f>+IF(F304="Pasajero",'2.2 OPEX LAP 2023'!N305*'2.1 OPEX TUUA'!$L$7,'2.2 OPEX LAP 2023'!N305*'2.1 OPEX TUUA'!$L$8)</f>
        <v>47119.826093134347</v>
      </c>
      <c r="M304" s="3"/>
      <c r="N304" s="3">
        <f>+IF(F304="Pasajero",'2.2 OPEX LAP 2023'!I305*'2.1 OPEX TUUA'!$N$7,'2.2 OPEX LAP 2023'!I305*'2.1 OPEX TUUA'!$N$8)</f>
        <v>15199.152018205552</v>
      </c>
      <c r="O304" s="3">
        <f>+IF(F304="Pasajero",'2.2 OPEX LAP 2023'!J305*'2.1 OPEX TUUA'!$O$7,'2.2 OPEX LAP 2023'!J305*'2.1 OPEX TUUA'!$O$8)</f>
        <v>15006.360046012824</v>
      </c>
      <c r="P304" s="3">
        <f>+IF(F304="Pasajero",'2.2 OPEX LAP 2023'!K305*'2.1 OPEX TUUA'!$P$7,'2.2 OPEX LAP 2023'!K305*'2.1 OPEX TUUA'!$P$8)</f>
        <v>14933.682302138788</v>
      </c>
      <c r="Q304" s="3">
        <f>+IF(F304="Pasajero",'2.2 OPEX LAP 2023'!L305*'2.1 OPEX TUUA'!$Q$7,'2.2 OPEX LAP 2023'!L305*'2.1 OPEX TUUA'!$Q$8)</f>
        <v>14858.42484589489</v>
      </c>
      <c r="R304" s="3">
        <f>+IF(F304="Pasajero",'2.2 OPEX LAP 2023'!M305*'2.1 OPEX TUUA'!$R$7,'2.2 OPEX LAP 2023'!M305*'2.1 OPEX TUUA'!$R$8)</f>
        <v>14951.208476440677</v>
      </c>
      <c r="S304" s="3">
        <f>+IF(F304="Pasajero",'2.2 OPEX LAP 2023'!N305*'2.1 OPEX TUUA'!$S$7,'2.2 OPEX LAP 2023'!N305*'2.1 OPEX TUUA'!$S$8)</f>
        <v>14976.360098026842</v>
      </c>
      <c r="AA304" s="6"/>
      <c r="AB304" s="6"/>
      <c r="AC304" s="6"/>
      <c r="AD304" s="6"/>
      <c r="AE304" s="6"/>
      <c r="AF304" s="6"/>
    </row>
    <row r="305" spans="2:32" x14ac:dyDescent="0.25">
      <c r="B305" s="16">
        <v>6561000004</v>
      </c>
      <c r="C305" s="190" t="s">
        <v>176</v>
      </c>
      <c r="D305" s="190" t="s">
        <v>38</v>
      </c>
      <c r="E305" s="190" t="s">
        <v>153</v>
      </c>
      <c r="F305" s="162" t="s">
        <v>190</v>
      </c>
      <c r="G305" s="3">
        <f>+IF(F305="Pasajero",'2.2 OPEX LAP 2023'!I306*'2.1 OPEX TUUA'!$G$7,'2.2 OPEX LAP 2023'!I306*'2.1 OPEX TUUA'!$G$8)</f>
        <v>11694.668614402013</v>
      </c>
      <c r="H305" s="3">
        <f>+IF(F305="Pasajero",'2.2 OPEX LAP 2023'!J306*'2.1 OPEX TUUA'!$H$7,'2.2 OPEX LAP 2023'!J306*'2.1 OPEX TUUA'!$H$8)</f>
        <v>13750.250915443945</v>
      </c>
      <c r="I305" s="3">
        <f>+IF(F305="Pasajero",'2.2 OPEX LAP 2023'!K306*'2.1 OPEX TUUA'!$I$7,'2.2 OPEX LAP 2023'!K306*'2.1 OPEX TUUA'!$I$8)</f>
        <v>15478.895138202142</v>
      </c>
      <c r="J305" s="3">
        <f>+IF(F305="Pasajero",'2.2 OPEX LAP 2023'!L306*'2.1 OPEX TUUA'!$J$7,'2.2 OPEX LAP 2023'!L306*'2.1 OPEX TUUA'!$J$8)</f>
        <v>16424.493080534878</v>
      </c>
      <c r="K305" s="3">
        <f>+IF(F305="Pasajero",'2.2 OPEX LAP 2023'!M306*'2.1 OPEX TUUA'!$K$7,'2.2 OPEX LAP 2023'!M306*'2.1 OPEX TUUA'!$K$8)</f>
        <v>17113.540443988455</v>
      </c>
      <c r="L305" s="3">
        <f>+IF(F305="Pasajero",'2.2 OPEX LAP 2023'!N306*'2.1 OPEX TUUA'!$L$7,'2.2 OPEX LAP 2023'!N306*'2.1 OPEX TUUA'!$L$8)</f>
        <v>17881.768764977056</v>
      </c>
      <c r="M305" s="3"/>
      <c r="N305" s="3">
        <f>+IF(F305="Pasajero",'2.2 OPEX LAP 2023'!I306*'2.1 OPEX TUUA'!$N$7,'2.2 OPEX LAP 2023'!I306*'2.1 OPEX TUUA'!$N$8)</f>
        <v>5768.011988755773</v>
      </c>
      <c r="O305" s="3">
        <f>+IF(F305="Pasajero",'2.2 OPEX LAP 2023'!J306*'2.1 OPEX TUUA'!$O$7,'2.2 OPEX LAP 2023'!J306*'2.1 OPEX TUUA'!$O$8)</f>
        <v>5694.8482750425637</v>
      </c>
      <c r="P305" s="3">
        <f>+IF(F305="Pasajero",'2.2 OPEX LAP 2023'!K306*'2.1 OPEX TUUA'!$P$7,'2.2 OPEX LAP 2023'!K306*'2.1 OPEX TUUA'!$P$8)</f>
        <v>5667.2673878010237</v>
      </c>
      <c r="Q305" s="3">
        <f>+IF(F305="Pasajero",'2.2 OPEX LAP 2023'!L306*'2.1 OPEX TUUA'!$Q$7,'2.2 OPEX LAP 2023'!L306*'2.1 OPEX TUUA'!$Q$8)</f>
        <v>5638.707510951439</v>
      </c>
      <c r="R305" s="3">
        <f>+IF(F305="Pasajero",'2.2 OPEX LAP 2023'!M306*'2.1 OPEX TUUA'!$R$7,'2.2 OPEX LAP 2023'!M306*'2.1 OPEX TUUA'!$R$8)</f>
        <v>5673.9184946107489</v>
      </c>
      <c r="S305" s="3">
        <f>+IF(F305="Pasajero",'2.2 OPEX LAP 2023'!N306*'2.1 OPEX TUUA'!$S$7,'2.2 OPEX LAP 2023'!N306*'2.1 OPEX TUUA'!$S$8)</f>
        <v>5683.4634254510929</v>
      </c>
      <c r="AA305" s="6"/>
      <c r="AB305" s="6"/>
      <c r="AC305" s="6"/>
      <c r="AD305" s="6"/>
      <c r="AE305" s="6"/>
      <c r="AF305" s="6"/>
    </row>
    <row r="306" spans="2:32" x14ac:dyDescent="0.25">
      <c r="B306" s="16">
        <v>6561000005</v>
      </c>
      <c r="C306" s="190" t="s">
        <v>176</v>
      </c>
      <c r="D306" s="190" t="s">
        <v>38</v>
      </c>
      <c r="E306" s="190" t="s">
        <v>154</v>
      </c>
      <c r="F306" s="162" t="s">
        <v>190</v>
      </c>
      <c r="G306" s="3">
        <f>+IF(F306="Pasajero",'2.2 OPEX LAP 2023'!I307*'2.1 OPEX TUUA'!$G$7,'2.2 OPEX LAP 2023'!I307*'2.1 OPEX TUUA'!$G$8)</f>
        <v>66.076275905974839</v>
      </c>
      <c r="H306" s="3">
        <f>+IF(F306="Pasajero",'2.2 OPEX LAP 2023'!J307*'2.1 OPEX TUUA'!$H$7,'2.2 OPEX LAP 2023'!J307*'2.1 OPEX TUUA'!$H$8)</f>
        <v>77.690561675801277</v>
      </c>
      <c r="I306" s="3">
        <f>+IF(F306="Pasajero",'2.2 OPEX LAP 2023'!K307*'2.1 OPEX TUUA'!$I$7,'2.2 OPEX LAP 2023'!K307*'2.1 OPEX TUUA'!$I$8)</f>
        <v>87.457608214048207</v>
      </c>
      <c r="J306" s="3">
        <f>+IF(F306="Pasajero",'2.2 OPEX LAP 2023'!L307*'2.1 OPEX TUUA'!$J$7,'2.2 OPEX LAP 2023'!L307*'2.1 OPEX TUUA'!$J$8)</f>
        <v>92.80034964553721</v>
      </c>
      <c r="K306" s="3">
        <f>+IF(F306="Pasajero",'2.2 OPEX LAP 2023'!M307*'2.1 OPEX TUUA'!$K$7,'2.2 OPEX LAP 2023'!M307*'2.1 OPEX TUUA'!$K$8)</f>
        <v>96.693549632732498</v>
      </c>
      <c r="L306" s="3">
        <f>+IF(F306="Pasajero",'2.2 OPEX LAP 2023'!N307*'2.1 OPEX TUUA'!$L$7,'2.2 OPEX LAP 2023'!N307*'2.1 OPEX TUUA'!$L$8)</f>
        <v>101.03413149701153</v>
      </c>
      <c r="M306" s="3"/>
      <c r="N306" s="3">
        <f>+IF(F306="Pasajero",'2.2 OPEX LAP 2023'!I307*'2.1 OPEX TUUA'!$N$7,'2.2 OPEX LAP 2023'!I307*'2.1 OPEX TUUA'!$N$8)</f>
        <v>32.589957369859633</v>
      </c>
      <c r="O306" s="3">
        <f>+IF(F306="Pasajero",'2.2 OPEX LAP 2023'!J307*'2.1 OPEX TUUA'!$O$7,'2.2 OPEX LAP 2023'!J307*'2.1 OPEX TUUA'!$O$8)</f>
        <v>32.17657363980112</v>
      </c>
      <c r="P306" s="3">
        <f>+IF(F306="Pasajero",'2.2 OPEX LAP 2023'!K307*'2.1 OPEX TUUA'!$P$7,'2.2 OPEX LAP 2023'!K307*'2.1 OPEX TUUA'!$P$8)</f>
        <v>32.020738329268312</v>
      </c>
      <c r="Q306" s="3">
        <f>+IF(F306="Pasajero",'2.2 OPEX LAP 2023'!L307*'2.1 OPEX TUUA'!$Q$7,'2.2 OPEX LAP 2023'!L307*'2.1 OPEX TUUA'!$Q$8)</f>
        <v>31.85937161040038</v>
      </c>
      <c r="R306" s="3">
        <f>+IF(F306="Pasajero",'2.2 OPEX LAP 2023'!M307*'2.1 OPEX TUUA'!$R$7,'2.2 OPEX LAP 2023'!M307*'2.1 OPEX TUUA'!$R$8)</f>
        <v>32.058317877960974</v>
      </c>
      <c r="S306" s="3">
        <f>+IF(F306="Pasajero",'2.2 OPEX LAP 2023'!N307*'2.1 OPEX TUUA'!$S$7,'2.2 OPEX LAP 2023'!N307*'2.1 OPEX TUUA'!$S$8)</f>
        <v>32.112247878417193</v>
      </c>
      <c r="AA306" s="6"/>
      <c r="AB306" s="6"/>
      <c r="AC306" s="6"/>
      <c r="AD306" s="6"/>
      <c r="AE306" s="6"/>
      <c r="AF306" s="6"/>
    </row>
    <row r="307" spans="2:32" x14ac:dyDescent="0.25">
      <c r="B307" s="16">
        <v>6562000001</v>
      </c>
      <c r="C307" s="190" t="s">
        <v>176</v>
      </c>
      <c r="D307" s="190" t="s">
        <v>38</v>
      </c>
      <c r="E307" s="190" t="s">
        <v>155</v>
      </c>
      <c r="F307" s="162" t="s">
        <v>190</v>
      </c>
      <c r="G307" s="3">
        <f>+IF(F307="Pasajero",'2.2 OPEX LAP 2023'!I308*'2.1 OPEX TUUA'!$G$7,'2.2 OPEX LAP 2023'!I308*'2.1 OPEX TUUA'!$G$8)</f>
        <v>0</v>
      </c>
      <c r="H307" s="3">
        <f>+IF(F307="Pasajero",'2.2 OPEX LAP 2023'!J308*'2.1 OPEX TUUA'!$H$7,'2.2 OPEX LAP 2023'!J308*'2.1 OPEX TUUA'!$H$8)</f>
        <v>0</v>
      </c>
      <c r="I307" s="3">
        <f>+IF(F307="Pasajero",'2.2 OPEX LAP 2023'!K308*'2.1 OPEX TUUA'!$I$7,'2.2 OPEX LAP 2023'!K308*'2.1 OPEX TUUA'!$I$8)</f>
        <v>0</v>
      </c>
      <c r="J307" s="3">
        <f>+IF(F307="Pasajero",'2.2 OPEX LAP 2023'!L308*'2.1 OPEX TUUA'!$J$7,'2.2 OPEX LAP 2023'!L308*'2.1 OPEX TUUA'!$J$8)</f>
        <v>0</v>
      </c>
      <c r="K307" s="3">
        <f>+IF(F307="Pasajero",'2.2 OPEX LAP 2023'!M308*'2.1 OPEX TUUA'!$K$7,'2.2 OPEX LAP 2023'!M308*'2.1 OPEX TUUA'!$K$8)</f>
        <v>0</v>
      </c>
      <c r="L307" s="3">
        <f>+IF(F307="Pasajero",'2.2 OPEX LAP 2023'!N308*'2.1 OPEX TUUA'!$L$7,'2.2 OPEX LAP 2023'!N308*'2.1 OPEX TUUA'!$L$8)</f>
        <v>0</v>
      </c>
      <c r="M307" s="3"/>
      <c r="N307" s="3">
        <f>+IF(F307="Pasajero",'2.2 OPEX LAP 2023'!I308*'2.1 OPEX TUUA'!$N$7,'2.2 OPEX LAP 2023'!I308*'2.1 OPEX TUUA'!$N$8)</f>
        <v>0</v>
      </c>
      <c r="O307" s="3">
        <f>+IF(F307="Pasajero",'2.2 OPEX LAP 2023'!J308*'2.1 OPEX TUUA'!$O$7,'2.2 OPEX LAP 2023'!J308*'2.1 OPEX TUUA'!$O$8)</f>
        <v>0</v>
      </c>
      <c r="P307" s="3">
        <f>+IF(F307="Pasajero",'2.2 OPEX LAP 2023'!K308*'2.1 OPEX TUUA'!$P$7,'2.2 OPEX LAP 2023'!K308*'2.1 OPEX TUUA'!$P$8)</f>
        <v>0</v>
      </c>
      <c r="Q307" s="3">
        <f>+IF(F307="Pasajero",'2.2 OPEX LAP 2023'!L308*'2.1 OPEX TUUA'!$Q$7,'2.2 OPEX LAP 2023'!L308*'2.1 OPEX TUUA'!$Q$8)</f>
        <v>0</v>
      </c>
      <c r="R307" s="3">
        <f>+IF(F307="Pasajero",'2.2 OPEX LAP 2023'!M308*'2.1 OPEX TUUA'!$R$7,'2.2 OPEX LAP 2023'!M308*'2.1 OPEX TUUA'!$R$8)</f>
        <v>0</v>
      </c>
      <c r="S307" s="3">
        <f>+IF(F307="Pasajero",'2.2 OPEX LAP 2023'!N308*'2.1 OPEX TUUA'!$S$7,'2.2 OPEX LAP 2023'!N308*'2.1 OPEX TUUA'!$S$8)</f>
        <v>0</v>
      </c>
      <c r="AA307" s="6"/>
      <c r="AB307" s="6"/>
      <c r="AC307" s="6"/>
      <c r="AD307" s="6"/>
      <c r="AE307" s="6"/>
      <c r="AF307" s="6"/>
    </row>
    <row r="308" spans="2:32" x14ac:dyDescent="0.25">
      <c r="B308" s="16">
        <v>6562000002</v>
      </c>
      <c r="C308" s="190" t="s">
        <v>176</v>
      </c>
      <c r="D308" s="190" t="s">
        <v>38</v>
      </c>
      <c r="E308" s="190" t="s">
        <v>156</v>
      </c>
      <c r="F308" s="162" t="s">
        <v>190</v>
      </c>
      <c r="G308" s="3">
        <f>+IF(F308="Pasajero",'2.2 OPEX LAP 2023'!I309*'2.1 OPEX TUUA'!$G$7,'2.2 OPEX LAP 2023'!I309*'2.1 OPEX TUUA'!$G$8)</f>
        <v>0</v>
      </c>
      <c r="H308" s="3">
        <f>+IF(F308="Pasajero",'2.2 OPEX LAP 2023'!J309*'2.1 OPEX TUUA'!$H$7,'2.2 OPEX LAP 2023'!J309*'2.1 OPEX TUUA'!$H$8)</f>
        <v>0</v>
      </c>
      <c r="I308" s="3">
        <f>+IF(F308="Pasajero",'2.2 OPEX LAP 2023'!K309*'2.1 OPEX TUUA'!$I$7,'2.2 OPEX LAP 2023'!K309*'2.1 OPEX TUUA'!$I$8)</f>
        <v>0</v>
      </c>
      <c r="J308" s="3">
        <f>+IF(F308="Pasajero",'2.2 OPEX LAP 2023'!L309*'2.1 OPEX TUUA'!$J$7,'2.2 OPEX LAP 2023'!L309*'2.1 OPEX TUUA'!$J$8)</f>
        <v>0</v>
      </c>
      <c r="K308" s="3">
        <f>+IF(F308="Pasajero",'2.2 OPEX LAP 2023'!M309*'2.1 OPEX TUUA'!$K$7,'2.2 OPEX LAP 2023'!M309*'2.1 OPEX TUUA'!$K$8)</f>
        <v>0</v>
      </c>
      <c r="L308" s="3">
        <f>+IF(F308="Pasajero",'2.2 OPEX LAP 2023'!N309*'2.1 OPEX TUUA'!$L$7,'2.2 OPEX LAP 2023'!N309*'2.1 OPEX TUUA'!$L$8)</f>
        <v>0</v>
      </c>
      <c r="M308" s="3"/>
      <c r="N308" s="3">
        <f>+IF(F308="Pasajero",'2.2 OPEX LAP 2023'!I309*'2.1 OPEX TUUA'!$N$7,'2.2 OPEX LAP 2023'!I309*'2.1 OPEX TUUA'!$N$8)</f>
        <v>0</v>
      </c>
      <c r="O308" s="3">
        <f>+IF(F308="Pasajero",'2.2 OPEX LAP 2023'!J309*'2.1 OPEX TUUA'!$O$7,'2.2 OPEX LAP 2023'!J309*'2.1 OPEX TUUA'!$O$8)</f>
        <v>0</v>
      </c>
      <c r="P308" s="3">
        <f>+IF(F308="Pasajero",'2.2 OPEX LAP 2023'!K309*'2.1 OPEX TUUA'!$P$7,'2.2 OPEX LAP 2023'!K309*'2.1 OPEX TUUA'!$P$8)</f>
        <v>0</v>
      </c>
      <c r="Q308" s="3">
        <f>+IF(F308="Pasajero",'2.2 OPEX LAP 2023'!L309*'2.1 OPEX TUUA'!$Q$7,'2.2 OPEX LAP 2023'!L309*'2.1 OPEX TUUA'!$Q$8)</f>
        <v>0</v>
      </c>
      <c r="R308" s="3">
        <f>+IF(F308="Pasajero",'2.2 OPEX LAP 2023'!M309*'2.1 OPEX TUUA'!$R$7,'2.2 OPEX LAP 2023'!M309*'2.1 OPEX TUUA'!$R$8)</f>
        <v>0</v>
      </c>
      <c r="S308" s="3">
        <f>+IF(F308="Pasajero",'2.2 OPEX LAP 2023'!N309*'2.1 OPEX TUUA'!$S$7,'2.2 OPEX LAP 2023'!N309*'2.1 OPEX TUUA'!$S$8)</f>
        <v>0</v>
      </c>
      <c r="AA308" s="6"/>
      <c r="AB308" s="6"/>
      <c r="AC308" s="6"/>
      <c r="AD308" s="6"/>
      <c r="AE308" s="6"/>
      <c r="AF308" s="6"/>
    </row>
    <row r="309" spans="2:32" x14ac:dyDescent="0.25">
      <c r="B309" s="16">
        <v>6562000003</v>
      </c>
      <c r="C309" s="190" t="s">
        <v>176</v>
      </c>
      <c r="D309" s="190" t="s">
        <v>38</v>
      </c>
      <c r="E309" s="190" t="s">
        <v>157</v>
      </c>
      <c r="F309" s="162" t="s">
        <v>190</v>
      </c>
      <c r="G309" s="3">
        <f>+IF(F309="Pasajero",'2.2 OPEX LAP 2023'!I310*'2.1 OPEX TUUA'!$G$7,'2.2 OPEX LAP 2023'!I310*'2.1 OPEX TUUA'!$G$8)</f>
        <v>25.514167765970047</v>
      </c>
      <c r="H309" s="3">
        <f>+IF(F309="Pasajero",'2.2 OPEX LAP 2023'!J310*'2.1 OPEX TUUA'!$H$7,'2.2 OPEX LAP 2023'!J310*'2.1 OPEX TUUA'!$H$8)</f>
        <v>29.998815720932591</v>
      </c>
      <c r="I309" s="3">
        <f>+IF(F309="Pasajero",'2.2 OPEX LAP 2023'!K310*'2.1 OPEX TUUA'!$I$7,'2.2 OPEX LAP 2023'!K310*'2.1 OPEX TUUA'!$I$8)</f>
        <v>33.770185407527407</v>
      </c>
      <c r="J309" s="3">
        <f>+IF(F309="Pasajero",'2.2 OPEX LAP 2023'!L310*'2.1 OPEX TUUA'!$J$7,'2.2 OPEX LAP 2023'!L310*'2.1 OPEX TUUA'!$J$8)</f>
        <v>35.833189100519789</v>
      </c>
      <c r="K309" s="3">
        <f>+IF(F309="Pasajero",'2.2 OPEX LAP 2023'!M310*'2.1 OPEX TUUA'!$K$7,'2.2 OPEX LAP 2023'!M310*'2.1 OPEX TUUA'!$K$8)</f>
        <v>37.336478386391768</v>
      </c>
      <c r="L309" s="3">
        <f>+IF(F309="Pasajero",'2.2 OPEX LAP 2023'!N310*'2.1 OPEX TUUA'!$L$7,'2.2 OPEX LAP 2023'!N310*'2.1 OPEX TUUA'!$L$8)</f>
        <v>39.01251615287746</v>
      </c>
      <c r="M309" s="3"/>
      <c r="N309" s="3">
        <f>+IF(F309="Pasajero",'2.2 OPEX LAP 2023'!I310*'2.1 OPEX TUUA'!$N$7,'2.2 OPEX LAP 2023'!I310*'2.1 OPEX TUUA'!$N$8)</f>
        <v>12.584026996370467</v>
      </c>
      <c r="O309" s="3">
        <f>+IF(F309="Pasajero",'2.2 OPEX LAP 2023'!J310*'2.1 OPEX TUUA'!$O$7,'2.2 OPEX LAP 2023'!J310*'2.1 OPEX TUUA'!$O$8)</f>
        <v>12.424406289909289</v>
      </c>
      <c r="P309" s="3">
        <f>+IF(F309="Pasajero",'2.2 OPEX LAP 2023'!K310*'2.1 OPEX TUUA'!$P$7,'2.2 OPEX LAP 2023'!K310*'2.1 OPEX TUUA'!$P$8)</f>
        <v>12.364233282240791</v>
      </c>
      <c r="Q309" s="3">
        <f>+IF(F309="Pasajero",'2.2 OPEX LAP 2023'!L310*'2.1 OPEX TUUA'!$Q$7,'2.2 OPEX LAP 2023'!L310*'2.1 OPEX TUUA'!$Q$8)</f>
        <v>12.301924420541333</v>
      </c>
      <c r="R309" s="3">
        <f>+IF(F309="Pasajero",'2.2 OPEX LAP 2023'!M310*'2.1 OPEX TUUA'!$R$7,'2.2 OPEX LAP 2023'!M310*'2.1 OPEX TUUA'!$R$8)</f>
        <v>12.378743950355295</v>
      </c>
      <c r="S309" s="3">
        <f>+IF(F309="Pasajero",'2.2 OPEX LAP 2023'!N310*'2.1 OPEX TUUA'!$S$7,'2.2 OPEX LAP 2023'!N310*'2.1 OPEX TUUA'!$S$8)</f>
        <v>12.399568051901465</v>
      </c>
      <c r="AA309" s="6"/>
      <c r="AB309" s="6"/>
      <c r="AC309" s="6"/>
      <c r="AD309" s="6"/>
      <c r="AE309" s="6"/>
      <c r="AF309" s="6"/>
    </row>
    <row r="310" spans="2:32" x14ac:dyDescent="0.25">
      <c r="B310" s="16">
        <v>6562000004</v>
      </c>
      <c r="C310" s="190" t="s">
        <v>176</v>
      </c>
      <c r="D310" s="190" t="s">
        <v>38</v>
      </c>
      <c r="E310" s="190" t="s">
        <v>158</v>
      </c>
      <c r="F310" s="162" t="s">
        <v>190</v>
      </c>
      <c r="G310" s="3">
        <f>+IF(F310="Pasajero",'2.2 OPEX LAP 2023'!I311*'2.1 OPEX TUUA'!$G$7,'2.2 OPEX LAP 2023'!I311*'2.1 OPEX TUUA'!$G$8)</f>
        <v>0</v>
      </c>
      <c r="H310" s="3">
        <f>+IF(F310="Pasajero",'2.2 OPEX LAP 2023'!J311*'2.1 OPEX TUUA'!$H$7,'2.2 OPEX LAP 2023'!J311*'2.1 OPEX TUUA'!$H$8)</f>
        <v>0</v>
      </c>
      <c r="I310" s="3">
        <f>+IF(F310="Pasajero",'2.2 OPEX LAP 2023'!K311*'2.1 OPEX TUUA'!$I$7,'2.2 OPEX LAP 2023'!K311*'2.1 OPEX TUUA'!$I$8)</f>
        <v>0</v>
      </c>
      <c r="J310" s="3">
        <f>+IF(F310="Pasajero",'2.2 OPEX LAP 2023'!L311*'2.1 OPEX TUUA'!$J$7,'2.2 OPEX LAP 2023'!L311*'2.1 OPEX TUUA'!$J$8)</f>
        <v>0</v>
      </c>
      <c r="K310" s="3">
        <f>+IF(F310="Pasajero",'2.2 OPEX LAP 2023'!M311*'2.1 OPEX TUUA'!$K$7,'2.2 OPEX LAP 2023'!M311*'2.1 OPEX TUUA'!$K$8)</f>
        <v>0</v>
      </c>
      <c r="L310" s="3">
        <f>+IF(F310="Pasajero",'2.2 OPEX LAP 2023'!N311*'2.1 OPEX TUUA'!$L$7,'2.2 OPEX LAP 2023'!N311*'2.1 OPEX TUUA'!$L$8)</f>
        <v>0</v>
      </c>
      <c r="M310" s="3"/>
      <c r="N310" s="3">
        <f>+IF(F310="Pasajero",'2.2 OPEX LAP 2023'!I311*'2.1 OPEX TUUA'!$N$7,'2.2 OPEX LAP 2023'!I311*'2.1 OPEX TUUA'!$N$8)</f>
        <v>0</v>
      </c>
      <c r="O310" s="3">
        <f>+IF(F310="Pasajero",'2.2 OPEX LAP 2023'!J311*'2.1 OPEX TUUA'!$O$7,'2.2 OPEX LAP 2023'!J311*'2.1 OPEX TUUA'!$O$8)</f>
        <v>0</v>
      </c>
      <c r="P310" s="3">
        <f>+IF(F310="Pasajero",'2.2 OPEX LAP 2023'!K311*'2.1 OPEX TUUA'!$P$7,'2.2 OPEX LAP 2023'!K311*'2.1 OPEX TUUA'!$P$8)</f>
        <v>0</v>
      </c>
      <c r="Q310" s="3">
        <f>+IF(F310="Pasajero",'2.2 OPEX LAP 2023'!L311*'2.1 OPEX TUUA'!$Q$7,'2.2 OPEX LAP 2023'!L311*'2.1 OPEX TUUA'!$Q$8)</f>
        <v>0</v>
      </c>
      <c r="R310" s="3">
        <f>+IF(F310="Pasajero",'2.2 OPEX LAP 2023'!M311*'2.1 OPEX TUUA'!$R$7,'2.2 OPEX LAP 2023'!M311*'2.1 OPEX TUUA'!$R$8)</f>
        <v>0</v>
      </c>
      <c r="S310" s="3">
        <f>+IF(F310="Pasajero",'2.2 OPEX LAP 2023'!N311*'2.1 OPEX TUUA'!$S$7,'2.2 OPEX LAP 2023'!N311*'2.1 OPEX TUUA'!$S$8)</f>
        <v>0</v>
      </c>
      <c r="AA310" s="6"/>
      <c r="AB310" s="6"/>
      <c r="AC310" s="6"/>
      <c r="AD310" s="6"/>
      <c r="AE310" s="6"/>
      <c r="AF310" s="6"/>
    </row>
    <row r="311" spans="2:32" x14ac:dyDescent="0.25">
      <c r="B311" s="16">
        <v>6562000005</v>
      </c>
      <c r="C311" s="190" t="s">
        <v>176</v>
      </c>
      <c r="D311" s="190" t="s">
        <v>38</v>
      </c>
      <c r="E311" s="190" t="s">
        <v>159</v>
      </c>
      <c r="F311" s="162" t="s">
        <v>190</v>
      </c>
      <c r="G311" s="3">
        <f>+IF(F311="Pasajero",'2.2 OPEX LAP 2023'!I312*'2.1 OPEX TUUA'!$G$7,'2.2 OPEX LAP 2023'!I312*'2.1 OPEX TUUA'!$G$8)</f>
        <v>2.0775624096421599E-2</v>
      </c>
      <c r="H311" s="3">
        <f>+IF(F311="Pasajero",'2.2 OPEX LAP 2023'!J312*'2.1 OPEX TUUA'!$H$7,'2.2 OPEX LAP 2023'!J312*'2.1 OPEX TUUA'!$H$8)</f>
        <v>2.4427374017160008E-2</v>
      </c>
      <c r="I311" s="3">
        <f>+IF(F311="Pasajero",'2.2 OPEX LAP 2023'!K312*'2.1 OPEX TUUA'!$I$7,'2.2 OPEX LAP 2023'!K312*'2.1 OPEX TUUA'!$I$8)</f>
        <v>2.7498317175331022E-2</v>
      </c>
      <c r="J311" s="3">
        <f>+IF(F311="Pasajero",'2.2 OPEX LAP 2023'!L312*'2.1 OPEX TUUA'!$J$7,'2.2 OPEX LAP 2023'!L312*'2.1 OPEX TUUA'!$J$8)</f>
        <v>2.9178175582952881E-2</v>
      </c>
      <c r="K311" s="3">
        <f>+IF(F311="Pasajero",'2.2 OPEX LAP 2023'!M312*'2.1 OPEX TUUA'!$K$7,'2.2 OPEX LAP 2023'!M312*'2.1 OPEX TUUA'!$K$8)</f>
        <v>3.0402270893367441E-2</v>
      </c>
      <c r="L311" s="3">
        <f>+IF(F311="Pasajero",'2.2 OPEX LAP 2023'!N312*'2.1 OPEX TUUA'!$L$7,'2.2 OPEX LAP 2023'!N312*'2.1 OPEX TUUA'!$L$8)</f>
        <v>3.1767031481575045E-2</v>
      </c>
      <c r="M311" s="3"/>
      <c r="N311" s="3">
        <f>+IF(F311="Pasajero",'2.2 OPEX LAP 2023'!I312*'2.1 OPEX TUUA'!$N$7,'2.2 OPEX LAP 2023'!I312*'2.1 OPEX TUUA'!$N$8)</f>
        <v>1.0246895642213169E-2</v>
      </c>
      <c r="O311" s="3">
        <f>+IF(F311="Pasajero",'2.2 OPEX LAP 2023'!J312*'2.1 OPEX TUUA'!$O$7,'2.2 OPEX LAP 2023'!J312*'2.1 OPEX TUUA'!$O$8)</f>
        <v>1.0116920021379251E-2</v>
      </c>
      <c r="P311" s="3">
        <f>+IF(F311="Pasajero",'2.2 OPEX LAP 2023'!K312*'2.1 OPEX TUUA'!$P$7,'2.2 OPEX LAP 2023'!K312*'2.1 OPEX TUUA'!$P$8)</f>
        <v>1.0067922468351509E-2</v>
      </c>
      <c r="Q311" s="3">
        <f>+IF(F311="Pasajero",'2.2 OPEX LAP 2023'!L312*'2.1 OPEX TUUA'!$Q$7,'2.2 OPEX LAP 2023'!L312*'2.1 OPEX TUUA'!$Q$8)</f>
        <v>1.0017185736492655E-2</v>
      </c>
      <c r="R311" s="3">
        <f>+IF(F311="Pasajero",'2.2 OPEX LAP 2023'!M312*'2.1 OPEX TUUA'!$R$7,'2.2 OPEX LAP 2023'!M312*'2.1 OPEX TUUA'!$R$8)</f>
        <v>1.0079738185364116E-2</v>
      </c>
      <c r="S311" s="3">
        <f>+IF(F311="Pasajero",'2.2 OPEX LAP 2023'!N312*'2.1 OPEX TUUA'!$S$7,'2.2 OPEX LAP 2023'!N312*'2.1 OPEX TUUA'!$S$8)</f>
        <v>1.0096694791977246E-2</v>
      </c>
      <c r="AA311" s="6"/>
      <c r="AB311" s="6"/>
      <c r="AC311" s="6"/>
      <c r="AD311" s="6"/>
      <c r="AE311" s="6"/>
      <c r="AF311" s="6"/>
    </row>
    <row r="312" spans="2:32" x14ac:dyDescent="0.25">
      <c r="B312" s="16">
        <v>6563000001</v>
      </c>
      <c r="C312" s="190" t="s">
        <v>176</v>
      </c>
      <c r="D312" s="190" t="s">
        <v>38</v>
      </c>
      <c r="E312" s="190" t="s">
        <v>160</v>
      </c>
      <c r="F312" s="162" t="s">
        <v>190</v>
      </c>
      <c r="G312" s="3">
        <f>+IF(F312="Pasajero",'2.2 OPEX LAP 2023'!I313*'2.1 OPEX TUUA'!$G$7,'2.2 OPEX LAP 2023'!I313*'2.1 OPEX TUUA'!$G$8)</f>
        <v>0</v>
      </c>
      <c r="H312" s="3">
        <f>+IF(F312="Pasajero",'2.2 OPEX LAP 2023'!J313*'2.1 OPEX TUUA'!$H$7,'2.2 OPEX LAP 2023'!J313*'2.1 OPEX TUUA'!$H$8)</f>
        <v>0</v>
      </c>
      <c r="I312" s="3">
        <f>+IF(F312="Pasajero",'2.2 OPEX LAP 2023'!K313*'2.1 OPEX TUUA'!$I$7,'2.2 OPEX LAP 2023'!K313*'2.1 OPEX TUUA'!$I$8)</f>
        <v>0</v>
      </c>
      <c r="J312" s="3">
        <f>+IF(F312="Pasajero",'2.2 OPEX LAP 2023'!L313*'2.1 OPEX TUUA'!$J$7,'2.2 OPEX LAP 2023'!L313*'2.1 OPEX TUUA'!$J$8)</f>
        <v>0</v>
      </c>
      <c r="K312" s="3">
        <f>+IF(F312="Pasajero",'2.2 OPEX LAP 2023'!M313*'2.1 OPEX TUUA'!$K$7,'2.2 OPEX LAP 2023'!M313*'2.1 OPEX TUUA'!$K$8)</f>
        <v>0</v>
      </c>
      <c r="L312" s="3">
        <f>+IF(F312="Pasajero",'2.2 OPEX LAP 2023'!N313*'2.1 OPEX TUUA'!$L$7,'2.2 OPEX LAP 2023'!N313*'2.1 OPEX TUUA'!$L$8)</f>
        <v>0</v>
      </c>
      <c r="M312" s="3"/>
      <c r="N312" s="3">
        <f>+IF(F312="Pasajero",'2.2 OPEX LAP 2023'!I313*'2.1 OPEX TUUA'!$N$7,'2.2 OPEX LAP 2023'!I313*'2.1 OPEX TUUA'!$N$8)</f>
        <v>0</v>
      </c>
      <c r="O312" s="3">
        <f>+IF(F312="Pasajero",'2.2 OPEX LAP 2023'!J313*'2.1 OPEX TUUA'!$O$7,'2.2 OPEX LAP 2023'!J313*'2.1 OPEX TUUA'!$O$8)</f>
        <v>0</v>
      </c>
      <c r="P312" s="3">
        <f>+IF(F312="Pasajero",'2.2 OPEX LAP 2023'!K313*'2.1 OPEX TUUA'!$P$7,'2.2 OPEX LAP 2023'!K313*'2.1 OPEX TUUA'!$P$8)</f>
        <v>0</v>
      </c>
      <c r="Q312" s="3">
        <f>+IF(F312="Pasajero",'2.2 OPEX LAP 2023'!L313*'2.1 OPEX TUUA'!$Q$7,'2.2 OPEX LAP 2023'!L313*'2.1 OPEX TUUA'!$Q$8)</f>
        <v>0</v>
      </c>
      <c r="R312" s="3">
        <f>+IF(F312="Pasajero",'2.2 OPEX LAP 2023'!M313*'2.1 OPEX TUUA'!$R$7,'2.2 OPEX LAP 2023'!M313*'2.1 OPEX TUUA'!$R$8)</f>
        <v>0</v>
      </c>
      <c r="S312" s="3">
        <f>+IF(F312="Pasajero",'2.2 OPEX LAP 2023'!N313*'2.1 OPEX TUUA'!$S$7,'2.2 OPEX LAP 2023'!N313*'2.1 OPEX TUUA'!$S$8)</f>
        <v>0</v>
      </c>
      <c r="AA312" s="6"/>
      <c r="AB312" s="6"/>
      <c r="AC312" s="6"/>
      <c r="AD312" s="6"/>
      <c r="AE312" s="6"/>
      <c r="AF312" s="6"/>
    </row>
    <row r="313" spans="2:32" x14ac:dyDescent="0.25">
      <c r="B313" s="16">
        <v>6563000002</v>
      </c>
      <c r="C313" s="190" t="s">
        <v>176</v>
      </c>
      <c r="D313" s="190" t="s">
        <v>38</v>
      </c>
      <c r="E313" s="190" t="s">
        <v>161</v>
      </c>
      <c r="F313" s="162" t="s">
        <v>190</v>
      </c>
      <c r="G313" s="3">
        <f>+IF(F313="Pasajero",'2.2 OPEX LAP 2023'!I314*'2.1 OPEX TUUA'!$G$7,'2.2 OPEX LAP 2023'!I314*'2.1 OPEX TUUA'!$G$8)</f>
        <v>0</v>
      </c>
      <c r="H313" s="3">
        <f>+IF(F313="Pasajero",'2.2 OPEX LAP 2023'!J314*'2.1 OPEX TUUA'!$H$7,'2.2 OPEX LAP 2023'!J314*'2.1 OPEX TUUA'!$H$8)</f>
        <v>0</v>
      </c>
      <c r="I313" s="3">
        <f>+IF(F313="Pasajero",'2.2 OPEX LAP 2023'!K314*'2.1 OPEX TUUA'!$I$7,'2.2 OPEX LAP 2023'!K314*'2.1 OPEX TUUA'!$I$8)</f>
        <v>0</v>
      </c>
      <c r="J313" s="3">
        <f>+IF(F313="Pasajero",'2.2 OPEX LAP 2023'!L314*'2.1 OPEX TUUA'!$J$7,'2.2 OPEX LAP 2023'!L314*'2.1 OPEX TUUA'!$J$8)</f>
        <v>0</v>
      </c>
      <c r="K313" s="3">
        <f>+IF(F313="Pasajero",'2.2 OPEX LAP 2023'!M314*'2.1 OPEX TUUA'!$K$7,'2.2 OPEX LAP 2023'!M314*'2.1 OPEX TUUA'!$K$8)</f>
        <v>0</v>
      </c>
      <c r="L313" s="3">
        <f>+IF(F313="Pasajero",'2.2 OPEX LAP 2023'!N314*'2.1 OPEX TUUA'!$L$7,'2.2 OPEX LAP 2023'!N314*'2.1 OPEX TUUA'!$L$8)</f>
        <v>0</v>
      </c>
      <c r="M313" s="3"/>
      <c r="N313" s="3">
        <f>+IF(F313="Pasajero",'2.2 OPEX LAP 2023'!I314*'2.1 OPEX TUUA'!$N$7,'2.2 OPEX LAP 2023'!I314*'2.1 OPEX TUUA'!$N$8)</f>
        <v>0</v>
      </c>
      <c r="O313" s="3">
        <f>+IF(F313="Pasajero",'2.2 OPEX LAP 2023'!J314*'2.1 OPEX TUUA'!$O$7,'2.2 OPEX LAP 2023'!J314*'2.1 OPEX TUUA'!$O$8)</f>
        <v>0</v>
      </c>
      <c r="P313" s="3">
        <f>+IF(F313="Pasajero",'2.2 OPEX LAP 2023'!K314*'2.1 OPEX TUUA'!$P$7,'2.2 OPEX LAP 2023'!K314*'2.1 OPEX TUUA'!$P$8)</f>
        <v>0</v>
      </c>
      <c r="Q313" s="3">
        <f>+IF(F313="Pasajero",'2.2 OPEX LAP 2023'!L314*'2.1 OPEX TUUA'!$Q$7,'2.2 OPEX LAP 2023'!L314*'2.1 OPEX TUUA'!$Q$8)</f>
        <v>0</v>
      </c>
      <c r="R313" s="3">
        <f>+IF(F313="Pasajero",'2.2 OPEX LAP 2023'!M314*'2.1 OPEX TUUA'!$R$7,'2.2 OPEX LAP 2023'!M314*'2.1 OPEX TUUA'!$R$8)</f>
        <v>0</v>
      </c>
      <c r="S313" s="3">
        <f>+IF(F313="Pasajero",'2.2 OPEX LAP 2023'!N314*'2.1 OPEX TUUA'!$S$7,'2.2 OPEX LAP 2023'!N314*'2.1 OPEX TUUA'!$S$8)</f>
        <v>0</v>
      </c>
      <c r="AA313" s="6"/>
      <c r="AB313" s="6"/>
      <c r="AC313" s="6"/>
      <c r="AD313" s="6"/>
      <c r="AE313" s="6"/>
      <c r="AF313" s="6"/>
    </row>
    <row r="314" spans="2:32" x14ac:dyDescent="0.25">
      <c r="B314" s="16">
        <v>6563000003</v>
      </c>
      <c r="C314" s="190" t="s">
        <v>176</v>
      </c>
      <c r="D314" s="190" t="s">
        <v>38</v>
      </c>
      <c r="E314" s="190" t="s">
        <v>162</v>
      </c>
      <c r="F314" s="162" t="s">
        <v>190</v>
      </c>
      <c r="G314" s="3">
        <f>+IF(F314="Pasajero",'2.2 OPEX LAP 2023'!I315*'2.1 OPEX TUUA'!$G$7,'2.2 OPEX LAP 2023'!I315*'2.1 OPEX TUUA'!$G$8)</f>
        <v>0</v>
      </c>
      <c r="H314" s="3">
        <f>+IF(F314="Pasajero",'2.2 OPEX LAP 2023'!J315*'2.1 OPEX TUUA'!$H$7,'2.2 OPEX LAP 2023'!J315*'2.1 OPEX TUUA'!$H$8)</f>
        <v>0</v>
      </c>
      <c r="I314" s="3">
        <f>+IF(F314="Pasajero",'2.2 OPEX LAP 2023'!K315*'2.1 OPEX TUUA'!$I$7,'2.2 OPEX LAP 2023'!K315*'2.1 OPEX TUUA'!$I$8)</f>
        <v>0</v>
      </c>
      <c r="J314" s="3">
        <f>+IF(F314="Pasajero",'2.2 OPEX LAP 2023'!L315*'2.1 OPEX TUUA'!$J$7,'2.2 OPEX LAP 2023'!L315*'2.1 OPEX TUUA'!$J$8)</f>
        <v>0</v>
      </c>
      <c r="K314" s="3">
        <f>+IF(F314="Pasajero",'2.2 OPEX LAP 2023'!M315*'2.1 OPEX TUUA'!$K$7,'2.2 OPEX LAP 2023'!M315*'2.1 OPEX TUUA'!$K$8)</f>
        <v>0</v>
      </c>
      <c r="L314" s="3">
        <f>+IF(F314="Pasajero",'2.2 OPEX LAP 2023'!N315*'2.1 OPEX TUUA'!$L$7,'2.2 OPEX LAP 2023'!N315*'2.1 OPEX TUUA'!$L$8)</f>
        <v>0</v>
      </c>
      <c r="M314" s="3"/>
      <c r="N314" s="3">
        <f>+IF(F314="Pasajero",'2.2 OPEX LAP 2023'!I315*'2.1 OPEX TUUA'!$N$7,'2.2 OPEX LAP 2023'!I315*'2.1 OPEX TUUA'!$N$8)</f>
        <v>0</v>
      </c>
      <c r="O314" s="3">
        <f>+IF(F314="Pasajero",'2.2 OPEX LAP 2023'!J315*'2.1 OPEX TUUA'!$O$7,'2.2 OPEX LAP 2023'!J315*'2.1 OPEX TUUA'!$O$8)</f>
        <v>0</v>
      </c>
      <c r="P314" s="3">
        <f>+IF(F314="Pasajero",'2.2 OPEX LAP 2023'!K315*'2.1 OPEX TUUA'!$P$7,'2.2 OPEX LAP 2023'!K315*'2.1 OPEX TUUA'!$P$8)</f>
        <v>0</v>
      </c>
      <c r="Q314" s="3">
        <f>+IF(F314="Pasajero",'2.2 OPEX LAP 2023'!L315*'2.1 OPEX TUUA'!$Q$7,'2.2 OPEX LAP 2023'!L315*'2.1 OPEX TUUA'!$Q$8)</f>
        <v>0</v>
      </c>
      <c r="R314" s="3">
        <f>+IF(F314="Pasajero",'2.2 OPEX LAP 2023'!M315*'2.1 OPEX TUUA'!$R$7,'2.2 OPEX LAP 2023'!M315*'2.1 OPEX TUUA'!$R$8)</f>
        <v>0</v>
      </c>
      <c r="S314" s="3">
        <f>+IF(F314="Pasajero",'2.2 OPEX LAP 2023'!N315*'2.1 OPEX TUUA'!$S$7,'2.2 OPEX LAP 2023'!N315*'2.1 OPEX TUUA'!$S$8)</f>
        <v>0</v>
      </c>
      <c r="AA314" s="6"/>
      <c r="AB314" s="6"/>
      <c r="AC314" s="6"/>
      <c r="AD314" s="6"/>
      <c r="AE314" s="6"/>
      <c r="AF314" s="6"/>
    </row>
    <row r="315" spans="2:32" x14ac:dyDescent="0.25">
      <c r="B315" s="16">
        <v>6563000004</v>
      </c>
      <c r="C315" s="190" t="s">
        <v>176</v>
      </c>
      <c r="D315" s="190" t="s">
        <v>38</v>
      </c>
      <c r="E315" s="190" t="s">
        <v>163</v>
      </c>
      <c r="F315" s="162" t="s">
        <v>190</v>
      </c>
      <c r="G315" s="3">
        <f>+IF(F315="Pasajero",'2.2 OPEX LAP 2023'!I316*'2.1 OPEX TUUA'!$G$7,'2.2 OPEX LAP 2023'!I316*'2.1 OPEX TUUA'!$G$8)</f>
        <v>0</v>
      </c>
      <c r="H315" s="3">
        <f>+IF(F315="Pasajero",'2.2 OPEX LAP 2023'!J316*'2.1 OPEX TUUA'!$H$7,'2.2 OPEX LAP 2023'!J316*'2.1 OPEX TUUA'!$H$8)</f>
        <v>0</v>
      </c>
      <c r="I315" s="3">
        <f>+IF(F315="Pasajero",'2.2 OPEX LAP 2023'!K316*'2.1 OPEX TUUA'!$I$7,'2.2 OPEX LAP 2023'!K316*'2.1 OPEX TUUA'!$I$8)</f>
        <v>0</v>
      </c>
      <c r="J315" s="3">
        <f>+IF(F315="Pasajero",'2.2 OPEX LAP 2023'!L316*'2.1 OPEX TUUA'!$J$7,'2.2 OPEX LAP 2023'!L316*'2.1 OPEX TUUA'!$J$8)</f>
        <v>0</v>
      </c>
      <c r="K315" s="3">
        <f>+IF(F315="Pasajero",'2.2 OPEX LAP 2023'!M316*'2.1 OPEX TUUA'!$K$7,'2.2 OPEX LAP 2023'!M316*'2.1 OPEX TUUA'!$K$8)</f>
        <v>0</v>
      </c>
      <c r="L315" s="3">
        <f>+IF(F315="Pasajero",'2.2 OPEX LAP 2023'!N316*'2.1 OPEX TUUA'!$L$7,'2.2 OPEX LAP 2023'!N316*'2.1 OPEX TUUA'!$L$8)</f>
        <v>0</v>
      </c>
      <c r="M315" s="3"/>
      <c r="N315" s="3">
        <f>+IF(F315="Pasajero",'2.2 OPEX LAP 2023'!I316*'2.1 OPEX TUUA'!$N$7,'2.2 OPEX LAP 2023'!I316*'2.1 OPEX TUUA'!$N$8)</f>
        <v>0</v>
      </c>
      <c r="O315" s="3">
        <f>+IF(F315="Pasajero",'2.2 OPEX LAP 2023'!J316*'2.1 OPEX TUUA'!$O$7,'2.2 OPEX LAP 2023'!J316*'2.1 OPEX TUUA'!$O$8)</f>
        <v>0</v>
      </c>
      <c r="P315" s="3">
        <f>+IF(F315="Pasajero",'2.2 OPEX LAP 2023'!K316*'2.1 OPEX TUUA'!$P$7,'2.2 OPEX LAP 2023'!K316*'2.1 OPEX TUUA'!$P$8)</f>
        <v>0</v>
      </c>
      <c r="Q315" s="3">
        <f>+IF(F315="Pasajero",'2.2 OPEX LAP 2023'!L316*'2.1 OPEX TUUA'!$Q$7,'2.2 OPEX LAP 2023'!L316*'2.1 OPEX TUUA'!$Q$8)</f>
        <v>0</v>
      </c>
      <c r="R315" s="3">
        <f>+IF(F315="Pasajero",'2.2 OPEX LAP 2023'!M316*'2.1 OPEX TUUA'!$R$7,'2.2 OPEX LAP 2023'!M316*'2.1 OPEX TUUA'!$R$8)</f>
        <v>0</v>
      </c>
      <c r="S315" s="3">
        <f>+IF(F315="Pasajero",'2.2 OPEX LAP 2023'!N316*'2.1 OPEX TUUA'!$S$7,'2.2 OPEX LAP 2023'!N316*'2.1 OPEX TUUA'!$S$8)</f>
        <v>0</v>
      </c>
      <c r="AA315" s="6"/>
      <c r="AB315" s="6"/>
      <c r="AC315" s="6"/>
      <c r="AD315" s="6"/>
      <c r="AE315" s="6"/>
      <c r="AF315" s="6"/>
    </row>
    <row r="316" spans="2:32" x14ac:dyDescent="0.25">
      <c r="B316" s="16">
        <v>6563000005</v>
      </c>
      <c r="C316" s="190" t="s">
        <v>176</v>
      </c>
      <c r="D316" s="190" t="s">
        <v>38</v>
      </c>
      <c r="E316" s="190" t="s">
        <v>164</v>
      </c>
      <c r="F316" s="162" t="s">
        <v>190</v>
      </c>
      <c r="G316" s="3">
        <f>+IF(F316="Pasajero",'2.2 OPEX LAP 2023'!I317*'2.1 OPEX TUUA'!$G$7,'2.2 OPEX LAP 2023'!I317*'2.1 OPEX TUUA'!$G$8)</f>
        <v>0</v>
      </c>
      <c r="H316" s="3">
        <f>+IF(F316="Pasajero",'2.2 OPEX LAP 2023'!J317*'2.1 OPEX TUUA'!$H$7,'2.2 OPEX LAP 2023'!J317*'2.1 OPEX TUUA'!$H$8)</f>
        <v>0</v>
      </c>
      <c r="I316" s="3">
        <f>+IF(F316="Pasajero",'2.2 OPEX LAP 2023'!K317*'2.1 OPEX TUUA'!$I$7,'2.2 OPEX LAP 2023'!K317*'2.1 OPEX TUUA'!$I$8)</f>
        <v>0</v>
      </c>
      <c r="J316" s="3">
        <f>+IF(F316="Pasajero",'2.2 OPEX LAP 2023'!L317*'2.1 OPEX TUUA'!$J$7,'2.2 OPEX LAP 2023'!L317*'2.1 OPEX TUUA'!$J$8)</f>
        <v>0</v>
      </c>
      <c r="K316" s="3">
        <f>+IF(F316="Pasajero",'2.2 OPEX LAP 2023'!M317*'2.1 OPEX TUUA'!$K$7,'2.2 OPEX LAP 2023'!M317*'2.1 OPEX TUUA'!$K$8)</f>
        <v>0</v>
      </c>
      <c r="L316" s="3">
        <f>+IF(F316="Pasajero",'2.2 OPEX LAP 2023'!N317*'2.1 OPEX TUUA'!$L$7,'2.2 OPEX LAP 2023'!N317*'2.1 OPEX TUUA'!$L$8)</f>
        <v>0</v>
      </c>
      <c r="M316" s="3"/>
      <c r="N316" s="3">
        <f>+IF(F316="Pasajero",'2.2 OPEX LAP 2023'!I317*'2.1 OPEX TUUA'!$N$7,'2.2 OPEX LAP 2023'!I317*'2.1 OPEX TUUA'!$N$8)</f>
        <v>0</v>
      </c>
      <c r="O316" s="3">
        <f>+IF(F316="Pasajero",'2.2 OPEX LAP 2023'!J317*'2.1 OPEX TUUA'!$O$7,'2.2 OPEX LAP 2023'!J317*'2.1 OPEX TUUA'!$O$8)</f>
        <v>0</v>
      </c>
      <c r="P316" s="3">
        <f>+IF(F316="Pasajero",'2.2 OPEX LAP 2023'!K317*'2.1 OPEX TUUA'!$P$7,'2.2 OPEX LAP 2023'!K317*'2.1 OPEX TUUA'!$P$8)</f>
        <v>0</v>
      </c>
      <c r="Q316" s="3">
        <f>+IF(F316="Pasajero",'2.2 OPEX LAP 2023'!L317*'2.1 OPEX TUUA'!$Q$7,'2.2 OPEX LAP 2023'!L317*'2.1 OPEX TUUA'!$Q$8)</f>
        <v>0</v>
      </c>
      <c r="R316" s="3">
        <f>+IF(F316="Pasajero",'2.2 OPEX LAP 2023'!M317*'2.1 OPEX TUUA'!$R$7,'2.2 OPEX LAP 2023'!M317*'2.1 OPEX TUUA'!$R$8)</f>
        <v>0</v>
      </c>
      <c r="S316" s="3">
        <f>+IF(F316="Pasajero",'2.2 OPEX LAP 2023'!N317*'2.1 OPEX TUUA'!$S$7,'2.2 OPEX LAP 2023'!N317*'2.1 OPEX TUUA'!$S$8)</f>
        <v>0</v>
      </c>
      <c r="AA316" s="6"/>
      <c r="AB316" s="6"/>
      <c r="AC316" s="6"/>
      <c r="AD316" s="6"/>
      <c r="AE316" s="6"/>
      <c r="AF316" s="6"/>
    </row>
    <row r="317" spans="2:32" x14ac:dyDescent="0.25">
      <c r="B317" s="16">
        <v>6590000001</v>
      </c>
      <c r="C317" s="190" t="s">
        <v>176</v>
      </c>
      <c r="D317" s="190" t="s">
        <v>38</v>
      </c>
      <c r="E317" s="190" t="s">
        <v>165</v>
      </c>
      <c r="F317" s="162" t="s">
        <v>190</v>
      </c>
      <c r="G317" s="3">
        <f>+IF(F317="Pasajero",'2.2 OPEX LAP 2023'!I318*'2.1 OPEX TUUA'!$G$7,'2.2 OPEX LAP 2023'!I318*'2.1 OPEX TUUA'!$G$8)</f>
        <v>0</v>
      </c>
      <c r="H317" s="3">
        <f>+IF(F317="Pasajero",'2.2 OPEX LAP 2023'!J318*'2.1 OPEX TUUA'!$H$7,'2.2 OPEX LAP 2023'!J318*'2.1 OPEX TUUA'!$H$8)</f>
        <v>0</v>
      </c>
      <c r="I317" s="3">
        <f>+IF(F317="Pasajero",'2.2 OPEX LAP 2023'!K318*'2.1 OPEX TUUA'!$I$7,'2.2 OPEX LAP 2023'!K318*'2.1 OPEX TUUA'!$I$8)</f>
        <v>0</v>
      </c>
      <c r="J317" s="3">
        <f>+IF(F317="Pasajero",'2.2 OPEX LAP 2023'!L318*'2.1 OPEX TUUA'!$J$7,'2.2 OPEX LAP 2023'!L318*'2.1 OPEX TUUA'!$J$8)</f>
        <v>0</v>
      </c>
      <c r="K317" s="3">
        <f>+IF(F317="Pasajero",'2.2 OPEX LAP 2023'!M318*'2.1 OPEX TUUA'!$K$7,'2.2 OPEX LAP 2023'!M318*'2.1 OPEX TUUA'!$K$8)</f>
        <v>0</v>
      </c>
      <c r="L317" s="3">
        <f>+IF(F317="Pasajero",'2.2 OPEX LAP 2023'!N318*'2.1 OPEX TUUA'!$L$7,'2.2 OPEX LAP 2023'!N318*'2.1 OPEX TUUA'!$L$8)</f>
        <v>0</v>
      </c>
      <c r="M317" s="3"/>
      <c r="N317" s="3">
        <f>+IF(F317="Pasajero",'2.2 OPEX LAP 2023'!I318*'2.1 OPEX TUUA'!$N$7,'2.2 OPEX LAP 2023'!I318*'2.1 OPEX TUUA'!$N$8)</f>
        <v>0</v>
      </c>
      <c r="O317" s="3">
        <f>+IF(F317="Pasajero",'2.2 OPEX LAP 2023'!J318*'2.1 OPEX TUUA'!$O$7,'2.2 OPEX LAP 2023'!J318*'2.1 OPEX TUUA'!$O$8)</f>
        <v>0</v>
      </c>
      <c r="P317" s="3">
        <f>+IF(F317="Pasajero",'2.2 OPEX LAP 2023'!K318*'2.1 OPEX TUUA'!$P$7,'2.2 OPEX LAP 2023'!K318*'2.1 OPEX TUUA'!$P$8)</f>
        <v>0</v>
      </c>
      <c r="Q317" s="3">
        <f>+IF(F317="Pasajero",'2.2 OPEX LAP 2023'!L318*'2.1 OPEX TUUA'!$Q$7,'2.2 OPEX LAP 2023'!L318*'2.1 OPEX TUUA'!$Q$8)</f>
        <v>0</v>
      </c>
      <c r="R317" s="3">
        <f>+IF(F317="Pasajero",'2.2 OPEX LAP 2023'!M318*'2.1 OPEX TUUA'!$R$7,'2.2 OPEX LAP 2023'!M318*'2.1 OPEX TUUA'!$R$8)</f>
        <v>0</v>
      </c>
      <c r="S317" s="3">
        <f>+IF(F317="Pasajero",'2.2 OPEX LAP 2023'!N318*'2.1 OPEX TUUA'!$S$7,'2.2 OPEX LAP 2023'!N318*'2.1 OPEX TUUA'!$S$8)</f>
        <v>0</v>
      </c>
      <c r="AA317" s="6"/>
      <c r="AB317" s="6"/>
      <c r="AC317" s="6"/>
      <c r="AD317" s="6"/>
      <c r="AE317" s="6"/>
      <c r="AF317" s="6"/>
    </row>
    <row r="318" spans="2:32" x14ac:dyDescent="0.25">
      <c r="B318" s="16">
        <v>6590000002</v>
      </c>
      <c r="C318" s="190" t="s">
        <v>176</v>
      </c>
      <c r="D318" s="190" t="s">
        <v>38</v>
      </c>
      <c r="E318" s="190" t="s">
        <v>166</v>
      </c>
      <c r="F318" s="162" t="s">
        <v>190</v>
      </c>
      <c r="G318" s="3">
        <f>+IF(F318="Pasajero",'2.2 OPEX LAP 2023'!I319*'2.1 OPEX TUUA'!$G$7,'2.2 OPEX LAP 2023'!I319*'2.1 OPEX TUUA'!$G$8)</f>
        <v>111.30416552280593</v>
      </c>
      <c r="H318" s="3">
        <f>+IF(F318="Pasajero",'2.2 OPEX LAP 2023'!J319*'2.1 OPEX TUUA'!$H$7,'2.2 OPEX LAP 2023'!J319*'2.1 OPEX TUUA'!$H$8)</f>
        <v>130.86819766640681</v>
      </c>
      <c r="I318" s="3">
        <f>+IF(F318="Pasajero",'2.2 OPEX LAP 2023'!K319*'2.1 OPEX TUUA'!$I$7,'2.2 OPEX LAP 2023'!K319*'2.1 OPEX TUUA'!$I$8)</f>
        <v>147.32059226123724</v>
      </c>
      <c r="J318" s="3">
        <f>+IF(F318="Pasajero",'2.2 OPEX LAP 2023'!L319*'2.1 OPEX TUUA'!$J$7,'2.2 OPEX LAP 2023'!L319*'2.1 OPEX TUUA'!$J$8)</f>
        <v>156.32033337077266</v>
      </c>
      <c r="K318" s="3">
        <f>+IF(F318="Pasajero",'2.2 OPEX LAP 2023'!M319*'2.1 OPEX TUUA'!$K$7,'2.2 OPEX LAP 2023'!M319*'2.1 OPEX TUUA'!$K$8)</f>
        <v>162.87835090197839</v>
      </c>
      <c r="L318" s="3">
        <f>+IF(F318="Pasajero",'2.2 OPEX LAP 2023'!N319*'2.1 OPEX TUUA'!$L$7,'2.2 OPEX LAP 2023'!N319*'2.1 OPEX TUUA'!$L$8)</f>
        <v>170.18997425942186</v>
      </c>
      <c r="M318" s="3"/>
      <c r="N318" s="3">
        <f>+IF(F318="Pasajero",'2.2 OPEX LAP 2023'!I319*'2.1 OPEX TUUA'!$N$7,'2.2 OPEX LAP 2023'!I319*'2.1 OPEX TUUA'!$N$8)</f>
        <v>54.897131530804756</v>
      </c>
      <c r="O318" s="3">
        <f>+IF(F318="Pasajero",'2.2 OPEX LAP 2023'!J319*'2.1 OPEX TUUA'!$O$7,'2.2 OPEX LAP 2023'!J319*'2.1 OPEX TUUA'!$O$8)</f>
        <v>54.200794903414604</v>
      </c>
      <c r="P318" s="3">
        <f>+IF(F318="Pasajero",'2.2 OPEX LAP 2023'!K319*'2.1 OPEX TUUA'!$P$7,'2.2 OPEX LAP 2023'!K319*'2.1 OPEX TUUA'!$P$8)</f>
        <v>53.938293438856846</v>
      </c>
      <c r="Q318" s="3">
        <f>+IF(F318="Pasajero",'2.2 OPEX LAP 2023'!L319*'2.1 OPEX TUUA'!$Q$7,'2.2 OPEX LAP 2023'!L319*'2.1 OPEX TUUA'!$Q$8)</f>
        <v>53.666474427562896</v>
      </c>
      <c r="R318" s="3">
        <f>+IF(F318="Pasajero",'2.2 OPEX LAP 2023'!M319*'2.1 OPEX TUUA'!$R$7,'2.2 OPEX LAP 2023'!M319*'2.1 OPEX TUUA'!$R$8)</f>
        <v>54.001595437200578</v>
      </c>
      <c r="S318" s="3">
        <f>+IF(F318="Pasajero",'2.2 OPEX LAP 2023'!N319*'2.1 OPEX TUUA'!$S$7,'2.2 OPEX LAP 2023'!N319*'2.1 OPEX TUUA'!$S$8)</f>
        <v>54.092439444601453</v>
      </c>
      <c r="AA318" s="6"/>
      <c r="AB318" s="6"/>
      <c r="AC318" s="6"/>
      <c r="AD318" s="6"/>
      <c r="AE318" s="6"/>
      <c r="AF318" s="6"/>
    </row>
    <row r="319" spans="2:32" x14ac:dyDescent="0.25">
      <c r="B319" s="16">
        <v>6590000003</v>
      </c>
      <c r="C319" s="190" t="s">
        <v>176</v>
      </c>
      <c r="D319" s="190" t="s">
        <v>38</v>
      </c>
      <c r="E319" s="190" t="s">
        <v>167</v>
      </c>
      <c r="F319" s="162" t="s">
        <v>190</v>
      </c>
      <c r="G319" s="3">
        <f>+IF(F319="Pasajero",'2.2 OPEX LAP 2023'!I320*'2.1 OPEX TUUA'!$G$7,'2.2 OPEX LAP 2023'!I320*'2.1 OPEX TUUA'!$G$8)</f>
        <v>0</v>
      </c>
      <c r="H319" s="3">
        <f>+IF(F319="Pasajero",'2.2 OPEX LAP 2023'!J320*'2.1 OPEX TUUA'!$H$7,'2.2 OPEX LAP 2023'!J320*'2.1 OPEX TUUA'!$H$8)</f>
        <v>0</v>
      </c>
      <c r="I319" s="3">
        <f>+IF(F319="Pasajero",'2.2 OPEX LAP 2023'!K320*'2.1 OPEX TUUA'!$I$7,'2.2 OPEX LAP 2023'!K320*'2.1 OPEX TUUA'!$I$8)</f>
        <v>0</v>
      </c>
      <c r="J319" s="3">
        <f>+IF(F319="Pasajero",'2.2 OPEX LAP 2023'!L320*'2.1 OPEX TUUA'!$J$7,'2.2 OPEX LAP 2023'!L320*'2.1 OPEX TUUA'!$J$8)</f>
        <v>0</v>
      </c>
      <c r="K319" s="3">
        <f>+IF(F319="Pasajero",'2.2 OPEX LAP 2023'!M320*'2.1 OPEX TUUA'!$K$7,'2.2 OPEX LAP 2023'!M320*'2.1 OPEX TUUA'!$K$8)</f>
        <v>0</v>
      </c>
      <c r="L319" s="3">
        <f>+IF(F319="Pasajero",'2.2 OPEX LAP 2023'!N320*'2.1 OPEX TUUA'!$L$7,'2.2 OPEX LAP 2023'!N320*'2.1 OPEX TUUA'!$L$8)</f>
        <v>0</v>
      </c>
      <c r="M319" s="3"/>
      <c r="N319" s="3">
        <f>+IF(F319="Pasajero",'2.2 OPEX LAP 2023'!I320*'2.1 OPEX TUUA'!$N$7,'2.2 OPEX LAP 2023'!I320*'2.1 OPEX TUUA'!$N$8)</f>
        <v>0</v>
      </c>
      <c r="O319" s="3">
        <f>+IF(F319="Pasajero",'2.2 OPEX LAP 2023'!J320*'2.1 OPEX TUUA'!$O$7,'2.2 OPEX LAP 2023'!J320*'2.1 OPEX TUUA'!$O$8)</f>
        <v>0</v>
      </c>
      <c r="P319" s="3">
        <f>+IF(F319="Pasajero",'2.2 OPEX LAP 2023'!K320*'2.1 OPEX TUUA'!$P$7,'2.2 OPEX LAP 2023'!K320*'2.1 OPEX TUUA'!$P$8)</f>
        <v>0</v>
      </c>
      <c r="Q319" s="3">
        <f>+IF(F319="Pasajero",'2.2 OPEX LAP 2023'!L320*'2.1 OPEX TUUA'!$Q$7,'2.2 OPEX LAP 2023'!L320*'2.1 OPEX TUUA'!$Q$8)</f>
        <v>0</v>
      </c>
      <c r="R319" s="3">
        <f>+IF(F319="Pasajero",'2.2 OPEX LAP 2023'!M320*'2.1 OPEX TUUA'!$R$7,'2.2 OPEX LAP 2023'!M320*'2.1 OPEX TUUA'!$R$8)</f>
        <v>0</v>
      </c>
      <c r="S319" s="3">
        <f>+IF(F319="Pasajero",'2.2 OPEX LAP 2023'!N320*'2.1 OPEX TUUA'!$S$7,'2.2 OPEX LAP 2023'!N320*'2.1 OPEX TUUA'!$S$8)</f>
        <v>0</v>
      </c>
      <c r="AA319" s="6"/>
      <c r="AB319" s="6"/>
      <c r="AC319" s="6"/>
      <c r="AD319" s="6"/>
      <c r="AE319" s="6"/>
      <c r="AF319" s="6"/>
    </row>
    <row r="320" spans="2:32" x14ac:dyDescent="0.25">
      <c r="B320" s="16">
        <v>6590000004</v>
      </c>
      <c r="C320" s="190" t="s">
        <v>176</v>
      </c>
      <c r="D320" s="190" t="s">
        <v>38</v>
      </c>
      <c r="E320" s="190" t="s">
        <v>168</v>
      </c>
      <c r="F320" s="162" t="s">
        <v>190</v>
      </c>
      <c r="G320" s="3">
        <f>+IF(F320="Pasajero",'2.2 OPEX LAP 2023'!I321*'2.1 OPEX TUUA'!$G$7,'2.2 OPEX LAP 2023'!I321*'2.1 OPEX TUUA'!$G$8)</f>
        <v>7.6891201765721764</v>
      </c>
      <c r="H320" s="3">
        <f>+IF(F320="Pasajero",'2.2 OPEX LAP 2023'!J321*'2.1 OPEX TUUA'!$H$7,'2.2 OPEX LAP 2023'!J321*'2.1 OPEX TUUA'!$H$8)</f>
        <v>9.0406436670353028</v>
      </c>
      <c r="I320" s="3">
        <f>+IF(F320="Pasajero",'2.2 OPEX LAP 2023'!K321*'2.1 OPEX TUUA'!$I$7,'2.2 OPEX LAP 2023'!K321*'2.1 OPEX TUUA'!$I$8)</f>
        <v>10.177208849819204</v>
      </c>
      <c r="J320" s="3">
        <f>+IF(F320="Pasajero",'2.2 OPEX LAP 2023'!L321*'2.1 OPEX TUUA'!$J$7,'2.2 OPEX LAP 2023'!L321*'2.1 OPEX TUUA'!$J$8)</f>
        <v>10.798929435245777</v>
      </c>
      <c r="K320" s="3">
        <f>+IF(F320="Pasajero",'2.2 OPEX LAP 2023'!M321*'2.1 OPEX TUUA'!$K$7,'2.2 OPEX LAP 2023'!M321*'2.1 OPEX TUUA'!$K$8)</f>
        <v>11.251970744891782</v>
      </c>
      <c r="L320" s="3">
        <f>+IF(F320="Pasajero",'2.2 OPEX LAP 2023'!N321*'2.1 OPEX TUUA'!$L$7,'2.2 OPEX LAP 2023'!N321*'2.1 OPEX TUUA'!$L$8)</f>
        <v>11.757072691590224</v>
      </c>
      <c r="M320" s="3"/>
      <c r="N320" s="3">
        <f>+IF(F320="Pasajero",'2.2 OPEX LAP 2023'!I321*'2.1 OPEX TUUA'!$N$7,'2.2 OPEX LAP 2023'!I321*'2.1 OPEX TUUA'!$N$8)</f>
        <v>3.7924065079393467</v>
      </c>
      <c r="O320" s="3">
        <f>+IF(F320="Pasajero",'2.2 OPEX LAP 2023'!J321*'2.1 OPEX TUUA'!$O$7,'2.2 OPEX LAP 2023'!J321*'2.1 OPEX TUUA'!$O$8)</f>
        <v>3.7443021446731328</v>
      </c>
      <c r="P320" s="3">
        <f>+IF(F320="Pasajero",'2.2 OPEX LAP 2023'!K321*'2.1 OPEX TUUA'!$P$7,'2.2 OPEX LAP 2023'!K321*'2.1 OPEX TUUA'!$P$8)</f>
        <v>3.7261680047869015</v>
      </c>
      <c r="Q320" s="3">
        <f>+IF(F320="Pasajero",'2.2 OPEX LAP 2023'!L321*'2.1 OPEX TUUA'!$Q$7,'2.2 OPEX LAP 2023'!L321*'2.1 OPEX TUUA'!$Q$8)</f>
        <v>3.7073901896503423</v>
      </c>
      <c r="R320" s="3">
        <f>+IF(F320="Pasajero",'2.2 OPEX LAP 2023'!M321*'2.1 OPEX TUUA'!$R$7,'2.2 OPEX LAP 2023'!M321*'2.1 OPEX TUUA'!$R$8)</f>
        <v>3.7305410367430363</v>
      </c>
      <c r="S320" s="3">
        <f>+IF(F320="Pasajero",'2.2 OPEX LAP 2023'!N321*'2.1 OPEX TUUA'!$S$7,'2.2 OPEX LAP 2023'!N321*'2.1 OPEX TUUA'!$S$8)</f>
        <v>3.736816727207501</v>
      </c>
      <c r="AA320" s="6"/>
      <c r="AB320" s="6"/>
      <c r="AC320" s="6"/>
      <c r="AD320" s="6"/>
      <c r="AE320" s="6"/>
      <c r="AF320" s="6"/>
    </row>
    <row r="321" spans="2:32" x14ac:dyDescent="0.25">
      <c r="B321" s="16">
        <v>6590000005</v>
      </c>
      <c r="C321" s="190" t="s">
        <v>176</v>
      </c>
      <c r="D321" s="190" t="s">
        <v>38</v>
      </c>
      <c r="E321" s="190" t="s">
        <v>169</v>
      </c>
      <c r="F321" s="162" t="s">
        <v>190</v>
      </c>
      <c r="G321" s="3">
        <f>+IF(F321="Pasajero",'2.2 OPEX LAP 2023'!I322*'2.1 OPEX TUUA'!$G$7,'2.2 OPEX LAP 2023'!I322*'2.1 OPEX TUUA'!$G$8)</f>
        <v>0</v>
      </c>
      <c r="H321" s="3">
        <f>+IF(F321="Pasajero",'2.2 OPEX LAP 2023'!J322*'2.1 OPEX TUUA'!$H$7,'2.2 OPEX LAP 2023'!J322*'2.1 OPEX TUUA'!$H$8)</f>
        <v>0</v>
      </c>
      <c r="I321" s="3">
        <f>+IF(F321="Pasajero",'2.2 OPEX LAP 2023'!K322*'2.1 OPEX TUUA'!$I$7,'2.2 OPEX LAP 2023'!K322*'2.1 OPEX TUUA'!$I$8)</f>
        <v>0</v>
      </c>
      <c r="J321" s="3">
        <f>+IF(F321="Pasajero",'2.2 OPEX LAP 2023'!L322*'2.1 OPEX TUUA'!$J$7,'2.2 OPEX LAP 2023'!L322*'2.1 OPEX TUUA'!$J$8)</f>
        <v>0</v>
      </c>
      <c r="K321" s="3">
        <f>+IF(F321="Pasajero",'2.2 OPEX LAP 2023'!M322*'2.1 OPEX TUUA'!$K$7,'2.2 OPEX LAP 2023'!M322*'2.1 OPEX TUUA'!$K$8)</f>
        <v>0</v>
      </c>
      <c r="L321" s="3">
        <f>+IF(F321="Pasajero",'2.2 OPEX LAP 2023'!N322*'2.1 OPEX TUUA'!$L$7,'2.2 OPEX LAP 2023'!N322*'2.1 OPEX TUUA'!$L$8)</f>
        <v>0</v>
      </c>
      <c r="M321" s="3"/>
      <c r="N321" s="3">
        <f>+IF(F321="Pasajero",'2.2 OPEX LAP 2023'!I322*'2.1 OPEX TUUA'!$N$7,'2.2 OPEX LAP 2023'!I322*'2.1 OPEX TUUA'!$N$8)</f>
        <v>0</v>
      </c>
      <c r="O321" s="3">
        <f>+IF(F321="Pasajero",'2.2 OPEX LAP 2023'!J322*'2.1 OPEX TUUA'!$O$7,'2.2 OPEX LAP 2023'!J322*'2.1 OPEX TUUA'!$O$8)</f>
        <v>0</v>
      </c>
      <c r="P321" s="3">
        <f>+IF(F321="Pasajero",'2.2 OPEX LAP 2023'!K322*'2.1 OPEX TUUA'!$P$7,'2.2 OPEX LAP 2023'!K322*'2.1 OPEX TUUA'!$P$8)</f>
        <v>0</v>
      </c>
      <c r="Q321" s="3">
        <f>+IF(F321="Pasajero",'2.2 OPEX LAP 2023'!L322*'2.1 OPEX TUUA'!$Q$7,'2.2 OPEX LAP 2023'!L322*'2.1 OPEX TUUA'!$Q$8)</f>
        <v>0</v>
      </c>
      <c r="R321" s="3">
        <f>+IF(F321="Pasajero",'2.2 OPEX LAP 2023'!M322*'2.1 OPEX TUUA'!$R$7,'2.2 OPEX LAP 2023'!M322*'2.1 OPEX TUUA'!$R$8)</f>
        <v>0</v>
      </c>
      <c r="S321" s="3">
        <f>+IF(F321="Pasajero",'2.2 OPEX LAP 2023'!N322*'2.1 OPEX TUUA'!$S$7,'2.2 OPEX LAP 2023'!N322*'2.1 OPEX TUUA'!$S$8)</f>
        <v>0</v>
      </c>
      <c r="AA321" s="6"/>
      <c r="AB321" s="6"/>
      <c r="AC321" s="6"/>
      <c r="AD321" s="6"/>
      <c r="AE321" s="6"/>
      <c r="AF321" s="6"/>
    </row>
    <row r="322" spans="2:32" x14ac:dyDescent="0.25">
      <c r="B322" s="16">
        <v>6590000006</v>
      </c>
      <c r="C322" s="190" t="s">
        <v>176</v>
      </c>
      <c r="D322" s="190" t="s">
        <v>38</v>
      </c>
      <c r="E322" s="190" t="s">
        <v>170</v>
      </c>
      <c r="F322" s="162" t="s">
        <v>190</v>
      </c>
      <c r="G322" s="3">
        <f>+IF(F322="Pasajero",'2.2 OPEX LAP 2023'!I323*'2.1 OPEX TUUA'!$G$7,'2.2 OPEX LAP 2023'!I323*'2.1 OPEX TUUA'!$G$8)</f>
        <v>0</v>
      </c>
      <c r="H322" s="3">
        <f>+IF(F322="Pasajero",'2.2 OPEX LAP 2023'!J323*'2.1 OPEX TUUA'!$H$7,'2.2 OPEX LAP 2023'!J323*'2.1 OPEX TUUA'!$H$8)</f>
        <v>0</v>
      </c>
      <c r="I322" s="3">
        <f>+IF(F322="Pasajero",'2.2 OPEX LAP 2023'!K323*'2.1 OPEX TUUA'!$I$7,'2.2 OPEX LAP 2023'!K323*'2.1 OPEX TUUA'!$I$8)</f>
        <v>0</v>
      </c>
      <c r="J322" s="3">
        <f>+IF(F322="Pasajero",'2.2 OPEX LAP 2023'!L323*'2.1 OPEX TUUA'!$J$7,'2.2 OPEX LAP 2023'!L323*'2.1 OPEX TUUA'!$J$8)</f>
        <v>0</v>
      </c>
      <c r="K322" s="3">
        <f>+IF(F322="Pasajero",'2.2 OPEX LAP 2023'!M323*'2.1 OPEX TUUA'!$K$7,'2.2 OPEX LAP 2023'!M323*'2.1 OPEX TUUA'!$K$8)</f>
        <v>0</v>
      </c>
      <c r="L322" s="3">
        <f>+IF(F322="Pasajero",'2.2 OPEX LAP 2023'!N323*'2.1 OPEX TUUA'!$L$7,'2.2 OPEX LAP 2023'!N323*'2.1 OPEX TUUA'!$L$8)</f>
        <v>0</v>
      </c>
      <c r="M322" s="3"/>
      <c r="N322" s="3">
        <f>+IF(F322="Pasajero",'2.2 OPEX LAP 2023'!I323*'2.1 OPEX TUUA'!$N$7,'2.2 OPEX LAP 2023'!I323*'2.1 OPEX TUUA'!$N$8)</f>
        <v>0</v>
      </c>
      <c r="O322" s="3">
        <f>+IF(F322="Pasajero",'2.2 OPEX LAP 2023'!J323*'2.1 OPEX TUUA'!$O$7,'2.2 OPEX LAP 2023'!J323*'2.1 OPEX TUUA'!$O$8)</f>
        <v>0</v>
      </c>
      <c r="P322" s="3">
        <f>+IF(F322="Pasajero",'2.2 OPEX LAP 2023'!K323*'2.1 OPEX TUUA'!$P$7,'2.2 OPEX LAP 2023'!K323*'2.1 OPEX TUUA'!$P$8)</f>
        <v>0</v>
      </c>
      <c r="Q322" s="3">
        <f>+IF(F322="Pasajero",'2.2 OPEX LAP 2023'!L323*'2.1 OPEX TUUA'!$Q$7,'2.2 OPEX LAP 2023'!L323*'2.1 OPEX TUUA'!$Q$8)</f>
        <v>0</v>
      </c>
      <c r="R322" s="3">
        <f>+IF(F322="Pasajero",'2.2 OPEX LAP 2023'!M323*'2.1 OPEX TUUA'!$R$7,'2.2 OPEX LAP 2023'!M323*'2.1 OPEX TUUA'!$R$8)</f>
        <v>0</v>
      </c>
      <c r="S322" s="3">
        <f>+IF(F322="Pasajero",'2.2 OPEX LAP 2023'!N323*'2.1 OPEX TUUA'!$S$7,'2.2 OPEX LAP 2023'!N323*'2.1 OPEX TUUA'!$S$8)</f>
        <v>0</v>
      </c>
      <c r="AA322" s="6"/>
      <c r="AB322" s="6"/>
      <c r="AC322" s="6"/>
      <c r="AD322" s="6"/>
      <c r="AE322" s="6"/>
      <c r="AF322" s="6"/>
    </row>
    <row r="323" spans="2:32" x14ac:dyDescent="0.25">
      <c r="B323" s="16">
        <v>6590000007</v>
      </c>
      <c r="C323" s="190" t="s">
        <v>176</v>
      </c>
      <c r="D323" s="190" t="s">
        <v>38</v>
      </c>
      <c r="E323" s="190" t="s">
        <v>171</v>
      </c>
      <c r="F323" s="162" t="s">
        <v>190</v>
      </c>
      <c r="G323" s="3">
        <f>+IF(F323="Pasajero",'2.2 OPEX LAP 2023'!I324*'2.1 OPEX TUUA'!$G$7,'2.2 OPEX LAP 2023'!I324*'2.1 OPEX TUUA'!$G$8)</f>
        <v>0</v>
      </c>
      <c r="H323" s="3">
        <f>+IF(F323="Pasajero",'2.2 OPEX LAP 2023'!J324*'2.1 OPEX TUUA'!$H$7,'2.2 OPEX LAP 2023'!J324*'2.1 OPEX TUUA'!$H$8)</f>
        <v>0</v>
      </c>
      <c r="I323" s="3">
        <f>+IF(F323="Pasajero",'2.2 OPEX LAP 2023'!K324*'2.1 OPEX TUUA'!$I$7,'2.2 OPEX LAP 2023'!K324*'2.1 OPEX TUUA'!$I$8)</f>
        <v>0</v>
      </c>
      <c r="J323" s="3">
        <f>+IF(F323="Pasajero",'2.2 OPEX LAP 2023'!L324*'2.1 OPEX TUUA'!$J$7,'2.2 OPEX LAP 2023'!L324*'2.1 OPEX TUUA'!$J$8)</f>
        <v>0</v>
      </c>
      <c r="K323" s="3">
        <f>+IF(F323="Pasajero",'2.2 OPEX LAP 2023'!M324*'2.1 OPEX TUUA'!$K$7,'2.2 OPEX LAP 2023'!M324*'2.1 OPEX TUUA'!$K$8)</f>
        <v>0</v>
      </c>
      <c r="L323" s="3">
        <f>+IF(F323="Pasajero",'2.2 OPEX LAP 2023'!N324*'2.1 OPEX TUUA'!$L$7,'2.2 OPEX LAP 2023'!N324*'2.1 OPEX TUUA'!$L$8)</f>
        <v>0</v>
      </c>
      <c r="M323" s="3"/>
      <c r="N323" s="3">
        <f>+IF(F323="Pasajero",'2.2 OPEX LAP 2023'!I324*'2.1 OPEX TUUA'!$N$7,'2.2 OPEX LAP 2023'!I324*'2.1 OPEX TUUA'!$N$8)</f>
        <v>0</v>
      </c>
      <c r="O323" s="3">
        <f>+IF(F323="Pasajero",'2.2 OPEX LAP 2023'!J324*'2.1 OPEX TUUA'!$O$7,'2.2 OPEX LAP 2023'!J324*'2.1 OPEX TUUA'!$O$8)</f>
        <v>0</v>
      </c>
      <c r="P323" s="3">
        <f>+IF(F323="Pasajero",'2.2 OPEX LAP 2023'!K324*'2.1 OPEX TUUA'!$P$7,'2.2 OPEX LAP 2023'!K324*'2.1 OPEX TUUA'!$P$8)</f>
        <v>0</v>
      </c>
      <c r="Q323" s="3">
        <f>+IF(F323="Pasajero",'2.2 OPEX LAP 2023'!L324*'2.1 OPEX TUUA'!$Q$7,'2.2 OPEX LAP 2023'!L324*'2.1 OPEX TUUA'!$Q$8)</f>
        <v>0</v>
      </c>
      <c r="R323" s="3">
        <f>+IF(F323="Pasajero",'2.2 OPEX LAP 2023'!M324*'2.1 OPEX TUUA'!$R$7,'2.2 OPEX LAP 2023'!M324*'2.1 OPEX TUUA'!$R$8)</f>
        <v>0</v>
      </c>
      <c r="S323" s="3">
        <f>+IF(F323="Pasajero",'2.2 OPEX LAP 2023'!N324*'2.1 OPEX TUUA'!$S$7,'2.2 OPEX LAP 2023'!N324*'2.1 OPEX TUUA'!$S$8)</f>
        <v>0</v>
      </c>
      <c r="AA323" s="6"/>
      <c r="AB323" s="6"/>
      <c r="AC323" s="6"/>
      <c r="AD323" s="6"/>
      <c r="AE323" s="6"/>
      <c r="AF323" s="6"/>
    </row>
    <row r="324" spans="2:32" x14ac:dyDescent="0.25">
      <c r="B324" s="16">
        <v>6590000010</v>
      </c>
      <c r="C324" s="190" t="s">
        <v>176</v>
      </c>
      <c r="D324" s="190" t="s">
        <v>38</v>
      </c>
      <c r="E324" s="190" t="s">
        <v>172</v>
      </c>
      <c r="F324" s="162" t="s">
        <v>190</v>
      </c>
      <c r="G324" s="3">
        <f>+IF(F324="Pasajero",'2.2 OPEX LAP 2023'!I325*'2.1 OPEX TUUA'!$G$7,'2.2 OPEX LAP 2023'!I325*'2.1 OPEX TUUA'!$G$8)</f>
        <v>0</v>
      </c>
      <c r="H324" s="3">
        <f>+IF(F324="Pasajero",'2.2 OPEX LAP 2023'!J325*'2.1 OPEX TUUA'!$H$7,'2.2 OPEX LAP 2023'!J325*'2.1 OPEX TUUA'!$H$8)</f>
        <v>0</v>
      </c>
      <c r="I324" s="3">
        <f>+IF(F324="Pasajero",'2.2 OPEX LAP 2023'!K325*'2.1 OPEX TUUA'!$I$7,'2.2 OPEX LAP 2023'!K325*'2.1 OPEX TUUA'!$I$8)</f>
        <v>0</v>
      </c>
      <c r="J324" s="3">
        <f>+IF(F324="Pasajero",'2.2 OPEX LAP 2023'!L325*'2.1 OPEX TUUA'!$J$7,'2.2 OPEX LAP 2023'!L325*'2.1 OPEX TUUA'!$J$8)</f>
        <v>0</v>
      </c>
      <c r="K324" s="3">
        <f>+IF(F324="Pasajero",'2.2 OPEX LAP 2023'!M325*'2.1 OPEX TUUA'!$K$7,'2.2 OPEX LAP 2023'!M325*'2.1 OPEX TUUA'!$K$8)</f>
        <v>0</v>
      </c>
      <c r="L324" s="3">
        <f>+IF(F324="Pasajero",'2.2 OPEX LAP 2023'!N325*'2.1 OPEX TUUA'!$L$7,'2.2 OPEX LAP 2023'!N325*'2.1 OPEX TUUA'!$L$8)</f>
        <v>0</v>
      </c>
      <c r="M324" s="3"/>
      <c r="N324" s="3">
        <f>+IF(F324="Pasajero",'2.2 OPEX LAP 2023'!I325*'2.1 OPEX TUUA'!$N$7,'2.2 OPEX LAP 2023'!I325*'2.1 OPEX TUUA'!$N$8)</f>
        <v>0</v>
      </c>
      <c r="O324" s="3">
        <f>+IF(F324="Pasajero",'2.2 OPEX LAP 2023'!J325*'2.1 OPEX TUUA'!$O$7,'2.2 OPEX LAP 2023'!J325*'2.1 OPEX TUUA'!$O$8)</f>
        <v>0</v>
      </c>
      <c r="P324" s="3">
        <f>+IF(F324="Pasajero",'2.2 OPEX LAP 2023'!K325*'2.1 OPEX TUUA'!$P$7,'2.2 OPEX LAP 2023'!K325*'2.1 OPEX TUUA'!$P$8)</f>
        <v>0</v>
      </c>
      <c r="Q324" s="3">
        <f>+IF(F324="Pasajero",'2.2 OPEX LAP 2023'!L325*'2.1 OPEX TUUA'!$Q$7,'2.2 OPEX LAP 2023'!L325*'2.1 OPEX TUUA'!$Q$8)</f>
        <v>0</v>
      </c>
      <c r="R324" s="3">
        <f>+IF(F324="Pasajero",'2.2 OPEX LAP 2023'!M325*'2.1 OPEX TUUA'!$R$7,'2.2 OPEX LAP 2023'!M325*'2.1 OPEX TUUA'!$R$8)</f>
        <v>0</v>
      </c>
      <c r="S324" s="3">
        <f>+IF(F324="Pasajero",'2.2 OPEX LAP 2023'!N325*'2.1 OPEX TUUA'!$S$7,'2.2 OPEX LAP 2023'!N325*'2.1 OPEX TUUA'!$S$8)</f>
        <v>0</v>
      </c>
      <c r="AA324" s="6"/>
      <c r="AB324" s="6"/>
      <c r="AC324" s="6"/>
      <c r="AD324" s="6"/>
      <c r="AE324" s="6"/>
      <c r="AF324" s="6"/>
    </row>
    <row r="325" spans="2:32" x14ac:dyDescent="0.25">
      <c r="B325" s="16">
        <v>6590000011</v>
      </c>
      <c r="C325" s="190" t="s">
        <v>176</v>
      </c>
      <c r="D325" s="190" t="s">
        <v>38</v>
      </c>
      <c r="E325" s="190" t="s">
        <v>173</v>
      </c>
      <c r="F325" s="162" t="s">
        <v>190</v>
      </c>
      <c r="G325" s="3">
        <f>+IF(F325="Pasajero",'2.2 OPEX LAP 2023'!I326*'2.1 OPEX TUUA'!$G$7,'2.2 OPEX LAP 2023'!I326*'2.1 OPEX TUUA'!$G$8)</f>
        <v>0</v>
      </c>
      <c r="H325" s="3">
        <f>+IF(F325="Pasajero",'2.2 OPEX LAP 2023'!J326*'2.1 OPEX TUUA'!$H$7,'2.2 OPEX LAP 2023'!J326*'2.1 OPEX TUUA'!$H$8)</f>
        <v>0</v>
      </c>
      <c r="I325" s="3">
        <f>+IF(F325="Pasajero",'2.2 OPEX LAP 2023'!K326*'2.1 OPEX TUUA'!$I$7,'2.2 OPEX LAP 2023'!K326*'2.1 OPEX TUUA'!$I$8)</f>
        <v>0</v>
      </c>
      <c r="J325" s="3">
        <f>+IF(F325="Pasajero",'2.2 OPEX LAP 2023'!L326*'2.1 OPEX TUUA'!$J$7,'2.2 OPEX LAP 2023'!L326*'2.1 OPEX TUUA'!$J$8)</f>
        <v>0</v>
      </c>
      <c r="K325" s="3">
        <f>+IF(F325="Pasajero",'2.2 OPEX LAP 2023'!M326*'2.1 OPEX TUUA'!$K$7,'2.2 OPEX LAP 2023'!M326*'2.1 OPEX TUUA'!$K$8)</f>
        <v>0</v>
      </c>
      <c r="L325" s="3">
        <f>+IF(F325="Pasajero",'2.2 OPEX LAP 2023'!N326*'2.1 OPEX TUUA'!$L$7,'2.2 OPEX LAP 2023'!N326*'2.1 OPEX TUUA'!$L$8)</f>
        <v>0</v>
      </c>
      <c r="M325" s="3"/>
      <c r="N325" s="3">
        <f>+IF(F325="Pasajero",'2.2 OPEX LAP 2023'!I326*'2.1 OPEX TUUA'!$N$7,'2.2 OPEX LAP 2023'!I326*'2.1 OPEX TUUA'!$N$8)</f>
        <v>0</v>
      </c>
      <c r="O325" s="3">
        <f>+IF(F325="Pasajero",'2.2 OPEX LAP 2023'!J326*'2.1 OPEX TUUA'!$O$7,'2.2 OPEX LAP 2023'!J326*'2.1 OPEX TUUA'!$O$8)</f>
        <v>0</v>
      </c>
      <c r="P325" s="3">
        <f>+IF(F325="Pasajero",'2.2 OPEX LAP 2023'!K326*'2.1 OPEX TUUA'!$P$7,'2.2 OPEX LAP 2023'!K326*'2.1 OPEX TUUA'!$P$8)</f>
        <v>0</v>
      </c>
      <c r="Q325" s="3">
        <f>+IF(F325="Pasajero",'2.2 OPEX LAP 2023'!L326*'2.1 OPEX TUUA'!$Q$7,'2.2 OPEX LAP 2023'!L326*'2.1 OPEX TUUA'!$Q$8)</f>
        <v>0</v>
      </c>
      <c r="R325" s="3">
        <f>+IF(F325="Pasajero",'2.2 OPEX LAP 2023'!M326*'2.1 OPEX TUUA'!$R$7,'2.2 OPEX LAP 2023'!M326*'2.1 OPEX TUUA'!$R$8)</f>
        <v>0</v>
      </c>
      <c r="S325" s="3">
        <f>+IF(F325="Pasajero",'2.2 OPEX LAP 2023'!N326*'2.1 OPEX TUUA'!$S$7,'2.2 OPEX LAP 2023'!N326*'2.1 OPEX TUUA'!$S$8)</f>
        <v>0</v>
      </c>
      <c r="AA325" s="6"/>
      <c r="AB325" s="6"/>
      <c r="AC325" s="6"/>
      <c r="AD325" s="6"/>
      <c r="AE325" s="6"/>
      <c r="AF325" s="6"/>
    </row>
    <row r="326" spans="2:32" x14ac:dyDescent="0.25">
      <c r="B326" s="16">
        <v>6840000001</v>
      </c>
      <c r="C326" s="190" t="s">
        <v>176</v>
      </c>
      <c r="D326" s="190" t="s">
        <v>38</v>
      </c>
      <c r="E326" s="190" t="s">
        <v>174</v>
      </c>
      <c r="F326" s="162" t="s">
        <v>190</v>
      </c>
      <c r="G326" s="3">
        <f>+IF(F326="Pasajero",'2.2 OPEX LAP 2023'!I327*'2.1 OPEX TUUA'!$G$7,'2.2 OPEX LAP 2023'!I327*'2.1 OPEX TUUA'!$G$8)</f>
        <v>0</v>
      </c>
      <c r="H326" s="3">
        <f>+IF(F326="Pasajero",'2.2 OPEX LAP 2023'!J327*'2.1 OPEX TUUA'!$H$7,'2.2 OPEX LAP 2023'!J327*'2.1 OPEX TUUA'!$H$8)</f>
        <v>0</v>
      </c>
      <c r="I326" s="3">
        <f>+IF(F326="Pasajero",'2.2 OPEX LAP 2023'!K327*'2.1 OPEX TUUA'!$I$7,'2.2 OPEX LAP 2023'!K327*'2.1 OPEX TUUA'!$I$8)</f>
        <v>0</v>
      </c>
      <c r="J326" s="3">
        <f>+IF(F326="Pasajero",'2.2 OPEX LAP 2023'!L327*'2.1 OPEX TUUA'!$J$7,'2.2 OPEX LAP 2023'!L327*'2.1 OPEX TUUA'!$J$8)</f>
        <v>0</v>
      </c>
      <c r="K326" s="3">
        <f>+IF(F326="Pasajero",'2.2 OPEX LAP 2023'!M327*'2.1 OPEX TUUA'!$K$7,'2.2 OPEX LAP 2023'!M327*'2.1 OPEX TUUA'!$K$8)</f>
        <v>0</v>
      </c>
      <c r="L326" s="3">
        <f>+IF(F326="Pasajero",'2.2 OPEX LAP 2023'!N327*'2.1 OPEX TUUA'!$L$7,'2.2 OPEX LAP 2023'!N327*'2.1 OPEX TUUA'!$L$8)</f>
        <v>0</v>
      </c>
      <c r="M326" s="3"/>
      <c r="N326" s="3">
        <f>+IF(F326="Pasajero",'2.2 OPEX LAP 2023'!I327*'2.1 OPEX TUUA'!$N$7,'2.2 OPEX LAP 2023'!I327*'2.1 OPEX TUUA'!$N$8)</f>
        <v>0</v>
      </c>
      <c r="O326" s="3">
        <f>+IF(F326="Pasajero",'2.2 OPEX LAP 2023'!J327*'2.1 OPEX TUUA'!$O$7,'2.2 OPEX LAP 2023'!J327*'2.1 OPEX TUUA'!$O$8)</f>
        <v>0</v>
      </c>
      <c r="P326" s="3">
        <f>+IF(F326="Pasajero",'2.2 OPEX LAP 2023'!K327*'2.1 OPEX TUUA'!$P$7,'2.2 OPEX LAP 2023'!K327*'2.1 OPEX TUUA'!$P$8)</f>
        <v>0</v>
      </c>
      <c r="Q326" s="3">
        <f>+IF(F326="Pasajero",'2.2 OPEX LAP 2023'!L327*'2.1 OPEX TUUA'!$Q$7,'2.2 OPEX LAP 2023'!L327*'2.1 OPEX TUUA'!$Q$8)</f>
        <v>0</v>
      </c>
      <c r="R326" s="3">
        <f>+IF(F326="Pasajero",'2.2 OPEX LAP 2023'!M327*'2.1 OPEX TUUA'!$R$7,'2.2 OPEX LAP 2023'!M327*'2.1 OPEX TUUA'!$R$8)</f>
        <v>0</v>
      </c>
      <c r="S326" s="3">
        <f>+IF(F326="Pasajero",'2.2 OPEX LAP 2023'!N327*'2.1 OPEX TUUA'!$S$7,'2.2 OPEX LAP 2023'!N327*'2.1 OPEX TUUA'!$S$8)</f>
        <v>0</v>
      </c>
      <c r="AA326" s="6"/>
      <c r="AB326" s="6"/>
      <c r="AC326" s="6"/>
      <c r="AD326" s="6"/>
      <c r="AE326" s="6"/>
      <c r="AF326" s="6"/>
    </row>
    <row r="327" spans="2:32" x14ac:dyDescent="0.25">
      <c r="B327" s="16">
        <v>8710000001</v>
      </c>
      <c r="C327" s="190" t="s">
        <v>176</v>
      </c>
      <c r="D327" s="190" t="s">
        <v>14</v>
      </c>
      <c r="E327" s="190" t="s">
        <v>175</v>
      </c>
      <c r="F327" s="162" t="s">
        <v>190</v>
      </c>
      <c r="G327" s="3">
        <f>+IF(F327="Pasajero",'2.2 OPEX LAP 2023'!I328*'2.1 OPEX TUUA'!$G$7,'2.2 OPEX LAP 2023'!I328*'2.1 OPEX TUUA'!$G$8)</f>
        <v>0</v>
      </c>
      <c r="H327" s="3">
        <f>+IF(F327="Pasajero",'2.2 OPEX LAP 2023'!J328*'2.1 OPEX TUUA'!$H$7,'2.2 OPEX LAP 2023'!J328*'2.1 OPEX TUUA'!$H$8)</f>
        <v>0</v>
      </c>
      <c r="I327" s="3">
        <f>+IF(F327="Pasajero",'2.2 OPEX LAP 2023'!K328*'2.1 OPEX TUUA'!$I$7,'2.2 OPEX LAP 2023'!K328*'2.1 OPEX TUUA'!$I$8)</f>
        <v>0</v>
      </c>
      <c r="J327" s="3">
        <f>+IF(F327="Pasajero",'2.2 OPEX LAP 2023'!L328*'2.1 OPEX TUUA'!$J$7,'2.2 OPEX LAP 2023'!L328*'2.1 OPEX TUUA'!$J$8)</f>
        <v>0</v>
      </c>
      <c r="K327" s="3">
        <f>+IF(F327="Pasajero",'2.2 OPEX LAP 2023'!M328*'2.1 OPEX TUUA'!$K$7,'2.2 OPEX LAP 2023'!M328*'2.1 OPEX TUUA'!$K$8)</f>
        <v>0</v>
      </c>
      <c r="L327" s="3">
        <f>+IF(F327="Pasajero",'2.2 OPEX LAP 2023'!N328*'2.1 OPEX TUUA'!$L$7,'2.2 OPEX LAP 2023'!N328*'2.1 OPEX TUUA'!$L$8)</f>
        <v>0</v>
      </c>
      <c r="M327" s="3"/>
      <c r="N327" s="3">
        <f>+IF(F327="Pasajero",'2.2 OPEX LAP 2023'!I328*'2.1 OPEX TUUA'!$N$7,'2.2 OPEX LAP 2023'!I328*'2.1 OPEX TUUA'!$N$8)</f>
        <v>0</v>
      </c>
      <c r="O327" s="3">
        <f>+IF(F327="Pasajero",'2.2 OPEX LAP 2023'!J328*'2.1 OPEX TUUA'!$O$7,'2.2 OPEX LAP 2023'!J328*'2.1 OPEX TUUA'!$O$8)</f>
        <v>0</v>
      </c>
      <c r="P327" s="3">
        <f>+IF(F327="Pasajero",'2.2 OPEX LAP 2023'!K328*'2.1 OPEX TUUA'!$P$7,'2.2 OPEX LAP 2023'!K328*'2.1 OPEX TUUA'!$P$8)</f>
        <v>0</v>
      </c>
      <c r="Q327" s="3">
        <f>+IF(F327="Pasajero",'2.2 OPEX LAP 2023'!L328*'2.1 OPEX TUUA'!$Q$7,'2.2 OPEX LAP 2023'!L328*'2.1 OPEX TUUA'!$Q$8)</f>
        <v>0</v>
      </c>
      <c r="R327" s="3">
        <f>+IF(F327="Pasajero",'2.2 OPEX LAP 2023'!M328*'2.1 OPEX TUUA'!$R$7,'2.2 OPEX LAP 2023'!M328*'2.1 OPEX TUUA'!$R$8)</f>
        <v>0</v>
      </c>
      <c r="S327" s="3">
        <f>+IF(F327="Pasajero",'2.2 OPEX LAP 2023'!N328*'2.1 OPEX TUUA'!$S$7,'2.2 OPEX LAP 2023'!N328*'2.1 OPEX TUUA'!$S$8)</f>
        <v>0</v>
      </c>
      <c r="AA327" s="6"/>
      <c r="AB327" s="6"/>
      <c r="AC327" s="6"/>
      <c r="AD327" s="6"/>
      <c r="AE327" s="6"/>
      <c r="AF327" s="6"/>
    </row>
    <row r="328" spans="2:32" x14ac:dyDescent="0.25">
      <c r="B328" s="16">
        <v>6211000001</v>
      </c>
      <c r="C328" s="190" t="s">
        <v>177</v>
      </c>
      <c r="D328" s="190" t="s">
        <v>14</v>
      </c>
      <c r="E328" s="190" t="s">
        <v>15</v>
      </c>
      <c r="F328" s="162" t="s">
        <v>190</v>
      </c>
      <c r="G328" s="3">
        <f>+IF(F328="Pasajero",'2.2 OPEX LAP 2023'!I329*'2.1 OPEX TUUA'!$G$7,'2.2 OPEX LAP 2023'!I329*'2.1 OPEX TUUA'!$G$8)</f>
        <v>140569.29575610027</v>
      </c>
      <c r="H328" s="3">
        <f>+IF(F328="Pasajero",'2.2 OPEX LAP 2023'!J329*'2.1 OPEX TUUA'!$H$7,'2.2 OPEX LAP 2023'!J329*'2.1 OPEX TUUA'!$H$8)</f>
        <v>161251.97772731658</v>
      </c>
      <c r="I328" s="3">
        <f>+IF(F328="Pasajero",'2.2 OPEX LAP 2023'!K329*'2.1 OPEX TUUA'!$I$7,'2.2 OPEX LAP 2023'!K329*'2.1 OPEX TUUA'!$I$8)</f>
        <v>178266.4250081045</v>
      </c>
      <c r="J328" s="3">
        <f>+IF(F328="Pasajero",'2.2 OPEX LAP 2023'!L329*'2.1 OPEX TUUA'!$J$7,'2.2 OPEX LAP 2023'!L329*'2.1 OPEX TUUA'!$J$8)</f>
        <v>185774.76797427353</v>
      </c>
      <c r="K328" s="3">
        <f>+IF(F328="Pasajero",'2.2 OPEX LAP 2023'!M329*'2.1 OPEX TUUA'!$K$7,'2.2 OPEX LAP 2023'!M329*'2.1 OPEX TUUA'!$K$8)</f>
        <v>189930.55387543037</v>
      </c>
      <c r="L328" s="3">
        <f>+IF(F328="Pasajero",'2.2 OPEX LAP 2023'!N329*'2.1 OPEX TUUA'!$L$7,'2.2 OPEX LAP 2023'!N329*'2.1 OPEX TUUA'!$L$8)</f>
        <v>195002.95356108816</v>
      </c>
      <c r="M328" s="3"/>
      <c r="N328" s="3">
        <f>+IF(F328="Pasajero",'2.2 OPEX LAP 2023'!I329*'2.1 OPEX TUUA'!$N$7,'2.2 OPEX LAP 2023'!I329*'2.1 OPEX TUUA'!$N$8)</f>
        <v>69331.197822367831</v>
      </c>
      <c r="O328" s="3">
        <f>+IF(F328="Pasajero",'2.2 OPEX LAP 2023'!J329*'2.1 OPEX TUUA'!$O$7,'2.2 OPEX LAP 2023'!J329*'2.1 OPEX TUUA'!$O$8)</f>
        <v>66784.639266196406</v>
      </c>
      <c r="P328" s="3">
        <f>+IF(F328="Pasajero",'2.2 OPEX LAP 2023'!K329*'2.1 OPEX TUUA'!$P$7,'2.2 OPEX LAP 2023'!K329*'2.1 OPEX TUUA'!$P$8)</f>
        <v>65268.450219997481</v>
      </c>
      <c r="Q328" s="3">
        <f>+IF(F328="Pasajero",'2.2 OPEX LAP 2023'!L329*'2.1 OPEX TUUA'!$Q$7,'2.2 OPEX LAP 2023'!L329*'2.1 OPEX TUUA'!$Q$8)</f>
        <v>63778.502897191596</v>
      </c>
      <c r="R328" s="3">
        <f>+IF(F328="Pasajero",'2.2 OPEX LAP 2023'!M329*'2.1 OPEX TUUA'!$R$7,'2.2 OPEX LAP 2023'!M329*'2.1 OPEX TUUA'!$R$8)</f>
        <v>62970.633449726556</v>
      </c>
      <c r="S328" s="3">
        <f>+IF(F328="Pasajero",'2.2 OPEX LAP 2023'!N329*'2.1 OPEX TUUA'!$S$7,'2.2 OPEX LAP 2023'!N329*'2.1 OPEX TUUA'!$S$8)</f>
        <v>61978.888609166323</v>
      </c>
      <c r="AA328" s="6"/>
      <c r="AB328" s="6"/>
      <c r="AC328" s="6"/>
      <c r="AD328" s="6"/>
      <c r="AE328" s="6"/>
      <c r="AF328" s="6"/>
    </row>
    <row r="329" spans="2:32" x14ac:dyDescent="0.25">
      <c r="B329" s="16">
        <v>6212000001</v>
      </c>
      <c r="C329" s="190" t="s">
        <v>177</v>
      </c>
      <c r="D329" s="190" t="s">
        <v>14</v>
      </c>
      <c r="E329" s="190" t="s">
        <v>16</v>
      </c>
      <c r="F329" s="162" t="s">
        <v>190</v>
      </c>
      <c r="G329" s="3">
        <f>+IF(F329="Pasajero",'2.2 OPEX LAP 2023'!I330*'2.1 OPEX TUUA'!$G$7,'2.2 OPEX LAP 2023'!I330*'2.1 OPEX TUUA'!$G$8)</f>
        <v>33901.600941740326</v>
      </c>
      <c r="H329" s="3">
        <f>+IF(F329="Pasajero",'2.2 OPEX LAP 2023'!J330*'2.1 OPEX TUUA'!$H$7,'2.2 OPEX LAP 2023'!J330*'2.1 OPEX TUUA'!$H$8)</f>
        <v>38889.717491813266</v>
      </c>
      <c r="I329" s="3">
        <f>+IF(F329="Pasajero",'2.2 OPEX LAP 2023'!K330*'2.1 OPEX TUUA'!$I$7,'2.2 OPEX LAP 2023'!K330*'2.1 OPEX TUUA'!$I$8)</f>
        <v>42993.152732453425</v>
      </c>
      <c r="J329" s="3">
        <f>+IF(F329="Pasajero",'2.2 OPEX LAP 2023'!L330*'2.1 OPEX TUUA'!$J$7,'2.2 OPEX LAP 2023'!L330*'2.1 OPEX TUUA'!$J$8)</f>
        <v>44803.966719986252</v>
      </c>
      <c r="K329" s="3">
        <f>+IF(F329="Pasajero",'2.2 OPEX LAP 2023'!M330*'2.1 OPEX TUUA'!$K$7,'2.2 OPEX LAP 2023'!M330*'2.1 OPEX TUUA'!$K$8)</f>
        <v>45806.232502584906</v>
      </c>
      <c r="L329" s="3">
        <f>+IF(F329="Pasajero",'2.2 OPEX LAP 2023'!N330*'2.1 OPEX TUUA'!$L$7,'2.2 OPEX LAP 2023'!N330*'2.1 OPEX TUUA'!$L$8)</f>
        <v>47029.56131728246</v>
      </c>
      <c r="M329" s="3"/>
      <c r="N329" s="3">
        <f>+IF(F329="Pasajero",'2.2 OPEX LAP 2023'!I330*'2.1 OPEX TUUA'!$N$7,'2.2 OPEX LAP 2023'!I330*'2.1 OPEX TUUA'!$N$8)</f>
        <v>16720.853503207283</v>
      </c>
      <c r="O329" s="3">
        <f>+IF(F329="Pasajero",'2.2 OPEX LAP 2023'!J330*'2.1 OPEX TUUA'!$O$7,'2.2 OPEX LAP 2023'!J330*'2.1 OPEX TUUA'!$O$8)</f>
        <v>16106.690847829877</v>
      </c>
      <c r="P329" s="3">
        <f>+IF(F329="Pasajero",'2.2 OPEX LAP 2023'!K330*'2.1 OPEX TUUA'!$P$7,'2.2 OPEX LAP 2023'!K330*'2.1 OPEX TUUA'!$P$8)</f>
        <v>15741.026100631747</v>
      </c>
      <c r="Q329" s="3">
        <f>+IF(F329="Pasajero",'2.2 OPEX LAP 2023'!L330*'2.1 OPEX TUUA'!$Q$7,'2.2 OPEX LAP 2023'!L330*'2.1 OPEX TUUA'!$Q$8)</f>
        <v>15381.690163930312</v>
      </c>
      <c r="R329" s="3">
        <f>+IF(F329="Pasajero",'2.2 OPEX LAP 2023'!M330*'2.1 OPEX TUUA'!$R$7,'2.2 OPEX LAP 2023'!M330*'2.1 OPEX TUUA'!$R$8)</f>
        <v>15186.853393398967</v>
      </c>
      <c r="S329" s="3">
        <f>+IF(F329="Pasajero",'2.2 OPEX LAP 2023'!N330*'2.1 OPEX TUUA'!$S$7,'2.2 OPEX LAP 2023'!N330*'2.1 OPEX TUUA'!$S$8)</f>
        <v>14947.670735195716</v>
      </c>
      <c r="AA329" s="6"/>
      <c r="AB329" s="6"/>
      <c r="AC329" s="6"/>
      <c r="AD329" s="6"/>
      <c r="AE329" s="6"/>
      <c r="AF329" s="6"/>
    </row>
    <row r="330" spans="2:32" x14ac:dyDescent="0.25">
      <c r="B330" s="16">
        <v>6213000001</v>
      </c>
      <c r="C330" s="190" t="s">
        <v>177</v>
      </c>
      <c r="D330" s="190" t="s">
        <v>14</v>
      </c>
      <c r="E330" s="190" t="s">
        <v>17</v>
      </c>
      <c r="F330" s="162" t="s">
        <v>190</v>
      </c>
      <c r="G330" s="3">
        <f>+IF(F330="Pasajero",'2.2 OPEX LAP 2023'!I331*'2.1 OPEX TUUA'!$G$7,'2.2 OPEX LAP 2023'!I331*'2.1 OPEX TUUA'!$G$8)</f>
        <v>12658.803745506941</v>
      </c>
      <c r="H330" s="3">
        <f>+IF(F330="Pasajero",'2.2 OPEX LAP 2023'!J331*'2.1 OPEX TUUA'!$H$7,'2.2 OPEX LAP 2023'!J331*'2.1 OPEX TUUA'!$H$8)</f>
        <v>14521.358513218365</v>
      </c>
      <c r="I330" s="3">
        <f>+IF(F330="Pasajero",'2.2 OPEX LAP 2023'!K331*'2.1 OPEX TUUA'!$I$7,'2.2 OPEX LAP 2023'!K331*'2.1 OPEX TUUA'!$I$8)</f>
        <v>16053.574690351925</v>
      </c>
      <c r="J330" s="3">
        <f>+IF(F330="Pasajero",'2.2 OPEX LAP 2023'!L331*'2.1 OPEX TUUA'!$J$7,'2.2 OPEX LAP 2023'!L331*'2.1 OPEX TUUA'!$J$8)</f>
        <v>16729.729746485984</v>
      </c>
      <c r="K330" s="3">
        <f>+IF(F330="Pasajero",'2.2 OPEX LAP 2023'!M331*'2.1 OPEX TUUA'!$K$7,'2.2 OPEX LAP 2023'!M331*'2.1 OPEX TUUA'!$K$8)</f>
        <v>17103.974191890102</v>
      </c>
      <c r="L330" s="3">
        <f>+IF(F330="Pasajero",'2.2 OPEX LAP 2023'!N331*'2.1 OPEX TUUA'!$L$7,'2.2 OPEX LAP 2023'!N331*'2.1 OPEX TUUA'!$L$8)</f>
        <v>17560.763221059911</v>
      </c>
      <c r="M330" s="3"/>
      <c r="N330" s="3">
        <f>+IF(F330="Pasajero",'2.2 OPEX LAP 2023'!I331*'2.1 OPEX TUUA'!$N$7,'2.2 OPEX LAP 2023'!I331*'2.1 OPEX TUUA'!$N$8)</f>
        <v>6243.5400416110097</v>
      </c>
      <c r="O330" s="3">
        <f>+IF(F330="Pasajero",'2.2 OPEX LAP 2023'!J331*'2.1 OPEX TUUA'!$O$7,'2.2 OPEX LAP 2023'!J331*'2.1 OPEX TUUA'!$O$8)</f>
        <v>6014.2126851949361</v>
      </c>
      <c r="P330" s="3">
        <f>+IF(F330="Pasajero",'2.2 OPEX LAP 2023'!K331*'2.1 OPEX TUUA'!$P$7,'2.2 OPEX LAP 2023'!K331*'2.1 OPEX TUUA'!$P$8)</f>
        <v>5877.6740515361234</v>
      </c>
      <c r="Q330" s="3">
        <f>+IF(F330="Pasajero",'2.2 OPEX LAP 2023'!L331*'2.1 OPEX TUUA'!$Q$7,'2.2 OPEX LAP 2023'!L331*'2.1 OPEX TUUA'!$Q$8)</f>
        <v>5743.4985856273479</v>
      </c>
      <c r="R330" s="3">
        <f>+IF(F330="Pasajero",'2.2 OPEX LAP 2023'!M331*'2.1 OPEX TUUA'!$R$7,'2.2 OPEX LAP 2023'!M331*'2.1 OPEX TUUA'!$R$8)</f>
        <v>5670.746846120911</v>
      </c>
      <c r="S330" s="3">
        <f>+IF(F330="Pasajero",'2.2 OPEX LAP 2023'!N331*'2.1 OPEX TUUA'!$S$7,'2.2 OPEX LAP 2023'!N331*'2.1 OPEX TUUA'!$S$8)</f>
        <v>5581.436422854269</v>
      </c>
      <c r="AA330" s="6"/>
      <c r="AB330" s="6"/>
      <c r="AC330" s="6"/>
      <c r="AD330" s="6"/>
      <c r="AE330" s="6"/>
      <c r="AF330" s="6"/>
    </row>
    <row r="331" spans="2:32" x14ac:dyDescent="0.25">
      <c r="B331" s="16">
        <v>6214000001</v>
      </c>
      <c r="C331" s="190" t="s">
        <v>177</v>
      </c>
      <c r="D331" s="190" t="s">
        <v>14</v>
      </c>
      <c r="E331" s="190" t="s">
        <v>18</v>
      </c>
      <c r="F331" s="162" t="s">
        <v>190</v>
      </c>
      <c r="G331" s="3">
        <f>+IF(F331="Pasajero",'2.2 OPEX LAP 2023'!I332*'2.1 OPEX TUUA'!$G$7,'2.2 OPEX LAP 2023'!I332*'2.1 OPEX TUUA'!$G$8)</f>
        <v>411.67557212783726</v>
      </c>
      <c r="H331" s="3">
        <f>+IF(F331="Pasajero",'2.2 OPEX LAP 2023'!J332*'2.1 OPEX TUUA'!$H$7,'2.2 OPEX LAP 2023'!J332*'2.1 OPEX TUUA'!$H$8)</f>
        <v>472.24751202296238</v>
      </c>
      <c r="I331" s="3">
        <f>+IF(F331="Pasajero",'2.2 OPEX LAP 2023'!K332*'2.1 OPEX TUUA'!$I$7,'2.2 OPEX LAP 2023'!K332*'2.1 OPEX TUUA'!$I$8)</f>
        <v>522.07654674268224</v>
      </c>
      <c r="J331" s="3">
        <f>+IF(F331="Pasajero",'2.2 OPEX LAP 2023'!L332*'2.1 OPEX TUUA'!$J$7,'2.2 OPEX LAP 2023'!L332*'2.1 OPEX TUUA'!$J$8)</f>
        <v>544.06571137286448</v>
      </c>
      <c r="K331" s="3">
        <f>+IF(F331="Pasajero",'2.2 OPEX LAP 2023'!M332*'2.1 OPEX TUUA'!$K$7,'2.2 OPEX LAP 2023'!M332*'2.1 OPEX TUUA'!$K$8)</f>
        <v>556.23647405113798</v>
      </c>
      <c r="L331" s="3">
        <f>+IF(F331="Pasajero",'2.2 OPEX LAP 2023'!N332*'2.1 OPEX TUUA'!$L$7,'2.2 OPEX LAP 2023'!N332*'2.1 OPEX TUUA'!$L$8)</f>
        <v>571.09166011024308</v>
      </c>
      <c r="M331" s="3"/>
      <c r="N331" s="3">
        <f>+IF(F331="Pasajero",'2.2 OPEX LAP 2023'!I332*'2.1 OPEX TUUA'!$N$7,'2.2 OPEX LAP 2023'!I332*'2.1 OPEX TUUA'!$N$8)</f>
        <v>203.04548284395108</v>
      </c>
      <c r="O331" s="3">
        <f>+IF(F331="Pasajero",'2.2 OPEX LAP 2023'!J332*'2.1 OPEX TUUA'!$O$7,'2.2 OPEX LAP 2023'!J332*'2.1 OPEX TUUA'!$O$8)</f>
        <v>195.58755296723103</v>
      </c>
      <c r="P331" s="3">
        <f>+IF(F331="Pasajero",'2.2 OPEX LAP 2023'!K332*'2.1 OPEX TUUA'!$P$7,'2.2 OPEX LAP 2023'!K332*'2.1 OPEX TUUA'!$P$8)</f>
        <v>191.14719499509675</v>
      </c>
      <c r="Q331" s="3">
        <f>+IF(F331="Pasajero",'2.2 OPEX LAP 2023'!L332*'2.1 OPEX TUUA'!$Q$7,'2.2 OPEX LAP 2023'!L332*'2.1 OPEX TUUA'!$Q$8)</f>
        <v>186.78368934290435</v>
      </c>
      <c r="R331" s="3">
        <f>+IF(F331="Pasajero",'2.2 OPEX LAP 2023'!M332*'2.1 OPEX TUUA'!$R$7,'2.2 OPEX LAP 2023'!M332*'2.1 OPEX TUUA'!$R$8)</f>
        <v>184.41773797919527</v>
      </c>
      <c r="S331" s="3">
        <f>+IF(F331="Pasajero",'2.2 OPEX LAP 2023'!N332*'2.1 OPEX TUUA'!$S$7,'2.2 OPEX LAP 2023'!N332*'2.1 OPEX TUUA'!$S$8)</f>
        <v>181.51328347192603</v>
      </c>
      <c r="AA331" s="6"/>
      <c r="AB331" s="6"/>
      <c r="AC331" s="6"/>
      <c r="AD331" s="6"/>
      <c r="AE331" s="6"/>
      <c r="AF331" s="6"/>
    </row>
    <row r="332" spans="2:32" x14ac:dyDescent="0.25">
      <c r="B332" s="16">
        <v>6221000001</v>
      </c>
      <c r="C332" s="190" t="s">
        <v>177</v>
      </c>
      <c r="D332" s="190" t="s">
        <v>14</v>
      </c>
      <c r="E332" s="190" t="s">
        <v>19</v>
      </c>
      <c r="F332" s="162" t="s">
        <v>190</v>
      </c>
      <c r="G332" s="3">
        <f>+IF(F332="Pasajero",'2.2 OPEX LAP 2023'!I333*'2.1 OPEX TUUA'!$G$7,'2.2 OPEX LAP 2023'!I333*'2.1 OPEX TUUA'!$G$8)</f>
        <v>3492.4184422420185</v>
      </c>
      <c r="H332" s="3">
        <f>+IF(F332="Pasajero",'2.2 OPEX LAP 2023'!J333*'2.1 OPEX TUUA'!$H$7,'2.2 OPEX LAP 2023'!J333*'2.1 OPEX TUUA'!$H$8)</f>
        <v>4006.2758928522285</v>
      </c>
      <c r="I332" s="3">
        <f>+IF(F332="Pasajero",'2.2 OPEX LAP 2023'!K333*'2.1 OPEX TUUA'!$I$7,'2.2 OPEX LAP 2023'!K333*'2.1 OPEX TUUA'!$I$8)</f>
        <v>4428.9967235169834</v>
      </c>
      <c r="J332" s="3">
        <f>+IF(F332="Pasajero",'2.2 OPEX LAP 2023'!L333*'2.1 OPEX TUUA'!$J$7,'2.2 OPEX LAP 2023'!L333*'2.1 OPEX TUUA'!$J$8)</f>
        <v>4615.5401311984506</v>
      </c>
      <c r="K332" s="3">
        <f>+IF(F332="Pasajero",'2.2 OPEX LAP 2023'!M333*'2.1 OPEX TUUA'!$K$7,'2.2 OPEX LAP 2023'!M333*'2.1 OPEX TUUA'!$K$8)</f>
        <v>4718.7898717989301</v>
      </c>
      <c r="L332" s="3">
        <f>+IF(F332="Pasajero",'2.2 OPEX LAP 2023'!N333*'2.1 OPEX TUUA'!$L$7,'2.2 OPEX LAP 2023'!N333*'2.1 OPEX TUUA'!$L$8)</f>
        <v>4844.8127142221492</v>
      </c>
      <c r="M332" s="3"/>
      <c r="N332" s="3">
        <f>+IF(F332="Pasajero",'2.2 OPEX LAP 2023'!I333*'2.1 OPEX TUUA'!$N$7,'2.2 OPEX LAP 2023'!I333*'2.1 OPEX TUUA'!$N$8)</f>
        <v>1722.5209288783055</v>
      </c>
      <c r="O332" s="3">
        <f>+IF(F332="Pasajero",'2.2 OPEX LAP 2023'!J333*'2.1 OPEX TUUA'!$O$7,'2.2 OPEX LAP 2023'!J333*'2.1 OPEX TUUA'!$O$8)</f>
        <v>1659.2521473283605</v>
      </c>
      <c r="P332" s="3">
        <f>+IF(F332="Pasajero",'2.2 OPEX LAP 2023'!K333*'2.1 OPEX TUUA'!$P$7,'2.2 OPEX LAP 2023'!K333*'2.1 OPEX TUUA'!$P$8)</f>
        <v>1621.5827077940114</v>
      </c>
      <c r="Q332" s="3">
        <f>+IF(F332="Pasajero",'2.2 OPEX LAP 2023'!L333*'2.1 OPEX TUUA'!$Q$7,'2.2 OPEX LAP 2023'!L333*'2.1 OPEX TUUA'!$Q$8)</f>
        <v>1584.5652390776215</v>
      </c>
      <c r="R332" s="3">
        <f>+IF(F332="Pasajero",'2.2 OPEX LAP 2023'!M333*'2.1 OPEX TUUA'!$R$7,'2.2 OPEX LAP 2023'!M333*'2.1 OPEX TUUA'!$R$8)</f>
        <v>1564.4938704186636</v>
      </c>
      <c r="S332" s="3">
        <f>+IF(F332="Pasajero",'2.2 OPEX LAP 2023'!N333*'2.1 OPEX TUUA'!$S$7,'2.2 OPEX LAP 2023'!N333*'2.1 OPEX TUUA'!$S$8)</f>
        <v>1539.854151249973</v>
      </c>
      <c r="AA332" s="6"/>
      <c r="AB332" s="6"/>
      <c r="AC332" s="6"/>
      <c r="AD332" s="6"/>
      <c r="AE332" s="6"/>
      <c r="AF332" s="6"/>
    </row>
    <row r="333" spans="2:32" x14ac:dyDescent="0.25">
      <c r="B333" s="16">
        <v>6231000001</v>
      </c>
      <c r="C333" s="190" t="s">
        <v>177</v>
      </c>
      <c r="D333" s="190" t="s">
        <v>14</v>
      </c>
      <c r="E333" s="190" t="s">
        <v>20</v>
      </c>
      <c r="F333" s="162" t="s">
        <v>190</v>
      </c>
      <c r="G333" s="3">
        <f>+IF(F333="Pasajero",'2.2 OPEX LAP 2023'!I334*'2.1 OPEX TUUA'!$G$7,'2.2 OPEX LAP 2023'!I334*'2.1 OPEX TUUA'!$G$8)</f>
        <v>0</v>
      </c>
      <c r="H333" s="3">
        <f>+IF(F333="Pasajero",'2.2 OPEX LAP 2023'!J334*'2.1 OPEX TUUA'!$H$7,'2.2 OPEX LAP 2023'!J334*'2.1 OPEX TUUA'!$H$8)</f>
        <v>0</v>
      </c>
      <c r="I333" s="3">
        <f>+IF(F333="Pasajero",'2.2 OPEX LAP 2023'!K334*'2.1 OPEX TUUA'!$I$7,'2.2 OPEX LAP 2023'!K334*'2.1 OPEX TUUA'!$I$8)</f>
        <v>0</v>
      </c>
      <c r="J333" s="3">
        <f>+IF(F333="Pasajero",'2.2 OPEX LAP 2023'!L334*'2.1 OPEX TUUA'!$J$7,'2.2 OPEX LAP 2023'!L334*'2.1 OPEX TUUA'!$J$8)</f>
        <v>0</v>
      </c>
      <c r="K333" s="3">
        <f>+IF(F333="Pasajero",'2.2 OPEX LAP 2023'!M334*'2.1 OPEX TUUA'!$K$7,'2.2 OPEX LAP 2023'!M334*'2.1 OPEX TUUA'!$K$8)</f>
        <v>0</v>
      </c>
      <c r="L333" s="3">
        <f>+IF(F333="Pasajero",'2.2 OPEX LAP 2023'!N334*'2.1 OPEX TUUA'!$L$7,'2.2 OPEX LAP 2023'!N334*'2.1 OPEX TUUA'!$L$8)</f>
        <v>0</v>
      </c>
      <c r="M333" s="3"/>
      <c r="N333" s="3">
        <f>+IF(F333="Pasajero",'2.2 OPEX LAP 2023'!I334*'2.1 OPEX TUUA'!$N$7,'2.2 OPEX LAP 2023'!I334*'2.1 OPEX TUUA'!$N$8)</f>
        <v>0</v>
      </c>
      <c r="O333" s="3">
        <f>+IF(F333="Pasajero",'2.2 OPEX LAP 2023'!J334*'2.1 OPEX TUUA'!$O$7,'2.2 OPEX LAP 2023'!J334*'2.1 OPEX TUUA'!$O$8)</f>
        <v>0</v>
      </c>
      <c r="P333" s="3">
        <f>+IF(F333="Pasajero",'2.2 OPEX LAP 2023'!K334*'2.1 OPEX TUUA'!$P$7,'2.2 OPEX LAP 2023'!K334*'2.1 OPEX TUUA'!$P$8)</f>
        <v>0</v>
      </c>
      <c r="Q333" s="3">
        <f>+IF(F333="Pasajero",'2.2 OPEX LAP 2023'!L334*'2.1 OPEX TUUA'!$Q$7,'2.2 OPEX LAP 2023'!L334*'2.1 OPEX TUUA'!$Q$8)</f>
        <v>0</v>
      </c>
      <c r="R333" s="3">
        <f>+IF(F333="Pasajero",'2.2 OPEX LAP 2023'!M334*'2.1 OPEX TUUA'!$R$7,'2.2 OPEX LAP 2023'!M334*'2.1 OPEX TUUA'!$R$8)</f>
        <v>0</v>
      </c>
      <c r="S333" s="3">
        <f>+IF(F333="Pasajero",'2.2 OPEX LAP 2023'!N334*'2.1 OPEX TUUA'!$S$7,'2.2 OPEX LAP 2023'!N334*'2.1 OPEX TUUA'!$S$8)</f>
        <v>0</v>
      </c>
      <c r="AA333" s="6"/>
      <c r="AB333" s="6"/>
      <c r="AC333" s="6"/>
      <c r="AD333" s="6"/>
      <c r="AE333" s="6"/>
      <c r="AF333" s="6"/>
    </row>
    <row r="334" spans="2:32" x14ac:dyDescent="0.25">
      <c r="B334" s="16">
        <v>6240000001</v>
      </c>
      <c r="C334" s="190" t="s">
        <v>177</v>
      </c>
      <c r="D334" s="190" t="s">
        <v>14</v>
      </c>
      <c r="E334" s="190" t="s">
        <v>21</v>
      </c>
      <c r="F334" s="162" t="s">
        <v>190</v>
      </c>
      <c r="G334" s="3">
        <f>+IF(F334="Pasajero",'2.2 OPEX LAP 2023'!I335*'2.1 OPEX TUUA'!$G$7,'2.2 OPEX LAP 2023'!I335*'2.1 OPEX TUUA'!$G$8)</f>
        <v>1432.470663834152</v>
      </c>
      <c r="H334" s="3">
        <f>+IF(F334="Pasajero",'2.2 OPEX LAP 2023'!J335*'2.1 OPEX TUUA'!$H$7,'2.2 OPEX LAP 2023'!J335*'2.1 OPEX TUUA'!$H$8)</f>
        <v>1643.2374249096631</v>
      </c>
      <c r="I334" s="3">
        <f>+IF(F334="Pasajero",'2.2 OPEX LAP 2023'!K335*'2.1 OPEX TUUA'!$I$7,'2.2 OPEX LAP 2023'!K335*'2.1 OPEX TUUA'!$I$8)</f>
        <v>1816.6230598022942</v>
      </c>
      <c r="J334" s="3">
        <f>+IF(F334="Pasajero",'2.2 OPEX LAP 2023'!L335*'2.1 OPEX TUUA'!$J$7,'2.2 OPEX LAP 2023'!L335*'2.1 OPEX TUUA'!$J$8)</f>
        <v>1893.1367890287984</v>
      </c>
      <c r="K334" s="3">
        <f>+IF(F334="Pasajero",'2.2 OPEX LAP 2023'!M335*'2.1 OPEX TUUA'!$K$7,'2.2 OPEX LAP 2023'!M335*'2.1 OPEX TUUA'!$K$8)</f>
        <v>1935.4863032421424</v>
      </c>
      <c r="L334" s="3">
        <f>+IF(F334="Pasajero",'2.2 OPEX LAP 2023'!N335*'2.1 OPEX TUUA'!$L$7,'2.2 OPEX LAP 2023'!N335*'2.1 OPEX TUUA'!$L$8)</f>
        <v>1987.1765653713176</v>
      </c>
      <c r="M334" s="3"/>
      <c r="N334" s="3">
        <f>+IF(F334="Pasajero",'2.2 OPEX LAP 2023'!I335*'2.1 OPEX TUUA'!$N$7,'2.2 OPEX LAP 2023'!I335*'2.1 OPEX TUUA'!$N$8)</f>
        <v>706.51920417488611</v>
      </c>
      <c r="O334" s="3">
        <f>+IF(F334="Pasajero",'2.2 OPEX LAP 2023'!J335*'2.1 OPEX TUUA'!$O$7,'2.2 OPEX LAP 2023'!J335*'2.1 OPEX TUUA'!$O$8)</f>
        <v>680.56851269684955</v>
      </c>
      <c r="P334" s="3">
        <f>+IF(F334="Pasajero",'2.2 OPEX LAP 2023'!K335*'2.1 OPEX TUUA'!$P$7,'2.2 OPEX LAP 2023'!K335*'2.1 OPEX TUUA'!$P$8)</f>
        <v>665.11779625251972</v>
      </c>
      <c r="Q334" s="3">
        <f>+IF(F334="Pasajero",'2.2 OPEX LAP 2023'!L335*'2.1 OPEX TUUA'!$Q$7,'2.2 OPEX LAP 2023'!L335*'2.1 OPEX TUUA'!$Q$8)</f>
        <v>649.93449595142931</v>
      </c>
      <c r="R334" s="3">
        <f>+IF(F334="Pasajero",'2.2 OPEX LAP 2023'!M335*'2.1 OPEX TUUA'!$R$7,'2.2 OPEX LAP 2023'!M335*'2.1 OPEX TUUA'!$R$8)</f>
        <v>641.70190662616517</v>
      </c>
      <c r="S334" s="3">
        <f>+IF(F334="Pasajero",'2.2 OPEX LAP 2023'!N335*'2.1 OPEX TUUA'!$S$7,'2.2 OPEX LAP 2023'!N335*'2.1 OPEX TUUA'!$S$8)</f>
        <v>631.5955360815168</v>
      </c>
      <c r="AA334" s="6"/>
      <c r="AB334" s="6"/>
      <c r="AC334" s="6"/>
      <c r="AD334" s="6"/>
      <c r="AE334" s="6"/>
      <c r="AF334" s="6"/>
    </row>
    <row r="335" spans="2:32" x14ac:dyDescent="0.25">
      <c r="B335" s="16">
        <v>6250000001</v>
      </c>
      <c r="C335" s="190" t="s">
        <v>177</v>
      </c>
      <c r="D335" s="190" t="s">
        <v>14</v>
      </c>
      <c r="E335" s="190" t="s">
        <v>22</v>
      </c>
      <c r="F335" s="162" t="s">
        <v>190</v>
      </c>
      <c r="G335" s="3">
        <f>+IF(F335="Pasajero",'2.2 OPEX LAP 2023'!I336*'2.1 OPEX TUUA'!$G$7,'2.2 OPEX LAP 2023'!I336*'2.1 OPEX TUUA'!$G$8)</f>
        <v>530.06787397881442</v>
      </c>
      <c r="H335" s="3">
        <f>+IF(F335="Pasajero",'2.2 OPEX LAP 2023'!J336*'2.1 OPEX TUUA'!$H$7,'2.2 OPEX LAP 2023'!J336*'2.1 OPEX TUUA'!$H$8)</f>
        <v>608.059480906153</v>
      </c>
      <c r="I335" s="3">
        <f>+IF(F335="Pasajero",'2.2 OPEX LAP 2023'!K336*'2.1 OPEX TUUA'!$I$7,'2.2 OPEX LAP 2023'!K336*'2.1 OPEX TUUA'!$I$8)</f>
        <v>672.21866907410322</v>
      </c>
      <c r="J335" s="3">
        <f>+IF(F335="Pasajero",'2.2 OPEX LAP 2023'!L336*'2.1 OPEX TUUA'!$J$7,'2.2 OPEX LAP 2023'!L336*'2.1 OPEX TUUA'!$J$8)</f>
        <v>700.53161872483292</v>
      </c>
      <c r="K335" s="3">
        <f>+IF(F335="Pasajero",'2.2 OPEX LAP 2023'!M336*'2.1 OPEX TUUA'!$K$7,'2.2 OPEX LAP 2023'!M336*'2.1 OPEX TUUA'!$K$8)</f>
        <v>716.20252740719172</v>
      </c>
      <c r="L335" s="3">
        <f>+IF(F335="Pasajero",'2.2 OPEX LAP 2023'!N336*'2.1 OPEX TUUA'!$L$7,'2.2 OPEX LAP 2023'!N336*'2.1 OPEX TUUA'!$L$8)</f>
        <v>735.32986316629365</v>
      </c>
      <c r="M335" s="3"/>
      <c r="N335" s="3">
        <f>+IF(F335="Pasajero",'2.2 OPEX LAP 2023'!I336*'2.1 OPEX TUUA'!$N$7,'2.2 OPEX LAP 2023'!I336*'2.1 OPEX TUUA'!$N$8)</f>
        <v>261.43860529736116</v>
      </c>
      <c r="O335" s="3">
        <f>+IF(F335="Pasajero",'2.2 OPEX LAP 2023'!J336*'2.1 OPEX TUUA'!$O$7,'2.2 OPEX LAP 2023'!J336*'2.1 OPEX TUUA'!$O$8)</f>
        <v>251.83587610552931</v>
      </c>
      <c r="P335" s="3">
        <f>+IF(F335="Pasajero",'2.2 OPEX LAP 2023'!K336*'2.1 OPEX TUUA'!$P$7,'2.2 OPEX LAP 2023'!K336*'2.1 OPEX TUUA'!$P$8)</f>
        <v>246.11853150373884</v>
      </c>
      <c r="Q335" s="3">
        <f>+IF(F335="Pasajero",'2.2 OPEX LAP 2023'!L336*'2.1 OPEX TUUA'!$Q$7,'2.2 OPEX LAP 2023'!L336*'2.1 OPEX TUUA'!$Q$8)</f>
        <v>240.50014090505172</v>
      </c>
      <c r="R335" s="3">
        <f>+IF(F335="Pasajero",'2.2 OPEX LAP 2023'!M336*'2.1 OPEX TUUA'!$R$7,'2.2 OPEX LAP 2023'!M336*'2.1 OPEX TUUA'!$R$8)</f>
        <v>237.45377407105093</v>
      </c>
      <c r="S335" s="3">
        <f>+IF(F335="Pasajero",'2.2 OPEX LAP 2023'!N336*'2.1 OPEX TUUA'!$S$7,'2.2 OPEX LAP 2023'!N336*'2.1 OPEX TUUA'!$S$8)</f>
        <v>233.71403790507236</v>
      </c>
      <c r="AA335" s="6"/>
      <c r="AB335" s="6"/>
      <c r="AC335" s="6"/>
      <c r="AD335" s="6"/>
      <c r="AE335" s="6"/>
      <c r="AF335" s="6"/>
    </row>
    <row r="336" spans="2:32" x14ac:dyDescent="0.25">
      <c r="B336" s="16">
        <v>6250000003</v>
      </c>
      <c r="C336" s="190" t="s">
        <v>177</v>
      </c>
      <c r="D336" s="190" t="s">
        <v>14</v>
      </c>
      <c r="E336" s="190" t="s">
        <v>23</v>
      </c>
      <c r="F336" s="162" t="s">
        <v>190</v>
      </c>
      <c r="G336" s="3">
        <f>+IF(F336="Pasajero",'2.2 OPEX LAP 2023'!I337*'2.1 OPEX TUUA'!$G$7,'2.2 OPEX LAP 2023'!I337*'2.1 OPEX TUUA'!$G$8)</f>
        <v>2045.529081676764</v>
      </c>
      <c r="H336" s="3">
        <f>+IF(F336="Pasajero",'2.2 OPEX LAP 2023'!J337*'2.1 OPEX TUUA'!$H$7,'2.2 OPEX LAP 2023'!J337*'2.1 OPEX TUUA'!$H$8)</f>
        <v>2346.4982743559458</v>
      </c>
      <c r="I336" s="3">
        <f>+IF(F336="Pasajero",'2.2 OPEX LAP 2023'!K337*'2.1 OPEX TUUA'!$I$7,'2.2 OPEX LAP 2023'!K337*'2.1 OPEX TUUA'!$I$8)</f>
        <v>2594.0882372586198</v>
      </c>
      <c r="J336" s="3">
        <f>+IF(F336="Pasajero",'2.2 OPEX LAP 2023'!L337*'2.1 OPEX TUUA'!$J$7,'2.2 OPEX LAP 2023'!L337*'2.1 OPEX TUUA'!$J$8)</f>
        <v>2703.3477580514841</v>
      </c>
      <c r="K336" s="3">
        <f>+IF(F336="Pasajero",'2.2 OPEX LAP 2023'!M337*'2.1 OPEX TUUA'!$K$7,'2.2 OPEX LAP 2023'!M337*'2.1 OPEX TUUA'!$K$8)</f>
        <v>2763.8217105765657</v>
      </c>
      <c r="L336" s="3">
        <f>+IF(F336="Pasajero",'2.2 OPEX LAP 2023'!N337*'2.1 OPEX TUUA'!$L$7,'2.2 OPEX LAP 2023'!N337*'2.1 OPEX TUUA'!$L$8)</f>
        <v>2837.6339966458072</v>
      </c>
      <c r="M336" s="3"/>
      <c r="N336" s="3">
        <f>+IF(F336="Pasajero",'2.2 OPEX LAP 2023'!I337*'2.1 OPEX TUUA'!$N$7,'2.2 OPEX LAP 2023'!I337*'2.1 OPEX TUUA'!$N$8)</f>
        <v>1008.8901751290423</v>
      </c>
      <c r="O336" s="3">
        <f>+IF(F336="Pasajero",'2.2 OPEX LAP 2023'!J337*'2.1 OPEX TUUA'!$O$7,'2.2 OPEX LAP 2023'!J337*'2.1 OPEX TUUA'!$O$8)</f>
        <v>971.8332946999077</v>
      </c>
      <c r="P336" s="3">
        <f>+IF(F336="Pasajero",'2.2 OPEX LAP 2023'!K337*'2.1 OPEX TUUA'!$P$7,'2.2 OPEX LAP 2023'!K337*'2.1 OPEX TUUA'!$P$8)</f>
        <v>949.77009255723738</v>
      </c>
      <c r="Q336" s="3">
        <f>+IF(F336="Pasajero",'2.2 OPEX LAP 2023'!L337*'2.1 OPEX TUUA'!$Q$7,'2.2 OPEX LAP 2023'!L337*'2.1 OPEX TUUA'!$Q$8)</f>
        <v>928.08875338161863</v>
      </c>
      <c r="R336" s="3">
        <f>+IF(F336="Pasajero",'2.2 OPEX LAP 2023'!M337*'2.1 OPEX TUUA'!$R$7,'2.2 OPEX LAP 2023'!M337*'2.1 OPEX TUUA'!$R$8)</f>
        <v>916.33284011407875</v>
      </c>
      <c r="S336" s="3">
        <f>+IF(F336="Pasajero",'2.2 OPEX LAP 2023'!N337*'2.1 OPEX TUUA'!$S$7,'2.2 OPEX LAP 2023'!N337*'2.1 OPEX TUUA'!$S$8)</f>
        <v>901.90121831461613</v>
      </c>
      <c r="AA336" s="6"/>
      <c r="AB336" s="6"/>
      <c r="AC336" s="6"/>
      <c r="AD336" s="6"/>
      <c r="AE336" s="6"/>
      <c r="AF336" s="6"/>
    </row>
    <row r="337" spans="2:32" x14ac:dyDescent="0.25">
      <c r="B337" s="16">
        <v>6250000004</v>
      </c>
      <c r="C337" s="190" t="s">
        <v>177</v>
      </c>
      <c r="D337" s="190" t="s">
        <v>14</v>
      </c>
      <c r="E337" s="190" t="s">
        <v>24</v>
      </c>
      <c r="F337" s="162" t="s">
        <v>190</v>
      </c>
      <c r="G337" s="3">
        <f>+IF(F337="Pasajero",'2.2 OPEX LAP 2023'!I338*'2.1 OPEX TUUA'!$G$7,'2.2 OPEX LAP 2023'!I338*'2.1 OPEX TUUA'!$G$8)</f>
        <v>315.85636894953592</v>
      </c>
      <c r="H337" s="3">
        <f>+IF(F337="Pasajero",'2.2 OPEX LAP 2023'!J338*'2.1 OPEX TUUA'!$H$7,'2.2 OPEX LAP 2023'!J338*'2.1 OPEX TUUA'!$H$8)</f>
        <v>362.32993767894965</v>
      </c>
      <c r="I337" s="3">
        <f>+IF(F337="Pasajero",'2.2 OPEX LAP 2023'!K338*'2.1 OPEX TUUA'!$I$7,'2.2 OPEX LAP 2023'!K338*'2.1 OPEX TUUA'!$I$8)</f>
        <v>400.56105713420777</v>
      </c>
      <c r="J337" s="3">
        <f>+IF(F337="Pasajero",'2.2 OPEX LAP 2023'!L338*'2.1 OPEX TUUA'!$J$7,'2.2 OPEX LAP 2023'!L338*'2.1 OPEX TUUA'!$J$8)</f>
        <v>417.4321521579518</v>
      </c>
      <c r="K337" s="3">
        <f>+IF(F337="Pasajero",'2.2 OPEX LAP 2023'!M338*'2.1 OPEX TUUA'!$K$7,'2.2 OPEX LAP 2023'!M338*'2.1 OPEX TUUA'!$K$8)</f>
        <v>426.77011915715053</v>
      </c>
      <c r="L337" s="3">
        <f>+IF(F337="Pasajero",'2.2 OPEX LAP 2023'!N338*'2.1 OPEX TUUA'!$L$7,'2.2 OPEX LAP 2023'!N338*'2.1 OPEX TUUA'!$L$8)</f>
        <v>438.16769882029763</v>
      </c>
      <c r="M337" s="3"/>
      <c r="N337" s="3">
        <f>+IF(F337="Pasajero",'2.2 OPEX LAP 2023'!I338*'2.1 OPEX TUUA'!$N$7,'2.2 OPEX LAP 2023'!I338*'2.1 OPEX TUUA'!$N$8)</f>
        <v>155.78580145333581</v>
      </c>
      <c r="O337" s="3">
        <f>+IF(F337="Pasajero",'2.2 OPEX LAP 2023'!J338*'2.1 OPEX TUUA'!$O$7,'2.2 OPEX LAP 2023'!J338*'2.1 OPEX TUUA'!$O$8)</f>
        <v>150.06373580206235</v>
      </c>
      <c r="P337" s="3">
        <f>+IF(F337="Pasajero",'2.2 OPEX LAP 2023'!K338*'2.1 OPEX TUUA'!$P$7,'2.2 OPEX LAP 2023'!K338*'2.1 OPEX TUUA'!$P$8)</f>
        <v>146.65688963272262</v>
      </c>
      <c r="Q337" s="3">
        <f>+IF(F337="Pasajero",'2.2 OPEX LAP 2023'!L338*'2.1 OPEX TUUA'!$Q$7,'2.2 OPEX LAP 2023'!L338*'2.1 OPEX TUUA'!$Q$8)</f>
        <v>143.30900808592955</v>
      </c>
      <c r="R337" s="3">
        <f>+IF(F337="Pasajero",'2.2 OPEX LAP 2023'!M338*'2.1 OPEX TUUA'!$R$7,'2.2 OPEX LAP 2023'!M338*'2.1 OPEX TUUA'!$R$8)</f>
        <v>141.4937417513502</v>
      </c>
      <c r="S337" s="3">
        <f>+IF(F337="Pasajero",'2.2 OPEX LAP 2023'!N338*'2.1 OPEX TUUA'!$S$7,'2.2 OPEX LAP 2023'!N338*'2.1 OPEX TUUA'!$S$8)</f>
        <v>139.26531112161078</v>
      </c>
      <c r="AA337" s="6"/>
      <c r="AB337" s="6"/>
      <c r="AC337" s="6"/>
      <c r="AD337" s="6"/>
      <c r="AE337" s="6"/>
      <c r="AF337" s="6"/>
    </row>
    <row r="338" spans="2:32" x14ac:dyDescent="0.25">
      <c r="B338" s="16">
        <v>6250000005</v>
      </c>
      <c r="C338" s="190" t="s">
        <v>177</v>
      </c>
      <c r="D338" s="190" t="s">
        <v>14</v>
      </c>
      <c r="E338" s="190" t="s">
        <v>25</v>
      </c>
      <c r="F338" s="162" t="s">
        <v>190</v>
      </c>
      <c r="G338" s="3">
        <f>+IF(F338="Pasajero",'2.2 OPEX LAP 2023'!I339*'2.1 OPEX TUUA'!$G$7,'2.2 OPEX LAP 2023'!I339*'2.1 OPEX TUUA'!$G$8)</f>
        <v>14712.575290586843</v>
      </c>
      <c r="H338" s="3">
        <f>+IF(F338="Pasajero",'2.2 OPEX LAP 2023'!J339*'2.1 OPEX TUUA'!$H$7,'2.2 OPEX LAP 2023'!J339*'2.1 OPEX TUUA'!$H$8)</f>
        <v>16877.312006923261</v>
      </c>
      <c r="I338" s="3">
        <f>+IF(F338="Pasajero",'2.2 OPEX LAP 2023'!K339*'2.1 OPEX TUUA'!$I$7,'2.2 OPEX LAP 2023'!K339*'2.1 OPEX TUUA'!$I$8)</f>
        <v>18658.115811195355</v>
      </c>
      <c r="J338" s="3">
        <f>+IF(F338="Pasajero",'2.2 OPEX LAP 2023'!L339*'2.1 OPEX TUUA'!$J$7,'2.2 OPEX LAP 2023'!L339*'2.1 OPEX TUUA'!$J$8)</f>
        <v>19443.97064957329</v>
      </c>
      <c r="K338" s="3">
        <f>+IF(F338="Pasajero",'2.2 OPEX LAP 2023'!M339*'2.1 OPEX TUUA'!$K$7,'2.2 OPEX LAP 2023'!M339*'2.1 OPEX TUUA'!$K$8)</f>
        <v>19878.932727411513</v>
      </c>
      <c r="L338" s="3">
        <f>+IF(F338="Pasajero",'2.2 OPEX LAP 2023'!N339*'2.1 OPEX TUUA'!$L$7,'2.2 OPEX LAP 2023'!N339*'2.1 OPEX TUUA'!$L$8)</f>
        <v>20409.831469400484</v>
      </c>
      <c r="M338" s="3"/>
      <c r="N338" s="3">
        <f>+IF(F338="Pasajero",'2.2 OPEX LAP 2023'!I339*'2.1 OPEX TUUA'!$N$7,'2.2 OPEX LAP 2023'!I339*'2.1 OPEX TUUA'!$N$8)</f>
        <v>7256.4955416580779</v>
      </c>
      <c r="O338" s="3">
        <f>+IF(F338="Pasajero",'2.2 OPEX LAP 2023'!J339*'2.1 OPEX TUUA'!$O$7,'2.2 OPEX LAP 2023'!J339*'2.1 OPEX TUUA'!$O$8)</f>
        <v>6989.9619840412861</v>
      </c>
      <c r="P338" s="3">
        <f>+IF(F338="Pasajero",'2.2 OPEX LAP 2023'!K339*'2.1 OPEX TUUA'!$P$7,'2.2 OPEX LAP 2023'!K339*'2.1 OPEX TUUA'!$P$8)</f>
        <v>6831.2712445239649</v>
      </c>
      <c r="Q338" s="3">
        <f>+IF(F338="Pasajero",'2.2 OPEX LAP 2023'!L339*'2.1 OPEX TUUA'!$Q$7,'2.2 OPEX LAP 2023'!L339*'2.1 OPEX TUUA'!$Q$8)</f>
        <v>6675.3270744412985</v>
      </c>
      <c r="R338" s="3">
        <f>+IF(F338="Pasajero",'2.2 OPEX LAP 2023'!M339*'2.1 OPEX TUUA'!$R$7,'2.2 OPEX LAP 2023'!M339*'2.1 OPEX TUUA'!$R$8)</f>
        <v>6590.7720511920033</v>
      </c>
      <c r="S338" s="3">
        <f>+IF(F338="Pasajero",'2.2 OPEX LAP 2023'!N339*'2.1 OPEX TUUA'!$S$7,'2.2 OPEX LAP 2023'!N339*'2.1 OPEX TUUA'!$S$8)</f>
        <v>6486.9718538778588</v>
      </c>
      <c r="AA338" s="6"/>
      <c r="AB338" s="6"/>
      <c r="AC338" s="6"/>
      <c r="AD338" s="6"/>
      <c r="AE338" s="6"/>
      <c r="AF338" s="6"/>
    </row>
    <row r="339" spans="2:32" x14ac:dyDescent="0.25">
      <c r="B339" s="16">
        <v>6250000006</v>
      </c>
      <c r="C339" s="190" t="s">
        <v>177</v>
      </c>
      <c r="D339" s="190" t="s">
        <v>14</v>
      </c>
      <c r="E339" s="190" t="s">
        <v>26</v>
      </c>
      <c r="F339" s="162" t="s">
        <v>190</v>
      </c>
      <c r="G339" s="3">
        <f>+IF(F339="Pasajero",'2.2 OPEX LAP 2023'!I340*'2.1 OPEX TUUA'!$G$7,'2.2 OPEX LAP 2023'!I340*'2.1 OPEX TUUA'!$G$8)</f>
        <v>612.06408665358094</v>
      </c>
      <c r="H339" s="3">
        <f>+IF(F339="Pasajero",'2.2 OPEX LAP 2023'!J340*'2.1 OPEX TUUA'!$H$7,'2.2 OPEX LAP 2023'!J340*'2.1 OPEX TUUA'!$H$8)</f>
        <v>702.12021720590053</v>
      </c>
      <c r="I339" s="3">
        <f>+IF(F339="Pasajero",'2.2 OPEX LAP 2023'!K340*'2.1 OPEX TUUA'!$I$7,'2.2 OPEX LAP 2023'!K340*'2.1 OPEX TUUA'!$I$8)</f>
        <v>776.20419179520229</v>
      </c>
      <c r="J339" s="3">
        <f>+IF(F339="Pasajero",'2.2 OPEX LAP 2023'!L340*'2.1 OPEX TUUA'!$J$7,'2.2 OPEX LAP 2023'!L340*'2.1 OPEX TUUA'!$J$8)</f>
        <v>808.89687233508221</v>
      </c>
      <c r="K339" s="3">
        <f>+IF(F339="Pasajero",'2.2 OPEX LAP 2023'!M340*'2.1 OPEX TUUA'!$K$7,'2.2 OPEX LAP 2023'!M340*'2.1 OPEX TUUA'!$K$8)</f>
        <v>826.99191427320761</v>
      </c>
      <c r="L339" s="3">
        <f>+IF(F339="Pasajero",'2.2 OPEX LAP 2023'!N340*'2.1 OPEX TUUA'!$L$7,'2.2 OPEX LAP 2023'!N340*'2.1 OPEX TUUA'!$L$8)</f>
        <v>849.07805807897046</v>
      </c>
      <c r="M339" s="3"/>
      <c r="N339" s="3">
        <f>+IF(F339="Pasajero",'2.2 OPEX LAP 2023'!I340*'2.1 OPEX TUUA'!$N$7,'2.2 OPEX LAP 2023'!I340*'2.1 OPEX TUUA'!$N$8)</f>
        <v>301.88054968543696</v>
      </c>
      <c r="O339" s="3">
        <f>+IF(F339="Pasajero",'2.2 OPEX LAP 2023'!J340*'2.1 OPEX TUUA'!$O$7,'2.2 OPEX LAP 2023'!J340*'2.1 OPEX TUUA'!$O$8)</f>
        <v>290.79237407490155</v>
      </c>
      <c r="P339" s="3">
        <f>+IF(F339="Pasajero",'2.2 OPEX LAP 2023'!K340*'2.1 OPEX TUUA'!$P$7,'2.2 OPEX LAP 2023'!K340*'2.1 OPEX TUUA'!$P$8)</f>
        <v>284.19061329375575</v>
      </c>
      <c r="Q339" s="3">
        <f>+IF(F339="Pasajero",'2.2 OPEX LAP 2023'!L340*'2.1 OPEX TUUA'!$Q$7,'2.2 OPEX LAP 2023'!L340*'2.1 OPEX TUUA'!$Q$8)</f>
        <v>277.70311371292672</v>
      </c>
      <c r="R339" s="3">
        <f>+IF(F339="Pasajero",'2.2 OPEX LAP 2023'!M340*'2.1 OPEX TUUA'!$R$7,'2.2 OPEX LAP 2023'!M340*'2.1 OPEX TUUA'!$R$8)</f>
        <v>274.18550431723077</v>
      </c>
      <c r="S339" s="3">
        <f>+IF(F339="Pasajero",'2.2 OPEX LAP 2023'!N340*'2.1 OPEX TUUA'!$S$7,'2.2 OPEX LAP 2023'!N340*'2.1 OPEX TUUA'!$S$8)</f>
        <v>269.86726827026274</v>
      </c>
      <c r="AA339" s="6"/>
      <c r="AB339" s="6"/>
      <c r="AC339" s="6"/>
      <c r="AD339" s="6"/>
      <c r="AE339" s="6"/>
      <c r="AF339" s="6"/>
    </row>
    <row r="340" spans="2:32" x14ac:dyDescent="0.25">
      <c r="B340" s="16">
        <v>6250000007</v>
      </c>
      <c r="C340" s="190" t="s">
        <v>177</v>
      </c>
      <c r="D340" s="190" t="s">
        <v>14</v>
      </c>
      <c r="E340" s="190" t="s">
        <v>27</v>
      </c>
      <c r="F340" s="162" t="s">
        <v>190</v>
      </c>
      <c r="G340" s="3">
        <f>+IF(F340="Pasajero",'2.2 OPEX LAP 2023'!I341*'2.1 OPEX TUUA'!$G$7,'2.2 OPEX LAP 2023'!I341*'2.1 OPEX TUUA'!$G$8)</f>
        <v>4277.8086023768519</v>
      </c>
      <c r="H340" s="3">
        <f>+IF(F340="Pasajero",'2.2 OPEX LAP 2023'!J341*'2.1 OPEX TUUA'!$H$7,'2.2 OPEX LAP 2023'!J341*'2.1 OPEX TUUA'!$H$8)</f>
        <v>4907.2245383448899</v>
      </c>
      <c r="I340" s="3">
        <f>+IF(F340="Pasajero",'2.2 OPEX LAP 2023'!K341*'2.1 OPEX TUUA'!$I$7,'2.2 OPEX LAP 2023'!K341*'2.1 OPEX TUUA'!$I$8)</f>
        <v>5425.0086572091504</v>
      </c>
      <c r="J340" s="3">
        <f>+IF(F340="Pasajero",'2.2 OPEX LAP 2023'!L341*'2.1 OPEX TUUA'!$J$7,'2.2 OPEX LAP 2023'!L341*'2.1 OPEX TUUA'!$J$8)</f>
        <v>5653.5027530037487</v>
      </c>
      <c r="K340" s="3">
        <f>+IF(F340="Pasajero",'2.2 OPEX LAP 2023'!M341*'2.1 OPEX TUUA'!$K$7,'2.2 OPEX LAP 2023'!M341*'2.1 OPEX TUUA'!$K$8)</f>
        <v>5779.9717417112888</v>
      </c>
      <c r="L340" s="3">
        <f>+IF(F340="Pasajero",'2.2 OPEX LAP 2023'!N341*'2.1 OPEX TUUA'!$L$7,'2.2 OPEX LAP 2023'!N341*'2.1 OPEX TUUA'!$L$8)</f>
        <v>5934.3351458479201</v>
      </c>
      <c r="M340" s="3"/>
      <c r="N340" s="3">
        <f>+IF(F340="Pasajero",'2.2 OPEX LAP 2023'!I341*'2.1 OPEX TUUA'!$N$7,'2.2 OPEX LAP 2023'!I341*'2.1 OPEX TUUA'!$N$8)</f>
        <v>2109.8888833605438</v>
      </c>
      <c r="O340" s="3">
        <f>+IF(F340="Pasajero",'2.2 OPEX LAP 2023'!J341*'2.1 OPEX TUUA'!$O$7,'2.2 OPEX LAP 2023'!J341*'2.1 OPEX TUUA'!$O$8)</f>
        <v>2032.3919446482091</v>
      </c>
      <c r="P340" s="3">
        <f>+IF(F340="Pasajero",'2.2 OPEX LAP 2023'!K341*'2.1 OPEX TUUA'!$P$7,'2.2 OPEX LAP 2023'!K341*'2.1 OPEX TUUA'!$P$8)</f>
        <v>1986.2512386727519</v>
      </c>
      <c r="Q340" s="3">
        <f>+IF(F340="Pasajero",'2.2 OPEX LAP 2023'!L341*'2.1 OPEX TUUA'!$Q$7,'2.2 OPEX LAP 2023'!L341*'2.1 OPEX TUUA'!$Q$8)</f>
        <v>1940.9091215318488</v>
      </c>
      <c r="R340" s="3">
        <f>+IF(F340="Pasajero",'2.2 OPEX LAP 2023'!M341*'2.1 OPEX TUUA'!$R$7,'2.2 OPEX LAP 2023'!M341*'2.1 OPEX TUUA'!$R$8)</f>
        <v>1916.3240167024151</v>
      </c>
      <c r="S340" s="3">
        <f>+IF(F340="Pasajero",'2.2 OPEX LAP 2023'!N341*'2.1 OPEX TUUA'!$S$7,'2.2 OPEX LAP 2023'!N341*'2.1 OPEX TUUA'!$S$8)</f>
        <v>1886.1432109475613</v>
      </c>
      <c r="AA340" s="6"/>
      <c r="AB340" s="6"/>
      <c r="AC340" s="6"/>
      <c r="AD340" s="6"/>
      <c r="AE340" s="6"/>
      <c r="AF340" s="6"/>
    </row>
    <row r="341" spans="2:32" x14ac:dyDescent="0.25">
      <c r="B341" s="16">
        <v>6250000008</v>
      </c>
      <c r="C341" s="190" t="s">
        <v>177</v>
      </c>
      <c r="D341" s="190" t="s">
        <v>14</v>
      </c>
      <c r="E341" s="190" t="s">
        <v>28</v>
      </c>
      <c r="F341" s="162" t="s">
        <v>190</v>
      </c>
      <c r="G341" s="3">
        <f>+IF(F341="Pasajero",'2.2 OPEX LAP 2023'!I342*'2.1 OPEX TUUA'!$G$7,'2.2 OPEX LAP 2023'!I342*'2.1 OPEX TUUA'!$G$8)</f>
        <v>960.32893791009383</v>
      </c>
      <c r="H341" s="3">
        <f>+IF(F341="Pasajero",'2.2 OPEX LAP 2023'!J342*'2.1 OPEX TUUA'!$H$7,'2.2 OPEX LAP 2023'!J342*'2.1 OPEX TUUA'!$H$8)</f>
        <v>1101.6270635335795</v>
      </c>
      <c r="I341" s="3">
        <f>+IF(F341="Pasajero",'2.2 OPEX LAP 2023'!K342*'2.1 OPEX TUUA'!$I$7,'2.2 OPEX LAP 2023'!K342*'2.1 OPEX TUUA'!$I$8)</f>
        <v>1217.8648663794922</v>
      </c>
      <c r="J341" s="3">
        <f>+IF(F341="Pasajero",'2.2 OPEX LAP 2023'!L342*'2.1 OPEX TUUA'!$J$7,'2.2 OPEX LAP 2023'!L342*'2.1 OPEX TUUA'!$J$8)</f>
        <v>1269.1597027616608</v>
      </c>
      <c r="K341" s="3">
        <f>+IF(F341="Pasajero",'2.2 OPEX LAP 2023'!M342*'2.1 OPEX TUUA'!$K$7,'2.2 OPEX LAP 2023'!M342*'2.1 OPEX TUUA'!$K$8)</f>
        <v>1297.5508349728107</v>
      </c>
      <c r="L341" s="3">
        <f>+IF(F341="Pasajero",'2.2 OPEX LAP 2023'!N342*'2.1 OPEX TUUA'!$L$7,'2.2 OPEX LAP 2023'!N342*'2.1 OPEX TUUA'!$L$8)</f>
        <v>1332.204008530962</v>
      </c>
      <c r="M341" s="3"/>
      <c r="N341" s="3">
        <f>+IF(F341="Pasajero",'2.2 OPEX LAP 2023'!I342*'2.1 OPEX TUUA'!$N$7,'2.2 OPEX LAP 2023'!I342*'2.1 OPEX TUUA'!$N$8)</f>
        <v>473.65077281394656</v>
      </c>
      <c r="O341" s="3">
        <f>+IF(F341="Pasajero",'2.2 OPEX LAP 2023'!J342*'2.1 OPEX TUUA'!$O$7,'2.2 OPEX LAP 2023'!J342*'2.1 OPEX TUUA'!$O$8)</f>
        <v>456.2534182891207</v>
      </c>
      <c r="P341" s="3">
        <f>+IF(F341="Pasajero",'2.2 OPEX LAP 2023'!K342*'2.1 OPEX TUUA'!$P$7,'2.2 OPEX LAP 2023'!K342*'2.1 OPEX TUUA'!$P$8)</f>
        <v>445.89525146061578</v>
      </c>
      <c r="Q341" s="3">
        <f>+IF(F341="Pasajero",'2.2 OPEX LAP 2023'!L342*'2.1 OPEX TUUA'!$Q$7,'2.2 OPEX LAP 2023'!L342*'2.1 OPEX TUUA'!$Q$8)</f>
        <v>435.71636052745788</v>
      </c>
      <c r="R341" s="3">
        <f>+IF(F341="Pasajero",'2.2 OPEX LAP 2023'!M342*'2.1 OPEX TUUA'!$R$7,'2.2 OPEX LAP 2023'!M342*'2.1 OPEX TUUA'!$R$8)</f>
        <v>430.19722916750408</v>
      </c>
      <c r="S341" s="3">
        <f>+IF(F341="Pasajero",'2.2 OPEX LAP 2023'!N342*'2.1 OPEX TUUA'!$S$7,'2.2 OPEX LAP 2023'!N342*'2.1 OPEX TUUA'!$S$8)</f>
        <v>423.42191408685142</v>
      </c>
      <c r="AA341" s="6"/>
      <c r="AB341" s="6"/>
      <c r="AC341" s="6"/>
      <c r="AD341" s="6"/>
      <c r="AE341" s="6"/>
      <c r="AF341" s="6"/>
    </row>
    <row r="342" spans="2:32" x14ac:dyDescent="0.25">
      <c r="B342" s="16">
        <v>6250000009</v>
      </c>
      <c r="C342" s="190" t="s">
        <v>177</v>
      </c>
      <c r="D342" s="190" t="s">
        <v>14</v>
      </c>
      <c r="E342" s="190" t="s">
        <v>29</v>
      </c>
      <c r="F342" s="162" t="s">
        <v>190</v>
      </c>
      <c r="G342" s="3">
        <f>+IF(F342="Pasajero",'2.2 OPEX LAP 2023'!I343*'2.1 OPEX TUUA'!$G$7,'2.2 OPEX LAP 2023'!I343*'2.1 OPEX TUUA'!$G$8)</f>
        <v>5408.1041778422268</v>
      </c>
      <c r="H342" s="3">
        <f>+IF(F342="Pasajero",'2.2 OPEX LAP 2023'!J343*'2.1 OPEX TUUA'!$H$7,'2.2 OPEX LAP 2023'!J343*'2.1 OPEX TUUA'!$H$8)</f>
        <v>6203.8263031888127</v>
      </c>
      <c r="I342" s="3">
        <f>+IF(F342="Pasajero",'2.2 OPEX LAP 2023'!K343*'2.1 OPEX TUUA'!$I$7,'2.2 OPEX LAP 2023'!K343*'2.1 OPEX TUUA'!$I$8)</f>
        <v>6858.42091382527</v>
      </c>
      <c r="J342" s="3">
        <f>+IF(F342="Pasajero",'2.2 OPEX LAP 2023'!L343*'2.1 OPEX TUUA'!$J$7,'2.2 OPEX LAP 2023'!L343*'2.1 OPEX TUUA'!$J$8)</f>
        <v>7147.2884132717054</v>
      </c>
      <c r="K342" s="3">
        <f>+IF(F342="Pasajero",'2.2 OPEX LAP 2023'!M343*'2.1 OPEX TUUA'!$K$7,'2.2 OPEX LAP 2023'!M343*'2.1 OPEX TUUA'!$K$8)</f>
        <v>7307.1734221093393</v>
      </c>
      <c r="L342" s="3">
        <f>+IF(F342="Pasajero",'2.2 OPEX LAP 2023'!N343*'2.1 OPEX TUUA'!$L$7,'2.2 OPEX LAP 2023'!N343*'2.1 OPEX TUUA'!$L$8)</f>
        <v>7502.3231935024351</v>
      </c>
      <c r="M342" s="3"/>
      <c r="N342" s="3">
        <f>+IF(F342="Pasajero",'2.2 OPEX LAP 2023'!I343*'2.1 OPEX TUUA'!$N$7,'2.2 OPEX LAP 2023'!I343*'2.1 OPEX TUUA'!$N$8)</f>
        <v>2667.3701293099184</v>
      </c>
      <c r="O342" s="3">
        <f>+IF(F342="Pasajero",'2.2 OPEX LAP 2023'!J343*'2.1 OPEX TUUA'!$O$7,'2.2 OPEX LAP 2023'!J343*'2.1 OPEX TUUA'!$O$8)</f>
        <v>2569.3967141862749</v>
      </c>
      <c r="P342" s="3">
        <f>+IF(F342="Pasajero",'2.2 OPEX LAP 2023'!K343*'2.1 OPEX TUUA'!$P$7,'2.2 OPEX LAP 2023'!K343*'2.1 OPEX TUUA'!$P$8)</f>
        <v>2511.064570804308</v>
      </c>
      <c r="Q342" s="3">
        <f>+IF(F342="Pasajero",'2.2 OPEX LAP 2023'!L343*'2.1 OPEX TUUA'!$Q$7,'2.2 OPEX LAP 2023'!L343*'2.1 OPEX TUUA'!$Q$8)</f>
        <v>2453.7420218231114</v>
      </c>
      <c r="R342" s="3">
        <f>+IF(F342="Pasajero",'2.2 OPEX LAP 2023'!M343*'2.1 OPEX TUUA'!$R$7,'2.2 OPEX LAP 2023'!M343*'2.1 OPEX TUUA'!$R$8)</f>
        <v>2422.6609659603332</v>
      </c>
      <c r="S342" s="3">
        <f>+IF(F342="Pasajero",'2.2 OPEX LAP 2023'!N343*'2.1 OPEX TUUA'!$S$7,'2.2 OPEX LAP 2023'!N343*'2.1 OPEX TUUA'!$S$8)</f>
        <v>2384.5056960862253</v>
      </c>
      <c r="AA342" s="6"/>
      <c r="AB342" s="6"/>
      <c r="AC342" s="6"/>
      <c r="AD342" s="6"/>
      <c r="AE342" s="6"/>
      <c r="AF342" s="6"/>
    </row>
    <row r="343" spans="2:32" x14ac:dyDescent="0.25">
      <c r="B343" s="16">
        <v>6270000001</v>
      </c>
      <c r="C343" s="190" t="s">
        <v>177</v>
      </c>
      <c r="D343" s="190" t="s">
        <v>14</v>
      </c>
      <c r="E343" s="190" t="s">
        <v>30</v>
      </c>
      <c r="F343" s="162" t="s">
        <v>190</v>
      </c>
      <c r="G343" s="3">
        <f>+IF(F343="Pasajero",'2.2 OPEX LAP 2023'!I344*'2.1 OPEX TUUA'!$G$7,'2.2 OPEX LAP 2023'!I344*'2.1 OPEX TUUA'!$G$8)</f>
        <v>3622.5244428614146</v>
      </c>
      <c r="H343" s="3">
        <f>+IF(F343="Pasajero",'2.2 OPEX LAP 2023'!J344*'2.1 OPEX TUUA'!$H$7,'2.2 OPEX LAP 2023'!J344*'2.1 OPEX TUUA'!$H$8)</f>
        <v>4155.5250571254201</v>
      </c>
      <c r="I343" s="3">
        <f>+IF(F343="Pasajero",'2.2 OPEX LAP 2023'!K344*'2.1 OPEX TUUA'!$I$7,'2.2 OPEX LAP 2023'!K344*'2.1 OPEX TUUA'!$I$8)</f>
        <v>4593.9938623143835</v>
      </c>
      <c r="J343" s="3">
        <f>+IF(F343="Pasajero",'2.2 OPEX LAP 2023'!L344*'2.1 OPEX TUUA'!$J$7,'2.2 OPEX LAP 2023'!L344*'2.1 OPEX TUUA'!$J$8)</f>
        <v>4787.4867284060419</v>
      </c>
      <c r="K343" s="3">
        <f>+IF(F343="Pasajero",'2.2 OPEX LAP 2023'!M344*'2.1 OPEX TUUA'!$K$7,'2.2 OPEX LAP 2023'!M344*'2.1 OPEX TUUA'!$K$8)</f>
        <v>4894.5829184044624</v>
      </c>
      <c r="L343" s="3">
        <f>+IF(F343="Pasajero",'2.2 OPEX LAP 2023'!N344*'2.1 OPEX TUUA'!$L$7,'2.2 OPEX LAP 2023'!N344*'2.1 OPEX TUUA'!$L$8)</f>
        <v>5025.3005957352216</v>
      </c>
      <c r="M343" s="3"/>
      <c r="N343" s="3">
        <f>+IF(F343="Pasajero",'2.2 OPEX LAP 2023'!I344*'2.1 OPEX TUUA'!$N$7,'2.2 OPEX LAP 2023'!I344*'2.1 OPEX TUUA'!$N$8)</f>
        <v>1786.6914493202066</v>
      </c>
      <c r="O343" s="3">
        <f>+IF(F343="Pasajero",'2.2 OPEX LAP 2023'!J344*'2.1 OPEX TUUA'!$O$7,'2.2 OPEX LAP 2023'!J344*'2.1 OPEX TUUA'!$O$8)</f>
        <v>1721.0656626554216</v>
      </c>
      <c r="P343" s="3">
        <f>+IF(F343="Pasajero",'2.2 OPEX LAP 2023'!K344*'2.1 OPEX TUUA'!$P$7,'2.2 OPEX LAP 2023'!K344*'2.1 OPEX TUUA'!$P$8)</f>
        <v>1681.9928918180108</v>
      </c>
      <c r="Q343" s="3">
        <f>+IF(F343="Pasajero",'2.2 OPEX LAP 2023'!L344*'2.1 OPEX TUUA'!$Q$7,'2.2 OPEX LAP 2023'!L344*'2.1 OPEX TUUA'!$Q$8)</f>
        <v>1643.5963802156114</v>
      </c>
      <c r="R343" s="3">
        <f>+IF(F343="Pasajero",'2.2 OPEX LAP 2023'!M344*'2.1 OPEX TUUA'!$R$7,'2.2 OPEX LAP 2023'!M344*'2.1 OPEX TUUA'!$R$8)</f>
        <v>1622.7772759841948</v>
      </c>
      <c r="S343" s="3">
        <f>+IF(F343="Pasajero",'2.2 OPEX LAP 2023'!N344*'2.1 OPEX TUUA'!$S$7,'2.2 OPEX LAP 2023'!N344*'2.1 OPEX TUUA'!$S$8)</f>
        <v>1597.219632640483</v>
      </c>
      <c r="AA343" s="6"/>
      <c r="AB343" s="6"/>
      <c r="AC343" s="6"/>
      <c r="AD343" s="6"/>
      <c r="AE343" s="6"/>
      <c r="AF343" s="6"/>
    </row>
    <row r="344" spans="2:32" x14ac:dyDescent="0.25">
      <c r="B344" s="16">
        <v>6270000002</v>
      </c>
      <c r="C344" s="190" t="s">
        <v>177</v>
      </c>
      <c r="D344" s="190" t="s">
        <v>14</v>
      </c>
      <c r="E344" s="190" t="s">
        <v>31</v>
      </c>
      <c r="F344" s="162" t="s">
        <v>190</v>
      </c>
      <c r="G344" s="3">
        <f>+IF(F344="Pasajero",'2.2 OPEX LAP 2023'!I345*'2.1 OPEX TUUA'!$G$7,'2.2 OPEX LAP 2023'!I345*'2.1 OPEX TUUA'!$G$8)</f>
        <v>12107.497341974495</v>
      </c>
      <c r="H344" s="3">
        <f>+IF(F344="Pasajero",'2.2 OPEX LAP 2023'!J345*'2.1 OPEX TUUA'!$H$7,'2.2 OPEX LAP 2023'!J345*'2.1 OPEX TUUA'!$H$8)</f>
        <v>13888.935568896379</v>
      </c>
      <c r="I344" s="3">
        <f>+IF(F344="Pasajero",'2.2 OPEX LAP 2023'!K345*'2.1 OPEX TUUA'!$I$7,'2.2 OPEX LAP 2023'!K345*'2.1 OPEX TUUA'!$I$8)</f>
        <v>15354.421855352113</v>
      </c>
      <c r="J344" s="3">
        <f>+IF(F344="Pasajero",'2.2 OPEX LAP 2023'!L345*'2.1 OPEX TUUA'!$J$7,'2.2 OPEX LAP 2023'!L345*'2.1 OPEX TUUA'!$J$8)</f>
        <v>16001.129530855134</v>
      </c>
      <c r="K344" s="3">
        <f>+IF(F344="Pasajero",'2.2 OPEX LAP 2023'!M345*'2.1 OPEX TUUA'!$K$7,'2.2 OPEX LAP 2023'!M345*'2.1 OPEX TUUA'!$K$8)</f>
        <v>16359.07517240814</v>
      </c>
      <c r="L344" s="3">
        <f>+IF(F344="Pasajero",'2.2 OPEX LAP 2023'!N345*'2.1 OPEX TUUA'!$L$7,'2.2 OPEX LAP 2023'!N345*'2.1 OPEX TUUA'!$L$8)</f>
        <v>16795.97048002989</v>
      </c>
      <c r="M344" s="3"/>
      <c r="N344" s="3">
        <f>+IF(F344="Pasajero",'2.2 OPEX LAP 2023'!I345*'2.1 OPEX TUUA'!$N$7,'2.2 OPEX LAP 2023'!I345*'2.1 OPEX TUUA'!$N$8)</f>
        <v>5971.6262277268888</v>
      </c>
      <c r="O344" s="3">
        <f>+IF(F344="Pasajero",'2.2 OPEX LAP 2023'!J345*'2.1 OPEX TUUA'!$O$7,'2.2 OPEX LAP 2023'!J345*'2.1 OPEX TUUA'!$O$8)</f>
        <v>5752.2863584888373</v>
      </c>
      <c r="P344" s="3">
        <f>+IF(F344="Pasajero",'2.2 OPEX LAP 2023'!K345*'2.1 OPEX TUUA'!$P$7,'2.2 OPEX LAP 2023'!K345*'2.1 OPEX TUUA'!$P$8)</f>
        <v>5621.6941495142992</v>
      </c>
      <c r="Q344" s="3">
        <f>+IF(F344="Pasajero",'2.2 OPEX LAP 2023'!L345*'2.1 OPEX TUUA'!$Q$7,'2.2 OPEX LAP 2023'!L345*'2.1 OPEX TUUA'!$Q$8)</f>
        <v>5493.3621894406406</v>
      </c>
      <c r="R344" s="3">
        <f>+IF(F344="Pasajero",'2.2 OPEX LAP 2023'!M345*'2.1 OPEX TUUA'!$R$7,'2.2 OPEX LAP 2023'!M345*'2.1 OPEX TUUA'!$R$8)</f>
        <v>5423.7788772725498</v>
      </c>
      <c r="S344" s="3">
        <f>+IF(F344="Pasajero",'2.2 OPEX LAP 2023'!N345*'2.1 OPEX TUUA'!$S$7,'2.2 OPEX LAP 2023'!N345*'2.1 OPEX TUUA'!$S$8)</f>
        <v>5338.3580322977405</v>
      </c>
      <c r="AA344" s="6"/>
      <c r="AB344" s="6"/>
      <c r="AC344" s="6"/>
      <c r="AD344" s="6"/>
      <c r="AE344" s="6"/>
      <c r="AF344" s="6"/>
    </row>
    <row r="345" spans="2:32" x14ac:dyDescent="0.25">
      <c r="B345" s="16">
        <v>6270000003</v>
      </c>
      <c r="C345" s="190" t="s">
        <v>177</v>
      </c>
      <c r="D345" s="190" t="s">
        <v>14</v>
      </c>
      <c r="E345" s="190" t="s">
        <v>32</v>
      </c>
      <c r="F345" s="162" t="s">
        <v>190</v>
      </c>
      <c r="G345" s="3">
        <f>+IF(F345="Pasajero",'2.2 OPEX LAP 2023'!I346*'2.1 OPEX TUUA'!$G$7,'2.2 OPEX LAP 2023'!I346*'2.1 OPEX TUUA'!$G$8)</f>
        <v>319.79748675904824</v>
      </c>
      <c r="H345" s="3">
        <f>+IF(F345="Pasajero",'2.2 OPEX LAP 2023'!J346*'2.1 OPEX TUUA'!$H$7,'2.2 OPEX LAP 2023'!J346*'2.1 OPEX TUUA'!$H$8)</f>
        <v>366.85093237997506</v>
      </c>
      <c r="I345" s="3">
        <f>+IF(F345="Pasajero",'2.2 OPEX LAP 2023'!K346*'2.1 OPEX TUUA'!$I$7,'2.2 OPEX LAP 2023'!K346*'2.1 OPEX TUUA'!$I$8)</f>
        <v>405.55908304490555</v>
      </c>
      <c r="J345" s="3">
        <f>+IF(F345="Pasajero",'2.2 OPEX LAP 2023'!L346*'2.1 OPEX TUUA'!$J$7,'2.2 OPEX LAP 2023'!L346*'2.1 OPEX TUUA'!$J$8)</f>
        <v>422.64068822326567</v>
      </c>
      <c r="K345" s="3">
        <f>+IF(F345="Pasajero",'2.2 OPEX LAP 2023'!M346*'2.1 OPEX TUUA'!$K$7,'2.2 OPEX LAP 2023'!M346*'2.1 OPEX TUUA'!$K$8)</f>
        <v>432.09517029596941</v>
      </c>
      <c r="L345" s="3">
        <f>+IF(F345="Pasajero",'2.2 OPEX LAP 2023'!N346*'2.1 OPEX TUUA'!$L$7,'2.2 OPEX LAP 2023'!N346*'2.1 OPEX TUUA'!$L$8)</f>
        <v>443.6349639798284</v>
      </c>
      <c r="M345" s="3"/>
      <c r="N345" s="3">
        <f>+IF(F345="Pasajero",'2.2 OPEX LAP 2023'!I346*'2.1 OPEX TUUA'!$N$7,'2.2 OPEX LAP 2023'!I346*'2.1 OPEX TUUA'!$N$8)</f>
        <v>157.72962863851751</v>
      </c>
      <c r="O345" s="3">
        <f>+IF(F345="Pasajero",'2.2 OPEX LAP 2023'!J346*'2.1 OPEX TUUA'!$O$7,'2.2 OPEX LAP 2023'!J346*'2.1 OPEX TUUA'!$O$8)</f>
        <v>151.93616555137649</v>
      </c>
      <c r="P345" s="3">
        <f>+IF(F345="Pasajero",'2.2 OPEX LAP 2023'!K346*'2.1 OPEX TUUA'!$P$7,'2.2 OPEX LAP 2023'!K346*'2.1 OPEX TUUA'!$P$8)</f>
        <v>148.48681024360494</v>
      </c>
      <c r="Q345" s="3">
        <f>+IF(F345="Pasajero",'2.2 OPEX LAP 2023'!L346*'2.1 OPEX TUUA'!$Q$7,'2.2 OPEX LAP 2023'!L346*'2.1 OPEX TUUA'!$Q$8)</f>
        <v>145.0971552931851</v>
      </c>
      <c r="R345" s="3">
        <f>+IF(F345="Pasajero",'2.2 OPEX LAP 2023'!M346*'2.1 OPEX TUUA'!$R$7,'2.2 OPEX LAP 2023'!M346*'2.1 OPEX TUUA'!$R$8)</f>
        <v>143.25923885816925</v>
      </c>
      <c r="S345" s="3">
        <f>+IF(F345="Pasajero",'2.2 OPEX LAP 2023'!N346*'2.1 OPEX TUUA'!$S$7,'2.2 OPEX LAP 2023'!N346*'2.1 OPEX TUUA'!$S$8)</f>
        <v>141.00300284438347</v>
      </c>
      <c r="AA345" s="6"/>
      <c r="AB345" s="6"/>
      <c r="AC345" s="6"/>
      <c r="AD345" s="6"/>
      <c r="AE345" s="6"/>
      <c r="AF345" s="6"/>
    </row>
    <row r="346" spans="2:32" x14ac:dyDescent="0.25">
      <c r="B346" s="16">
        <v>6270000004</v>
      </c>
      <c r="C346" s="190" t="s">
        <v>177</v>
      </c>
      <c r="D346" s="190" t="s">
        <v>14</v>
      </c>
      <c r="E346" s="190" t="s">
        <v>33</v>
      </c>
      <c r="F346" s="162" t="s">
        <v>190</v>
      </c>
      <c r="G346" s="3">
        <f>+IF(F346="Pasajero",'2.2 OPEX LAP 2023'!I347*'2.1 OPEX TUUA'!$G$7,'2.2 OPEX LAP 2023'!I347*'2.1 OPEX TUUA'!$G$8)</f>
        <v>392.33678003082008</v>
      </c>
      <c r="H346" s="3">
        <f>+IF(F346="Pasajero",'2.2 OPEX LAP 2023'!J347*'2.1 OPEX TUUA'!$H$7,'2.2 OPEX LAP 2023'!J347*'2.1 OPEX TUUA'!$H$8)</f>
        <v>450.06330418633678</v>
      </c>
      <c r="I346" s="3">
        <f>+IF(F346="Pasajero",'2.2 OPEX LAP 2023'!K347*'2.1 OPEX TUUA'!$I$7,'2.2 OPEX LAP 2023'!K347*'2.1 OPEX TUUA'!$I$8)</f>
        <v>497.55157980330267</v>
      </c>
      <c r="J346" s="3">
        <f>+IF(F346="Pasajero",'2.2 OPEX LAP 2023'!L347*'2.1 OPEX TUUA'!$J$7,'2.2 OPEX LAP 2023'!L347*'2.1 OPEX TUUA'!$J$8)</f>
        <v>518.50778568644967</v>
      </c>
      <c r="K346" s="3">
        <f>+IF(F346="Pasajero",'2.2 OPEX LAP 2023'!M347*'2.1 OPEX TUUA'!$K$7,'2.2 OPEX LAP 2023'!M347*'2.1 OPEX TUUA'!$K$8)</f>
        <v>530.10681696982715</v>
      </c>
      <c r="L346" s="3">
        <f>+IF(F346="Pasajero",'2.2 OPEX LAP 2023'!N347*'2.1 OPEX TUUA'!$L$7,'2.2 OPEX LAP 2023'!N347*'2.1 OPEX TUUA'!$L$8)</f>
        <v>544.26416868021272</v>
      </c>
      <c r="M346" s="3"/>
      <c r="N346" s="3">
        <f>+IF(F346="Pasajero",'2.2 OPEX LAP 2023'!I347*'2.1 OPEX TUUA'!$N$7,'2.2 OPEX LAP 2023'!I347*'2.1 OPEX TUUA'!$N$8)</f>
        <v>193.50725749173537</v>
      </c>
      <c r="O346" s="3">
        <f>+IF(F346="Pasajero",'2.2 OPEX LAP 2023'!J347*'2.1 OPEX TUUA'!$O$7,'2.2 OPEX LAP 2023'!J347*'2.1 OPEX TUUA'!$O$8)</f>
        <v>186.39966988724333</v>
      </c>
      <c r="P346" s="3">
        <f>+IF(F346="Pasajero",'2.2 OPEX LAP 2023'!K347*'2.1 OPEX TUUA'!$P$7,'2.2 OPEX LAP 2023'!K347*'2.1 OPEX TUUA'!$P$8)</f>
        <v>182.16790131286126</v>
      </c>
      <c r="Q346" s="3">
        <f>+IF(F346="Pasajero",'2.2 OPEX LAP 2023'!L347*'2.1 OPEX TUUA'!$Q$7,'2.2 OPEX LAP 2023'!L347*'2.1 OPEX TUUA'!$Q$8)</f>
        <v>178.00937485869545</v>
      </c>
      <c r="R346" s="3">
        <f>+IF(F346="Pasajero",'2.2 OPEX LAP 2023'!M347*'2.1 OPEX TUUA'!$R$7,'2.2 OPEX LAP 2023'!M347*'2.1 OPEX TUUA'!$R$8)</f>
        <v>175.75456596889592</v>
      </c>
      <c r="S346" s="3">
        <f>+IF(F346="Pasajero",'2.2 OPEX LAP 2023'!N347*'2.1 OPEX TUUA'!$S$7,'2.2 OPEX LAP 2023'!N347*'2.1 OPEX TUUA'!$S$8)</f>
        <v>172.98655055511239</v>
      </c>
      <c r="AA346" s="6"/>
      <c r="AB346" s="6"/>
      <c r="AC346" s="6"/>
      <c r="AD346" s="6"/>
      <c r="AE346" s="6"/>
      <c r="AF346" s="6"/>
    </row>
    <row r="347" spans="2:32" x14ac:dyDescent="0.25">
      <c r="B347" s="16">
        <v>6270000005</v>
      </c>
      <c r="C347" s="190" t="s">
        <v>177</v>
      </c>
      <c r="D347" s="190" t="s">
        <v>14</v>
      </c>
      <c r="E347" s="190" t="s">
        <v>34</v>
      </c>
      <c r="F347" s="162" t="s">
        <v>190</v>
      </c>
      <c r="G347" s="3">
        <f>+IF(F347="Pasajero",'2.2 OPEX LAP 2023'!I348*'2.1 OPEX TUUA'!$G$7,'2.2 OPEX LAP 2023'!I348*'2.1 OPEX TUUA'!$G$8)</f>
        <v>723.38473797185918</v>
      </c>
      <c r="H347" s="3">
        <f>+IF(F347="Pasajero",'2.2 OPEX LAP 2023'!J348*'2.1 OPEX TUUA'!$H$7,'2.2 OPEX LAP 2023'!J348*'2.1 OPEX TUUA'!$H$8)</f>
        <v>829.82004731752988</v>
      </c>
      <c r="I347" s="3">
        <f>+IF(F347="Pasajero",'2.2 OPEX LAP 2023'!K348*'2.1 OPEX TUUA'!$I$7,'2.2 OPEX LAP 2023'!K348*'2.1 OPEX TUUA'!$I$8)</f>
        <v>917.378225806979</v>
      </c>
      <c r="J347" s="3">
        <f>+IF(F347="Pasajero",'2.2 OPEX LAP 2023'!L348*'2.1 OPEX TUUA'!$J$7,'2.2 OPEX LAP 2023'!L348*'2.1 OPEX TUUA'!$J$8)</f>
        <v>956.01696750352289</v>
      </c>
      <c r="K347" s="3">
        <f>+IF(F347="Pasajero",'2.2 OPEX LAP 2023'!M348*'2.1 OPEX TUUA'!$K$7,'2.2 OPEX LAP 2023'!M348*'2.1 OPEX TUUA'!$K$8)</f>
        <v>977.40308940877549</v>
      </c>
      <c r="L347" s="3">
        <f>+IF(F347="Pasajero",'2.2 OPEX LAP 2023'!N348*'2.1 OPEX TUUA'!$L$7,'2.2 OPEX LAP 2023'!N348*'2.1 OPEX TUUA'!$L$8)</f>
        <v>1003.5062045859664</v>
      </c>
      <c r="M347" s="3"/>
      <c r="N347" s="3">
        <f>+IF(F347="Pasajero",'2.2 OPEX LAP 2023'!I348*'2.1 OPEX TUUA'!$N$7,'2.2 OPEX LAP 2023'!I348*'2.1 OPEX TUUA'!$N$8)</f>
        <v>356.78581229451879</v>
      </c>
      <c r="O347" s="3">
        <f>+IF(F347="Pasajero",'2.2 OPEX LAP 2023'!J348*'2.1 OPEX TUUA'!$O$7,'2.2 OPEX LAP 2023'!J348*'2.1 OPEX TUUA'!$O$8)</f>
        <v>343.68094765123038</v>
      </c>
      <c r="P347" s="3">
        <f>+IF(F347="Pasajero",'2.2 OPEX LAP 2023'!K348*'2.1 OPEX TUUA'!$P$7,'2.2 OPEX LAP 2023'!K348*'2.1 OPEX TUUA'!$P$8)</f>
        <v>335.8784754968317</v>
      </c>
      <c r="Q347" s="3">
        <f>+IF(F347="Pasajero",'2.2 OPEX LAP 2023'!L348*'2.1 OPEX TUUA'!$Q$7,'2.2 OPEX LAP 2023'!L348*'2.1 OPEX TUUA'!$Q$8)</f>
        <v>328.21104607775078</v>
      </c>
      <c r="R347" s="3">
        <f>+IF(F347="Pasajero",'2.2 OPEX LAP 2023'!M348*'2.1 OPEX TUUA'!$R$7,'2.2 OPEX LAP 2023'!M348*'2.1 OPEX TUUA'!$R$8)</f>
        <v>324.05366287805151</v>
      </c>
      <c r="S347" s="3">
        <f>+IF(F347="Pasajero",'2.2 OPEX LAP 2023'!N348*'2.1 OPEX TUUA'!$S$7,'2.2 OPEX LAP 2023'!N348*'2.1 OPEX TUUA'!$S$8)</f>
        <v>318.95003709857559</v>
      </c>
      <c r="AA347" s="6"/>
      <c r="AB347" s="6"/>
      <c r="AC347" s="6"/>
      <c r="AD347" s="6"/>
      <c r="AE347" s="6"/>
      <c r="AF347" s="6"/>
    </row>
    <row r="348" spans="2:32" x14ac:dyDescent="0.25">
      <c r="B348" s="16">
        <v>6270000006</v>
      </c>
      <c r="C348" s="190" t="s">
        <v>177</v>
      </c>
      <c r="D348" s="190" t="s">
        <v>14</v>
      </c>
      <c r="E348" s="190" t="s">
        <v>35</v>
      </c>
      <c r="F348" s="162" t="s">
        <v>190</v>
      </c>
      <c r="G348" s="3">
        <f>+IF(F348="Pasajero",'2.2 OPEX LAP 2023'!I349*'2.1 OPEX TUUA'!$G$7,'2.2 OPEX LAP 2023'!I349*'2.1 OPEX TUUA'!$G$8)</f>
        <v>3929.6585404290345</v>
      </c>
      <c r="H348" s="3">
        <f>+IF(F348="Pasajero",'2.2 OPEX LAP 2023'!J349*'2.1 OPEX TUUA'!$H$7,'2.2 OPEX LAP 2023'!J349*'2.1 OPEX TUUA'!$H$8)</f>
        <v>4507.8493708660617</v>
      </c>
      <c r="I348" s="3">
        <f>+IF(F348="Pasajero",'2.2 OPEX LAP 2023'!K349*'2.1 OPEX TUUA'!$I$7,'2.2 OPEX LAP 2023'!K349*'2.1 OPEX TUUA'!$I$8)</f>
        <v>4983.4935555224138</v>
      </c>
      <c r="J348" s="3">
        <f>+IF(F348="Pasajero",'2.2 OPEX LAP 2023'!L349*'2.1 OPEX TUUA'!$J$7,'2.2 OPEX LAP 2023'!L349*'2.1 OPEX TUUA'!$J$8)</f>
        <v>5193.3916268101184</v>
      </c>
      <c r="K348" s="3">
        <f>+IF(F348="Pasajero",'2.2 OPEX LAP 2023'!M349*'2.1 OPEX TUUA'!$K$7,'2.2 OPEX LAP 2023'!M349*'2.1 OPEX TUUA'!$K$8)</f>
        <v>5309.5679188718705</v>
      </c>
      <c r="L348" s="3">
        <f>+IF(F348="Pasajero",'2.2 OPEX LAP 2023'!N349*'2.1 OPEX TUUA'!$L$7,'2.2 OPEX LAP 2023'!N349*'2.1 OPEX TUUA'!$L$8)</f>
        <v>5451.3684353929166</v>
      </c>
      <c r="M348" s="3"/>
      <c r="N348" s="3">
        <f>+IF(F348="Pasajero",'2.2 OPEX LAP 2023'!I349*'2.1 OPEX TUUA'!$N$7,'2.2 OPEX LAP 2023'!I349*'2.1 OPEX TUUA'!$N$8)</f>
        <v>1938.1752762962053</v>
      </c>
      <c r="O348" s="3">
        <f>+IF(F348="Pasajero",'2.2 OPEX LAP 2023'!J349*'2.1 OPEX TUUA'!$O$7,'2.2 OPEX LAP 2023'!J349*'2.1 OPEX TUUA'!$O$8)</f>
        <v>1866.9854369708032</v>
      </c>
      <c r="P348" s="3">
        <f>+IF(F348="Pasajero",'2.2 OPEX LAP 2023'!K349*'2.1 OPEX TUUA'!$P$7,'2.2 OPEX LAP 2023'!K349*'2.1 OPEX TUUA'!$P$8)</f>
        <v>1824.5998989181805</v>
      </c>
      <c r="Q348" s="3">
        <f>+IF(F348="Pasajero",'2.2 OPEX LAP 2023'!L349*'2.1 OPEX TUUA'!$Q$7,'2.2 OPEX LAP 2023'!L349*'2.1 OPEX TUUA'!$Q$8)</f>
        <v>1782.9479564341518</v>
      </c>
      <c r="R348" s="3">
        <f>+IF(F348="Pasajero",'2.2 OPEX LAP 2023'!M349*'2.1 OPEX TUUA'!$R$7,'2.2 OPEX LAP 2023'!M349*'2.1 OPEX TUUA'!$R$8)</f>
        <v>1760.3637138603613</v>
      </c>
      <c r="S348" s="3">
        <f>+IF(F348="Pasajero",'2.2 OPEX LAP 2023'!N349*'2.1 OPEX TUUA'!$S$7,'2.2 OPEX LAP 2023'!N349*'2.1 OPEX TUUA'!$S$8)</f>
        <v>1732.6391772773795</v>
      </c>
      <c r="AA348" s="6"/>
      <c r="AB348" s="6"/>
      <c r="AC348" s="6"/>
      <c r="AD348" s="6"/>
      <c r="AE348" s="6"/>
      <c r="AF348" s="6"/>
    </row>
    <row r="349" spans="2:32" x14ac:dyDescent="0.25">
      <c r="B349" s="16">
        <v>6270000007</v>
      </c>
      <c r="C349" s="190" t="s">
        <v>177</v>
      </c>
      <c r="D349" s="190" t="s">
        <v>14</v>
      </c>
      <c r="E349" s="190" t="s">
        <v>36</v>
      </c>
      <c r="F349" s="162" t="s">
        <v>190</v>
      </c>
      <c r="G349" s="3">
        <f>+IF(F349="Pasajero",'2.2 OPEX LAP 2023'!I350*'2.1 OPEX TUUA'!$G$7,'2.2 OPEX LAP 2023'!I350*'2.1 OPEX TUUA'!$G$8)</f>
        <v>0</v>
      </c>
      <c r="H349" s="3">
        <f>+IF(F349="Pasajero",'2.2 OPEX LAP 2023'!J350*'2.1 OPEX TUUA'!$H$7,'2.2 OPEX LAP 2023'!J350*'2.1 OPEX TUUA'!$H$8)</f>
        <v>0</v>
      </c>
      <c r="I349" s="3">
        <f>+IF(F349="Pasajero",'2.2 OPEX LAP 2023'!K350*'2.1 OPEX TUUA'!$I$7,'2.2 OPEX LAP 2023'!K350*'2.1 OPEX TUUA'!$I$8)</f>
        <v>0</v>
      </c>
      <c r="J349" s="3">
        <f>+IF(F349="Pasajero",'2.2 OPEX LAP 2023'!L350*'2.1 OPEX TUUA'!$J$7,'2.2 OPEX LAP 2023'!L350*'2.1 OPEX TUUA'!$J$8)</f>
        <v>0</v>
      </c>
      <c r="K349" s="3">
        <f>+IF(F349="Pasajero",'2.2 OPEX LAP 2023'!M350*'2.1 OPEX TUUA'!$K$7,'2.2 OPEX LAP 2023'!M350*'2.1 OPEX TUUA'!$K$8)</f>
        <v>0</v>
      </c>
      <c r="L349" s="3">
        <f>+IF(F349="Pasajero",'2.2 OPEX LAP 2023'!N350*'2.1 OPEX TUUA'!$L$7,'2.2 OPEX LAP 2023'!N350*'2.1 OPEX TUUA'!$L$8)</f>
        <v>0</v>
      </c>
      <c r="M349" s="3"/>
      <c r="N349" s="3">
        <f>+IF(F349="Pasajero",'2.2 OPEX LAP 2023'!I350*'2.1 OPEX TUUA'!$N$7,'2.2 OPEX LAP 2023'!I350*'2.1 OPEX TUUA'!$N$8)</f>
        <v>0</v>
      </c>
      <c r="O349" s="3">
        <f>+IF(F349="Pasajero",'2.2 OPEX LAP 2023'!J350*'2.1 OPEX TUUA'!$O$7,'2.2 OPEX LAP 2023'!J350*'2.1 OPEX TUUA'!$O$8)</f>
        <v>0</v>
      </c>
      <c r="P349" s="3">
        <f>+IF(F349="Pasajero",'2.2 OPEX LAP 2023'!K350*'2.1 OPEX TUUA'!$P$7,'2.2 OPEX LAP 2023'!K350*'2.1 OPEX TUUA'!$P$8)</f>
        <v>0</v>
      </c>
      <c r="Q349" s="3">
        <f>+IF(F349="Pasajero",'2.2 OPEX LAP 2023'!L350*'2.1 OPEX TUUA'!$Q$7,'2.2 OPEX LAP 2023'!L350*'2.1 OPEX TUUA'!$Q$8)</f>
        <v>0</v>
      </c>
      <c r="R349" s="3">
        <f>+IF(F349="Pasajero",'2.2 OPEX LAP 2023'!M350*'2.1 OPEX TUUA'!$R$7,'2.2 OPEX LAP 2023'!M350*'2.1 OPEX TUUA'!$R$8)</f>
        <v>0</v>
      </c>
      <c r="S349" s="3">
        <f>+IF(F349="Pasajero",'2.2 OPEX LAP 2023'!N350*'2.1 OPEX TUUA'!$S$7,'2.2 OPEX LAP 2023'!N350*'2.1 OPEX TUUA'!$S$8)</f>
        <v>0</v>
      </c>
      <c r="AA349" s="6"/>
      <c r="AB349" s="6"/>
      <c r="AC349" s="6"/>
      <c r="AD349" s="6"/>
      <c r="AE349" s="6"/>
      <c r="AF349" s="6"/>
    </row>
    <row r="350" spans="2:32" x14ac:dyDescent="0.25">
      <c r="B350" s="16">
        <v>6290000001</v>
      </c>
      <c r="C350" s="190" t="s">
        <v>177</v>
      </c>
      <c r="D350" s="190" t="s">
        <v>14</v>
      </c>
      <c r="E350" s="190" t="s">
        <v>37</v>
      </c>
      <c r="F350" s="162" t="s">
        <v>190</v>
      </c>
      <c r="G350" s="3">
        <f>+IF(F350="Pasajero",'2.2 OPEX LAP 2023'!I351*'2.1 OPEX TUUA'!$G$7,'2.2 OPEX LAP 2023'!I351*'2.1 OPEX TUUA'!$G$8)</f>
        <v>14606.446828616186</v>
      </c>
      <c r="H350" s="3">
        <f>+IF(F350="Pasajero",'2.2 OPEX LAP 2023'!J351*'2.1 OPEX TUUA'!$H$7,'2.2 OPEX LAP 2023'!J351*'2.1 OPEX TUUA'!$H$8)</f>
        <v>16755.568319627422</v>
      </c>
      <c r="I350" s="3">
        <f>+IF(F350="Pasajero",'2.2 OPEX LAP 2023'!K351*'2.1 OPEX TUUA'!$I$7,'2.2 OPEX LAP 2023'!K351*'2.1 OPEX TUUA'!$I$8)</f>
        <v>18523.526380371542</v>
      </c>
      <c r="J350" s="3">
        <f>+IF(F350="Pasajero",'2.2 OPEX LAP 2023'!L351*'2.1 OPEX TUUA'!$J$7,'2.2 OPEX LAP 2023'!L351*'2.1 OPEX TUUA'!$J$8)</f>
        <v>19303.712492256531</v>
      </c>
      <c r="K350" s="3">
        <f>+IF(F350="Pasajero",'2.2 OPEX LAP 2023'!M351*'2.1 OPEX TUUA'!$K$7,'2.2 OPEX LAP 2023'!M351*'2.1 OPEX TUUA'!$K$8)</f>
        <v>19735.536991837733</v>
      </c>
      <c r="L350" s="3">
        <f>+IF(F350="Pasajero",'2.2 OPEX LAP 2023'!N351*'2.1 OPEX TUUA'!$L$7,'2.2 OPEX LAP 2023'!N351*'2.1 OPEX TUUA'!$L$8)</f>
        <v>20262.606121006607</v>
      </c>
      <c r="M350" s="3"/>
      <c r="N350" s="3">
        <f>+IF(F350="Pasajero",'2.2 OPEX LAP 2023'!I351*'2.1 OPEX TUUA'!$N$7,'2.2 OPEX LAP 2023'!I351*'2.1 OPEX TUUA'!$N$8)</f>
        <v>7204.1511562651394</v>
      </c>
      <c r="O350" s="3">
        <f>+IF(F350="Pasajero",'2.2 OPEX LAP 2023'!J351*'2.1 OPEX TUUA'!$O$7,'2.2 OPEX LAP 2023'!J351*'2.1 OPEX TUUA'!$O$8)</f>
        <v>6939.5402257870192</v>
      </c>
      <c r="P350" s="3">
        <f>+IF(F350="Pasajero",'2.2 OPEX LAP 2023'!K351*'2.1 OPEX TUUA'!$P$7,'2.2 OPEX LAP 2023'!K351*'2.1 OPEX TUUA'!$P$8)</f>
        <v>6781.9941943701706</v>
      </c>
      <c r="Q350" s="3">
        <f>+IF(F350="Pasajero",'2.2 OPEX LAP 2023'!L351*'2.1 OPEX TUUA'!$Q$7,'2.2 OPEX LAP 2023'!L351*'2.1 OPEX TUUA'!$Q$8)</f>
        <v>6627.174920140018</v>
      </c>
      <c r="R350" s="3">
        <f>+IF(F350="Pasajero",'2.2 OPEX LAP 2023'!M351*'2.1 OPEX TUUA'!$R$7,'2.2 OPEX LAP 2023'!M351*'2.1 OPEX TUUA'!$R$8)</f>
        <v>6543.2298305285867</v>
      </c>
      <c r="S350" s="3">
        <f>+IF(F350="Pasajero",'2.2 OPEX LAP 2023'!N351*'2.1 OPEX TUUA'!$S$7,'2.2 OPEX LAP 2023'!N351*'2.1 OPEX TUUA'!$S$8)</f>
        <v>6440.1783909999167</v>
      </c>
      <c r="AA350" s="6"/>
      <c r="AB350" s="6"/>
      <c r="AC350" s="6"/>
      <c r="AD350" s="6"/>
      <c r="AE350" s="6"/>
      <c r="AF350" s="6"/>
    </row>
    <row r="351" spans="2:32" x14ac:dyDescent="0.25">
      <c r="B351" s="16">
        <v>6310000001</v>
      </c>
      <c r="C351" s="190" t="s">
        <v>177</v>
      </c>
      <c r="D351" s="190" t="s">
        <v>38</v>
      </c>
      <c r="E351" s="190" t="s">
        <v>39</v>
      </c>
      <c r="F351" s="162" t="s">
        <v>190</v>
      </c>
      <c r="G351" s="3">
        <f>+IF(F351="Pasajero",'2.2 OPEX LAP 2023'!I352*'2.1 OPEX TUUA'!$G$7,'2.2 OPEX LAP 2023'!I352*'2.1 OPEX TUUA'!$G$8)</f>
        <v>3326.8182214220569</v>
      </c>
      <c r="H351" s="3">
        <f>+IF(F351="Pasajero",'2.2 OPEX LAP 2023'!J352*'2.1 OPEX TUUA'!$H$7,'2.2 OPEX LAP 2023'!J352*'2.1 OPEX TUUA'!$H$8)</f>
        <v>3816.3100615825624</v>
      </c>
      <c r="I351" s="3">
        <f>+IF(F351="Pasajero",'2.2 OPEX LAP 2023'!K352*'2.1 OPEX TUUA'!$I$7,'2.2 OPEX LAP 2023'!K352*'2.1 OPEX TUUA'!$I$8)</f>
        <v>4218.9867125303126</v>
      </c>
      <c r="J351" s="3">
        <f>+IF(F351="Pasajero",'2.2 OPEX LAP 2023'!L352*'2.1 OPEX TUUA'!$J$7,'2.2 OPEX LAP 2023'!L352*'2.1 OPEX TUUA'!$J$8)</f>
        <v>4396.6847799367097</v>
      </c>
      <c r="K351" s="3">
        <f>+IF(F351="Pasajero",'2.2 OPEX LAP 2023'!M352*'2.1 OPEX TUUA'!$K$7,'2.2 OPEX LAP 2023'!M352*'2.1 OPEX TUUA'!$K$8)</f>
        <v>4495.0387212147962</v>
      </c>
      <c r="L351" s="3">
        <f>+IF(F351="Pasajero",'2.2 OPEX LAP 2023'!N352*'2.1 OPEX TUUA'!$L$7,'2.2 OPEX LAP 2023'!N352*'2.1 OPEX TUUA'!$L$8)</f>
        <v>4615.0859307409883</v>
      </c>
      <c r="M351" s="3"/>
      <c r="N351" s="3">
        <f>+IF(F351="Pasajero",'2.2 OPEX LAP 2023'!I352*'2.1 OPEX TUUA'!$N$7,'2.2 OPEX LAP 2023'!I352*'2.1 OPEX TUUA'!$N$8)</f>
        <v>1640.8440476835849</v>
      </c>
      <c r="O351" s="3">
        <f>+IF(F351="Pasajero",'2.2 OPEX LAP 2023'!J352*'2.1 OPEX TUUA'!$O$7,'2.2 OPEX LAP 2023'!J352*'2.1 OPEX TUUA'!$O$8)</f>
        <v>1580.5752858531998</v>
      </c>
      <c r="P351" s="3">
        <f>+IF(F351="Pasajero",'2.2 OPEX LAP 2023'!K352*'2.1 OPEX TUUA'!$P$7,'2.2 OPEX LAP 2023'!K352*'2.1 OPEX TUUA'!$P$8)</f>
        <v>1544.6920204581236</v>
      </c>
      <c r="Q351" s="3">
        <f>+IF(F351="Pasajero",'2.2 OPEX LAP 2023'!L352*'2.1 OPEX TUUA'!$Q$7,'2.2 OPEX LAP 2023'!L352*'2.1 OPEX TUUA'!$Q$8)</f>
        <v>1509.4298113404934</v>
      </c>
      <c r="R351" s="3">
        <f>+IF(F351="Pasajero",'2.2 OPEX LAP 2023'!M352*'2.1 OPEX TUUA'!$R$7,'2.2 OPEX LAP 2023'!M352*'2.1 OPEX TUUA'!$R$8)</f>
        <v>1490.3101680079967</v>
      </c>
      <c r="S351" s="3">
        <f>+IF(F351="Pasajero",'2.2 OPEX LAP 2023'!N352*'2.1 OPEX TUUA'!$S$7,'2.2 OPEX LAP 2023'!N352*'2.1 OPEX TUUA'!$S$8)</f>
        <v>1466.8387919238355</v>
      </c>
      <c r="AA351" s="6"/>
      <c r="AB351" s="6"/>
      <c r="AC351" s="6"/>
      <c r="AD351" s="6"/>
      <c r="AE351" s="6"/>
      <c r="AF351" s="6"/>
    </row>
    <row r="352" spans="2:32" x14ac:dyDescent="0.25">
      <c r="B352" s="16">
        <v>6311300001</v>
      </c>
      <c r="C352" s="190" t="s">
        <v>177</v>
      </c>
      <c r="D352" s="190" t="s">
        <v>40</v>
      </c>
      <c r="E352" s="190" t="s">
        <v>41</v>
      </c>
      <c r="F352" s="162" t="s">
        <v>190</v>
      </c>
      <c r="G352" s="3">
        <f>+IF(F352="Pasajero",'2.2 OPEX LAP 2023'!I353*'2.1 OPEX TUUA'!$G$7,'2.2 OPEX LAP 2023'!I353*'2.1 OPEX TUUA'!$G$8)</f>
        <v>40.465225794523278</v>
      </c>
      <c r="H352" s="3">
        <f>+IF(F352="Pasajero",'2.2 OPEX LAP 2023'!J353*'2.1 OPEX TUUA'!$H$7,'2.2 OPEX LAP 2023'!J353*'2.1 OPEX TUUA'!$H$8)</f>
        <v>46.419082157677629</v>
      </c>
      <c r="I352" s="3">
        <f>+IF(F352="Pasajero",'2.2 OPEX LAP 2023'!K353*'2.1 OPEX TUUA'!$I$7,'2.2 OPEX LAP 2023'!K353*'2.1 OPEX TUUA'!$I$8)</f>
        <v>51.316975735950166</v>
      </c>
      <c r="J352" s="3">
        <f>+IF(F352="Pasajero",'2.2 OPEX LAP 2023'!L353*'2.1 OPEX TUUA'!$J$7,'2.2 OPEX LAP 2023'!L353*'2.1 OPEX TUUA'!$J$8)</f>
        <v>53.478377995487101</v>
      </c>
      <c r="K352" s="3">
        <f>+IF(F352="Pasajero",'2.2 OPEX LAP 2023'!M353*'2.1 OPEX TUUA'!$K$7,'2.2 OPEX LAP 2023'!M353*'2.1 OPEX TUUA'!$K$8)</f>
        <v>54.67469056104045</v>
      </c>
      <c r="L352" s="3">
        <f>+IF(F352="Pasajero",'2.2 OPEX LAP 2023'!N353*'2.1 OPEX TUUA'!$L$7,'2.2 OPEX LAP 2023'!N353*'2.1 OPEX TUUA'!$L$8)</f>
        <v>56.134865754322682</v>
      </c>
      <c r="M352" s="3"/>
      <c r="N352" s="3">
        <f>+IF(F352="Pasajero",'2.2 OPEX LAP 2023'!I353*'2.1 OPEX TUUA'!$N$7,'2.2 OPEX LAP 2023'!I353*'2.1 OPEX TUUA'!$N$8)</f>
        <v>19.958146332003125</v>
      </c>
      <c r="O352" s="3">
        <f>+IF(F352="Pasajero",'2.2 OPEX LAP 2023'!J353*'2.1 OPEX TUUA'!$O$7,'2.2 OPEX LAP 2023'!J353*'2.1 OPEX TUUA'!$O$8)</f>
        <v>19.225076806256567</v>
      </c>
      <c r="P352" s="3">
        <f>+IF(F352="Pasajero",'2.2 OPEX LAP 2023'!K353*'2.1 OPEX TUUA'!$P$7,'2.2 OPEX LAP 2023'!K353*'2.1 OPEX TUUA'!$P$8)</f>
        <v>18.788616398799771</v>
      </c>
      <c r="Q352" s="3">
        <f>+IF(F352="Pasajero",'2.2 OPEX LAP 2023'!L353*'2.1 OPEX TUUA'!$Q$7,'2.2 OPEX LAP 2023'!L353*'2.1 OPEX TUUA'!$Q$8)</f>
        <v>18.359710110872602</v>
      </c>
      <c r="R352" s="3">
        <f>+IF(F352="Pasajero",'2.2 OPEX LAP 2023'!M353*'2.1 OPEX TUUA'!$R$7,'2.2 OPEX LAP 2023'!M353*'2.1 OPEX TUUA'!$R$8)</f>
        <v>18.127151361621337</v>
      </c>
      <c r="S352" s="3">
        <f>+IF(F352="Pasajero",'2.2 OPEX LAP 2023'!N353*'2.1 OPEX TUUA'!$S$7,'2.2 OPEX LAP 2023'!N353*'2.1 OPEX TUUA'!$S$8)</f>
        <v>17.841661001240968</v>
      </c>
      <c r="AA352" s="6"/>
      <c r="AB352" s="6"/>
      <c r="AC352" s="6"/>
      <c r="AD352" s="6"/>
      <c r="AE352" s="6"/>
      <c r="AF352" s="6"/>
    </row>
    <row r="353" spans="2:32" x14ac:dyDescent="0.25">
      <c r="B353" s="16">
        <v>6311300002</v>
      </c>
      <c r="C353" s="190" t="s">
        <v>177</v>
      </c>
      <c r="D353" s="190" t="s">
        <v>40</v>
      </c>
      <c r="E353" s="190" t="s">
        <v>42</v>
      </c>
      <c r="F353" s="162" t="s">
        <v>190</v>
      </c>
      <c r="G353" s="3">
        <f>+IF(F353="Pasajero",'2.2 OPEX LAP 2023'!I354*'2.1 OPEX TUUA'!$G$7,'2.2 OPEX LAP 2023'!I354*'2.1 OPEX TUUA'!$G$8)</f>
        <v>22.165906241510697</v>
      </c>
      <c r="H353" s="3">
        <f>+IF(F353="Pasajero",'2.2 OPEX LAP 2023'!J354*'2.1 OPEX TUUA'!$H$7,'2.2 OPEX LAP 2023'!J354*'2.1 OPEX TUUA'!$H$8)</f>
        <v>25.427289795657646</v>
      </c>
      <c r="I353" s="3">
        <f>+IF(F353="Pasajero",'2.2 OPEX LAP 2023'!K354*'2.1 OPEX TUUA'!$I$7,'2.2 OPEX LAP 2023'!K354*'2.1 OPEX TUUA'!$I$8)</f>
        <v>28.110241582166154</v>
      </c>
      <c r="J353" s="3">
        <f>+IF(F353="Pasajero",'2.2 OPEX LAP 2023'!L354*'2.1 OPEX TUUA'!$J$7,'2.2 OPEX LAP 2023'!L354*'2.1 OPEX TUUA'!$J$8)</f>
        <v>29.294207293326707</v>
      </c>
      <c r="K353" s="3">
        <f>+IF(F353="Pasajero",'2.2 OPEX LAP 2023'!M354*'2.1 OPEX TUUA'!$K$7,'2.2 OPEX LAP 2023'!M354*'2.1 OPEX TUUA'!$K$8)</f>
        <v>29.949519395086572</v>
      </c>
      <c r="L353" s="3">
        <f>+IF(F353="Pasajero",'2.2 OPEX LAP 2023'!N354*'2.1 OPEX TUUA'!$L$7,'2.2 OPEX LAP 2023'!N354*'2.1 OPEX TUUA'!$L$8)</f>
        <v>30.749369285825459</v>
      </c>
      <c r="M353" s="3"/>
      <c r="N353" s="3">
        <f>+IF(F353="Pasajero",'2.2 OPEX LAP 2023'!I354*'2.1 OPEX TUUA'!$N$7,'2.2 OPEX LAP 2023'!I354*'2.1 OPEX TUUA'!$N$8)</f>
        <v>10.932606742290975</v>
      </c>
      <c r="O353" s="3">
        <f>+IF(F353="Pasajero",'2.2 OPEX LAP 2023'!J354*'2.1 OPEX TUUA'!$O$7,'2.2 OPEX LAP 2023'!J354*'2.1 OPEX TUUA'!$O$8)</f>
        <v>10.531048365755087</v>
      </c>
      <c r="P353" s="3">
        <f>+IF(F353="Pasajero",'2.2 OPEX LAP 2023'!K354*'2.1 OPEX TUUA'!$P$7,'2.2 OPEX LAP 2023'!K354*'2.1 OPEX TUUA'!$P$8)</f>
        <v>10.291965541432177</v>
      </c>
      <c r="Q353" s="3">
        <f>+IF(F353="Pasajero",'2.2 OPEX LAP 2023'!L354*'2.1 OPEX TUUA'!$Q$7,'2.2 OPEX LAP 2023'!L354*'2.1 OPEX TUUA'!$Q$8)</f>
        <v>10.057020687476246</v>
      </c>
      <c r="R353" s="3">
        <f>+IF(F353="Pasajero",'2.2 OPEX LAP 2023'!M354*'2.1 OPEX TUUA'!$R$7,'2.2 OPEX LAP 2023'!M354*'2.1 OPEX TUUA'!$R$8)</f>
        <v>9.9296304325022042</v>
      </c>
      <c r="S353" s="3">
        <f>+IF(F353="Pasajero",'2.2 OPEX LAP 2023'!N354*'2.1 OPEX TUUA'!$S$7,'2.2 OPEX LAP 2023'!N354*'2.1 OPEX TUUA'!$S$8)</f>
        <v>9.7732454763628311</v>
      </c>
      <c r="AA353" s="6"/>
      <c r="AB353" s="6"/>
      <c r="AC353" s="6"/>
      <c r="AD353" s="6"/>
      <c r="AE353" s="6"/>
      <c r="AF353" s="6"/>
    </row>
    <row r="354" spans="2:32" x14ac:dyDescent="0.25">
      <c r="B354" s="16">
        <v>6320000001</v>
      </c>
      <c r="C354" s="190" t="s">
        <v>177</v>
      </c>
      <c r="D354" s="190" t="s">
        <v>40</v>
      </c>
      <c r="E354" s="190" t="s">
        <v>43</v>
      </c>
      <c r="F354" s="162" t="s">
        <v>190</v>
      </c>
      <c r="G354" s="3">
        <f>+IF(F354="Pasajero",'2.2 OPEX LAP 2023'!I355*'2.1 OPEX TUUA'!$G$7,'2.2 OPEX LAP 2023'!I355*'2.1 OPEX TUUA'!$G$8)</f>
        <v>84708.142828840035</v>
      </c>
      <c r="H354" s="3">
        <f>+IF(F354="Pasajero",'2.2 OPEX LAP 2023'!J355*'2.1 OPEX TUUA'!$H$7,'2.2 OPEX LAP 2023'!J355*'2.1 OPEX TUUA'!$H$8)</f>
        <v>97171.686656655176</v>
      </c>
      <c r="I354" s="3">
        <f>+IF(F354="Pasajero",'2.2 OPEX LAP 2023'!K355*'2.1 OPEX TUUA'!$I$7,'2.2 OPEX LAP 2023'!K355*'2.1 OPEX TUUA'!$I$8)</f>
        <v>107424.72394095278</v>
      </c>
      <c r="J354" s="3">
        <f>+IF(F354="Pasajero",'2.2 OPEX LAP 2023'!L355*'2.1 OPEX TUUA'!$J$7,'2.2 OPEX LAP 2023'!L355*'2.1 OPEX TUUA'!$J$8)</f>
        <v>111949.3093773749</v>
      </c>
      <c r="K354" s="3">
        <f>+IF(F354="Pasajero",'2.2 OPEX LAP 2023'!M355*'2.1 OPEX TUUA'!$K$7,'2.2 OPEX LAP 2023'!M355*'2.1 OPEX TUUA'!$K$8)</f>
        <v>114453.61804441178</v>
      </c>
      <c r="L354" s="3">
        <f>+IF(F354="Pasajero",'2.2 OPEX LAP 2023'!N355*'2.1 OPEX TUUA'!$L$7,'2.2 OPEX LAP 2023'!N355*'2.1 OPEX TUUA'!$L$8)</f>
        <v>117510.28525432071</v>
      </c>
      <c r="M354" s="3"/>
      <c r="N354" s="3">
        <f>+IF(F354="Pasajero",'2.2 OPEX LAP 2023'!I355*'2.1 OPEX TUUA'!$N$7,'2.2 OPEX LAP 2023'!I355*'2.1 OPEX TUUA'!$N$8)</f>
        <v>41779.515050155125</v>
      </c>
      <c r="O354" s="3">
        <f>+IF(F354="Pasajero",'2.2 OPEX LAP 2023'!J355*'2.1 OPEX TUUA'!$O$7,'2.2 OPEX LAP 2023'!J355*'2.1 OPEX TUUA'!$O$8)</f>
        <v>40244.939204570343</v>
      </c>
      <c r="P354" s="3">
        <f>+IF(F354="Pasajero",'2.2 OPEX LAP 2023'!K355*'2.1 OPEX TUUA'!$P$7,'2.2 OPEX LAP 2023'!K355*'2.1 OPEX TUUA'!$P$8)</f>
        <v>39331.271980230085</v>
      </c>
      <c r="Q354" s="3">
        <f>+IF(F354="Pasajero",'2.2 OPEX LAP 2023'!L355*'2.1 OPEX TUUA'!$Q$7,'2.2 OPEX LAP 2023'!L355*'2.1 OPEX TUUA'!$Q$8)</f>
        <v>38433.418220994674</v>
      </c>
      <c r="R354" s="3">
        <f>+IF(F354="Pasajero",'2.2 OPEX LAP 2023'!M355*'2.1 OPEX TUUA'!$R$7,'2.2 OPEX LAP 2023'!M355*'2.1 OPEX TUUA'!$R$8)</f>
        <v>37946.589855135448</v>
      </c>
      <c r="S354" s="3">
        <f>+IF(F354="Pasajero",'2.2 OPEX LAP 2023'!N355*'2.1 OPEX TUUA'!$S$7,'2.2 OPEX LAP 2023'!N355*'2.1 OPEX TUUA'!$S$8)</f>
        <v>37348.956757864304</v>
      </c>
      <c r="AA354" s="6"/>
      <c r="AB354" s="6"/>
      <c r="AC354" s="6"/>
      <c r="AD354" s="6"/>
      <c r="AE354" s="6"/>
      <c r="AF354" s="6"/>
    </row>
    <row r="355" spans="2:32" x14ac:dyDescent="0.25">
      <c r="B355" s="16">
        <v>6320000002</v>
      </c>
      <c r="C355" s="190" t="s">
        <v>177</v>
      </c>
      <c r="D355" s="190" t="s">
        <v>40</v>
      </c>
      <c r="E355" s="190" t="s">
        <v>44</v>
      </c>
      <c r="F355" s="162" t="s">
        <v>190</v>
      </c>
      <c r="G355" s="3">
        <f>+IF(F355="Pasajero",'2.2 OPEX LAP 2023'!I356*'2.1 OPEX TUUA'!$G$7,'2.2 OPEX LAP 2023'!I356*'2.1 OPEX TUUA'!$G$8)</f>
        <v>2499.4323701519311</v>
      </c>
      <c r="H355" s="3">
        <f>+IF(F355="Pasajero",'2.2 OPEX LAP 2023'!J356*'2.1 OPEX TUUA'!$H$7,'2.2 OPEX LAP 2023'!J356*'2.1 OPEX TUUA'!$H$8)</f>
        <v>2867.186683370594</v>
      </c>
      <c r="I355" s="3">
        <f>+IF(F355="Pasajero",'2.2 OPEX LAP 2023'!K356*'2.1 OPEX TUUA'!$I$7,'2.2 OPEX LAP 2023'!K356*'2.1 OPEX TUUA'!$I$8)</f>
        <v>3169.7169056719986</v>
      </c>
      <c r="J355" s="3">
        <f>+IF(F355="Pasajero",'2.2 OPEX LAP 2023'!L356*'2.1 OPEX TUUA'!$J$7,'2.2 OPEX LAP 2023'!L356*'2.1 OPEX TUUA'!$J$8)</f>
        <v>3303.2211347065318</v>
      </c>
      <c r="K355" s="3">
        <f>+IF(F355="Pasajero",'2.2 OPEX LAP 2023'!M356*'2.1 OPEX TUUA'!$K$7,'2.2 OPEX LAP 2023'!M356*'2.1 OPEX TUUA'!$K$8)</f>
        <v>3377.1142686864791</v>
      </c>
      <c r="L355" s="3">
        <f>+IF(F355="Pasajero",'2.2 OPEX LAP 2023'!N356*'2.1 OPEX TUUA'!$L$7,'2.2 OPEX LAP 2023'!N356*'2.1 OPEX TUUA'!$L$8)</f>
        <v>3467.3055149361521</v>
      </c>
      <c r="M355" s="3"/>
      <c r="N355" s="3">
        <f>+IF(F355="Pasajero",'2.2 OPEX LAP 2023'!I356*'2.1 OPEX TUUA'!$N$7,'2.2 OPEX LAP 2023'!I356*'2.1 OPEX TUUA'!$N$8)</f>
        <v>1232.7630950026514</v>
      </c>
      <c r="O355" s="3">
        <f>+IF(F355="Pasajero",'2.2 OPEX LAP 2023'!J356*'2.1 OPEX TUUA'!$O$7,'2.2 OPEX LAP 2023'!J356*'2.1 OPEX TUUA'!$O$8)</f>
        <v>1187.4832858270688</v>
      </c>
      <c r="P355" s="3">
        <f>+IF(F355="Pasajero",'2.2 OPEX LAP 2023'!K356*'2.1 OPEX TUUA'!$P$7,'2.2 OPEX LAP 2023'!K356*'2.1 OPEX TUUA'!$P$8)</f>
        <v>1160.5242549735981</v>
      </c>
      <c r="Q355" s="3">
        <f>+IF(F355="Pasajero",'2.2 OPEX LAP 2023'!L356*'2.1 OPEX TUUA'!$Q$7,'2.2 OPEX LAP 2023'!L356*'2.1 OPEX TUUA'!$Q$8)</f>
        <v>1134.031822551487</v>
      </c>
      <c r="R355" s="3">
        <f>+IF(F355="Pasajero",'2.2 OPEX LAP 2023'!M356*'2.1 OPEX TUUA'!$R$7,'2.2 OPEX LAP 2023'!M356*'2.1 OPEX TUUA'!$R$8)</f>
        <v>1119.6672699157934</v>
      </c>
      <c r="S355" s="3">
        <f>+IF(F355="Pasajero",'2.2 OPEX LAP 2023'!N356*'2.1 OPEX TUUA'!$S$7,'2.2 OPEX LAP 2023'!N356*'2.1 OPEX TUUA'!$S$8)</f>
        <v>1102.0332685210055</v>
      </c>
      <c r="AA355" s="6"/>
      <c r="AB355" s="6"/>
      <c r="AC355" s="6"/>
      <c r="AD355" s="6"/>
      <c r="AE355" s="6"/>
      <c r="AF355" s="6"/>
    </row>
    <row r="356" spans="2:32" x14ac:dyDescent="0.25">
      <c r="B356" s="16">
        <v>6320000003</v>
      </c>
      <c r="C356" s="190" t="s">
        <v>177</v>
      </c>
      <c r="D356" s="190" t="s">
        <v>40</v>
      </c>
      <c r="E356" s="190" t="s">
        <v>45</v>
      </c>
      <c r="F356" s="162" t="s">
        <v>190</v>
      </c>
      <c r="G356" s="3">
        <f>+IF(F356="Pasajero",'2.2 OPEX LAP 2023'!I357*'2.1 OPEX TUUA'!$G$7,'2.2 OPEX LAP 2023'!I357*'2.1 OPEX TUUA'!$G$8)</f>
        <v>0</v>
      </c>
      <c r="H356" s="3">
        <f>+IF(F356="Pasajero",'2.2 OPEX LAP 2023'!J357*'2.1 OPEX TUUA'!$H$7,'2.2 OPEX LAP 2023'!J357*'2.1 OPEX TUUA'!$H$8)</f>
        <v>0</v>
      </c>
      <c r="I356" s="3">
        <f>+IF(F356="Pasajero",'2.2 OPEX LAP 2023'!K357*'2.1 OPEX TUUA'!$I$7,'2.2 OPEX LAP 2023'!K357*'2.1 OPEX TUUA'!$I$8)</f>
        <v>0</v>
      </c>
      <c r="J356" s="3">
        <f>+IF(F356="Pasajero",'2.2 OPEX LAP 2023'!L357*'2.1 OPEX TUUA'!$J$7,'2.2 OPEX LAP 2023'!L357*'2.1 OPEX TUUA'!$J$8)</f>
        <v>0</v>
      </c>
      <c r="K356" s="3">
        <f>+IF(F356="Pasajero",'2.2 OPEX LAP 2023'!M357*'2.1 OPEX TUUA'!$K$7,'2.2 OPEX LAP 2023'!M357*'2.1 OPEX TUUA'!$K$8)</f>
        <v>0</v>
      </c>
      <c r="L356" s="3">
        <f>+IF(F356="Pasajero",'2.2 OPEX LAP 2023'!N357*'2.1 OPEX TUUA'!$L$7,'2.2 OPEX LAP 2023'!N357*'2.1 OPEX TUUA'!$L$8)</f>
        <v>0</v>
      </c>
      <c r="M356" s="3"/>
      <c r="N356" s="3">
        <f>+IF(F356="Pasajero",'2.2 OPEX LAP 2023'!I357*'2.1 OPEX TUUA'!$N$7,'2.2 OPEX LAP 2023'!I357*'2.1 OPEX TUUA'!$N$8)</f>
        <v>0</v>
      </c>
      <c r="O356" s="3">
        <f>+IF(F356="Pasajero",'2.2 OPEX LAP 2023'!J357*'2.1 OPEX TUUA'!$O$7,'2.2 OPEX LAP 2023'!J357*'2.1 OPEX TUUA'!$O$8)</f>
        <v>0</v>
      </c>
      <c r="P356" s="3">
        <f>+IF(F356="Pasajero",'2.2 OPEX LAP 2023'!K357*'2.1 OPEX TUUA'!$P$7,'2.2 OPEX LAP 2023'!K357*'2.1 OPEX TUUA'!$P$8)</f>
        <v>0</v>
      </c>
      <c r="Q356" s="3">
        <f>+IF(F356="Pasajero",'2.2 OPEX LAP 2023'!L357*'2.1 OPEX TUUA'!$Q$7,'2.2 OPEX LAP 2023'!L357*'2.1 OPEX TUUA'!$Q$8)</f>
        <v>0</v>
      </c>
      <c r="R356" s="3">
        <f>+IF(F356="Pasajero",'2.2 OPEX LAP 2023'!M357*'2.1 OPEX TUUA'!$R$7,'2.2 OPEX LAP 2023'!M357*'2.1 OPEX TUUA'!$R$8)</f>
        <v>0</v>
      </c>
      <c r="S356" s="3">
        <f>+IF(F356="Pasajero",'2.2 OPEX LAP 2023'!N357*'2.1 OPEX TUUA'!$S$7,'2.2 OPEX LAP 2023'!N357*'2.1 OPEX TUUA'!$S$8)</f>
        <v>0</v>
      </c>
      <c r="AA356" s="6"/>
      <c r="AB356" s="6"/>
      <c r="AC356" s="6"/>
      <c r="AD356" s="6"/>
      <c r="AE356" s="6"/>
      <c r="AF356" s="6"/>
    </row>
    <row r="357" spans="2:32" x14ac:dyDescent="0.25">
      <c r="B357" s="16">
        <v>6320000004</v>
      </c>
      <c r="C357" s="190" t="s">
        <v>177</v>
      </c>
      <c r="D357" s="190" t="s">
        <v>40</v>
      </c>
      <c r="E357" s="190" t="s">
        <v>46</v>
      </c>
      <c r="F357" s="162" t="s">
        <v>190</v>
      </c>
      <c r="G357" s="3">
        <f>+IF(F357="Pasajero",'2.2 OPEX LAP 2023'!I358*'2.1 OPEX TUUA'!$G$7,'2.2 OPEX LAP 2023'!I358*'2.1 OPEX TUUA'!$G$8)</f>
        <v>48276.618449619833</v>
      </c>
      <c r="H357" s="3">
        <f>+IF(F357="Pasajero",'2.2 OPEX LAP 2023'!J358*'2.1 OPEX TUUA'!$H$7,'2.2 OPEX LAP 2023'!J358*'2.1 OPEX TUUA'!$H$8)</f>
        <v>55379.805106908818</v>
      </c>
      <c r="I357" s="3">
        <f>+IF(F357="Pasajero",'2.2 OPEX LAP 2023'!K358*'2.1 OPEX TUUA'!$I$7,'2.2 OPEX LAP 2023'!K358*'2.1 OPEX TUUA'!$I$8)</f>
        <v>61223.186302550363</v>
      </c>
      <c r="J357" s="3">
        <f>+IF(F357="Pasajero",'2.2 OPEX LAP 2023'!L358*'2.1 OPEX TUUA'!$J$7,'2.2 OPEX LAP 2023'!L358*'2.1 OPEX TUUA'!$J$8)</f>
        <v>63801.824878043823</v>
      </c>
      <c r="K357" s="3">
        <f>+IF(F357="Pasajero",'2.2 OPEX LAP 2023'!M358*'2.1 OPEX TUUA'!$K$7,'2.2 OPEX LAP 2023'!M358*'2.1 OPEX TUUA'!$K$8)</f>
        <v>65229.073191619806</v>
      </c>
      <c r="L357" s="3">
        <f>+IF(F357="Pasajero",'2.2 OPEX LAP 2023'!N358*'2.1 OPEX TUUA'!$L$7,'2.2 OPEX LAP 2023'!N358*'2.1 OPEX TUUA'!$L$8)</f>
        <v>66971.120079820466</v>
      </c>
      <c r="M357" s="3"/>
      <c r="N357" s="3">
        <f>+IF(F357="Pasajero",'2.2 OPEX LAP 2023'!I358*'2.1 OPEX TUUA'!$N$7,'2.2 OPEX LAP 2023'!I358*'2.1 OPEX TUUA'!$N$8)</f>
        <v>23810.859732363089</v>
      </c>
      <c r="O357" s="3">
        <f>+IF(F357="Pasajero",'2.2 OPEX LAP 2023'!J358*'2.1 OPEX TUUA'!$O$7,'2.2 OPEX LAP 2023'!J358*'2.1 OPEX TUUA'!$O$8)</f>
        <v>22936.278728633701</v>
      </c>
      <c r="P357" s="3">
        <f>+IF(F357="Pasajero",'2.2 OPEX LAP 2023'!K358*'2.1 OPEX TUUA'!$P$7,'2.2 OPEX LAP 2023'!K358*'2.1 OPEX TUUA'!$P$8)</f>
        <v>22415.564160867492</v>
      </c>
      <c r="Q357" s="3">
        <f>+IF(F357="Pasajero",'2.2 OPEX LAP 2023'!L358*'2.1 OPEX TUUA'!$Q$7,'2.2 OPEX LAP 2023'!L358*'2.1 OPEX TUUA'!$Q$8)</f>
        <v>21903.861957151992</v>
      </c>
      <c r="R357" s="3">
        <f>+IF(F357="Pasajero",'2.2 OPEX LAP 2023'!M358*'2.1 OPEX TUUA'!$R$7,'2.2 OPEX LAP 2023'!M358*'2.1 OPEX TUUA'!$R$8)</f>
        <v>21626.4101504641</v>
      </c>
      <c r="S357" s="3">
        <f>+IF(F357="Pasajero",'2.2 OPEX LAP 2023'!N358*'2.1 OPEX TUUA'!$S$7,'2.2 OPEX LAP 2023'!N358*'2.1 OPEX TUUA'!$S$8)</f>
        <v>21285.808833444069</v>
      </c>
      <c r="AA357" s="6"/>
      <c r="AB357" s="6"/>
      <c r="AC357" s="6"/>
      <c r="AD357" s="6"/>
      <c r="AE357" s="6"/>
      <c r="AF357" s="6"/>
    </row>
    <row r="358" spans="2:32" x14ac:dyDescent="0.25">
      <c r="B358" s="16">
        <v>6320000005</v>
      </c>
      <c r="C358" s="190" t="s">
        <v>177</v>
      </c>
      <c r="D358" s="190" t="s">
        <v>40</v>
      </c>
      <c r="E358" s="190" t="s">
        <v>47</v>
      </c>
      <c r="F358" s="162" t="s">
        <v>190</v>
      </c>
      <c r="G358" s="3">
        <f>+IF(F358="Pasajero",'2.2 OPEX LAP 2023'!I359*'2.1 OPEX TUUA'!$G$7,'2.2 OPEX LAP 2023'!I359*'2.1 OPEX TUUA'!$G$8)</f>
        <v>0</v>
      </c>
      <c r="H358" s="3">
        <f>+IF(F358="Pasajero",'2.2 OPEX LAP 2023'!J359*'2.1 OPEX TUUA'!$H$7,'2.2 OPEX LAP 2023'!J359*'2.1 OPEX TUUA'!$H$8)</f>
        <v>0</v>
      </c>
      <c r="I358" s="3">
        <f>+IF(F358="Pasajero",'2.2 OPEX LAP 2023'!K359*'2.1 OPEX TUUA'!$I$7,'2.2 OPEX LAP 2023'!K359*'2.1 OPEX TUUA'!$I$8)</f>
        <v>0</v>
      </c>
      <c r="J358" s="3">
        <f>+IF(F358="Pasajero",'2.2 OPEX LAP 2023'!L359*'2.1 OPEX TUUA'!$J$7,'2.2 OPEX LAP 2023'!L359*'2.1 OPEX TUUA'!$J$8)</f>
        <v>0</v>
      </c>
      <c r="K358" s="3">
        <f>+IF(F358="Pasajero",'2.2 OPEX LAP 2023'!M359*'2.1 OPEX TUUA'!$K$7,'2.2 OPEX LAP 2023'!M359*'2.1 OPEX TUUA'!$K$8)</f>
        <v>0</v>
      </c>
      <c r="L358" s="3">
        <f>+IF(F358="Pasajero",'2.2 OPEX LAP 2023'!N359*'2.1 OPEX TUUA'!$L$7,'2.2 OPEX LAP 2023'!N359*'2.1 OPEX TUUA'!$L$8)</f>
        <v>0</v>
      </c>
      <c r="M358" s="3"/>
      <c r="N358" s="3">
        <f>+IF(F358="Pasajero",'2.2 OPEX LAP 2023'!I359*'2.1 OPEX TUUA'!$N$7,'2.2 OPEX LAP 2023'!I359*'2.1 OPEX TUUA'!$N$8)</f>
        <v>0</v>
      </c>
      <c r="O358" s="3">
        <f>+IF(F358="Pasajero",'2.2 OPEX LAP 2023'!J359*'2.1 OPEX TUUA'!$O$7,'2.2 OPEX LAP 2023'!J359*'2.1 OPEX TUUA'!$O$8)</f>
        <v>0</v>
      </c>
      <c r="P358" s="3">
        <f>+IF(F358="Pasajero",'2.2 OPEX LAP 2023'!K359*'2.1 OPEX TUUA'!$P$7,'2.2 OPEX LAP 2023'!K359*'2.1 OPEX TUUA'!$P$8)</f>
        <v>0</v>
      </c>
      <c r="Q358" s="3">
        <f>+IF(F358="Pasajero",'2.2 OPEX LAP 2023'!L359*'2.1 OPEX TUUA'!$Q$7,'2.2 OPEX LAP 2023'!L359*'2.1 OPEX TUUA'!$Q$8)</f>
        <v>0</v>
      </c>
      <c r="R358" s="3">
        <f>+IF(F358="Pasajero",'2.2 OPEX LAP 2023'!M359*'2.1 OPEX TUUA'!$R$7,'2.2 OPEX LAP 2023'!M359*'2.1 OPEX TUUA'!$R$8)</f>
        <v>0</v>
      </c>
      <c r="S358" s="3">
        <f>+IF(F358="Pasajero",'2.2 OPEX LAP 2023'!N359*'2.1 OPEX TUUA'!$S$7,'2.2 OPEX LAP 2023'!N359*'2.1 OPEX TUUA'!$S$8)</f>
        <v>0</v>
      </c>
      <c r="AA358" s="6"/>
      <c r="AB358" s="6"/>
      <c r="AC358" s="6"/>
      <c r="AD358" s="6"/>
      <c r="AE358" s="6"/>
      <c r="AF358" s="6"/>
    </row>
    <row r="359" spans="2:32" x14ac:dyDescent="0.25">
      <c r="B359" s="16">
        <v>6320000006</v>
      </c>
      <c r="C359" s="190" t="s">
        <v>177</v>
      </c>
      <c r="D359" s="190" t="s">
        <v>40</v>
      </c>
      <c r="E359" s="190" t="s">
        <v>48</v>
      </c>
      <c r="F359" s="162" t="s">
        <v>190</v>
      </c>
      <c r="G359" s="3">
        <f>+IF(F359="Pasajero",'2.2 OPEX LAP 2023'!I360*'2.1 OPEX TUUA'!$G$7,'2.2 OPEX LAP 2023'!I360*'2.1 OPEX TUUA'!$G$8)</f>
        <v>0</v>
      </c>
      <c r="H359" s="3">
        <f>+IF(F359="Pasajero",'2.2 OPEX LAP 2023'!J360*'2.1 OPEX TUUA'!$H$7,'2.2 OPEX LAP 2023'!J360*'2.1 OPEX TUUA'!$H$8)</f>
        <v>0</v>
      </c>
      <c r="I359" s="3">
        <f>+IF(F359="Pasajero",'2.2 OPEX LAP 2023'!K360*'2.1 OPEX TUUA'!$I$7,'2.2 OPEX LAP 2023'!K360*'2.1 OPEX TUUA'!$I$8)</f>
        <v>0</v>
      </c>
      <c r="J359" s="3">
        <f>+IF(F359="Pasajero",'2.2 OPEX LAP 2023'!L360*'2.1 OPEX TUUA'!$J$7,'2.2 OPEX LAP 2023'!L360*'2.1 OPEX TUUA'!$J$8)</f>
        <v>0</v>
      </c>
      <c r="K359" s="3">
        <f>+IF(F359="Pasajero",'2.2 OPEX LAP 2023'!M360*'2.1 OPEX TUUA'!$K$7,'2.2 OPEX LAP 2023'!M360*'2.1 OPEX TUUA'!$K$8)</f>
        <v>0</v>
      </c>
      <c r="L359" s="3">
        <f>+IF(F359="Pasajero",'2.2 OPEX LAP 2023'!N360*'2.1 OPEX TUUA'!$L$7,'2.2 OPEX LAP 2023'!N360*'2.1 OPEX TUUA'!$L$8)</f>
        <v>0</v>
      </c>
      <c r="M359" s="3"/>
      <c r="N359" s="3">
        <f>+IF(F359="Pasajero",'2.2 OPEX LAP 2023'!I360*'2.1 OPEX TUUA'!$N$7,'2.2 OPEX LAP 2023'!I360*'2.1 OPEX TUUA'!$N$8)</f>
        <v>0</v>
      </c>
      <c r="O359" s="3">
        <f>+IF(F359="Pasajero",'2.2 OPEX LAP 2023'!J360*'2.1 OPEX TUUA'!$O$7,'2.2 OPEX LAP 2023'!J360*'2.1 OPEX TUUA'!$O$8)</f>
        <v>0</v>
      </c>
      <c r="P359" s="3">
        <f>+IF(F359="Pasajero",'2.2 OPEX LAP 2023'!K360*'2.1 OPEX TUUA'!$P$7,'2.2 OPEX LAP 2023'!K360*'2.1 OPEX TUUA'!$P$8)</f>
        <v>0</v>
      </c>
      <c r="Q359" s="3">
        <f>+IF(F359="Pasajero",'2.2 OPEX LAP 2023'!L360*'2.1 OPEX TUUA'!$Q$7,'2.2 OPEX LAP 2023'!L360*'2.1 OPEX TUUA'!$Q$8)</f>
        <v>0</v>
      </c>
      <c r="R359" s="3">
        <f>+IF(F359="Pasajero",'2.2 OPEX LAP 2023'!M360*'2.1 OPEX TUUA'!$R$7,'2.2 OPEX LAP 2023'!M360*'2.1 OPEX TUUA'!$R$8)</f>
        <v>0</v>
      </c>
      <c r="S359" s="3">
        <f>+IF(F359="Pasajero",'2.2 OPEX LAP 2023'!N360*'2.1 OPEX TUUA'!$S$7,'2.2 OPEX LAP 2023'!N360*'2.1 OPEX TUUA'!$S$8)</f>
        <v>0</v>
      </c>
      <c r="AA359" s="6"/>
      <c r="AB359" s="6"/>
      <c r="AC359" s="6"/>
      <c r="AD359" s="6"/>
      <c r="AE359" s="6"/>
      <c r="AF359" s="6"/>
    </row>
    <row r="360" spans="2:32" x14ac:dyDescent="0.25">
      <c r="B360" s="16">
        <v>6320000007</v>
      </c>
      <c r="C360" s="190" t="s">
        <v>177</v>
      </c>
      <c r="D360" s="190" t="s">
        <v>49</v>
      </c>
      <c r="E360" s="190" t="s">
        <v>50</v>
      </c>
      <c r="F360" s="162" t="s">
        <v>190</v>
      </c>
      <c r="G360" s="3">
        <f>+IF(F360="Pasajero",'2.2 OPEX LAP 2023'!I361*'2.1 OPEX TUUA'!$G$7,'2.2 OPEX LAP 2023'!I361*'2.1 OPEX TUUA'!$G$8)</f>
        <v>0</v>
      </c>
      <c r="H360" s="3">
        <f>+IF(F360="Pasajero",'2.2 OPEX LAP 2023'!J361*'2.1 OPEX TUUA'!$H$7,'2.2 OPEX LAP 2023'!J361*'2.1 OPEX TUUA'!$H$8)</f>
        <v>0</v>
      </c>
      <c r="I360" s="3">
        <f>+IF(F360="Pasajero",'2.2 OPEX LAP 2023'!K361*'2.1 OPEX TUUA'!$I$7,'2.2 OPEX LAP 2023'!K361*'2.1 OPEX TUUA'!$I$8)</f>
        <v>0</v>
      </c>
      <c r="J360" s="3">
        <f>+IF(F360="Pasajero",'2.2 OPEX LAP 2023'!L361*'2.1 OPEX TUUA'!$J$7,'2.2 OPEX LAP 2023'!L361*'2.1 OPEX TUUA'!$J$8)</f>
        <v>0</v>
      </c>
      <c r="K360" s="3">
        <f>+IF(F360="Pasajero",'2.2 OPEX LAP 2023'!M361*'2.1 OPEX TUUA'!$K$7,'2.2 OPEX LAP 2023'!M361*'2.1 OPEX TUUA'!$K$8)</f>
        <v>0</v>
      </c>
      <c r="L360" s="3">
        <f>+IF(F360="Pasajero",'2.2 OPEX LAP 2023'!N361*'2.1 OPEX TUUA'!$L$7,'2.2 OPEX LAP 2023'!N361*'2.1 OPEX TUUA'!$L$8)</f>
        <v>0</v>
      </c>
      <c r="M360" s="3"/>
      <c r="N360" s="3">
        <f>+IF(F360="Pasajero",'2.2 OPEX LAP 2023'!I361*'2.1 OPEX TUUA'!$N$7,'2.2 OPEX LAP 2023'!I361*'2.1 OPEX TUUA'!$N$8)</f>
        <v>0</v>
      </c>
      <c r="O360" s="3">
        <f>+IF(F360="Pasajero",'2.2 OPEX LAP 2023'!J361*'2.1 OPEX TUUA'!$O$7,'2.2 OPEX LAP 2023'!J361*'2.1 OPEX TUUA'!$O$8)</f>
        <v>0</v>
      </c>
      <c r="P360" s="3">
        <f>+IF(F360="Pasajero",'2.2 OPEX LAP 2023'!K361*'2.1 OPEX TUUA'!$P$7,'2.2 OPEX LAP 2023'!K361*'2.1 OPEX TUUA'!$P$8)</f>
        <v>0</v>
      </c>
      <c r="Q360" s="3">
        <f>+IF(F360="Pasajero",'2.2 OPEX LAP 2023'!L361*'2.1 OPEX TUUA'!$Q$7,'2.2 OPEX LAP 2023'!L361*'2.1 OPEX TUUA'!$Q$8)</f>
        <v>0</v>
      </c>
      <c r="R360" s="3">
        <f>+IF(F360="Pasajero",'2.2 OPEX LAP 2023'!M361*'2.1 OPEX TUUA'!$R$7,'2.2 OPEX LAP 2023'!M361*'2.1 OPEX TUUA'!$R$8)</f>
        <v>0</v>
      </c>
      <c r="S360" s="3">
        <f>+IF(F360="Pasajero",'2.2 OPEX LAP 2023'!N361*'2.1 OPEX TUUA'!$S$7,'2.2 OPEX LAP 2023'!N361*'2.1 OPEX TUUA'!$S$8)</f>
        <v>0</v>
      </c>
      <c r="AA360" s="6"/>
      <c r="AB360" s="6"/>
      <c r="AC360" s="6"/>
      <c r="AD360" s="6"/>
      <c r="AE360" s="6"/>
      <c r="AF360" s="6"/>
    </row>
    <row r="361" spans="2:32" x14ac:dyDescent="0.25">
      <c r="B361" s="16">
        <v>6329000003</v>
      </c>
      <c r="C361" s="190" t="s">
        <v>177</v>
      </c>
      <c r="D361" s="190" t="s">
        <v>40</v>
      </c>
      <c r="E361" s="190" t="s">
        <v>51</v>
      </c>
      <c r="F361" s="162" t="s">
        <v>190</v>
      </c>
      <c r="G361" s="3">
        <f>+IF(F361="Pasajero",'2.2 OPEX LAP 2023'!I362*'2.1 OPEX TUUA'!$G$7,'2.2 OPEX LAP 2023'!I362*'2.1 OPEX TUUA'!$G$8)</f>
        <v>0</v>
      </c>
      <c r="H361" s="3">
        <f>+IF(F361="Pasajero",'2.2 OPEX LAP 2023'!J362*'2.1 OPEX TUUA'!$H$7,'2.2 OPEX LAP 2023'!J362*'2.1 OPEX TUUA'!$H$8)</f>
        <v>0</v>
      </c>
      <c r="I361" s="3">
        <f>+IF(F361="Pasajero",'2.2 OPEX LAP 2023'!K362*'2.1 OPEX TUUA'!$I$7,'2.2 OPEX LAP 2023'!K362*'2.1 OPEX TUUA'!$I$8)</f>
        <v>0</v>
      </c>
      <c r="J361" s="3">
        <f>+IF(F361="Pasajero",'2.2 OPEX LAP 2023'!L362*'2.1 OPEX TUUA'!$J$7,'2.2 OPEX LAP 2023'!L362*'2.1 OPEX TUUA'!$J$8)</f>
        <v>0</v>
      </c>
      <c r="K361" s="3">
        <f>+IF(F361="Pasajero",'2.2 OPEX LAP 2023'!M362*'2.1 OPEX TUUA'!$K$7,'2.2 OPEX LAP 2023'!M362*'2.1 OPEX TUUA'!$K$8)</f>
        <v>0</v>
      </c>
      <c r="L361" s="3">
        <f>+IF(F361="Pasajero",'2.2 OPEX LAP 2023'!N362*'2.1 OPEX TUUA'!$L$7,'2.2 OPEX LAP 2023'!N362*'2.1 OPEX TUUA'!$L$8)</f>
        <v>0</v>
      </c>
      <c r="M361" s="3"/>
      <c r="N361" s="3">
        <f>+IF(F361="Pasajero",'2.2 OPEX LAP 2023'!I362*'2.1 OPEX TUUA'!$N$7,'2.2 OPEX LAP 2023'!I362*'2.1 OPEX TUUA'!$N$8)</f>
        <v>0</v>
      </c>
      <c r="O361" s="3">
        <f>+IF(F361="Pasajero",'2.2 OPEX LAP 2023'!J362*'2.1 OPEX TUUA'!$O$7,'2.2 OPEX LAP 2023'!J362*'2.1 OPEX TUUA'!$O$8)</f>
        <v>0</v>
      </c>
      <c r="P361" s="3">
        <f>+IF(F361="Pasajero",'2.2 OPEX LAP 2023'!K362*'2.1 OPEX TUUA'!$P$7,'2.2 OPEX LAP 2023'!K362*'2.1 OPEX TUUA'!$P$8)</f>
        <v>0</v>
      </c>
      <c r="Q361" s="3">
        <f>+IF(F361="Pasajero",'2.2 OPEX LAP 2023'!L362*'2.1 OPEX TUUA'!$Q$7,'2.2 OPEX LAP 2023'!L362*'2.1 OPEX TUUA'!$Q$8)</f>
        <v>0</v>
      </c>
      <c r="R361" s="3">
        <f>+IF(F361="Pasajero",'2.2 OPEX LAP 2023'!M362*'2.1 OPEX TUUA'!$R$7,'2.2 OPEX LAP 2023'!M362*'2.1 OPEX TUUA'!$R$8)</f>
        <v>0</v>
      </c>
      <c r="S361" s="3">
        <f>+IF(F361="Pasajero",'2.2 OPEX LAP 2023'!N362*'2.1 OPEX TUUA'!$S$7,'2.2 OPEX LAP 2023'!N362*'2.1 OPEX TUUA'!$S$8)</f>
        <v>0</v>
      </c>
      <c r="AA361" s="6"/>
      <c r="AB361" s="6"/>
      <c r="AC361" s="6"/>
      <c r="AD361" s="6"/>
      <c r="AE361" s="6"/>
      <c r="AF361" s="6"/>
    </row>
    <row r="362" spans="2:32" x14ac:dyDescent="0.25">
      <c r="B362" s="16">
        <v>6341100001</v>
      </c>
      <c r="C362" s="190" t="s">
        <v>177</v>
      </c>
      <c r="D362" s="190" t="s">
        <v>52</v>
      </c>
      <c r="E362" s="190" t="s">
        <v>53</v>
      </c>
      <c r="F362" s="162" t="s">
        <v>190</v>
      </c>
      <c r="G362" s="3">
        <f>+IF(F362="Pasajero",'2.2 OPEX LAP 2023'!I363*'2.1 OPEX TUUA'!$G$7,'2.2 OPEX LAP 2023'!I363*'2.1 OPEX TUUA'!$G$8)</f>
        <v>808.14925848380585</v>
      </c>
      <c r="H362" s="3">
        <f>+IF(F362="Pasajero",'2.2 OPEX LAP 2023'!J363*'2.1 OPEX TUUA'!$H$7,'2.2 OPEX LAP 2023'!J363*'2.1 OPEX TUUA'!$H$8)</f>
        <v>927.05640679517148</v>
      </c>
      <c r="I362" s="3">
        <f>+IF(F362="Pasajero",'2.2 OPEX LAP 2023'!K363*'2.1 OPEX TUUA'!$I$7,'2.2 OPEX LAP 2023'!K363*'2.1 OPEX TUUA'!$I$8)</f>
        <v>1024.8744464995061</v>
      </c>
      <c r="J362" s="3">
        <f>+IF(F362="Pasajero",'2.2 OPEX LAP 2023'!L363*'2.1 OPEX TUUA'!$J$7,'2.2 OPEX LAP 2023'!L363*'2.1 OPEX TUUA'!$J$8)</f>
        <v>1068.0407849798514</v>
      </c>
      <c r="K362" s="3">
        <f>+IF(F362="Pasajero",'2.2 OPEX LAP 2023'!M363*'2.1 OPEX TUUA'!$K$7,'2.2 OPEX LAP 2023'!M363*'2.1 OPEX TUUA'!$K$8)</f>
        <v>1091.9328823000558</v>
      </c>
      <c r="L362" s="3">
        <f>+IF(F362="Pasajero",'2.2 OPEX LAP 2023'!N363*'2.1 OPEX TUUA'!$L$7,'2.2 OPEX LAP 2023'!N363*'2.1 OPEX TUUA'!$L$8)</f>
        <v>1121.0946990584637</v>
      </c>
      <c r="M362" s="3"/>
      <c r="N362" s="3">
        <f>+IF(F362="Pasajero",'2.2 OPEX LAP 2023'!I363*'2.1 OPEX TUUA'!$N$7,'2.2 OPEX LAP 2023'!I363*'2.1 OPEX TUUA'!$N$8)</f>
        <v>398.59313378902726</v>
      </c>
      <c r="O362" s="3">
        <f>+IF(F362="Pasajero",'2.2 OPEX LAP 2023'!J363*'2.1 OPEX TUUA'!$O$7,'2.2 OPEX LAP 2023'!J363*'2.1 OPEX TUUA'!$O$8)</f>
        <v>383.95267195996371</v>
      </c>
      <c r="P362" s="3">
        <f>+IF(F362="Pasajero",'2.2 OPEX LAP 2023'!K363*'2.1 OPEX TUUA'!$P$7,'2.2 OPEX LAP 2023'!K363*'2.1 OPEX TUUA'!$P$8)</f>
        <v>375.23592448807665</v>
      </c>
      <c r="Q362" s="3">
        <f>+IF(F362="Pasajero",'2.2 OPEX LAP 2023'!L363*'2.1 OPEX TUUA'!$Q$7,'2.2 OPEX LAP 2023'!L363*'2.1 OPEX TUUA'!$Q$8)</f>
        <v>366.67004374129732</v>
      </c>
      <c r="R362" s="3">
        <f>+IF(F362="Pasajero",'2.2 OPEX LAP 2023'!M363*'2.1 OPEX TUUA'!$R$7,'2.2 OPEX LAP 2023'!M363*'2.1 OPEX TUUA'!$R$8)</f>
        <v>362.02550816609323</v>
      </c>
      <c r="S362" s="3">
        <f>+IF(F362="Pasajero",'2.2 OPEX LAP 2023'!N363*'2.1 OPEX TUUA'!$S$7,'2.2 OPEX LAP 2023'!N363*'2.1 OPEX TUUA'!$S$8)</f>
        <v>356.32385153337788</v>
      </c>
      <c r="AA362" s="6"/>
      <c r="AB362" s="6"/>
      <c r="AC362" s="6"/>
      <c r="AD362" s="6"/>
      <c r="AE362" s="6"/>
      <c r="AF362" s="6"/>
    </row>
    <row r="363" spans="2:32" x14ac:dyDescent="0.25">
      <c r="B363" s="16">
        <v>6341100002</v>
      </c>
      <c r="C363" s="190" t="s">
        <v>177</v>
      </c>
      <c r="D363" s="190" t="s">
        <v>52</v>
      </c>
      <c r="E363" s="190" t="s">
        <v>54</v>
      </c>
      <c r="F363" s="162" t="s">
        <v>190</v>
      </c>
      <c r="G363" s="3">
        <f>+IF(F363="Pasajero",'2.2 OPEX LAP 2023'!I364*'2.1 OPEX TUUA'!$G$7,'2.2 OPEX LAP 2023'!I364*'2.1 OPEX TUUA'!$G$8)</f>
        <v>1844.5266952598256</v>
      </c>
      <c r="H363" s="3">
        <f>+IF(F363="Pasajero",'2.2 OPEX LAP 2023'!J364*'2.1 OPEX TUUA'!$H$7,'2.2 OPEX LAP 2023'!J364*'2.1 OPEX TUUA'!$H$8)</f>
        <v>2115.9213751596999</v>
      </c>
      <c r="I363" s="3">
        <f>+IF(F363="Pasajero",'2.2 OPEX LAP 2023'!K364*'2.1 OPEX TUUA'!$I$7,'2.2 OPEX LAP 2023'!K364*'2.1 OPEX TUUA'!$I$8)</f>
        <v>2339.182095402316</v>
      </c>
      <c r="J363" s="3">
        <f>+IF(F363="Pasajero",'2.2 OPEX LAP 2023'!L364*'2.1 OPEX TUUA'!$J$7,'2.2 OPEX LAP 2023'!L364*'2.1 OPEX TUUA'!$J$8)</f>
        <v>2437.7053110431975</v>
      </c>
      <c r="K363" s="3">
        <f>+IF(F363="Pasajero",'2.2 OPEX LAP 2023'!M364*'2.1 OPEX TUUA'!$K$7,'2.2 OPEX LAP 2023'!M364*'2.1 OPEX TUUA'!$K$8)</f>
        <v>2492.2368358206172</v>
      </c>
      <c r="L363" s="3">
        <f>+IF(F363="Pasajero",'2.2 OPEX LAP 2023'!N364*'2.1 OPEX TUUA'!$L$7,'2.2 OPEX LAP 2023'!N364*'2.1 OPEX TUUA'!$L$8)</f>
        <v>2558.7960127653255</v>
      </c>
      <c r="M363" s="3"/>
      <c r="N363" s="3">
        <f>+IF(F363="Pasajero",'2.2 OPEX LAP 2023'!I364*'2.1 OPEX TUUA'!$N$7,'2.2 OPEX LAP 2023'!I364*'2.1 OPEX TUUA'!$N$8)</f>
        <v>909.75233609753377</v>
      </c>
      <c r="O363" s="3">
        <f>+IF(F363="Pasajero",'2.2 OPEX LAP 2023'!J364*'2.1 OPEX TUUA'!$O$7,'2.2 OPEX LAP 2023'!J364*'2.1 OPEX TUUA'!$O$8)</f>
        <v>876.33682232807894</v>
      </c>
      <c r="P363" s="3">
        <f>+IF(F363="Pasajero",'2.2 OPEX LAP 2023'!K364*'2.1 OPEX TUUA'!$P$7,'2.2 OPEX LAP 2023'!K364*'2.1 OPEX TUUA'!$P$8)</f>
        <v>856.44164425429199</v>
      </c>
      <c r="Q363" s="3">
        <f>+IF(F363="Pasajero",'2.2 OPEX LAP 2023'!L364*'2.1 OPEX TUUA'!$Q$7,'2.2 OPEX LAP 2023'!L364*'2.1 OPEX TUUA'!$Q$8)</f>
        <v>836.89080566849725</v>
      </c>
      <c r="R363" s="3">
        <f>+IF(F363="Pasajero",'2.2 OPEX LAP 2023'!M364*'2.1 OPEX TUUA'!$R$7,'2.2 OPEX LAP 2023'!M364*'2.1 OPEX TUUA'!$R$8)</f>
        <v>826.29007843202032</v>
      </c>
      <c r="S363" s="3">
        <f>+IF(F363="Pasajero",'2.2 OPEX LAP 2023'!N364*'2.1 OPEX TUUA'!$S$7,'2.2 OPEX LAP 2023'!N364*'2.1 OPEX TUUA'!$S$8)</f>
        <v>813.27656916273042</v>
      </c>
      <c r="AA363" s="6"/>
      <c r="AB363" s="6"/>
      <c r="AC363" s="6"/>
      <c r="AD363" s="6"/>
      <c r="AE363" s="6"/>
      <c r="AF363" s="6"/>
    </row>
    <row r="364" spans="2:32" x14ac:dyDescent="0.25">
      <c r="B364" s="16">
        <v>6341100003</v>
      </c>
      <c r="C364" s="190" t="s">
        <v>177</v>
      </c>
      <c r="D364" s="190" t="s">
        <v>52</v>
      </c>
      <c r="E364" s="190" t="s">
        <v>55</v>
      </c>
      <c r="F364" s="162" t="s">
        <v>190</v>
      </c>
      <c r="G364" s="3">
        <f>+IF(F364="Pasajero",'2.2 OPEX LAP 2023'!I365*'2.1 OPEX TUUA'!$G$7,'2.2 OPEX LAP 2023'!I365*'2.1 OPEX TUUA'!$G$8)</f>
        <v>557.0288180010873</v>
      </c>
      <c r="H364" s="3">
        <f>+IF(F364="Pasajero",'2.2 OPEX LAP 2023'!J365*'2.1 OPEX TUUA'!$H$7,'2.2 OPEX LAP 2023'!J365*'2.1 OPEX TUUA'!$H$8)</f>
        <v>638.98732700228959</v>
      </c>
      <c r="I364" s="3">
        <f>+IF(F364="Pasajero",'2.2 OPEX LAP 2023'!K365*'2.1 OPEX TUUA'!$I$7,'2.2 OPEX LAP 2023'!K365*'2.1 OPEX TUUA'!$I$8)</f>
        <v>706.40985627357122</v>
      </c>
      <c r="J364" s="3">
        <f>+IF(F364="Pasajero",'2.2 OPEX LAP 2023'!L365*'2.1 OPEX TUUA'!$J$7,'2.2 OPEX LAP 2023'!L365*'2.1 OPEX TUUA'!$J$8)</f>
        <v>736.16289291713997</v>
      </c>
      <c r="K364" s="3">
        <f>+IF(F364="Pasajero",'2.2 OPEX LAP 2023'!M365*'2.1 OPEX TUUA'!$K$7,'2.2 OPEX LAP 2023'!M365*'2.1 OPEX TUUA'!$K$8)</f>
        <v>752.63087403588668</v>
      </c>
      <c r="L364" s="3">
        <f>+IF(F364="Pasajero",'2.2 OPEX LAP 2023'!N365*'2.1 OPEX TUUA'!$L$7,'2.2 OPEX LAP 2023'!N365*'2.1 OPEX TUUA'!$L$8)</f>
        <v>772.73108714525222</v>
      </c>
      <c r="M364" s="3"/>
      <c r="N364" s="3">
        <f>+IF(F364="Pasajero",'2.2 OPEX LAP 2023'!I365*'2.1 OPEX TUUA'!$N$7,'2.2 OPEX LAP 2023'!I365*'2.1 OPEX TUUA'!$N$8)</f>
        <v>274.73620726251056</v>
      </c>
      <c r="O364" s="3">
        <f>+IF(F364="Pasajero",'2.2 OPEX LAP 2023'!J365*'2.1 OPEX TUUA'!$O$7,'2.2 OPEX LAP 2023'!J365*'2.1 OPEX TUUA'!$O$8)</f>
        <v>264.64505261252242</v>
      </c>
      <c r="P364" s="3">
        <f>+IF(F364="Pasajero",'2.2 OPEX LAP 2023'!K365*'2.1 OPEX TUUA'!$P$7,'2.2 OPEX LAP 2023'!K365*'2.1 OPEX TUUA'!$P$8)</f>
        <v>258.63690561478995</v>
      </c>
      <c r="Q364" s="3">
        <f>+IF(F364="Pasajero",'2.2 OPEX LAP 2023'!L365*'2.1 OPEX TUUA'!$Q$7,'2.2 OPEX LAP 2023'!L365*'2.1 OPEX TUUA'!$Q$8)</f>
        <v>252.73274573661521</v>
      </c>
      <c r="R364" s="3">
        <f>+IF(F364="Pasajero",'2.2 OPEX LAP 2023'!M365*'2.1 OPEX TUUA'!$R$7,'2.2 OPEX LAP 2023'!M365*'2.1 OPEX TUUA'!$R$8)</f>
        <v>249.53143096157754</v>
      </c>
      <c r="S364" s="3">
        <f>+IF(F364="Pasajero",'2.2 OPEX LAP 2023'!N365*'2.1 OPEX TUUA'!$S$7,'2.2 OPEX LAP 2023'!N365*'2.1 OPEX TUUA'!$S$8)</f>
        <v>245.60147987713546</v>
      </c>
      <c r="AA364" s="6"/>
      <c r="AB364" s="6"/>
      <c r="AC364" s="6"/>
      <c r="AD364" s="6"/>
      <c r="AE364" s="6"/>
      <c r="AF364" s="6"/>
    </row>
    <row r="365" spans="2:32" x14ac:dyDescent="0.25">
      <c r="B365" s="16">
        <v>6341100004</v>
      </c>
      <c r="C365" s="190" t="s">
        <v>177</v>
      </c>
      <c r="D365" s="190" t="s">
        <v>52</v>
      </c>
      <c r="E365" s="190" t="s">
        <v>56</v>
      </c>
      <c r="F365" s="162" t="s">
        <v>190</v>
      </c>
      <c r="G365" s="3">
        <f>+IF(F365="Pasajero",'2.2 OPEX LAP 2023'!I366*'2.1 OPEX TUUA'!$G$7,'2.2 OPEX LAP 2023'!I366*'2.1 OPEX TUUA'!$G$8)</f>
        <v>515.38073679225101</v>
      </c>
      <c r="H365" s="3">
        <f>+IF(F365="Pasajero",'2.2 OPEX LAP 2023'!J366*'2.1 OPEX TUUA'!$H$7,'2.2 OPEX LAP 2023'!J366*'2.1 OPEX TUUA'!$H$8)</f>
        <v>591.21134984206196</v>
      </c>
      <c r="I365" s="3">
        <f>+IF(F365="Pasajero",'2.2 OPEX LAP 2023'!K366*'2.1 OPEX TUUA'!$I$7,'2.2 OPEX LAP 2023'!K366*'2.1 OPEX TUUA'!$I$8)</f>
        <v>653.59281322294294</v>
      </c>
      <c r="J365" s="3">
        <f>+IF(F365="Pasajero",'2.2 OPEX LAP 2023'!L366*'2.1 OPEX TUUA'!$J$7,'2.2 OPEX LAP 2023'!L366*'2.1 OPEX TUUA'!$J$8)</f>
        <v>681.121266781587</v>
      </c>
      <c r="K365" s="3">
        <f>+IF(F365="Pasajero",'2.2 OPEX LAP 2023'!M366*'2.1 OPEX TUUA'!$K$7,'2.2 OPEX LAP 2023'!M366*'2.1 OPEX TUUA'!$K$8)</f>
        <v>696.35796543735376</v>
      </c>
      <c r="L365" s="3">
        <f>+IF(F365="Pasajero",'2.2 OPEX LAP 2023'!N366*'2.1 OPEX TUUA'!$L$7,'2.2 OPEX LAP 2023'!N366*'2.1 OPEX TUUA'!$L$8)</f>
        <v>714.95532038060537</v>
      </c>
      <c r="M365" s="3"/>
      <c r="N365" s="3">
        <f>+IF(F365="Pasajero",'2.2 OPEX LAP 2023'!I366*'2.1 OPEX TUUA'!$N$7,'2.2 OPEX LAP 2023'!I366*'2.1 OPEX TUUA'!$N$8)</f>
        <v>254.19465626675156</v>
      </c>
      <c r="O365" s="3">
        <f>+IF(F365="Pasajero",'2.2 OPEX LAP 2023'!J366*'2.1 OPEX TUUA'!$O$7,'2.2 OPEX LAP 2023'!J366*'2.1 OPEX TUUA'!$O$8)</f>
        <v>244.857999794904</v>
      </c>
      <c r="P365" s="3">
        <f>+IF(F365="Pasajero",'2.2 OPEX LAP 2023'!K366*'2.1 OPEX TUUA'!$P$7,'2.2 OPEX LAP 2023'!K366*'2.1 OPEX TUUA'!$P$8)</f>
        <v>239.29907155568054</v>
      </c>
      <c r="Q365" s="3">
        <f>+IF(F365="Pasajero",'2.2 OPEX LAP 2023'!L366*'2.1 OPEX TUUA'!$Q$7,'2.2 OPEX LAP 2023'!L366*'2.1 OPEX TUUA'!$Q$8)</f>
        <v>233.83635549895581</v>
      </c>
      <c r="R365" s="3">
        <f>+IF(F365="Pasajero",'2.2 OPEX LAP 2023'!M366*'2.1 OPEX TUUA'!$R$7,'2.2 OPEX LAP 2023'!M366*'2.1 OPEX TUUA'!$R$8)</f>
        <v>230.87439749221653</v>
      </c>
      <c r="S365" s="3">
        <f>+IF(F365="Pasajero",'2.2 OPEX LAP 2023'!N366*'2.1 OPEX TUUA'!$S$7,'2.2 OPEX LAP 2023'!N366*'2.1 OPEX TUUA'!$S$8)</f>
        <v>227.23828205257817</v>
      </c>
      <c r="AA365" s="6"/>
      <c r="AB365" s="6"/>
      <c r="AC365" s="6"/>
      <c r="AD365" s="6"/>
      <c r="AE365" s="6"/>
      <c r="AF365" s="6"/>
    </row>
    <row r="366" spans="2:32" x14ac:dyDescent="0.25">
      <c r="B366" s="16">
        <v>6341100005</v>
      </c>
      <c r="C366" s="190" t="s">
        <v>177</v>
      </c>
      <c r="D366" s="190" t="s">
        <v>52</v>
      </c>
      <c r="E366" s="190" t="s">
        <v>57</v>
      </c>
      <c r="F366" s="162" t="s">
        <v>190</v>
      </c>
      <c r="G366" s="3">
        <f>+IF(F366="Pasajero",'2.2 OPEX LAP 2023'!I367*'2.1 OPEX TUUA'!$G$7,'2.2 OPEX LAP 2023'!I367*'2.1 OPEX TUUA'!$G$8)</f>
        <v>0</v>
      </c>
      <c r="H366" s="3">
        <f>+IF(F366="Pasajero",'2.2 OPEX LAP 2023'!J367*'2.1 OPEX TUUA'!$H$7,'2.2 OPEX LAP 2023'!J367*'2.1 OPEX TUUA'!$H$8)</f>
        <v>0</v>
      </c>
      <c r="I366" s="3">
        <f>+IF(F366="Pasajero",'2.2 OPEX LAP 2023'!K367*'2.1 OPEX TUUA'!$I$7,'2.2 OPEX LAP 2023'!K367*'2.1 OPEX TUUA'!$I$8)</f>
        <v>0</v>
      </c>
      <c r="J366" s="3">
        <f>+IF(F366="Pasajero",'2.2 OPEX LAP 2023'!L367*'2.1 OPEX TUUA'!$J$7,'2.2 OPEX LAP 2023'!L367*'2.1 OPEX TUUA'!$J$8)</f>
        <v>0</v>
      </c>
      <c r="K366" s="3">
        <f>+IF(F366="Pasajero",'2.2 OPEX LAP 2023'!M367*'2.1 OPEX TUUA'!$K$7,'2.2 OPEX LAP 2023'!M367*'2.1 OPEX TUUA'!$K$8)</f>
        <v>0</v>
      </c>
      <c r="L366" s="3">
        <f>+IF(F366="Pasajero",'2.2 OPEX LAP 2023'!N367*'2.1 OPEX TUUA'!$L$7,'2.2 OPEX LAP 2023'!N367*'2.1 OPEX TUUA'!$L$8)</f>
        <v>0</v>
      </c>
      <c r="M366" s="3"/>
      <c r="N366" s="3">
        <f>+IF(F366="Pasajero",'2.2 OPEX LAP 2023'!I367*'2.1 OPEX TUUA'!$N$7,'2.2 OPEX LAP 2023'!I367*'2.1 OPEX TUUA'!$N$8)</f>
        <v>0</v>
      </c>
      <c r="O366" s="3">
        <f>+IF(F366="Pasajero",'2.2 OPEX LAP 2023'!J367*'2.1 OPEX TUUA'!$O$7,'2.2 OPEX LAP 2023'!J367*'2.1 OPEX TUUA'!$O$8)</f>
        <v>0</v>
      </c>
      <c r="P366" s="3">
        <f>+IF(F366="Pasajero",'2.2 OPEX LAP 2023'!K367*'2.1 OPEX TUUA'!$P$7,'2.2 OPEX LAP 2023'!K367*'2.1 OPEX TUUA'!$P$8)</f>
        <v>0</v>
      </c>
      <c r="Q366" s="3">
        <f>+IF(F366="Pasajero",'2.2 OPEX LAP 2023'!L367*'2.1 OPEX TUUA'!$Q$7,'2.2 OPEX LAP 2023'!L367*'2.1 OPEX TUUA'!$Q$8)</f>
        <v>0</v>
      </c>
      <c r="R366" s="3">
        <f>+IF(F366="Pasajero",'2.2 OPEX LAP 2023'!M367*'2.1 OPEX TUUA'!$R$7,'2.2 OPEX LAP 2023'!M367*'2.1 OPEX TUUA'!$R$8)</f>
        <v>0</v>
      </c>
      <c r="S366" s="3">
        <f>+IF(F366="Pasajero",'2.2 OPEX LAP 2023'!N367*'2.1 OPEX TUUA'!$S$7,'2.2 OPEX LAP 2023'!N367*'2.1 OPEX TUUA'!$S$8)</f>
        <v>0</v>
      </c>
      <c r="AA366" s="6"/>
      <c r="AB366" s="6"/>
      <c r="AC366" s="6"/>
      <c r="AD366" s="6"/>
      <c r="AE366" s="6"/>
      <c r="AF366" s="6"/>
    </row>
    <row r="367" spans="2:32" x14ac:dyDescent="0.25">
      <c r="B367" s="16">
        <v>6341100007</v>
      </c>
      <c r="C367" s="190" t="s">
        <v>177</v>
      </c>
      <c r="D367" s="190" t="s">
        <v>52</v>
      </c>
      <c r="E367" s="190" t="s">
        <v>58</v>
      </c>
      <c r="F367" s="162" t="s">
        <v>190</v>
      </c>
      <c r="G367" s="3">
        <f>+IF(F367="Pasajero",'2.2 OPEX LAP 2023'!I368*'2.1 OPEX TUUA'!$G$7,'2.2 OPEX LAP 2023'!I368*'2.1 OPEX TUUA'!$G$8)</f>
        <v>0</v>
      </c>
      <c r="H367" s="3">
        <f>+IF(F367="Pasajero",'2.2 OPEX LAP 2023'!J368*'2.1 OPEX TUUA'!$H$7,'2.2 OPEX LAP 2023'!J368*'2.1 OPEX TUUA'!$H$8)</f>
        <v>0</v>
      </c>
      <c r="I367" s="3">
        <f>+IF(F367="Pasajero",'2.2 OPEX LAP 2023'!K368*'2.1 OPEX TUUA'!$I$7,'2.2 OPEX LAP 2023'!K368*'2.1 OPEX TUUA'!$I$8)</f>
        <v>0</v>
      </c>
      <c r="J367" s="3">
        <f>+IF(F367="Pasajero",'2.2 OPEX LAP 2023'!L368*'2.1 OPEX TUUA'!$J$7,'2.2 OPEX LAP 2023'!L368*'2.1 OPEX TUUA'!$J$8)</f>
        <v>0</v>
      </c>
      <c r="K367" s="3">
        <f>+IF(F367="Pasajero",'2.2 OPEX LAP 2023'!M368*'2.1 OPEX TUUA'!$K$7,'2.2 OPEX LAP 2023'!M368*'2.1 OPEX TUUA'!$K$8)</f>
        <v>0</v>
      </c>
      <c r="L367" s="3">
        <f>+IF(F367="Pasajero",'2.2 OPEX LAP 2023'!N368*'2.1 OPEX TUUA'!$L$7,'2.2 OPEX LAP 2023'!N368*'2.1 OPEX TUUA'!$L$8)</f>
        <v>0</v>
      </c>
      <c r="M367" s="3"/>
      <c r="N367" s="3">
        <f>+IF(F367="Pasajero",'2.2 OPEX LAP 2023'!I368*'2.1 OPEX TUUA'!$N$7,'2.2 OPEX LAP 2023'!I368*'2.1 OPEX TUUA'!$N$8)</f>
        <v>0</v>
      </c>
      <c r="O367" s="3">
        <f>+IF(F367="Pasajero",'2.2 OPEX LAP 2023'!J368*'2.1 OPEX TUUA'!$O$7,'2.2 OPEX LAP 2023'!J368*'2.1 OPEX TUUA'!$O$8)</f>
        <v>0</v>
      </c>
      <c r="P367" s="3">
        <f>+IF(F367="Pasajero",'2.2 OPEX LAP 2023'!K368*'2.1 OPEX TUUA'!$P$7,'2.2 OPEX LAP 2023'!K368*'2.1 OPEX TUUA'!$P$8)</f>
        <v>0</v>
      </c>
      <c r="Q367" s="3">
        <f>+IF(F367="Pasajero",'2.2 OPEX LAP 2023'!L368*'2.1 OPEX TUUA'!$Q$7,'2.2 OPEX LAP 2023'!L368*'2.1 OPEX TUUA'!$Q$8)</f>
        <v>0</v>
      </c>
      <c r="R367" s="3">
        <f>+IF(F367="Pasajero",'2.2 OPEX LAP 2023'!M368*'2.1 OPEX TUUA'!$R$7,'2.2 OPEX LAP 2023'!M368*'2.1 OPEX TUUA'!$R$8)</f>
        <v>0</v>
      </c>
      <c r="S367" s="3">
        <f>+IF(F367="Pasajero",'2.2 OPEX LAP 2023'!N368*'2.1 OPEX TUUA'!$S$7,'2.2 OPEX LAP 2023'!N368*'2.1 OPEX TUUA'!$S$8)</f>
        <v>0</v>
      </c>
      <c r="AA367" s="6"/>
      <c r="AB367" s="6"/>
      <c r="AC367" s="6"/>
      <c r="AD367" s="6"/>
      <c r="AE367" s="6"/>
      <c r="AF367" s="6"/>
    </row>
    <row r="368" spans="2:32" x14ac:dyDescent="0.25">
      <c r="B368" s="16">
        <v>6341100008</v>
      </c>
      <c r="C368" s="190" t="s">
        <v>177</v>
      </c>
      <c r="D368" s="190" t="s">
        <v>52</v>
      </c>
      <c r="E368" s="190" t="s">
        <v>59</v>
      </c>
      <c r="F368" s="162" t="s">
        <v>190</v>
      </c>
      <c r="G368" s="3">
        <f>+IF(F368="Pasajero",'2.2 OPEX LAP 2023'!I369*'2.1 OPEX TUUA'!$G$7,'2.2 OPEX LAP 2023'!I369*'2.1 OPEX TUUA'!$G$8)</f>
        <v>0</v>
      </c>
      <c r="H368" s="3">
        <f>+IF(F368="Pasajero",'2.2 OPEX LAP 2023'!J369*'2.1 OPEX TUUA'!$H$7,'2.2 OPEX LAP 2023'!J369*'2.1 OPEX TUUA'!$H$8)</f>
        <v>0</v>
      </c>
      <c r="I368" s="3">
        <f>+IF(F368="Pasajero",'2.2 OPEX LAP 2023'!K369*'2.1 OPEX TUUA'!$I$7,'2.2 OPEX LAP 2023'!K369*'2.1 OPEX TUUA'!$I$8)</f>
        <v>0</v>
      </c>
      <c r="J368" s="3">
        <f>+IF(F368="Pasajero",'2.2 OPEX LAP 2023'!L369*'2.1 OPEX TUUA'!$J$7,'2.2 OPEX LAP 2023'!L369*'2.1 OPEX TUUA'!$J$8)</f>
        <v>0</v>
      </c>
      <c r="K368" s="3">
        <f>+IF(F368="Pasajero",'2.2 OPEX LAP 2023'!M369*'2.1 OPEX TUUA'!$K$7,'2.2 OPEX LAP 2023'!M369*'2.1 OPEX TUUA'!$K$8)</f>
        <v>0</v>
      </c>
      <c r="L368" s="3">
        <f>+IF(F368="Pasajero",'2.2 OPEX LAP 2023'!N369*'2.1 OPEX TUUA'!$L$7,'2.2 OPEX LAP 2023'!N369*'2.1 OPEX TUUA'!$L$8)</f>
        <v>0</v>
      </c>
      <c r="M368" s="3"/>
      <c r="N368" s="3">
        <f>+IF(F368="Pasajero",'2.2 OPEX LAP 2023'!I369*'2.1 OPEX TUUA'!$N$7,'2.2 OPEX LAP 2023'!I369*'2.1 OPEX TUUA'!$N$8)</f>
        <v>0</v>
      </c>
      <c r="O368" s="3">
        <f>+IF(F368="Pasajero",'2.2 OPEX LAP 2023'!J369*'2.1 OPEX TUUA'!$O$7,'2.2 OPEX LAP 2023'!J369*'2.1 OPEX TUUA'!$O$8)</f>
        <v>0</v>
      </c>
      <c r="P368" s="3">
        <f>+IF(F368="Pasajero",'2.2 OPEX LAP 2023'!K369*'2.1 OPEX TUUA'!$P$7,'2.2 OPEX LAP 2023'!K369*'2.1 OPEX TUUA'!$P$8)</f>
        <v>0</v>
      </c>
      <c r="Q368" s="3">
        <f>+IF(F368="Pasajero",'2.2 OPEX LAP 2023'!L369*'2.1 OPEX TUUA'!$Q$7,'2.2 OPEX LAP 2023'!L369*'2.1 OPEX TUUA'!$Q$8)</f>
        <v>0</v>
      </c>
      <c r="R368" s="3">
        <f>+IF(F368="Pasajero",'2.2 OPEX LAP 2023'!M369*'2.1 OPEX TUUA'!$R$7,'2.2 OPEX LAP 2023'!M369*'2.1 OPEX TUUA'!$R$8)</f>
        <v>0</v>
      </c>
      <c r="S368" s="3">
        <f>+IF(F368="Pasajero",'2.2 OPEX LAP 2023'!N369*'2.1 OPEX TUUA'!$S$7,'2.2 OPEX LAP 2023'!N369*'2.1 OPEX TUUA'!$S$8)</f>
        <v>0</v>
      </c>
      <c r="AA368" s="6"/>
      <c r="AB368" s="6"/>
      <c r="AC368" s="6"/>
      <c r="AD368" s="6"/>
      <c r="AE368" s="6"/>
      <c r="AF368" s="6"/>
    </row>
    <row r="369" spans="2:32" x14ac:dyDescent="0.25">
      <c r="B369" s="16">
        <v>6341100009</v>
      </c>
      <c r="C369" s="190" t="s">
        <v>177</v>
      </c>
      <c r="D369" s="190" t="s">
        <v>52</v>
      </c>
      <c r="E369" s="190" t="s">
        <v>60</v>
      </c>
      <c r="F369" s="162" t="s">
        <v>190</v>
      </c>
      <c r="G369" s="3">
        <f>+IF(F369="Pasajero",'2.2 OPEX LAP 2023'!I370*'2.1 OPEX TUUA'!$G$7,'2.2 OPEX LAP 2023'!I370*'2.1 OPEX TUUA'!$G$8)</f>
        <v>0</v>
      </c>
      <c r="H369" s="3">
        <f>+IF(F369="Pasajero",'2.2 OPEX LAP 2023'!J370*'2.1 OPEX TUUA'!$H$7,'2.2 OPEX LAP 2023'!J370*'2.1 OPEX TUUA'!$H$8)</f>
        <v>0</v>
      </c>
      <c r="I369" s="3">
        <f>+IF(F369="Pasajero",'2.2 OPEX LAP 2023'!K370*'2.1 OPEX TUUA'!$I$7,'2.2 OPEX LAP 2023'!K370*'2.1 OPEX TUUA'!$I$8)</f>
        <v>0</v>
      </c>
      <c r="J369" s="3">
        <f>+IF(F369="Pasajero",'2.2 OPEX LAP 2023'!L370*'2.1 OPEX TUUA'!$J$7,'2.2 OPEX LAP 2023'!L370*'2.1 OPEX TUUA'!$J$8)</f>
        <v>0</v>
      </c>
      <c r="K369" s="3">
        <f>+IF(F369="Pasajero",'2.2 OPEX LAP 2023'!M370*'2.1 OPEX TUUA'!$K$7,'2.2 OPEX LAP 2023'!M370*'2.1 OPEX TUUA'!$K$8)</f>
        <v>0</v>
      </c>
      <c r="L369" s="3">
        <f>+IF(F369="Pasajero",'2.2 OPEX LAP 2023'!N370*'2.1 OPEX TUUA'!$L$7,'2.2 OPEX LAP 2023'!N370*'2.1 OPEX TUUA'!$L$8)</f>
        <v>0</v>
      </c>
      <c r="M369" s="3"/>
      <c r="N369" s="3">
        <f>+IF(F369="Pasajero",'2.2 OPEX LAP 2023'!I370*'2.1 OPEX TUUA'!$N$7,'2.2 OPEX LAP 2023'!I370*'2.1 OPEX TUUA'!$N$8)</f>
        <v>0</v>
      </c>
      <c r="O369" s="3">
        <f>+IF(F369="Pasajero",'2.2 OPEX LAP 2023'!J370*'2.1 OPEX TUUA'!$O$7,'2.2 OPEX LAP 2023'!J370*'2.1 OPEX TUUA'!$O$8)</f>
        <v>0</v>
      </c>
      <c r="P369" s="3">
        <f>+IF(F369="Pasajero",'2.2 OPEX LAP 2023'!K370*'2.1 OPEX TUUA'!$P$7,'2.2 OPEX LAP 2023'!K370*'2.1 OPEX TUUA'!$P$8)</f>
        <v>0</v>
      </c>
      <c r="Q369" s="3">
        <f>+IF(F369="Pasajero",'2.2 OPEX LAP 2023'!L370*'2.1 OPEX TUUA'!$Q$7,'2.2 OPEX LAP 2023'!L370*'2.1 OPEX TUUA'!$Q$8)</f>
        <v>0</v>
      </c>
      <c r="R369" s="3">
        <f>+IF(F369="Pasajero",'2.2 OPEX LAP 2023'!M370*'2.1 OPEX TUUA'!$R$7,'2.2 OPEX LAP 2023'!M370*'2.1 OPEX TUUA'!$R$8)</f>
        <v>0</v>
      </c>
      <c r="S369" s="3">
        <f>+IF(F369="Pasajero",'2.2 OPEX LAP 2023'!N370*'2.1 OPEX TUUA'!$S$7,'2.2 OPEX LAP 2023'!N370*'2.1 OPEX TUUA'!$S$8)</f>
        <v>0</v>
      </c>
      <c r="AA369" s="6"/>
      <c r="AB369" s="6"/>
      <c r="AC369" s="6"/>
      <c r="AD369" s="6"/>
      <c r="AE369" s="6"/>
      <c r="AF369" s="6"/>
    </row>
    <row r="370" spans="2:32" x14ac:dyDescent="0.25">
      <c r="B370" s="16">
        <v>6341100010</v>
      </c>
      <c r="C370" s="190" t="s">
        <v>177</v>
      </c>
      <c r="D370" s="190" t="s">
        <v>52</v>
      </c>
      <c r="E370" s="190" t="s">
        <v>61</v>
      </c>
      <c r="F370" s="162" t="s">
        <v>190</v>
      </c>
      <c r="G370" s="3">
        <f>+IF(F370="Pasajero",'2.2 OPEX LAP 2023'!I371*'2.1 OPEX TUUA'!$G$7,'2.2 OPEX LAP 2023'!I371*'2.1 OPEX TUUA'!$G$8)</f>
        <v>1791.2700908944937</v>
      </c>
      <c r="H370" s="3">
        <f>+IF(F370="Pasajero",'2.2 OPEX LAP 2023'!J371*'2.1 OPEX TUUA'!$H$7,'2.2 OPEX LAP 2023'!J371*'2.1 OPEX TUUA'!$H$8)</f>
        <v>2054.8288532490014</v>
      </c>
      <c r="I370" s="3">
        <f>+IF(F370="Pasajero",'2.2 OPEX LAP 2023'!K371*'2.1 OPEX TUUA'!$I$7,'2.2 OPEX LAP 2023'!K371*'2.1 OPEX TUUA'!$I$8)</f>
        <v>2271.6434169362064</v>
      </c>
      <c r="J370" s="3">
        <f>+IF(F370="Pasajero",'2.2 OPEX LAP 2023'!L371*'2.1 OPEX TUUA'!$J$7,'2.2 OPEX LAP 2023'!L371*'2.1 OPEX TUUA'!$J$8)</f>
        <v>2367.3219939336514</v>
      </c>
      <c r="K370" s="3">
        <f>+IF(F370="Pasajero",'2.2 OPEX LAP 2023'!M371*'2.1 OPEX TUUA'!$K$7,'2.2 OPEX LAP 2023'!M371*'2.1 OPEX TUUA'!$K$8)</f>
        <v>2420.2790422624657</v>
      </c>
      <c r="L370" s="3">
        <f>+IF(F370="Pasajero",'2.2 OPEX LAP 2023'!N371*'2.1 OPEX TUUA'!$L$7,'2.2 OPEX LAP 2023'!N371*'2.1 OPEX TUUA'!$L$8)</f>
        <v>2484.9164710630375</v>
      </c>
      <c r="M370" s="3"/>
      <c r="N370" s="3">
        <f>+IF(F370="Pasajero",'2.2 OPEX LAP 2023'!I371*'2.1 OPEX TUUA'!$N$7,'2.2 OPEX LAP 2023'!I371*'2.1 OPEX TUUA'!$N$8)</f>
        <v>883.48526153662158</v>
      </c>
      <c r="O370" s="3">
        <f>+IF(F370="Pasajero",'2.2 OPEX LAP 2023'!J371*'2.1 OPEX TUUA'!$O$7,'2.2 OPEX LAP 2023'!J371*'2.1 OPEX TUUA'!$O$8)</f>
        <v>851.03454637976336</v>
      </c>
      <c r="P370" s="3">
        <f>+IF(F370="Pasajero",'2.2 OPEX LAP 2023'!K371*'2.1 OPEX TUUA'!$P$7,'2.2 OPEX LAP 2023'!K371*'2.1 OPEX TUUA'!$P$8)</f>
        <v>831.7137973072895</v>
      </c>
      <c r="Q370" s="3">
        <f>+IF(F370="Pasajero",'2.2 OPEX LAP 2023'!L371*'2.1 OPEX TUUA'!$Q$7,'2.2 OPEX LAP 2023'!L371*'2.1 OPEX TUUA'!$Q$8)</f>
        <v>812.7274456862267</v>
      </c>
      <c r="R370" s="3">
        <f>+IF(F370="Pasajero",'2.2 OPEX LAP 2023'!M371*'2.1 OPEX TUUA'!$R$7,'2.2 OPEX LAP 2023'!M371*'2.1 OPEX TUUA'!$R$8)</f>
        <v>802.43279086272628</v>
      </c>
      <c r="S370" s="3">
        <f>+IF(F370="Pasajero",'2.2 OPEX LAP 2023'!N371*'2.1 OPEX TUUA'!$S$7,'2.2 OPEX LAP 2023'!N371*'2.1 OPEX TUUA'!$S$8)</f>
        <v>789.79501771931643</v>
      </c>
      <c r="AA370" s="6"/>
      <c r="AB370" s="6"/>
      <c r="AC370" s="6"/>
      <c r="AD370" s="6"/>
      <c r="AE370" s="6"/>
      <c r="AF370" s="6"/>
    </row>
    <row r="371" spans="2:32" x14ac:dyDescent="0.25">
      <c r="B371" s="16">
        <v>6342000001</v>
      </c>
      <c r="C371" s="190" t="s">
        <v>177</v>
      </c>
      <c r="D371" s="190" t="s">
        <v>52</v>
      </c>
      <c r="E371" s="190" t="s">
        <v>62</v>
      </c>
      <c r="F371" s="162" t="s">
        <v>190</v>
      </c>
      <c r="G371" s="3">
        <f>+IF(F371="Pasajero",'2.2 OPEX LAP 2023'!I372*'2.1 OPEX TUUA'!$G$7,'2.2 OPEX LAP 2023'!I372*'2.1 OPEX TUUA'!$G$8)</f>
        <v>56.447747092654929</v>
      </c>
      <c r="H371" s="3">
        <f>+IF(F371="Pasajero",'2.2 OPEX LAP 2023'!J372*'2.1 OPEX TUUA'!$H$7,'2.2 OPEX LAP 2023'!J372*'2.1 OPEX TUUA'!$H$8)</f>
        <v>64.753193846366557</v>
      </c>
      <c r="I371" s="3">
        <f>+IF(F371="Pasajero",'2.2 OPEX LAP 2023'!K372*'2.1 OPEX TUUA'!$I$7,'2.2 OPEX LAP 2023'!K372*'2.1 OPEX TUUA'!$I$8)</f>
        <v>71.585604949098766</v>
      </c>
      <c r="J371" s="3">
        <f>+IF(F371="Pasajero",'2.2 OPEX LAP 2023'!L372*'2.1 OPEX TUUA'!$J$7,'2.2 OPEX LAP 2023'!L372*'2.1 OPEX TUUA'!$J$8)</f>
        <v>74.600694713613223</v>
      </c>
      <c r="K371" s="3">
        <f>+IF(F371="Pasajero",'2.2 OPEX LAP 2023'!M372*'2.1 OPEX TUUA'!$K$7,'2.2 OPEX LAP 2023'!M372*'2.1 OPEX TUUA'!$K$8)</f>
        <v>76.269513997781416</v>
      </c>
      <c r="L371" s="3">
        <f>+IF(F371="Pasajero",'2.2 OPEX LAP 2023'!N372*'2.1 OPEX TUUA'!$L$7,'2.2 OPEX LAP 2023'!N372*'2.1 OPEX TUUA'!$L$8)</f>
        <v>78.306413543082357</v>
      </c>
      <c r="M371" s="3"/>
      <c r="N371" s="3">
        <f>+IF(F371="Pasajero",'2.2 OPEX LAP 2023'!I372*'2.1 OPEX TUUA'!$N$7,'2.2 OPEX LAP 2023'!I372*'2.1 OPEX TUUA'!$N$8)</f>
        <v>27.841001118041174</v>
      </c>
      <c r="O371" s="3">
        <f>+IF(F371="Pasajero",'2.2 OPEX LAP 2023'!J372*'2.1 OPEX TUUA'!$O$7,'2.2 OPEX LAP 2023'!J372*'2.1 OPEX TUUA'!$O$8)</f>
        <v>26.818391645878659</v>
      </c>
      <c r="P371" s="3">
        <f>+IF(F371="Pasajero",'2.2 OPEX LAP 2023'!K372*'2.1 OPEX TUUA'!$P$7,'2.2 OPEX LAP 2023'!K372*'2.1 OPEX TUUA'!$P$8)</f>
        <v>26.209542783371813</v>
      </c>
      <c r="Q371" s="3">
        <f>+IF(F371="Pasajero",'2.2 OPEX LAP 2023'!L372*'2.1 OPEX TUUA'!$Q$7,'2.2 OPEX LAP 2023'!L372*'2.1 OPEX TUUA'!$Q$8)</f>
        <v>25.611231685583768</v>
      </c>
      <c r="R371" s="3">
        <f>+IF(F371="Pasajero",'2.2 OPEX LAP 2023'!M372*'2.1 OPEX TUUA'!$R$7,'2.2 OPEX LAP 2023'!M372*'2.1 OPEX TUUA'!$R$8)</f>
        <v>25.286819373427679</v>
      </c>
      <c r="S371" s="3">
        <f>+IF(F371="Pasajero",'2.2 OPEX LAP 2023'!N372*'2.1 OPEX TUUA'!$S$7,'2.2 OPEX LAP 2023'!N372*'2.1 OPEX TUUA'!$S$8)</f>
        <v>24.888569089542621</v>
      </c>
      <c r="AA371" s="6"/>
      <c r="AB371" s="6"/>
      <c r="AC371" s="6"/>
      <c r="AD371" s="6"/>
      <c r="AE371" s="6"/>
      <c r="AF371" s="6"/>
    </row>
    <row r="372" spans="2:32" x14ac:dyDescent="0.25">
      <c r="B372" s="16">
        <v>6342000002</v>
      </c>
      <c r="C372" s="190" t="s">
        <v>177</v>
      </c>
      <c r="D372" s="190" t="s">
        <v>52</v>
      </c>
      <c r="E372" s="190" t="s">
        <v>63</v>
      </c>
      <c r="F372" s="162" t="s">
        <v>190</v>
      </c>
      <c r="G372" s="3">
        <f>+IF(F372="Pasajero",'2.2 OPEX LAP 2023'!I373*'2.1 OPEX TUUA'!$G$7,'2.2 OPEX LAP 2023'!I373*'2.1 OPEX TUUA'!$G$8)</f>
        <v>398.43972729467646</v>
      </c>
      <c r="H372" s="3">
        <f>+IF(F372="Pasajero",'2.2 OPEX LAP 2023'!J373*'2.1 OPEX TUUA'!$H$7,'2.2 OPEX LAP 2023'!J373*'2.1 OPEX TUUA'!$H$8)</f>
        <v>457.06420940513988</v>
      </c>
      <c r="I372" s="3">
        <f>+IF(F372="Pasajero",'2.2 OPEX LAP 2023'!K373*'2.1 OPEX TUUA'!$I$7,'2.2 OPEX LAP 2023'!K373*'2.1 OPEX TUUA'!$I$8)</f>
        <v>505.29118314191766</v>
      </c>
      <c r="J372" s="3">
        <f>+IF(F372="Pasajero",'2.2 OPEX LAP 2023'!L373*'2.1 OPEX TUUA'!$J$7,'2.2 OPEX LAP 2023'!L373*'2.1 OPEX TUUA'!$J$8)</f>
        <v>526.57337074756674</v>
      </c>
      <c r="K372" s="3">
        <f>+IF(F372="Pasajero",'2.2 OPEX LAP 2023'!M373*'2.1 OPEX TUUA'!$K$7,'2.2 OPEX LAP 2023'!M373*'2.1 OPEX TUUA'!$K$8)</f>
        <v>538.35282935725479</v>
      </c>
      <c r="L372" s="3">
        <f>+IF(F372="Pasajero",'2.2 OPEX LAP 2023'!N373*'2.1 OPEX TUUA'!$L$7,'2.2 OPEX LAP 2023'!N373*'2.1 OPEX TUUA'!$L$8)</f>
        <v>552.73040403750201</v>
      </c>
      <c r="M372" s="3"/>
      <c r="N372" s="3">
        <f>+IF(F372="Pasajero",'2.2 OPEX LAP 2023'!I373*'2.1 OPEX TUUA'!$N$7,'2.2 OPEX LAP 2023'!I373*'2.1 OPEX TUUA'!$N$8)</f>
        <v>196.51733619899491</v>
      </c>
      <c r="O372" s="3">
        <f>+IF(F372="Pasajero",'2.2 OPEX LAP 2023'!J373*'2.1 OPEX TUUA'!$O$7,'2.2 OPEX LAP 2023'!J373*'2.1 OPEX TUUA'!$O$8)</f>
        <v>189.29918737635745</v>
      </c>
      <c r="P372" s="3">
        <f>+IF(F372="Pasajero",'2.2 OPEX LAP 2023'!K373*'2.1 OPEX TUUA'!$P$7,'2.2 OPEX LAP 2023'!K373*'2.1 OPEX TUUA'!$P$8)</f>
        <v>185.00159203844771</v>
      </c>
      <c r="Q372" s="3">
        <f>+IF(F372="Pasajero",'2.2 OPEX LAP 2023'!L373*'2.1 OPEX TUUA'!$Q$7,'2.2 OPEX LAP 2023'!L373*'2.1 OPEX TUUA'!$Q$8)</f>
        <v>180.77837812968451</v>
      </c>
      <c r="R372" s="3">
        <f>+IF(F372="Pasajero",'2.2 OPEX LAP 2023'!M373*'2.1 OPEX TUUA'!$R$7,'2.2 OPEX LAP 2023'!M373*'2.1 OPEX TUUA'!$R$8)</f>
        <v>178.48849483329116</v>
      </c>
      <c r="S372" s="3">
        <f>+IF(F372="Pasajero",'2.2 OPEX LAP 2023'!N373*'2.1 OPEX TUUA'!$S$7,'2.2 OPEX LAP 2023'!N373*'2.1 OPEX TUUA'!$S$8)</f>
        <v>175.67742189098701</v>
      </c>
      <c r="AA372" s="6"/>
      <c r="AB372" s="6"/>
      <c r="AC372" s="6"/>
      <c r="AD372" s="6"/>
      <c r="AE372" s="6"/>
      <c r="AF372" s="6"/>
    </row>
    <row r="373" spans="2:32" x14ac:dyDescent="0.25">
      <c r="B373" s="16">
        <v>6343000001</v>
      </c>
      <c r="C373" s="190" t="s">
        <v>177</v>
      </c>
      <c r="D373" s="190" t="s">
        <v>52</v>
      </c>
      <c r="E373" s="190" t="s">
        <v>64</v>
      </c>
      <c r="F373" s="162" t="s">
        <v>190</v>
      </c>
      <c r="G373" s="3">
        <f>+IF(F373="Pasajero",'2.2 OPEX LAP 2023'!I374*'2.1 OPEX TUUA'!$G$7,'2.2 OPEX LAP 2023'!I374*'2.1 OPEX TUUA'!$G$8)</f>
        <v>13768.499818907634</v>
      </c>
      <c r="H373" s="3">
        <f>+IF(F373="Pasajero",'2.2 OPEX LAP 2023'!J374*'2.1 OPEX TUUA'!$H$7,'2.2 OPEX LAP 2023'!J374*'2.1 OPEX TUUA'!$H$8)</f>
        <v>15794.329865529729</v>
      </c>
      <c r="I373" s="3">
        <f>+IF(F373="Pasajero",'2.2 OPEX LAP 2023'!K374*'2.1 OPEX TUUA'!$I$7,'2.2 OPEX LAP 2023'!K374*'2.1 OPEX TUUA'!$I$8)</f>
        <v>17460.86317953885</v>
      </c>
      <c r="J373" s="3">
        <f>+IF(F373="Pasajero",'2.2 OPEX LAP 2023'!L374*'2.1 OPEX TUUA'!$J$7,'2.2 OPEX LAP 2023'!L374*'2.1 OPEX TUUA'!$J$8)</f>
        <v>18196.291341243279</v>
      </c>
      <c r="K373" s="3">
        <f>+IF(F373="Pasajero",'2.2 OPEX LAP 2023'!M374*'2.1 OPEX TUUA'!$K$7,'2.2 OPEX LAP 2023'!M374*'2.1 OPEX TUUA'!$K$8)</f>
        <v>18603.342803795786</v>
      </c>
      <c r="L373" s="3">
        <f>+IF(F373="Pasajero",'2.2 OPEX LAP 2023'!N374*'2.1 OPEX TUUA'!$L$7,'2.2 OPEX LAP 2023'!N374*'2.1 OPEX TUUA'!$L$8)</f>
        <v>19100.174873542965</v>
      </c>
      <c r="M373" s="3"/>
      <c r="N373" s="3">
        <f>+IF(F373="Pasajero",'2.2 OPEX LAP 2023'!I374*'2.1 OPEX TUUA'!$N$7,'2.2 OPEX LAP 2023'!I374*'2.1 OPEX TUUA'!$N$8)</f>
        <v>6790.8612583377389</v>
      </c>
      <c r="O373" s="3">
        <f>+IF(F373="Pasajero",'2.2 OPEX LAP 2023'!J374*'2.1 OPEX TUUA'!$O$7,'2.2 OPEX LAP 2023'!J374*'2.1 OPEX TUUA'!$O$8)</f>
        <v>6541.4306068509441</v>
      </c>
      <c r="P373" s="3">
        <f>+IF(F373="Pasajero",'2.2 OPEX LAP 2023'!K374*'2.1 OPEX TUUA'!$P$7,'2.2 OPEX LAP 2023'!K374*'2.1 OPEX TUUA'!$P$8)</f>
        <v>6392.9227232784124</v>
      </c>
      <c r="Q373" s="3">
        <f>+IF(F373="Pasajero",'2.2 OPEX LAP 2023'!L374*'2.1 OPEX TUUA'!$Q$7,'2.2 OPEX LAP 2023'!L374*'2.1 OPEX TUUA'!$Q$8)</f>
        <v>6246.985167470857</v>
      </c>
      <c r="R373" s="3">
        <f>+IF(F373="Pasajero",'2.2 OPEX LAP 2023'!M374*'2.1 OPEX TUUA'!$R$7,'2.2 OPEX LAP 2023'!M374*'2.1 OPEX TUUA'!$R$8)</f>
        <v>6167.8558648639564</v>
      </c>
      <c r="S373" s="3">
        <f>+IF(F373="Pasajero",'2.2 OPEX LAP 2023'!N374*'2.1 OPEX TUUA'!$S$7,'2.2 OPEX LAP 2023'!N374*'2.1 OPEX TUUA'!$S$8)</f>
        <v>6070.7163111356049</v>
      </c>
      <c r="AA373" s="6"/>
      <c r="AB373" s="6"/>
      <c r="AC373" s="6"/>
      <c r="AD373" s="6"/>
      <c r="AE373" s="6"/>
      <c r="AF373" s="6"/>
    </row>
    <row r="374" spans="2:32" x14ac:dyDescent="0.25">
      <c r="B374" s="16">
        <v>6343000002</v>
      </c>
      <c r="C374" s="190" t="s">
        <v>177</v>
      </c>
      <c r="D374" s="190" t="s">
        <v>52</v>
      </c>
      <c r="E374" s="190" t="s">
        <v>65</v>
      </c>
      <c r="F374" s="162" t="s">
        <v>190</v>
      </c>
      <c r="G374" s="3">
        <f>+IF(F374="Pasajero",'2.2 OPEX LAP 2023'!I375*'2.1 OPEX TUUA'!$G$7,'2.2 OPEX LAP 2023'!I375*'2.1 OPEX TUUA'!$G$8)</f>
        <v>3337.2824325529796</v>
      </c>
      <c r="H374" s="3">
        <f>+IF(F374="Pasajero",'2.2 OPEX LAP 2023'!J375*'2.1 OPEX TUUA'!$H$7,'2.2 OPEX LAP 2023'!J375*'2.1 OPEX TUUA'!$H$8)</f>
        <v>3828.3139258058363</v>
      </c>
      <c r="I374" s="3">
        <f>+IF(F374="Pasajero",'2.2 OPEX LAP 2023'!K375*'2.1 OPEX TUUA'!$I$7,'2.2 OPEX LAP 2023'!K375*'2.1 OPEX TUUA'!$I$8)</f>
        <v>4232.2571603817141</v>
      </c>
      <c r="J374" s="3">
        <f>+IF(F374="Pasajero",'2.2 OPEX LAP 2023'!L375*'2.1 OPEX TUUA'!$J$7,'2.2 OPEX LAP 2023'!L375*'2.1 OPEX TUUA'!$J$8)</f>
        <v>4410.5141612708376</v>
      </c>
      <c r="K374" s="3">
        <f>+IF(F374="Pasajero",'2.2 OPEX LAP 2023'!M375*'2.1 OPEX TUUA'!$K$7,'2.2 OPEX LAP 2023'!M375*'2.1 OPEX TUUA'!$K$8)</f>
        <v>4509.1774661325626</v>
      </c>
      <c r="L374" s="3">
        <f>+IF(F374="Pasajero",'2.2 OPEX LAP 2023'!N375*'2.1 OPEX TUUA'!$L$7,'2.2 OPEX LAP 2023'!N375*'2.1 OPEX TUUA'!$L$8)</f>
        <v>4629.6022734902417</v>
      </c>
      <c r="M374" s="3"/>
      <c r="N374" s="3">
        <f>+IF(F374="Pasajero",'2.2 OPEX LAP 2023'!I375*'2.1 OPEX TUUA'!$N$7,'2.2 OPEX LAP 2023'!I375*'2.1 OPEX TUUA'!$N$8)</f>
        <v>1646.0051768481771</v>
      </c>
      <c r="O374" s="3">
        <f>+IF(F374="Pasajero",'2.2 OPEX LAP 2023'!J375*'2.1 OPEX TUUA'!$O$7,'2.2 OPEX LAP 2023'!J375*'2.1 OPEX TUUA'!$O$8)</f>
        <v>1585.5468449822754</v>
      </c>
      <c r="P374" s="3">
        <f>+IF(F374="Pasajero",'2.2 OPEX LAP 2023'!K375*'2.1 OPEX TUUA'!$P$7,'2.2 OPEX LAP 2023'!K375*'2.1 OPEX TUUA'!$P$8)</f>
        <v>1549.5507119640922</v>
      </c>
      <c r="Q374" s="3">
        <f>+IF(F374="Pasajero",'2.2 OPEX LAP 2023'!L375*'2.1 OPEX TUUA'!$Q$7,'2.2 OPEX LAP 2023'!L375*'2.1 OPEX TUUA'!$Q$8)</f>
        <v>1514.1775887006954</v>
      </c>
      <c r="R374" s="3">
        <f>+IF(F374="Pasajero",'2.2 OPEX LAP 2023'!M375*'2.1 OPEX TUUA'!$R$7,'2.2 OPEX LAP 2023'!M375*'2.1 OPEX TUUA'!$R$8)</f>
        <v>1494.9978062288583</v>
      </c>
      <c r="S374" s="3">
        <f>+IF(F374="Pasajero",'2.2 OPEX LAP 2023'!N375*'2.1 OPEX TUUA'!$S$7,'2.2 OPEX LAP 2023'!N375*'2.1 OPEX TUUA'!$S$8)</f>
        <v>1471.4526030166332</v>
      </c>
      <c r="AA374" s="6"/>
      <c r="AB374" s="6"/>
      <c r="AC374" s="6"/>
      <c r="AD374" s="6"/>
      <c r="AE374" s="6"/>
      <c r="AF374" s="6"/>
    </row>
    <row r="375" spans="2:32" x14ac:dyDescent="0.25">
      <c r="B375" s="16">
        <v>6343100001</v>
      </c>
      <c r="C375" s="190" t="s">
        <v>177</v>
      </c>
      <c r="D375" s="190" t="s">
        <v>52</v>
      </c>
      <c r="E375" s="190" t="s">
        <v>66</v>
      </c>
      <c r="F375" s="162" t="s">
        <v>190</v>
      </c>
      <c r="G375" s="3">
        <f>+IF(F375="Pasajero",'2.2 OPEX LAP 2023'!I376*'2.1 OPEX TUUA'!$G$7,'2.2 OPEX LAP 2023'!I376*'2.1 OPEX TUUA'!$G$8)</f>
        <v>78.566117381804929</v>
      </c>
      <c r="H375" s="3">
        <f>+IF(F375="Pasajero",'2.2 OPEX LAP 2023'!J376*'2.1 OPEX TUUA'!$H$7,'2.2 OPEX LAP 2023'!J376*'2.1 OPEX TUUA'!$H$8)</f>
        <v>90.125953481009418</v>
      </c>
      <c r="I375" s="3">
        <f>+IF(F375="Pasajero",'2.2 OPEX LAP 2023'!K376*'2.1 OPEX TUUA'!$I$7,'2.2 OPEX LAP 2023'!K376*'2.1 OPEX TUUA'!$I$8)</f>
        <v>99.635562638960295</v>
      </c>
      <c r="J375" s="3">
        <f>+IF(F375="Pasajero",'2.2 OPEX LAP 2023'!L376*'2.1 OPEX TUUA'!$J$7,'2.2 OPEX LAP 2023'!L376*'2.1 OPEX TUUA'!$J$8)</f>
        <v>103.83207903786446</v>
      </c>
      <c r="K375" s="3">
        <f>+IF(F375="Pasajero",'2.2 OPEX LAP 2023'!M376*'2.1 OPEX TUUA'!$K$7,'2.2 OPEX LAP 2023'!M376*'2.1 OPEX TUUA'!$K$8)</f>
        <v>106.15480507250612</v>
      </c>
      <c r="L375" s="3">
        <f>+IF(F375="Pasajero",'2.2 OPEX LAP 2023'!N376*'2.1 OPEX TUUA'!$L$7,'2.2 OPEX LAP 2023'!N376*'2.1 OPEX TUUA'!$L$8)</f>
        <v>108.98983918836514</v>
      </c>
      <c r="M375" s="3"/>
      <c r="N375" s="3">
        <f>+IF(F375="Pasajero",'2.2 OPEX LAP 2023'!I376*'2.1 OPEX TUUA'!$N$7,'2.2 OPEX LAP 2023'!I376*'2.1 OPEX TUUA'!$N$8)</f>
        <v>38.750162309872017</v>
      </c>
      <c r="O375" s="3">
        <f>+IF(F375="Pasajero",'2.2 OPEX LAP 2023'!J376*'2.1 OPEX TUUA'!$O$7,'2.2 OPEX LAP 2023'!J376*'2.1 OPEX TUUA'!$O$8)</f>
        <v>37.326855624243109</v>
      </c>
      <c r="P375" s="3">
        <f>+IF(F375="Pasajero",'2.2 OPEX LAP 2023'!K376*'2.1 OPEX TUUA'!$P$7,'2.2 OPEX LAP 2023'!K376*'2.1 OPEX TUUA'!$P$8)</f>
        <v>36.479436663111251</v>
      </c>
      <c r="Q375" s="3">
        <f>+IF(F375="Pasajero",'2.2 OPEX LAP 2023'!L376*'2.1 OPEX TUUA'!$Q$7,'2.2 OPEX LAP 2023'!L376*'2.1 OPEX TUUA'!$Q$8)</f>
        <v>35.646684562969973</v>
      </c>
      <c r="R375" s="3">
        <f>+IF(F375="Pasajero",'2.2 OPEX LAP 2023'!M376*'2.1 OPEX TUUA'!$R$7,'2.2 OPEX LAP 2023'!M376*'2.1 OPEX TUUA'!$R$8)</f>
        <v>35.195155190945236</v>
      </c>
      <c r="S375" s="3">
        <f>+IF(F375="Pasajero",'2.2 OPEX LAP 2023'!N376*'2.1 OPEX TUUA'!$S$7,'2.2 OPEX LAP 2023'!N376*'2.1 OPEX TUUA'!$S$8)</f>
        <v>34.640855326688616</v>
      </c>
      <c r="AA375" s="6"/>
      <c r="AB375" s="6"/>
      <c r="AC375" s="6"/>
      <c r="AD375" s="6"/>
      <c r="AE375" s="6"/>
      <c r="AF375" s="6"/>
    </row>
    <row r="376" spans="2:32" x14ac:dyDescent="0.25">
      <c r="B376" s="16">
        <v>6343100002</v>
      </c>
      <c r="C376" s="190" t="s">
        <v>177</v>
      </c>
      <c r="D376" s="190" t="s">
        <v>52</v>
      </c>
      <c r="E376" s="190" t="s">
        <v>67</v>
      </c>
      <c r="F376" s="162" t="s">
        <v>190</v>
      </c>
      <c r="G376" s="3">
        <f>+IF(F376="Pasajero",'2.2 OPEX LAP 2023'!I377*'2.1 OPEX TUUA'!$G$7,'2.2 OPEX LAP 2023'!I377*'2.1 OPEX TUUA'!$G$8)</f>
        <v>132.40510523491335</v>
      </c>
      <c r="H376" s="3">
        <f>+IF(F376="Pasajero",'2.2 OPEX LAP 2023'!J377*'2.1 OPEX TUUA'!$H$7,'2.2 OPEX LAP 2023'!J377*'2.1 OPEX TUUA'!$H$8)</f>
        <v>151.88654795118515</v>
      </c>
      <c r="I376" s="3">
        <f>+IF(F376="Pasajero",'2.2 OPEX LAP 2023'!K377*'2.1 OPEX TUUA'!$I$7,'2.2 OPEX LAP 2023'!K377*'2.1 OPEX TUUA'!$I$8)</f>
        <v>167.91280511217579</v>
      </c>
      <c r="J376" s="3">
        <f>+IF(F376="Pasajero",'2.2 OPEX LAP 2023'!L377*'2.1 OPEX TUUA'!$J$7,'2.2 OPEX LAP 2023'!L377*'2.1 OPEX TUUA'!$J$8)</f>
        <v>174.98506748091069</v>
      </c>
      <c r="K376" s="3">
        <f>+IF(F376="Pasajero",'2.2 OPEX LAP 2023'!M377*'2.1 OPEX TUUA'!$K$7,'2.2 OPEX LAP 2023'!M377*'2.1 OPEX TUUA'!$K$8)</f>
        <v>178.89948752987473</v>
      </c>
      <c r="L376" s="3">
        <f>+IF(F376="Pasajero",'2.2 OPEX LAP 2023'!N377*'2.1 OPEX TUUA'!$L$7,'2.2 OPEX LAP 2023'!N377*'2.1 OPEX TUUA'!$L$8)</f>
        <v>183.67728491841945</v>
      </c>
      <c r="M376" s="3"/>
      <c r="N376" s="3">
        <f>+IF(F376="Pasajero",'2.2 OPEX LAP 2023'!I377*'2.1 OPEX TUUA'!$N$7,'2.2 OPEX LAP 2023'!I377*'2.1 OPEX TUUA'!$N$8)</f>
        <v>65.304478437886985</v>
      </c>
      <c r="O376" s="3">
        <f>+IF(F376="Pasajero",'2.2 OPEX LAP 2023'!J377*'2.1 OPEX TUUA'!$O$7,'2.2 OPEX LAP 2023'!J377*'2.1 OPEX TUUA'!$O$8)</f>
        <v>62.905822658876893</v>
      </c>
      <c r="P376" s="3">
        <f>+IF(F376="Pasajero",'2.2 OPEX LAP 2023'!K377*'2.1 OPEX TUUA'!$P$7,'2.2 OPEX LAP 2023'!K377*'2.1 OPEX TUUA'!$P$8)</f>
        <v>61.477693072410787</v>
      </c>
      <c r="Q376" s="3">
        <f>+IF(F376="Pasajero",'2.2 OPEX LAP 2023'!L377*'2.1 OPEX TUUA'!$Q$7,'2.2 OPEX LAP 2023'!L377*'2.1 OPEX TUUA'!$Q$8)</f>
        <v>60.074281103890421</v>
      </c>
      <c r="R376" s="3">
        <f>+IF(F376="Pasajero",'2.2 OPEX LAP 2023'!M377*'2.1 OPEX TUUA'!$R$7,'2.2 OPEX LAP 2023'!M377*'2.1 OPEX TUUA'!$R$8)</f>
        <v>59.313332287633457</v>
      </c>
      <c r="S376" s="3">
        <f>+IF(F376="Pasajero",'2.2 OPEX LAP 2023'!N377*'2.1 OPEX TUUA'!$S$7,'2.2 OPEX LAP 2023'!N377*'2.1 OPEX TUUA'!$S$8)</f>
        <v>58.379187464083948</v>
      </c>
      <c r="AA376" s="6"/>
      <c r="AB376" s="6"/>
      <c r="AC376" s="6"/>
      <c r="AD376" s="6"/>
      <c r="AE376" s="6"/>
      <c r="AF376" s="6"/>
    </row>
    <row r="377" spans="2:32" x14ac:dyDescent="0.25">
      <c r="B377" s="16">
        <v>6343100003</v>
      </c>
      <c r="C377" s="190" t="s">
        <v>177</v>
      </c>
      <c r="D377" s="190" t="s">
        <v>52</v>
      </c>
      <c r="E377" s="190" t="s">
        <v>68</v>
      </c>
      <c r="F377" s="162" t="s">
        <v>190</v>
      </c>
      <c r="G377" s="3">
        <f>+IF(F377="Pasajero",'2.2 OPEX LAP 2023'!I378*'2.1 OPEX TUUA'!$G$7,'2.2 OPEX LAP 2023'!I378*'2.1 OPEX TUUA'!$G$8)</f>
        <v>0</v>
      </c>
      <c r="H377" s="3">
        <f>+IF(F377="Pasajero",'2.2 OPEX LAP 2023'!J378*'2.1 OPEX TUUA'!$H$7,'2.2 OPEX LAP 2023'!J378*'2.1 OPEX TUUA'!$H$8)</f>
        <v>0</v>
      </c>
      <c r="I377" s="3">
        <f>+IF(F377="Pasajero",'2.2 OPEX LAP 2023'!K378*'2.1 OPEX TUUA'!$I$7,'2.2 OPEX LAP 2023'!K378*'2.1 OPEX TUUA'!$I$8)</f>
        <v>0</v>
      </c>
      <c r="J377" s="3">
        <f>+IF(F377="Pasajero",'2.2 OPEX LAP 2023'!L378*'2.1 OPEX TUUA'!$J$7,'2.2 OPEX LAP 2023'!L378*'2.1 OPEX TUUA'!$J$8)</f>
        <v>0</v>
      </c>
      <c r="K377" s="3">
        <f>+IF(F377="Pasajero",'2.2 OPEX LAP 2023'!M378*'2.1 OPEX TUUA'!$K$7,'2.2 OPEX LAP 2023'!M378*'2.1 OPEX TUUA'!$K$8)</f>
        <v>0</v>
      </c>
      <c r="L377" s="3">
        <f>+IF(F377="Pasajero",'2.2 OPEX LAP 2023'!N378*'2.1 OPEX TUUA'!$L$7,'2.2 OPEX LAP 2023'!N378*'2.1 OPEX TUUA'!$L$8)</f>
        <v>0</v>
      </c>
      <c r="M377" s="3"/>
      <c r="N377" s="3">
        <f>+IF(F377="Pasajero",'2.2 OPEX LAP 2023'!I378*'2.1 OPEX TUUA'!$N$7,'2.2 OPEX LAP 2023'!I378*'2.1 OPEX TUUA'!$N$8)</f>
        <v>0</v>
      </c>
      <c r="O377" s="3">
        <f>+IF(F377="Pasajero",'2.2 OPEX LAP 2023'!J378*'2.1 OPEX TUUA'!$O$7,'2.2 OPEX LAP 2023'!J378*'2.1 OPEX TUUA'!$O$8)</f>
        <v>0</v>
      </c>
      <c r="P377" s="3">
        <f>+IF(F377="Pasajero",'2.2 OPEX LAP 2023'!K378*'2.1 OPEX TUUA'!$P$7,'2.2 OPEX LAP 2023'!K378*'2.1 OPEX TUUA'!$P$8)</f>
        <v>0</v>
      </c>
      <c r="Q377" s="3">
        <f>+IF(F377="Pasajero",'2.2 OPEX LAP 2023'!L378*'2.1 OPEX TUUA'!$Q$7,'2.2 OPEX LAP 2023'!L378*'2.1 OPEX TUUA'!$Q$8)</f>
        <v>0</v>
      </c>
      <c r="R377" s="3">
        <f>+IF(F377="Pasajero",'2.2 OPEX LAP 2023'!M378*'2.1 OPEX TUUA'!$R$7,'2.2 OPEX LAP 2023'!M378*'2.1 OPEX TUUA'!$R$8)</f>
        <v>0</v>
      </c>
      <c r="S377" s="3">
        <f>+IF(F377="Pasajero",'2.2 OPEX LAP 2023'!N378*'2.1 OPEX TUUA'!$S$7,'2.2 OPEX LAP 2023'!N378*'2.1 OPEX TUUA'!$S$8)</f>
        <v>0</v>
      </c>
      <c r="AA377" s="6"/>
      <c r="AB377" s="6"/>
      <c r="AC377" s="6"/>
      <c r="AD377" s="6"/>
      <c r="AE377" s="6"/>
      <c r="AF377" s="6"/>
    </row>
    <row r="378" spans="2:32" x14ac:dyDescent="0.25">
      <c r="B378" s="16">
        <v>6343100004</v>
      </c>
      <c r="C378" s="190" t="s">
        <v>177</v>
      </c>
      <c r="D378" s="190" t="s">
        <v>52</v>
      </c>
      <c r="E378" s="190" t="s">
        <v>69</v>
      </c>
      <c r="F378" s="162" t="s">
        <v>190</v>
      </c>
      <c r="G378" s="3">
        <f>+IF(F378="Pasajero",'2.2 OPEX LAP 2023'!I379*'2.1 OPEX TUUA'!$G$7,'2.2 OPEX LAP 2023'!I379*'2.1 OPEX TUUA'!$G$8)</f>
        <v>0</v>
      </c>
      <c r="H378" s="3">
        <f>+IF(F378="Pasajero",'2.2 OPEX LAP 2023'!J379*'2.1 OPEX TUUA'!$H$7,'2.2 OPEX LAP 2023'!J379*'2.1 OPEX TUUA'!$H$8)</f>
        <v>0</v>
      </c>
      <c r="I378" s="3">
        <f>+IF(F378="Pasajero",'2.2 OPEX LAP 2023'!K379*'2.1 OPEX TUUA'!$I$7,'2.2 OPEX LAP 2023'!K379*'2.1 OPEX TUUA'!$I$8)</f>
        <v>0</v>
      </c>
      <c r="J378" s="3">
        <f>+IF(F378="Pasajero",'2.2 OPEX LAP 2023'!L379*'2.1 OPEX TUUA'!$J$7,'2.2 OPEX LAP 2023'!L379*'2.1 OPEX TUUA'!$J$8)</f>
        <v>0</v>
      </c>
      <c r="K378" s="3">
        <f>+IF(F378="Pasajero",'2.2 OPEX LAP 2023'!M379*'2.1 OPEX TUUA'!$K$7,'2.2 OPEX LAP 2023'!M379*'2.1 OPEX TUUA'!$K$8)</f>
        <v>0</v>
      </c>
      <c r="L378" s="3">
        <f>+IF(F378="Pasajero",'2.2 OPEX LAP 2023'!N379*'2.1 OPEX TUUA'!$L$7,'2.2 OPEX LAP 2023'!N379*'2.1 OPEX TUUA'!$L$8)</f>
        <v>0</v>
      </c>
      <c r="M378" s="3"/>
      <c r="N378" s="3">
        <f>+IF(F378="Pasajero",'2.2 OPEX LAP 2023'!I379*'2.1 OPEX TUUA'!$N$7,'2.2 OPEX LAP 2023'!I379*'2.1 OPEX TUUA'!$N$8)</f>
        <v>0</v>
      </c>
      <c r="O378" s="3">
        <f>+IF(F378="Pasajero",'2.2 OPEX LAP 2023'!J379*'2.1 OPEX TUUA'!$O$7,'2.2 OPEX LAP 2023'!J379*'2.1 OPEX TUUA'!$O$8)</f>
        <v>0</v>
      </c>
      <c r="P378" s="3">
        <f>+IF(F378="Pasajero",'2.2 OPEX LAP 2023'!K379*'2.1 OPEX TUUA'!$P$7,'2.2 OPEX LAP 2023'!K379*'2.1 OPEX TUUA'!$P$8)</f>
        <v>0</v>
      </c>
      <c r="Q378" s="3">
        <f>+IF(F378="Pasajero",'2.2 OPEX LAP 2023'!L379*'2.1 OPEX TUUA'!$Q$7,'2.2 OPEX LAP 2023'!L379*'2.1 OPEX TUUA'!$Q$8)</f>
        <v>0</v>
      </c>
      <c r="R378" s="3">
        <f>+IF(F378="Pasajero",'2.2 OPEX LAP 2023'!M379*'2.1 OPEX TUUA'!$R$7,'2.2 OPEX LAP 2023'!M379*'2.1 OPEX TUUA'!$R$8)</f>
        <v>0</v>
      </c>
      <c r="S378" s="3">
        <f>+IF(F378="Pasajero",'2.2 OPEX LAP 2023'!N379*'2.1 OPEX TUUA'!$S$7,'2.2 OPEX LAP 2023'!N379*'2.1 OPEX TUUA'!$S$8)</f>
        <v>0</v>
      </c>
      <c r="AA378" s="6"/>
      <c r="AB378" s="6"/>
      <c r="AC378" s="6"/>
      <c r="AD378" s="6"/>
      <c r="AE378" s="6"/>
      <c r="AF378" s="6"/>
    </row>
    <row r="379" spans="2:32" x14ac:dyDescent="0.25">
      <c r="B379" s="16">
        <v>6343100005</v>
      </c>
      <c r="C379" s="190" t="s">
        <v>177</v>
      </c>
      <c r="D379" s="190" t="s">
        <v>52</v>
      </c>
      <c r="E379" s="190" t="s">
        <v>70</v>
      </c>
      <c r="F379" s="162" t="s">
        <v>190</v>
      </c>
      <c r="G379" s="3">
        <f>+IF(F379="Pasajero",'2.2 OPEX LAP 2023'!I380*'2.1 OPEX TUUA'!$G$7,'2.2 OPEX LAP 2023'!I380*'2.1 OPEX TUUA'!$G$8)</f>
        <v>0</v>
      </c>
      <c r="H379" s="3">
        <f>+IF(F379="Pasajero",'2.2 OPEX LAP 2023'!J380*'2.1 OPEX TUUA'!$H$7,'2.2 OPEX LAP 2023'!J380*'2.1 OPEX TUUA'!$H$8)</f>
        <v>0</v>
      </c>
      <c r="I379" s="3">
        <f>+IF(F379="Pasajero",'2.2 OPEX LAP 2023'!K380*'2.1 OPEX TUUA'!$I$7,'2.2 OPEX LAP 2023'!K380*'2.1 OPEX TUUA'!$I$8)</f>
        <v>0</v>
      </c>
      <c r="J379" s="3">
        <f>+IF(F379="Pasajero",'2.2 OPEX LAP 2023'!L380*'2.1 OPEX TUUA'!$J$7,'2.2 OPEX LAP 2023'!L380*'2.1 OPEX TUUA'!$J$8)</f>
        <v>0</v>
      </c>
      <c r="K379" s="3">
        <f>+IF(F379="Pasajero",'2.2 OPEX LAP 2023'!M380*'2.1 OPEX TUUA'!$K$7,'2.2 OPEX LAP 2023'!M380*'2.1 OPEX TUUA'!$K$8)</f>
        <v>0</v>
      </c>
      <c r="L379" s="3">
        <f>+IF(F379="Pasajero",'2.2 OPEX LAP 2023'!N380*'2.1 OPEX TUUA'!$L$7,'2.2 OPEX LAP 2023'!N380*'2.1 OPEX TUUA'!$L$8)</f>
        <v>0</v>
      </c>
      <c r="M379" s="3"/>
      <c r="N379" s="3">
        <f>+IF(F379="Pasajero",'2.2 OPEX LAP 2023'!I380*'2.1 OPEX TUUA'!$N$7,'2.2 OPEX LAP 2023'!I380*'2.1 OPEX TUUA'!$N$8)</f>
        <v>0</v>
      </c>
      <c r="O379" s="3">
        <f>+IF(F379="Pasajero",'2.2 OPEX LAP 2023'!J380*'2.1 OPEX TUUA'!$O$7,'2.2 OPEX LAP 2023'!J380*'2.1 OPEX TUUA'!$O$8)</f>
        <v>0</v>
      </c>
      <c r="P379" s="3">
        <f>+IF(F379="Pasajero",'2.2 OPEX LAP 2023'!K380*'2.1 OPEX TUUA'!$P$7,'2.2 OPEX LAP 2023'!K380*'2.1 OPEX TUUA'!$P$8)</f>
        <v>0</v>
      </c>
      <c r="Q379" s="3">
        <f>+IF(F379="Pasajero",'2.2 OPEX LAP 2023'!L380*'2.1 OPEX TUUA'!$Q$7,'2.2 OPEX LAP 2023'!L380*'2.1 OPEX TUUA'!$Q$8)</f>
        <v>0</v>
      </c>
      <c r="R379" s="3">
        <f>+IF(F379="Pasajero",'2.2 OPEX LAP 2023'!M380*'2.1 OPEX TUUA'!$R$7,'2.2 OPEX LAP 2023'!M380*'2.1 OPEX TUUA'!$R$8)</f>
        <v>0</v>
      </c>
      <c r="S379" s="3">
        <f>+IF(F379="Pasajero",'2.2 OPEX LAP 2023'!N380*'2.1 OPEX TUUA'!$S$7,'2.2 OPEX LAP 2023'!N380*'2.1 OPEX TUUA'!$S$8)</f>
        <v>0</v>
      </c>
      <c r="AA379" s="6"/>
      <c r="AB379" s="6"/>
      <c r="AC379" s="6"/>
      <c r="AD379" s="6"/>
      <c r="AE379" s="6"/>
      <c r="AF379" s="6"/>
    </row>
    <row r="380" spans="2:32" x14ac:dyDescent="0.25">
      <c r="B380" s="16">
        <v>6343100006</v>
      </c>
      <c r="C380" s="190" t="s">
        <v>177</v>
      </c>
      <c r="D380" s="190" t="s">
        <v>52</v>
      </c>
      <c r="E380" s="190" t="s">
        <v>71</v>
      </c>
      <c r="F380" s="162" t="s">
        <v>190</v>
      </c>
      <c r="G380" s="3">
        <f>+IF(F380="Pasajero",'2.2 OPEX LAP 2023'!I381*'2.1 OPEX TUUA'!$G$7,'2.2 OPEX LAP 2023'!I381*'2.1 OPEX TUUA'!$G$8)</f>
        <v>0</v>
      </c>
      <c r="H380" s="3">
        <f>+IF(F380="Pasajero",'2.2 OPEX LAP 2023'!J381*'2.1 OPEX TUUA'!$H$7,'2.2 OPEX LAP 2023'!J381*'2.1 OPEX TUUA'!$H$8)</f>
        <v>0</v>
      </c>
      <c r="I380" s="3">
        <f>+IF(F380="Pasajero",'2.2 OPEX LAP 2023'!K381*'2.1 OPEX TUUA'!$I$7,'2.2 OPEX LAP 2023'!K381*'2.1 OPEX TUUA'!$I$8)</f>
        <v>0</v>
      </c>
      <c r="J380" s="3">
        <f>+IF(F380="Pasajero",'2.2 OPEX LAP 2023'!L381*'2.1 OPEX TUUA'!$J$7,'2.2 OPEX LAP 2023'!L381*'2.1 OPEX TUUA'!$J$8)</f>
        <v>0</v>
      </c>
      <c r="K380" s="3">
        <f>+IF(F380="Pasajero",'2.2 OPEX LAP 2023'!M381*'2.1 OPEX TUUA'!$K$7,'2.2 OPEX LAP 2023'!M381*'2.1 OPEX TUUA'!$K$8)</f>
        <v>0</v>
      </c>
      <c r="L380" s="3">
        <f>+IF(F380="Pasajero",'2.2 OPEX LAP 2023'!N381*'2.1 OPEX TUUA'!$L$7,'2.2 OPEX LAP 2023'!N381*'2.1 OPEX TUUA'!$L$8)</f>
        <v>0</v>
      </c>
      <c r="M380" s="3"/>
      <c r="N380" s="3">
        <f>+IF(F380="Pasajero",'2.2 OPEX LAP 2023'!I381*'2.1 OPEX TUUA'!$N$7,'2.2 OPEX LAP 2023'!I381*'2.1 OPEX TUUA'!$N$8)</f>
        <v>0</v>
      </c>
      <c r="O380" s="3">
        <f>+IF(F380="Pasajero",'2.2 OPEX LAP 2023'!J381*'2.1 OPEX TUUA'!$O$7,'2.2 OPEX LAP 2023'!J381*'2.1 OPEX TUUA'!$O$8)</f>
        <v>0</v>
      </c>
      <c r="P380" s="3">
        <f>+IF(F380="Pasajero",'2.2 OPEX LAP 2023'!K381*'2.1 OPEX TUUA'!$P$7,'2.2 OPEX LAP 2023'!K381*'2.1 OPEX TUUA'!$P$8)</f>
        <v>0</v>
      </c>
      <c r="Q380" s="3">
        <f>+IF(F380="Pasajero",'2.2 OPEX LAP 2023'!L381*'2.1 OPEX TUUA'!$Q$7,'2.2 OPEX LAP 2023'!L381*'2.1 OPEX TUUA'!$Q$8)</f>
        <v>0</v>
      </c>
      <c r="R380" s="3">
        <f>+IF(F380="Pasajero",'2.2 OPEX LAP 2023'!M381*'2.1 OPEX TUUA'!$R$7,'2.2 OPEX LAP 2023'!M381*'2.1 OPEX TUUA'!$R$8)</f>
        <v>0</v>
      </c>
      <c r="S380" s="3">
        <f>+IF(F380="Pasajero",'2.2 OPEX LAP 2023'!N381*'2.1 OPEX TUUA'!$S$7,'2.2 OPEX LAP 2023'!N381*'2.1 OPEX TUUA'!$S$8)</f>
        <v>0</v>
      </c>
      <c r="AA380" s="6"/>
      <c r="AB380" s="6"/>
      <c r="AC380" s="6"/>
      <c r="AD380" s="6"/>
      <c r="AE380" s="6"/>
      <c r="AF380" s="6"/>
    </row>
    <row r="381" spans="2:32" x14ac:dyDescent="0.25">
      <c r="B381" s="16">
        <v>6343100007</v>
      </c>
      <c r="C381" s="190" t="s">
        <v>177</v>
      </c>
      <c r="D381" s="190" t="s">
        <v>52</v>
      </c>
      <c r="E381" s="190" t="s">
        <v>72</v>
      </c>
      <c r="F381" s="162" t="s">
        <v>190</v>
      </c>
      <c r="G381" s="3">
        <f>+IF(F381="Pasajero",'2.2 OPEX LAP 2023'!I382*'2.1 OPEX TUUA'!$G$7,'2.2 OPEX LAP 2023'!I382*'2.1 OPEX TUUA'!$G$8)</f>
        <v>0</v>
      </c>
      <c r="H381" s="3">
        <f>+IF(F381="Pasajero",'2.2 OPEX LAP 2023'!J382*'2.1 OPEX TUUA'!$H$7,'2.2 OPEX LAP 2023'!J382*'2.1 OPEX TUUA'!$H$8)</f>
        <v>0</v>
      </c>
      <c r="I381" s="3">
        <f>+IF(F381="Pasajero",'2.2 OPEX LAP 2023'!K382*'2.1 OPEX TUUA'!$I$7,'2.2 OPEX LAP 2023'!K382*'2.1 OPEX TUUA'!$I$8)</f>
        <v>0</v>
      </c>
      <c r="J381" s="3">
        <f>+IF(F381="Pasajero",'2.2 OPEX LAP 2023'!L382*'2.1 OPEX TUUA'!$J$7,'2.2 OPEX LAP 2023'!L382*'2.1 OPEX TUUA'!$J$8)</f>
        <v>0</v>
      </c>
      <c r="K381" s="3">
        <f>+IF(F381="Pasajero",'2.2 OPEX LAP 2023'!M382*'2.1 OPEX TUUA'!$K$7,'2.2 OPEX LAP 2023'!M382*'2.1 OPEX TUUA'!$K$8)</f>
        <v>0</v>
      </c>
      <c r="L381" s="3">
        <f>+IF(F381="Pasajero",'2.2 OPEX LAP 2023'!N382*'2.1 OPEX TUUA'!$L$7,'2.2 OPEX LAP 2023'!N382*'2.1 OPEX TUUA'!$L$8)</f>
        <v>0</v>
      </c>
      <c r="M381" s="3"/>
      <c r="N381" s="3">
        <f>+IF(F381="Pasajero",'2.2 OPEX LAP 2023'!I382*'2.1 OPEX TUUA'!$N$7,'2.2 OPEX LAP 2023'!I382*'2.1 OPEX TUUA'!$N$8)</f>
        <v>0</v>
      </c>
      <c r="O381" s="3">
        <f>+IF(F381="Pasajero",'2.2 OPEX LAP 2023'!J382*'2.1 OPEX TUUA'!$O$7,'2.2 OPEX LAP 2023'!J382*'2.1 OPEX TUUA'!$O$8)</f>
        <v>0</v>
      </c>
      <c r="P381" s="3">
        <f>+IF(F381="Pasajero",'2.2 OPEX LAP 2023'!K382*'2.1 OPEX TUUA'!$P$7,'2.2 OPEX LAP 2023'!K382*'2.1 OPEX TUUA'!$P$8)</f>
        <v>0</v>
      </c>
      <c r="Q381" s="3">
        <f>+IF(F381="Pasajero",'2.2 OPEX LAP 2023'!L382*'2.1 OPEX TUUA'!$Q$7,'2.2 OPEX LAP 2023'!L382*'2.1 OPEX TUUA'!$Q$8)</f>
        <v>0</v>
      </c>
      <c r="R381" s="3">
        <f>+IF(F381="Pasajero",'2.2 OPEX LAP 2023'!M382*'2.1 OPEX TUUA'!$R$7,'2.2 OPEX LAP 2023'!M382*'2.1 OPEX TUUA'!$R$8)</f>
        <v>0</v>
      </c>
      <c r="S381" s="3">
        <f>+IF(F381="Pasajero",'2.2 OPEX LAP 2023'!N382*'2.1 OPEX TUUA'!$S$7,'2.2 OPEX LAP 2023'!N382*'2.1 OPEX TUUA'!$S$8)</f>
        <v>0</v>
      </c>
      <c r="AA381" s="6"/>
      <c r="AB381" s="6"/>
      <c r="AC381" s="6"/>
      <c r="AD381" s="6"/>
      <c r="AE381" s="6"/>
      <c r="AF381" s="6"/>
    </row>
    <row r="382" spans="2:32" x14ac:dyDescent="0.25">
      <c r="B382" s="16">
        <v>6343100008</v>
      </c>
      <c r="C382" s="190" t="s">
        <v>177</v>
      </c>
      <c r="D382" s="190" t="s">
        <v>52</v>
      </c>
      <c r="E382" s="190" t="s">
        <v>73</v>
      </c>
      <c r="F382" s="162" t="s">
        <v>190</v>
      </c>
      <c r="G382" s="3">
        <f>+IF(F382="Pasajero",'2.2 OPEX LAP 2023'!I383*'2.1 OPEX TUUA'!$G$7,'2.2 OPEX LAP 2023'!I383*'2.1 OPEX TUUA'!$G$8)</f>
        <v>0</v>
      </c>
      <c r="H382" s="3">
        <f>+IF(F382="Pasajero",'2.2 OPEX LAP 2023'!J383*'2.1 OPEX TUUA'!$H$7,'2.2 OPEX LAP 2023'!J383*'2.1 OPEX TUUA'!$H$8)</f>
        <v>0</v>
      </c>
      <c r="I382" s="3">
        <f>+IF(F382="Pasajero",'2.2 OPEX LAP 2023'!K383*'2.1 OPEX TUUA'!$I$7,'2.2 OPEX LAP 2023'!K383*'2.1 OPEX TUUA'!$I$8)</f>
        <v>0</v>
      </c>
      <c r="J382" s="3">
        <f>+IF(F382="Pasajero",'2.2 OPEX LAP 2023'!L383*'2.1 OPEX TUUA'!$J$7,'2.2 OPEX LAP 2023'!L383*'2.1 OPEX TUUA'!$J$8)</f>
        <v>0</v>
      </c>
      <c r="K382" s="3">
        <f>+IF(F382="Pasajero",'2.2 OPEX LAP 2023'!M383*'2.1 OPEX TUUA'!$K$7,'2.2 OPEX LAP 2023'!M383*'2.1 OPEX TUUA'!$K$8)</f>
        <v>0</v>
      </c>
      <c r="L382" s="3">
        <f>+IF(F382="Pasajero",'2.2 OPEX LAP 2023'!N383*'2.1 OPEX TUUA'!$L$7,'2.2 OPEX LAP 2023'!N383*'2.1 OPEX TUUA'!$L$8)</f>
        <v>0</v>
      </c>
      <c r="M382" s="3"/>
      <c r="N382" s="3">
        <f>+IF(F382="Pasajero",'2.2 OPEX LAP 2023'!I383*'2.1 OPEX TUUA'!$N$7,'2.2 OPEX LAP 2023'!I383*'2.1 OPEX TUUA'!$N$8)</f>
        <v>0</v>
      </c>
      <c r="O382" s="3">
        <f>+IF(F382="Pasajero",'2.2 OPEX LAP 2023'!J383*'2.1 OPEX TUUA'!$O$7,'2.2 OPEX LAP 2023'!J383*'2.1 OPEX TUUA'!$O$8)</f>
        <v>0</v>
      </c>
      <c r="P382" s="3">
        <f>+IF(F382="Pasajero",'2.2 OPEX LAP 2023'!K383*'2.1 OPEX TUUA'!$P$7,'2.2 OPEX LAP 2023'!K383*'2.1 OPEX TUUA'!$P$8)</f>
        <v>0</v>
      </c>
      <c r="Q382" s="3">
        <f>+IF(F382="Pasajero",'2.2 OPEX LAP 2023'!L383*'2.1 OPEX TUUA'!$Q$7,'2.2 OPEX LAP 2023'!L383*'2.1 OPEX TUUA'!$Q$8)</f>
        <v>0</v>
      </c>
      <c r="R382" s="3">
        <f>+IF(F382="Pasajero",'2.2 OPEX LAP 2023'!M383*'2.1 OPEX TUUA'!$R$7,'2.2 OPEX LAP 2023'!M383*'2.1 OPEX TUUA'!$R$8)</f>
        <v>0</v>
      </c>
      <c r="S382" s="3">
        <f>+IF(F382="Pasajero",'2.2 OPEX LAP 2023'!N383*'2.1 OPEX TUUA'!$S$7,'2.2 OPEX LAP 2023'!N383*'2.1 OPEX TUUA'!$S$8)</f>
        <v>0</v>
      </c>
      <c r="AA382" s="6"/>
      <c r="AB382" s="6"/>
      <c r="AC382" s="6"/>
      <c r="AD382" s="6"/>
      <c r="AE382" s="6"/>
      <c r="AF382" s="6"/>
    </row>
    <row r="383" spans="2:32" x14ac:dyDescent="0.25">
      <c r="B383" s="16">
        <v>6343100009</v>
      </c>
      <c r="C383" s="190" t="s">
        <v>177</v>
      </c>
      <c r="D383" s="190" t="s">
        <v>52</v>
      </c>
      <c r="E383" s="190" t="s">
        <v>74</v>
      </c>
      <c r="F383" s="162" t="s">
        <v>190</v>
      </c>
      <c r="G383" s="3">
        <f>+IF(F383="Pasajero",'2.2 OPEX LAP 2023'!I384*'2.1 OPEX TUUA'!$G$7,'2.2 OPEX LAP 2023'!I384*'2.1 OPEX TUUA'!$G$8)</f>
        <v>0</v>
      </c>
      <c r="H383" s="3">
        <f>+IF(F383="Pasajero",'2.2 OPEX LAP 2023'!J384*'2.1 OPEX TUUA'!$H$7,'2.2 OPEX LAP 2023'!J384*'2.1 OPEX TUUA'!$H$8)</f>
        <v>0</v>
      </c>
      <c r="I383" s="3">
        <f>+IF(F383="Pasajero",'2.2 OPEX LAP 2023'!K384*'2.1 OPEX TUUA'!$I$7,'2.2 OPEX LAP 2023'!K384*'2.1 OPEX TUUA'!$I$8)</f>
        <v>0</v>
      </c>
      <c r="J383" s="3">
        <f>+IF(F383="Pasajero",'2.2 OPEX LAP 2023'!L384*'2.1 OPEX TUUA'!$J$7,'2.2 OPEX LAP 2023'!L384*'2.1 OPEX TUUA'!$J$8)</f>
        <v>0</v>
      </c>
      <c r="K383" s="3">
        <f>+IF(F383="Pasajero",'2.2 OPEX LAP 2023'!M384*'2.1 OPEX TUUA'!$K$7,'2.2 OPEX LAP 2023'!M384*'2.1 OPEX TUUA'!$K$8)</f>
        <v>0</v>
      </c>
      <c r="L383" s="3">
        <f>+IF(F383="Pasajero",'2.2 OPEX LAP 2023'!N384*'2.1 OPEX TUUA'!$L$7,'2.2 OPEX LAP 2023'!N384*'2.1 OPEX TUUA'!$L$8)</f>
        <v>0</v>
      </c>
      <c r="M383" s="3"/>
      <c r="N383" s="3">
        <f>+IF(F383="Pasajero",'2.2 OPEX LAP 2023'!I384*'2.1 OPEX TUUA'!$N$7,'2.2 OPEX LAP 2023'!I384*'2.1 OPEX TUUA'!$N$8)</f>
        <v>0</v>
      </c>
      <c r="O383" s="3">
        <f>+IF(F383="Pasajero",'2.2 OPEX LAP 2023'!J384*'2.1 OPEX TUUA'!$O$7,'2.2 OPEX LAP 2023'!J384*'2.1 OPEX TUUA'!$O$8)</f>
        <v>0</v>
      </c>
      <c r="P383" s="3">
        <f>+IF(F383="Pasajero",'2.2 OPEX LAP 2023'!K384*'2.1 OPEX TUUA'!$P$7,'2.2 OPEX LAP 2023'!K384*'2.1 OPEX TUUA'!$P$8)</f>
        <v>0</v>
      </c>
      <c r="Q383" s="3">
        <f>+IF(F383="Pasajero",'2.2 OPEX LAP 2023'!L384*'2.1 OPEX TUUA'!$Q$7,'2.2 OPEX LAP 2023'!L384*'2.1 OPEX TUUA'!$Q$8)</f>
        <v>0</v>
      </c>
      <c r="R383" s="3">
        <f>+IF(F383="Pasajero",'2.2 OPEX LAP 2023'!M384*'2.1 OPEX TUUA'!$R$7,'2.2 OPEX LAP 2023'!M384*'2.1 OPEX TUUA'!$R$8)</f>
        <v>0</v>
      </c>
      <c r="S383" s="3">
        <f>+IF(F383="Pasajero",'2.2 OPEX LAP 2023'!N384*'2.1 OPEX TUUA'!$S$7,'2.2 OPEX LAP 2023'!N384*'2.1 OPEX TUUA'!$S$8)</f>
        <v>0</v>
      </c>
      <c r="AA383" s="6"/>
      <c r="AB383" s="6"/>
      <c r="AC383" s="6"/>
      <c r="AD383" s="6"/>
      <c r="AE383" s="6"/>
      <c r="AF383" s="6"/>
    </row>
    <row r="384" spans="2:32" x14ac:dyDescent="0.25">
      <c r="B384" s="16">
        <v>6343100010</v>
      </c>
      <c r="C384" s="190" t="s">
        <v>177</v>
      </c>
      <c r="D384" s="190" t="s">
        <v>52</v>
      </c>
      <c r="E384" s="190" t="s">
        <v>75</v>
      </c>
      <c r="F384" s="162" t="s">
        <v>190</v>
      </c>
      <c r="G384" s="3">
        <f>+IF(F384="Pasajero",'2.2 OPEX LAP 2023'!I385*'2.1 OPEX TUUA'!$G$7,'2.2 OPEX LAP 2023'!I385*'2.1 OPEX TUUA'!$G$8)</f>
        <v>0</v>
      </c>
      <c r="H384" s="3">
        <f>+IF(F384="Pasajero",'2.2 OPEX LAP 2023'!J385*'2.1 OPEX TUUA'!$H$7,'2.2 OPEX LAP 2023'!J385*'2.1 OPEX TUUA'!$H$8)</f>
        <v>0</v>
      </c>
      <c r="I384" s="3">
        <f>+IF(F384="Pasajero",'2.2 OPEX LAP 2023'!K385*'2.1 OPEX TUUA'!$I$7,'2.2 OPEX LAP 2023'!K385*'2.1 OPEX TUUA'!$I$8)</f>
        <v>0</v>
      </c>
      <c r="J384" s="3">
        <f>+IF(F384="Pasajero",'2.2 OPEX LAP 2023'!L385*'2.1 OPEX TUUA'!$J$7,'2.2 OPEX LAP 2023'!L385*'2.1 OPEX TUUA'!$J$8)</f>
        <v>0</v>
      </c>
      <c r="K384" s="3">
        <f>+IF(F384="Pasajero",'2.2 OPEX LAP 2023'!M385*'2.1 OPEX TUUA'!$K$7,'2.2 OPEX LAP 2023'!M385*'2.1 OPEX TUUA'!$K$8)</f>
        <v>0</v>
      </c>
      <c r="L384" s="3">
        <f>+IF(F384="Pasajero",'2.2 OPEX LAP 2023'!N385*'2.1 OPEX TUUA'!$L$7,'2.2 OPEX LAP 2023'!N385*'2.1 OPEX TUUA'!$L$8)</f>
        <v>0</v>
      </c>
      <c r="M384" s="3"/>
      <c r="N384" s="3">
        <f>+IF(F384="Pasajero",'2.2 OPEX LAP 2023'!I385*'2.1 OPEX TUUA'!$N$7,'2.2 OPEX LAP 2023'!I385*'2.1 OPEX TUUA'!$N$8)</f>
        <v>0</v>
      </c>
      <c r="O384" s="3">
        <f>+IF(F384="Pasajero",'2.2 OPEX LAP 2023'!J385*'2.1 OPEX TUUA'!$O$7,'2.2 OPEX LAP 2023'!J385*'2.1 OPEX TUUA'!$O$8)</f>
        <v>0</v>
      </c>
      <c r="P384" s="3">
        <f>+IF(F384="Pasajero",'2.2 OPEX LAP 2023'!K385*'2.1 OPEX TUUA'!$P$7,'2.2 OPEX LAP 2023'!K385*'2.1 OPEX TUUA'!$P$8)</f>
        <v>0</v>
      </c>
      <c r="Q384" s="3">
        <f>+IF(F384="Pasajero",'2.2 OPEX LAP 2023'!L385*'2.1 OPEX TUUA'!$Q$7,'2.2 OPEX LAP 2023'!L385*'2.1 OPEX TUUA'!$Q$8)</f>
        <v>0</v>
      </c>
      <c r="R384" s="3">
        <f>+IF(F384="Pasajero",'2.2 OPEX LAP 2023'!M385*'2.1 OPEX TUUA'!$R$7,'2.2 OPEX LAP 2023'!M385*'2.1 OPEX TUUA'!$R$8)</f>
        <v>0</v>
      </c>
      <c r="S384" s="3">
        <f>+IF(F384="Pasajero",'2.2 OPEX LAP 2023'!N385*'2.1 OPEX TUUA'!$S$7,'2.2 OPEX LAP 2023'!N385*'2.1 OPEX TUUA'!$S$8)</f>
        <v>0</v>
      </c>
      <c r="AA384" s="6"/>
      <c r="AB384" s="6"/>
      <c r="AC384" s="6"/>
      <c r="AD384" s="6"/>
      <c r="AE384" s="6"/>
      <c r="AF384" s="6"/>
    </row>
    <row r="385" spans="2:32" x14ac:dyDescent="0.25">
      <c r="B385" s="16">
        <v>6343100011</v>
      </c>
      <c r="C385" s="190" t="s">
        <v>177</v>
      </c>
      <c r="D385" s="190" t="s">
        <v>52</v>
      </c>
      <c r="E385" s="190" t="s">
        <v>76</v>
      </c>
      <c r="F385" s="162" t="s">
        <v>190</v>
      </c>
      <c r="G385" s="3">
        <f>+IF(F385="Pasajero",'2.2 OPEX LAP 2023'!I386*'2.1 OPEX TUUA'!$G$7,'2.2 OPEX LAP 2023'!I386*'2.1 OPEX TUUA'!$G$8)</f>
        <v>0</v>
      </c>
      <c r="H385" s="3">
        <f>+IF(F385="Pasajero",'2.2 OPEX LAP 2023'!J386*'2.1 OPEX TUUA'!$H$7,'2.2 OPEX LAP 2023'!J386*'2.1 OPEX TUUA'!$H$8)</f>
        <v>0</v>
      </c>
      <c r="I385" s="3">
        <f>+IF(F385="Pasajero",'2.2 OPEX LAP 2023'!K386*'2.1 OPEX TUUA'!$I$7,'2.2 OPEX LAP 2023'!K386*'2.1 OPEX TUUA'!$I$8)</f>
        <v>0</v>
      </c>
      <c r="J385" s="3">
        <f>+IF(F385="Pasajero",'2.2 OPEX LAP 2023'!L386*'2.1 OPEX TUUA'!$J$7,'2.2 OPEX LAP 2023'!L386*'2.1 OPEX TUUA'!$J$8)</f>
        <v>0</v>
      </c>
      <c r="K385" s="3">
        <f>+IF(F385="Pasajero",'2.2 OPEX LAP 2023'!M386*'2.1 OPEX TUUA'!$K$7,'2.2 OPEX LAP 2023'!M386*'2.1 OPEX TUUA'!$K$8)</f>
        <v>0</v>
      </c>
      <c r="L385" s="3">
        <f>+IF(F385="Pasajero",'2.2 OPEX LAP 2023'!N386*'2.1 OPEX TUUA'!$L$7,'2.2 OPEX LAP 2023'!N386*'2.1 OPEX TUUA'!$L$8)</f>
        <v>0</v>
      </c>
      <c r="M385" s="3"/>
      <c r="N385" s="3">
        <f>+IF(F385="Pasajero",'2.2 OPEX LAP 2023'!I386*'2.1 OPEX TUUA'!$N$7,'2.2 OPEX LAP 2023'!I386*'2.1 OPEX TUUA'!$N$8)</f>
        <v>0</v>
      </c>
      <c r="O385" s="3">
        <f>+IF(F385="Pasajero",'2.2 OPEX LAP 2023'!J386*'2.1 OPEX TUUA'!$O$7,'2.2 OPEX LAP 2023'!J386*'2.1 OPEX TUUA'!$O$8)</f>
        <v>0</v>
      </c>
      <c r="P385" s="3">
        <f>+IF(F385="Pasajero",'2.2 OPEX LAP 2023'!K386*'2.1 OPEX TUUA'!$P$7,'2.2 OPEX LAP 2023'!K386*'2.1 OPEX TUUA'!$P$8)</f>
        <v>0</v>
      </c>
      <c r="Q385" s="3">
        <f>+IF(F385="Pasajero",'2.2 OPEX LAP 2023'!L386*'2.1 OPEX TUUA'!$Q$7,'2.2 OPEX LAP 2023'!L386*'2.1 OPEX TUUA'!$Q$8)</f>
        <v>0</v>
      </c>
      <c r="R385" s="3">
        <f>+IF(F385="Pasajero",'2.2 OPEX LAP 2023'!M386*'2.1 OPEX TUUA'!$R$7,'2.2 OPEX LAP 2023'!M386*'2.1 OPEX TUUA'!$R$8)</f>
        <v>0</v>
      </c>
      <c r="S385" s="3">
        <f>+IF(F385="Pasajero",'2.2 OPEX LAP 2023'!N386*'2.1 OPEX TUUA'!$S$7,'2.2 OPEX LAP 2023'!N386*'2.1 OPEX TUUA'!$S$8)</f>
        <v>0</v>
      </c>
      <c r="AA385" s="6"/>
      <c r="AB385" s="6"/>
      <c r="AC385" s="6"/>
      <c r="AD385" s="6"/>
      <c r="AE385" s="6"/>
      <c r="AF385" s="6"/>
    </row>
    <row r="386" spans="2:32" x14ac:dyDescent="0.25">
      <c r="B386" s="16">
        <v>6343100012</v>
      </c>
      <c r="C386" s="190" t="s">
        <v>177</v>
      </c>
      <c r="D386" s="190" t="s">
        <v>52</v>
      </c>
      <c r="E386" s="190" t="s">
        <v>77</v>
      </c>
      <c r="F386" s="162" t="s">
        <v>190</v>
      </c>
      <c r="G386" s="3">
        <f>+IF(F386="Pasajero",'2.2 OPEX LAP 2023'!I387*'2.1 OPEX TUUA'!$G$7,'2.2 OPEX LAP 2023'!I387*'2.1 OPEX TUUA'!$G$8)</f>
        <v>0</v>
      </c>
      <c r="H386" s="3">
        <f>+IF(F386="Pasajero",'2.2 OPEX LAP 2023'!J387*'2.1 OPEX TUUA'!$H$7,'2.2 OPEX LAP 2023'!J387*'2.1 OPEX TUUA'!$H$8)</f>
        <v>0</v>
      </c>
      <c r="I386" s="3">
        <f>+IF(F386="Pasajero",'2.2 OPEX LAP 2023'!K387*'2.1 OPEX TUUA'!$I$7,'2.2 OPEX LAP 2023'!K387*'2.1 OPEX TUUA'!$I$8)</f>
        <v>0</v>
      </c>
      <c r="J386" s="3">
        <f>+IF(F386="Pasajero",'2.2 OPEX LAP 2023'!L387*'2.1 OPEX TUUA'!$J$7,'2.2 OPEX LAP 2023'!L387*'2.1 OPEX TUUA'!$J$8)</f>
        <v>0</v>
      </c>
      <c r="K386" s="3">
        <f>+IF(F386="Pasajero",'2.2 OPEX LAP 2023'!M387*'2.1 OPEX TUUA'!$K$7,'2.2 OPEX LAP 2023'!M387*'2.1 OPEX TUUA'!$K$8)</f>
        <v>0</v>
      </c>
      <c r="L386" s="3">
        <f>+IF(F386="Pasajero",'2.2 OPEX LAP 2023'!N387*'2.1 OPEX TUUA'!$L$7,'2.2 OPEX LAP 2023'!N387*'2.1 OPEX TUUA'!$L$8)</f>
        <v>0</v>
      </c>
      <c r="M386" s="3"/>
      <c r="N386" s="3">
        <f>+IF(F386="Pasajero",'2.2 OPEX LAP 2023'!I387*'2.1 OPEX TUUA'!$N$7,'2.2 OPEX LAP 2023'!I387*'2.1 OPEX TUUA'!$N$8)</f>
        <v>0</v>
      </c>
      <c r="O386" s="3">
        <f>+IF(F386="Pasajero",'2.2 OPEX LAP 2023'!J387*'2.1 OPEX TUUA'!$O$7,'2.2 OPEX LAP 2023'!J387*'2.1 OPEX TUUA'!$O$8)</f>
        <v>0</v>
      </c>
      <c r="P386" s="3">
        <f>+IF(F386="Pasajero",'2.2 OPEX LAP 2023'!K387*'2.1 OPEX TUUA'!$P$7,'2.2 OPEX LAP 2023'!K387*'2.1 OPEX TUUA'!$P$8)</f>
        <v>0</v>
      </c>
      <c r="Q386" s="3">
        <f>+IF(F386="Pasajero",'2.2 OPEX LAP 2023'!L387*'2.1 OPEX TUUA'!$Q$7,'2.2 OPEX LAP 2023'!L387*'2.1 OPEX TUUA'!$Q$8)</f>
        <v>0</v>
      </c>
      <c r="R386" s="3">
        <f>+IF(F386="Pasajero",'2.2 OPEX LAP 2023'!M387*'2.1 OPEX TUUA'!$R$7,'2.2 OPEX LAP 2023'!M387*'2.1 OPEX TUUA'!$R$8)</f>
        <v>0</v>
      </c>
      <c r="S386" s="3">
        <f>+IF(F386="Pasajero",'2.2 OPEX LAP 2023'!N387*'2.1 OPEX TUUA'!$S$7,'2.2 OPEX LAP 2023'!N387*'2.1 OPEX TUUA'!$S$8)</f>
        <v>0</v>
      </c>
      <c r="AA386" s="6"/>
      <c r="AB386" s="6"/>
      <c r="AC386" s="6"/>
      <c r="AD386" s="6"/>
      <c r="AE386" s="6"/>
      <c r="AF386" s="6"/>
    </row>
    <row r="387" spans="2:32" x14ac:dyDescent="0.25">
      <c r="B387" s="16">
        <v>6343100013</v>
      </c>
      <c r="C387" s="190" t="s">
        <v>177</v>
      </c>
      <c r="D387" s="190" t="s">
        <v>52</v>
      </c>
      <c r="E387" s="190" t="s">
        <v>78</v>
      </c>
      <c r="F387" s="162" t="s">
        <v>190</v>
      </c>
      <c r="G387" s="3">
        <f>+IF(F387="Pasajero",'2.2 OPEX LAP 2023'!I388*'2.1 OPEX TUUA'!$G$7,'2.2 OPEX LAP 2023'!I388*'2.1 OPEX TUUA'!$G$8)</f>
        <v>0</v>
      </c>
      <c r="H387" s="3">
        <f>+IF(F387="Pasajero",'2.2 OPEX LAP 2023'!J388*'2.1 OPEX TUUA'!$H$7,'2.2 OPEX LAP 2023'!J388*'2.1 OPEX TUUA'!$H$8)</f>
        <v>0</v>
      </c>
      <c r="I387" s="3">
        <f>+IF(F387="Pasajero",'2.2 OPEX LAP 2023'!K388*'2.1 OPEX TUUA'!$I$7,'2.2 OPEX LAP 2023'!K388*'2.1 OPEX TUUA'!$I$8)</f>
        <v>0</v>
      </c>
      <c r="J387" s="3">
        <f>+IF(F387="Pasajero",'2.2 OPEX LAP 2023'!L388*'2.1 OPEX TUUA'!$J$7,'2.2 OPEX LAP 2023'!L388*'2.1 OPEX TUUA'!$J$8)</f>
        <v>0</v>
      </c>
      <c r="K387" s="3">
        <f>+IF(F387="Pasajero",'2.2 OPEX LAP 2023'!M388*'2.1 OPEX TUUA'!$K$7,'2.2 OPEX LAP 2023'!M388*'2.1 OPEX TUUA'!$K$8)</f>
        <v>0</v>
      </c>
      <c r="L387" s="3">
        <f>+IF(F387="Pasajero",'2.2 OPEX LAP 2023'!N388*'2.1 OPEX TUUA'!$L$7,'2.2 OPEX LAP 2023'!N388*'2.1 OPEX TUUA'!$L$8)</f>
        <v>0</v>
      </c>
      <c r="M387" s="3"/>
      <c r="N387" s="3">
        <f>+IF(F387="Pasajero",'2.2 OPEX LAP 2023'!I388*'2.1 OPEX TUUA'!$N$7,'2.2 OPEX LAP 2023'!I388*'2.1 OPEX TUUA'!$N$8)</f>
        <v>0</v>
      </c>
      <c r="O387" s="3">
        <f>+IF(F387="Pasajero",'2.2 OPEX LAP 2023'!J388*'2.1 OPEX TUUA'!$O$7,'2.2 OPEX LAP 2023'!J388*'2.1 OPEX TUUA'!$O$8)</f>
        <v>0</v>
      </c>
      <c r="P387" s="3">
        <f>+IF(F387="Pasajero",'2.2 OPEX LAP 2023'!K388*'2.1 OPEX TUUA'!$P$7,'2.2 OPEX LAP 2023'!K388*'2.1 OPEX TUUA'!$P$8)</f>
        <v>0</v>
      </c>
      <c r="Q387" s="3">
        <f>+IF(F387="Pasajero",'2.2 OPEX LAP 2023'!L388*'2.1 OPEX TUUA'!$Q$7,'2.2 OPEX LAP 2023'!L388*'2.1 OPEX TUUA'!$Q$8)</f>
        <v>0</v>
      </c>
      <c r="R387" s="3">
        <f>+IF(F387="Pasajero",'2.2 OPEX LAP 2023'!M388*'2.1 OPEX TUUA'!$R$7,'2.2 OPEX LAP 2023'!M388*'2.1 OPEX TUUA'!$R$8)</f>
        <v>0</v>
      </c>
      <c r="S387" s="3">
        <f>+IF(F387="Pasajero",'2.2 OPEX LAP 2023'!N388*'2.1 OPEX TUUA'!$S$7,'2.2 OPEX LAP 2023'!N388*'2.1 OPEX TUUA'!$S$8)</f>
        <v>0</v>
      </c>
      <c r="AA387" s="6"/>
      <c r="AB387" s="6"/>
      <c r="AC387" s="6"/>
      <c r="AD387" s="6"/>
      <c r="AE387" s="6"/>
      <c r="AF387" s="6"/>
    </row>
    <row r="388" spans="2:32" x14ac:dyDescent="0.25">
      <c r="B388" s="16">
        <v>6343100014</v>
      </c>
      <c r="C388" s="190" t="s">
        <v>177</v>
      </c>
      <c r="D388" s="190" t="s">
        <v>52</v>
      </c>
      <c r="E388" s="190" t="s">
        <v>79</v>
      </c>
      <c r="F388" s="162" t="s">
        <v>190</v>
      </c>
      <c r="G388" s="3">
        <f>+IF(F388="Pasajero",'2.2 OPEX LAP 2023'!I389*'2.1 OPEX TUUA'!$G$7,'2.2 OPEX LAP 2023'!I389*'2.1 OPEX TUUA'!$G$8)</f>
        <v>0</v>
      </c>
      <c r="H388" s="3">
        <f>+IF(F388="Pasajero",'2.2 OPEX LAP 2023'!J389*'2.1 OPEX TUUA'!$H$7,'2.2 OPEX LAP 2023'!J389*'2.1 OPEX TUUA'!$H$8)</f>
        <v>0</v>
      </c>
      <c r="I388" s="3">
        <f>+IF(F388="Pasajero",'2.2 OPEX LAP 2023'!K389*'2.1 OPEX TUUA'!$I$7,'2.2 OPEX LAP 2023'!K389*'2.1 OPEX TUUA'!$I$8)</f>
        <v>0</v>
      </c>
      <c r="J388" s="3">
        <f>+IF(F388="Pasajero",'2.2 OPEX LAP 2023'!L389*'2.1 OPEX TUUA'!$J$7,'2.2 OPEX LAP 2023'!L389*'2.1 OPEX TUUA'!$J$8)</f>
        <v>0</v>
      </c>
      <c r="K388" s="3">
        <f>+IF(F388="Pasajero",'2.2 OPEX LAP 2023'!M389*'2.1 OPEX TUUA'!$K$7,'2.2 OPEX LAP 2023'!M389*'2.1 OPEX TUUA'!$K$8)</f>
        <v>0</v>
      </c>
      <c r="L388" s="3">
        <f>+IF(F388="Pasajero",'2.2 OPEX LAP 2023'!N389*'2.1 OPEX TUUA'!$L$7,'2.2 OPEX LAP 2023'!N389*'2.1 OPEX TUUA'!$L$8)</f>
        <v>0</v>
      </c>
      <c r="M388" s="3"/>
      <c r="N388" s="3">
        <f>+IF(F388="Pasajero",'2.2 OPEX LAP 2023'!I389*'2.1 OPEX TUUA'!$N$7,'2.2 OPEX LAP 2023'!I389*'2.1 OPEX TUUA'!$N$8)</f>
        <v>0</v>
      </c>
      <c r="O388" s="3">
        <f>+IF(F388="Pasajero",'2.2 OPEX LAP 2023'!J389*'2.1 OPEX TUUA'!$O$7,'2.2 OPEX LAP 2023'!J389*'2.1 OPEX TUUA'!$O$8)</f>
        <v>0</v>
      </c>
      <c r="P388" s="3">
        <f>+IF(F388="Pasajero",'2.2 OPEX LAP 2023'!K389*'2.1 OPEX TUUA'!$P$7,'2.2 OPEX LAP 2023'!K389*'2.1 OPEX TUUA'!$P$8)</f>
        <v>0</v>
      </c>
      <c r="Q388" s="3">
        <f>+IF(F388="Pasajero",'2.2 OPEX LAP 2023'!L389*'2.1 OPEX TUUA'!$Q$7,'2.2 OPEX LAP 2023'!L389*'2.1 OPEX TUUA'!$Q$8)</f>
        <v>0</v>
      </c>
      <c r="R388" s="3">
        <f>+IF(F388="Pasajero",'2.2 OPEX LAP 2023'!M389*'2.1 OPEX TUUA'!$R$7,'2.2 OPEX LAP 2023'!M389*'2.1 OPEX TUUA'!$R$8)</f>
        <v>0</v>
      </c>
      <c r="S388" s="3">
        <f>+IF(F388="Pasajero",'2.2 OPEX LAP 2023'!N389*'2.1 OPEX TUUA'!$S$7,'2.2 OPEX LAP 2023'!N389*'2.1 OPEX TUUA'!$S$8)</f>
        <v>0</v>
      </c>
      <c r="AA388" s="6"/>
      <c r="AB388" s="6"/>
      <c r="AC388" s="6"/>
      <c r="AD388" s="6"/>
      <c r="AE388" s="6"/>
      <c r="AF388" s="6"/>
    </row>
    <row r="389" spans="2:32" x14ac:dyDescent="0.25">
      <c r="B389" s="16">
        <v>6343100015</v>
      </c>
      <c r="C389" s="190" t="s">
        <v>177</v>
      </c>
      <c r="D389" s="190" t="s">
        <v>52</v>
      </c>
      <c r="E389" s="190" t="s">
        <v>80</v>
      </c>
      <c r="F389" s="162" t="s">
        <v>190</v>
      </c>
      <c r="G389" s="3">
        <f>+IF(F389="Pasajero",'2.2 OPEX LAP 2023'!I390*'2.1 OPEX TUUA'!$G$7,'2.2 OPEX LAP 2023'!I390*'2.1 OPEX TUUA'!$G$8)</f>
        <v>64.83408530090523</v>
      </c>
      <c r="H389" s="3">
        <f>+IF(F389="Pasajero",'2.2 OPEX LAP 2023'!J390*'2.1 OPEX TUUA'!$H$7,'2.2 OPEX LAP 2023'!J390*'2.1 OPEX TUUA'!$H$8)</f>
        <v>74.373457038955209</v>
      </c>
      <c r="I389" s="3">
        <f>+IF(F389="Pasajero",'2.2 OPEX LAP 2023'!K390*'2.1 OPEX TUUA'!$I$7,'2.2 OPEX LAP 2023'!K390*'2.1 OPEX TUUA'!$I$8)</f>
        <v>82.220946922267714</v>
      </c>
      <c r="J389" s="3">
        <f>+IF(F389="Pasajero",'2.2 OPEX LAP 2023'!L390*'2.1 OPEX TUUA'!$J$7,'2.2 OPEX LAP 2023'!L390*'2.1 OPEX TUUA'!$J$8)</f>
        <v>85.683983040636605</v>
      </c>
      <c r="K389" s="3">
        <f>+IF(F389="Pasajero",'2.2 OPEX LAP 2023'!M390*'2.1 OPEX TUUA'!$K$7,'2.2 OPEX LAP 2023'!M390*'2.1 OPEX TUUA'!$K$8)</f>
        <v>87.600735743697712</v>
      </c>
      <c r="L389" s="3">
        <f>+IF(F389="Pasajero",'2.2 OPEX LAP 2023'!N390*'2.1 OPEX TUUA'!$L$7,'2.2 OPEX LAP 2023'!N390*'2.1 OPEX TUUA'!$L$8)</f>
        <v>89.940253716888876</v>
      </c>
      <c r="M389" s="3"/>
      <c r="N389" s="3">
        <f>+IF(F389="Pasajero",'2.2 OPEX LAP 2023'!I390*'2.1 OPEX TUUA'!$N$7,'2.2 OPEX LAP 2023'!I390*'2.1 OPEX TUUA'!$N$8)</f>
        <v>31.977287568037493</v>
      </c>
      <c r="O389" s="3">
        <f>+IF(F389="Pasajero",'2.2 OPEX LAP 2023'!J390*'2.1 OPEX TUUA'!$O$7,'2.2 OPEX LAP 2023'!J390*'2.1 OPEX TUUA'!$O$8)</f>
        <v>30.802750883006091</v>
      </c>
      <c r="P389" s="3">
        <f>+IF(F389="Pasajero",'2.2 OPEX LAP 2023'!K390*'2.1 OPEX TUUA'!$P$7,'2.2 OPEX LAP 2023'!K390*'2.1 OPEX TUUA'!$P$8)</f>
        <v>30.103446462187769</v>
      </c>
      <c r="Q389" s="3">
        <f>+IF(F389="Pasajero",'2.2 OPEX LAP 2023'!L390*'2.1 OPEX TUUA'!$Q$7,'2.2 OPEX LAP 2023'!L390*'2.1 OPEX TUUA'!$Q$8)</f>
        <v>29.41624538245653</v>
      </c>
      <c r="R389" s="3">
        <f>+IF(F389="Pasajero",'2.2 OPEX LAP 2023'!M390*'2.1 OPEX TUUA'!$R$7,'2.2 OPEX LAP 2023'!M390*'2.1 OPEX TUUA'!$R$8)</f>
        <v>29.043635728355234</v>
      </c>
      <c r="S389" s="3">
        <f>+IF(F389="Pasajero",'2.2 OPEX LAP 2023'!N390*'2.1 OPEX TUUA'!$S$7,'2.2 OPEX LAP 2023'!N390*'2.1 OPEX TUUA'!$S$8)</f>
        <v>28.586218130552229</v>
      </c>
      <c r="AA389" s="6"/>
      <c r="AB389" s="6"/>
      <c r="AC389" s="6"/>
      <c r="AD389" s="6"/>
      <c r="AE389" s="6"/>
      <c r="AF389" s="6"/>
    </row>
    <row r="390" spans="2:32" x14ac:dyDescent="0.25">
      <c r="B390" s="16">
        <v>6343100016</v>
      </c>
      <c r="C390" s="190" t="s">
        <v>177</v>
      </c>
      <c r="D390" s="190" t="s">
        <v>52</v>
      </c>
      <c r="E390" s="190" t="s">
        <v>81</v>
      </c>
      <c r="F390" s="162" t="s">
        <v>190</v>
      </c>
      <c r="G390" s="3">
        <f>+IF(F390="Pasajero",'2.2 OPEX LAP 2023'!I391*'2.1 OPEX TUUA'!$G$7,'2.2 OPEX LAP 2023'!I391*'2.1 OPEX TUUA'!$G$8)</f>
        <v>0</v>
      </c>
      <c r="H390" s="3">
        <f>+IF(F390="Pasajero",'2.2 OPEX LAP 2023'!J391*'2.1 OPEX TUUA'!$H$7,'2.2 OPEX LAP 2023'!J391*'2.1 OPEX TUUA'!$H$8)</f>
        <v>0</v>
      </c>
      <c r="I390" s="3">
        <f>+IF(F390="Pasajero",'2.2 OPEX LAP 2023'!K391*'2.1 OPEX TUUA'!$I$7,'2.2 OPEX LAP 2023'!K391*'2.1 OPEX TUUA'!$I$8)</f>
        <v>0</v>
      </c>
      <c r="J390" s="3">
        <f>+IF(F390="Pasajero",'2.2 OPEX LAP 2023'!L391*'2.1 OPEX TUUA'!$J$7,'2.2 OPEX LAP 2023'!L391*'2.1 OPEX TUUA'!$J$8)</f>
        <v>0</v>
      </c>
      <c r="K390" s="3">
        <f>+IF(F390="Pasajero",'2.2 OPEX LAP 2023'!M391*'2.1 OPEX TUUA'!$K$7,'2.2 OPEX LAP 2023'!M391*'2.1 OPEX TUUA'!$K$8)</f>
        <v>0</v>
      </c>
      <c r="L390" s="3">
        <f>+IF(F390="Pasajero",'2.2 OPEX LAP 2023'!N391*'2.1 OPEX TUUA'!$L$7,'2.2 OPEX LAP 2023'!N391*'2.1 OPEX TUUA'!$L$8)</f>
        <v>0</v>
      </c>
      <c r="M390" s="3"/>
      <c r="N390" s="3">
        <f>+IF(F390="Pasajero",'2.2 OPEX LAP 2023'!I391*'2.1 OPEX TUUA'!$N$7,'2.2 OPEX LAP 2023'!I391*'2.1 OPEX TUUA'!$N$8)</f>
        <v>0</v>
      </c>
      <c r="O390" s="3">
        <f>+IF(F390="Pasajero",'2.2 OPEX LAP 2023'!J391*'2.1 OPEX TUUA'!$O$7,'2.2 OPEX LAP 2023'!J391*'2.1 OPEX TUUA'!$O$8)</f>
        <v>0</v>
      </c>
      <c r="P390" s="3">
        <f>+IF(F390="Pasajero",'2.2 OPEX LAP 2023'!K391*'2.1 OPEX TUUA'!$P$7,'2.2 OPEX LAP 2023'!K391*'2.1 OPEX TUUA'!$P$8)</f>
        <v>0</v>
      </c>
      <c r="Q390" s="3">
        <f>+IF(F390="Pasajero",'2.2 OPEX LAP 2023'!L391*'2.1 OPEX TUUA'!$Q$7,'2.2 OPEX LAP 2023'!L391*'2.1 OPEX TUUA'!$Q$8)</f>
        <v>0</v>
      </c>
      <c r="R390" s="3">
        <f>+IF(F390="Pasajero",'2.2 OPEX LAP 2023'!M391*'2.1 OPEX TUUA'!$R$7,'2.2 OPEX LAP 2023'!M391*'2.1 OPEX TUUA'!$R$8)</f>
        <v>0</v>
      </c>
      <c r="S390" s="3">
        <f>+IF(F390="Pasajero",'2.2 OPEX LAP 2023'!N391*'2.1 OPEX TUUA'!$S$7,'2.2 OPEX LAP 2023'!N391*'2.1 OPEX TUUA'!$S$8)</f>
        <v>0</v>
      </c>
      <c r="AA390" s="6"/>
      <c r="AB390" s="6"/>
      <c r="AC390" s="6"/>
      <c r="AD390" s="6"/>
      <c r="AE390" s="6"/>
      <c r="AF390" s="6"/>
    </row>
    <row r="391" spans="2:32" x14ac:dyDescent="0.25">
      <c r="B391" s="16">
        <v>6343100017</v>
      </c>
      <c r="C391" s="190" t="s">
        <v>177</v>
      </c>
      <c r="D391" s="190" t="s">
        <v>52</v>
      </c>
      <c r="E391" s="190" t="s">
        <v>82</v>
      </c>
      <c r="F391" s="162" t="s">
        <v>190</v>
      </c>
      <c r="G391" s="3">
        <f>+IF(F391="Pasajero",'2.2 OPEX LAP 2023'!I392*'2.1 OPEX TUUA'!$G$7,'2.2 OPEX LAP 2023'!I392*'2.1 OPEX TUUA'!$G$8)</f>
        <v>0</v>
      </c>
      <c r="H391" s="3">
        <f>+IF(F391="Pasajero",'2.2 OPEX LAP 2023'!J392*'2.1 OPEX TUUA'!$H$7,'2.2 OPEX LAP 2023'!J392*'2.1 OPEX TUUA'!$H$8)</f>
        <v>0</v>
      </c>
      <c r="I391" s="3">
        <f>+IF(F391="Pasajero",'2.2 OPEX LAP 2023'!K392*'2.1 OPEX TUUA'!$I$7,'2.2 OPEX LAP 2023'!K392*'2.1 OPEX TUUA'!$I$8)</f>
        <v>0</v>
      </c>
      <c r="J391" s="3">
        <f>+IF(F391="Pasajero",'2.2 OPEX LAP 2023'!L392*'2.1 OPEX TUUA'!$J$7,'2.2 OPEX LAP 2023'!L392*'2.1 OPEX TUUA'!$J$8)</f>
        <v>0</v>
      </c>
      <c r="K391" s="3">
        <f>+IF(F391="Pasajero",'2.2 OPEX LAP 2023'!M392*'2.1 OPEX TUUA'!$K$7,'2.2 OPEX LAP 2023'!M392*'2.1 OPEX TUUA'!$K$8)</f>
        <v>0</v>
      </c>
      <c r="L391" s="3">
        <f>+IF(F391="Pasajero",'2.2 OPEX LAP 2023'!N392*'2.1 OPEX TUUA'!$L$7,'2.2 OPEX LAP 2023'!N392*'2.1 OPEX TUUA'!$L$8)</f>
        <v>0</v>
      </c>
      <c r="M391" s="3"/>
      <c r="N391" s="3">
        <f>+IF(F391="Pasajero",'2.2 OPEX LAP 2023'!I392*'2.1 OPEX TUUA'!$N$7,'2.2 OPEX LAP 2023'!I392*'2.1 OPEX TUUA'!$N$8)</f>
        <v>0</v>
      </c>
      <c r="O391" s="3">
        <f>+IF(F391="Pasajero",'2.2 OPEX LAP 2023'!J392*'2.1 OPEX TUUA'!$O$7,'2.2 OPEX LAP 2023'!J392*'2.1 OPEX TUUA'!$O$8)</f>
        <v>0</v>
      </c>
      <c r="P391" s="3">
        <f>+IF(F391="Pasajero",'2.2 OPEX LAP 2023'!K392*'2.1 OPEX TUUA'!$P$7,'2.2 OPEX LAP 2023'!K392*'2.1 OPEX TUUA'!$P$8)</f>
        <v>0</v>
      </c>
      <c r="Q391" s="3">
        <f>+IF(F391="Pasajero",'2.2 OPEX LAP 2023'!L392*'2.1 OPEX TUUA'!$Q$7,'2.2 OPEX LAP 2023'!L392*'2.1 OPEX TUUA'!$Q$8)</f>
        <v>0</v>
      </c>
      <c r="R391" s="3">
        <f>+IF(F391="Pasajero",'2.2 OPEX LAP 2023'!M392*'2.1 OPEX TUUA'!$R$7,'2.2 OPEX LAP 2023'!M392*'2.1 OPEX TUUA'!$R$8)</f>
        <v>0</v>
      </c>
      <c r="S391" s="3">
        <f>+IF(F391="Pasajero",'2.2 OPEX LAP 2023'!N392*'2.1 OPEX TUUA'!$S$7,'2.2 OPEX LAP 2023'!N392*'2.1 OPEX TUUA'!$S$8)</f>
        <v>0</v>
      </c>
      <c r="AA391" s="6"/>
      <c r="AB391" s="6"/>
      <c r="AC391" s="6"/>
      <c r="AD391" s="6"/>
      <c r="AE391" s="6"/>
      <c r="AF391" s="6"/>
    </row>
    <row r="392" spans="2:32" x14ac:dyDescent="0.25">
      <c r="B392" s="16">
        <v>6344000001</v>
      </c>
      <c r="C392" s="190" t="s">
        <v>177</v>
      </c>
      <c r="D392" s="190" t="s">
        <v>52</v>
      </c>
      <c r="E392" s="190" t="s">
        <v>83</v>
      </c>
      <c r="F392" s="162" t="s">
        <v>190</v>
      </c>
      <c r="G392" s="3">
        <f>+IF(F392="Pasajero",'2.2 OPEX LAP 2023'!I393*'2.1 OPEX TUUA'!$G$7,'2.2 OPEX LAP 2023'!I393*'2.1 OPEX TUUA'!$G$8)</f>
        <v>0</v>
      </c>
      <c r="H392" s="3">
        <f>+IF(F392="Pasajero",'2.2 OPEX LAP 2023'!J393*'2.1 OPEX TUUA'!$H$7,'2.2 OPEX LAP 2023'!J393*'2.1 OPEX TUUA'!$H$8)</f>
        <v>0</v>
      </c>
      <c r="I392" s="3">
        <f>+IF(F392="Pasajero",'2.2 OPEX LAP 2023'!K393*'2.1 OPEX TUUA'!$I$7,'2.2 OPEX LAP 2023'!K393*'2.1 OPEX TUUA'!$I$8)</f>
        <v>0</v>
      </c>
      <c r="J392" s="3">
        <f>+IF(F392="Pasajero",'2.2 OPEX LAP 2023'!L393*'2.1 OPEX TUUA'!$J$7,'2.2 OPEX LAP 2023'!L393*'2.1 OPEX TUUA'!$J$8)</f>
        <v>0</v>
      </c>
      <c r="K392" s="3">
        <f>+IF(F392="Pasajero",'2.2 OPEX LAP 2023'!M393*'2.1 OPEX TUUA'!$K$7,'2.2 OPEX LAP 2023'!M393*'2.1 OPEX TUUA'!$K$8)</f>
        <v>0</v>
      </c>
      <c r="L392" s="3">
        <f>+IF(F392="Pasajero",'2.2 OPEX LAP 2023'!N393*'2.1 OPEX TUUA'!$L$7,'2.2 OPEX LAP 2023'!N393*'2.1 OPEX TUUA'!$L$8)</f>
        <v>0</v>
      </c>
      <c r="M392" s="3"/>
      <c r="N392" s="3">
        <f>+IF(F392="Pasajero",'2.2 OPEX LAP 2023'!I393*'2.1 OPEX TUUA'!$N$7,'2.2 OPEX LAP 2023'!I393*'2.1 OPEX TUUA'!$N$8)</f>
        <v>0</v>
      </c>
      <c r="O392" s="3">
        <f>+IF(F392="Pasajero",'2.2 OPEX LAP 2023'!J393*'2.1 OPEX TUUA'!$O$7,'2.2 OPEX LAP 2023'!J393*'2.1 OPEX TUUA'!$O$8)</f>
        <v>0</v>
      </c>
      <c r="P392" s="3">
        <f>+IF(F392="Pasajero",'2.2 OPEX LAP 2023'!K393*'2.1 OPEX TUUA'!$P$7,'2.2 OPEX LAP 2023'!K393*'2.1 OPEX TUUA'!$P$8)</f>
        <v>0</v>
      </c>
      <c r="Q392" s="3">
        <f>+IF(F392="Pasajero",'2.2 OPEX LAP 2023'!L393*'2.1 OPEX TUUA'!$Q$7,'2.2 OPEX LAP 2023'!L393*'2.1 OPEX TUUA'!$Q$8)</f>
        <v>0</v>
      </c>
      <c r="R392" s="3">
        <f>+IF(F392="Pasajero",'2.2 OPEX LAP 2023'!M393*'2.1 OPEX TUUA'!$R$7,'2.2 OPEX LAP 2023'!M393*'2.1 OPEX TUUA'!$R$8)</f>
        <v>0</v>
      </c>
      <c r="S392" s="3">
        <f>+IF(F392="Pasajero",'2.2 OPEX LAP 2023'!N393*'2.1 OPEX TUUA'!$S$7,'2.2 OPEX LAP 2023'!N393*'2.1 OPEX TUUA'!$S$8)</f>
        <v>0</v>
      </c>
      <c r="AA392" s="6"/>
      <c r="AB392" s="6"/>
      <c r="AC392" s="6"/>
      <c r="AD392" s="6"/>
      <c r="AE392" s="6"/>
      <c r="AF392" s="6"/>
    </row>
    <row r="393" spans="2:32" x14ac:dyDescent="0.25">
      <c r="B393" s="16">
        <v>6344000002</v>
      </c>
      <c r="C393" s="190" t="s">
        <v>177</v>
      </c>
      <c r="D393" s="190" t="s">
        <v>52</v>
      </c>
      <c r="E393" s="190" t="s">
        <v>84</v>
      </c>
      <c r="F393" s="162" t="s">
        <v>190</v>
      </c>
      <c r="G393" s="3">
        <f>+IF(F393="Pasajero",'2.2 OPEX LAP 2023'!I394*'2.1 OPEX TUUA'!$G$7,'2.2 OPEX LAP 2023'!I394*'2.1 OPEX TUUA'!$G$8)</f>
        <v>0</v>
      </c>
      <c r="H393" s="3">
        <f>+IF(F393="Pasajero",'2.2 OPEX LAP 2023'!J394*'2.1 OPEX TUUA'!$H$7,'2.2 OPEX LAP 2023'!J394*'2.1 OPEX TUUA'!$H$8)</f>
        <v>0</v>
      </c>
      <c r="I393" s="3">
        <f>+IF(F393="Pasajero",'2.2 OPEX LAP 2023'!K394*'2.1 OPEX TUUA'!$I$7,'2.2 OPEX LAP 2023'!K394*'2.1 OPEX TUUA'!$I$8)</f>
        <v>0</v>
      </c>
      <c r="J393" s="3">
        <f>+IF(F393="Pasajero",'2.2 OPEX LAP 2023'!L394*'2.1 OPEX TUUA'!$J$7,'2.2 OPEX LAP 2023'!L394*'2.1 OPEX TUUA'!$J$8)</f>
        <v>0</v>
      </c>
      <c r="K393" s="3">
        <f>+IF(F393="Pasajero",'2.2 OPEX LAP 2023'!M394*'2.1 OPEX TUUA'!$K$7,'2.2 OPEX LAP 2023'!M394*'2.1 OPEX TUUA'!$K$8)</f>
        <v>0</v>
      </c>
      <c r="L393" s="3">
        <f>+IF(F393="Pasajero",'2.2 OPEX LAP 2023'!N394*'2.1 OPEX TUUA'!$L$7,'2.2 OPEX LAP 2023'!N394*'2.1 OPEX TUUA'!$L$8)</f>
        <v>0</v>
      </c>
      <c r="M393" s="3"/>
      <c r="N393" s="3">
        <f>+IF(F393="Pasajero",'2.2 OPEX LAP 2023'!I394*'2.1 OPEX TUUA'!$N$7,'2.2 OPEX LAP 2023'!I394*'2.1 OPEX TUUA'!$N$8)</f>
        <v>0</v>
      </c>
      <c r="O393" s="3">
        <f>+IF(F393="Pasajero",'2.2 OPEX LAP 2023'!J394*'2.1 OPEX TUUA'!$O$7,'2.2 OPEX LAP 2023'!J394*'2.1 OPEX TUUA'!$O$8)</f>
        <v>0</v>
      </c>
      <c r="P393" s="3">
        <f>+IF(F393="Pasajero",'2.2 OPEX LAP 2023'!K394*'2.1 OPEX TUUA'!$P$7,'2.2 OPEX LAP 2023'!K394*'2.1 OPEX TUUA'!$P$8)</f>
        <v>0</v>
      </c>
      <c r="Q393" s="3">
        <f>+IF(F393="Pasajero",'2.2 OPEX LAP 2023'!L394*'2.1 OPEX TUUA'!$Q$7,'2.2 OPEX LAP 2023'!L394*'2.1 OPEX TUUA'!$Q$8)</f>
        <v>0</v>
      </c>
      <c r="R393" s="3">
        <f>+IF(F393="Pasajero",'2.2 OPEX LAP 2023'!M394*'2.1 OPEX TUUA'!$R$7,'2.2 OPEX LAP 2023'!M394*'2.1 OPEX TUUA'!$R$8)</f>
        <v>0</v>
      </c>
      <c r="S393" s="3">
        <f>+IF(F393="Pasajero",'2.2 OPEX LAP 2023'!N394*'2.1 OPEX TUUA'!$S$7,'2.2 OPEX LAP 2023'!N394*'2.1 OPEX TUUA'!$S$8)</f>
        <v>0</v>
      </c>
      <c r="AA393" s="6"/>
      <c r="AB393" s="6"/>
      <c r="AC393" s="6"/>
      <c r="AD393" s="6"/>
      <c r="AE393" s="6"/>
      <c r="AF393" s="6"/>
    </row>
    <row r="394" spans="2:32" x14ac:dyDescent="0.25">
      <c r="B394" s="16">
        <v>6344000003</v>
      </c>
      <c r="C394" s="190" t="s">
        <v>177</v>
      </c>
      <c r="D394" s="190" t="s">
        <v>52</v>
      </c>
      <c r="E394" s="190" t="s">
        <v>85</v>
      </c>
      <c r="F394" s="162" t="s">
        <v>190</v>
      </c>
      <c r="G394" s="3">
        <f>+IF(F394="Pasajero",'2.2 OPEX LAP 2023'!I395*'2.1 OPEX TUUA'!$G$7,'2.2 OPEX LAP 2023'!I395*'2.1 OPEX TUUA'!$G$8)</f>
        <v>0</v>
      </c>
      <c r="H394" s="3">
        <f>+IF(F394="Pasajero",'2.2 OPEX LAP 2023'!J395*'2.1 OPEX TUUA'!$H$7,'2.2 OPEX LAP 2023'!J395*'2.1 OPEX TUUA'!$H$8)</f>
        <v>0</v>
      </c>
      <c r="I394" s="3">
        <f>+IF(F394="Pasajero",'2.2 OPEX LAP 2023'!K395*'2.1 OPEX TUUA'!$I$7,'2.2 OPEX LAP 2023'!K395*'2.1 OPEX TUUA'!$I$8)</f>
        <v>0</v>
      </c>
      <c r="J394" s="3">
        <f>+IF(F394="Pasajero",'2.2 OPEX LAP 2023'!L395*'2.1 OPEX TUUA'!$J$7,'2.2 OPEX LAP 2023'!L395*'2.1 OPEX TUUA'!$J$8)</f>
        <v>0</v>
      </c>
      <c r="K394" s="3">
        <f>+IF(F394="Pasajero",'2.2 OPEX LAP 2023'!M395*'2.1 OPEX TUUA'!$K$7,'2.2 OPEX LAP 2023'!M395*'2.1 OPEX TUUA'!$K$8)</f>
        <v>0</v>
      </c>
      <c r="L394" s="3">
        <f>+IF(F394="Pasajero",'2.2 OPEX LAP 2023'!N395*'2.1 OPEX TUUA'!$L$7,'2.2 OPEX LAP 2023'!N395*'2.1 OPEX TUUA'!$L$8)</f>
        <v>0</v>
      </c>
      <c r="M394" s="3"/>
      <c r="N394" s="3">
        <f>+IF(F394="Pasajero",'2.2 OPEX LAP 2023'!I395*'2.1 OPEX TUUA'!$N$7,'2.2 OPEX LAP 2023'!I395*'2.1 OPEX TUUA'!$N$8)</f>
        <v>0</v>
      </c>
      <c r="O394" s="3">
        <f>+IF(F394="Pasajero",'2.2 OPEX LAP 2023'!J395*'2.1 OPEX TUUA'!$O$7,'2.2 OPEX LAP 2023'!J395*'2.1 OPEX TUUA'!$O$8)</f>
        <v>0</v>
      </c>
      <c r="P394" s="3">
        <f>+IF(F394="Pasajero",'2.2 OPEX LAP 2023'!K395*'2.1 OPEX TUUA'!$P$7,'2.2 OPEX LAP 2023'!K395*'2.1 OPEX TUUA'!$P$8)</f>
        <v>0</v>
      </c>
      <c r="Q394" s="3">
        <f>+IF(F394="Pasajero",'2.2 OPEX LAP 2023'!L395*'2.1 OPEX TUUA'!$Q$7,'2.2 OPEX LAP 2023'!L395*'2.1 OPEX TUUA'!$Q$8)</f>
        <v>0</v>
      </c>
      <c r="R394" s="3">
        <f>+IF(F394="Pasajero",'2.2 OPEX LAP 2023'!M395*'2.1 OPEX TUUA'!$R$7,'2.2 OPEX LAP 2023'!M395*'2.1 OPEX TUUA'!$R$8)</f>
        <v>0</v>
      </c>
      <c r="S394" s="3">
        <f>+IF(F394="Pasajero",'2.2 OPEX LAP 2023'!N395*'2.1 OPEX TUUA'!$S$7,'2.2 OPEX LAP 2023'!N395*'2.1 OPEX TUUA'!$S$8)</f>
        <v>0</v>
      </c>
      <c r="AA394" s="6"/>
      <c r="AB394" s="6"/>
      <c r="AC394" s="6"/>
      <c r="AD394" s="6"/>
      <c r="AE394" s="6"/>
      <c r="AF394" s="6"/>
    </row>
    <row r="395" spans="2:32" x14ac:dyDescent="0.25">
      <c r="B395" s="16">
        <v>6345000001</v>
      </c>
      <c r="C395" s="190" t="s">
        <v>177</v>
      </c>
      <c r="D395" s="190" t="s">
        <v>52</v>
      </c>
      <c r="E395" s="190" t="s">
        <v>86</v>
      </c>
      <c r="F395" s="162" t="s">
        <v>190</v>
      </c>
      <c r="G395" s="3">
        <f>+IF(F395="Pasajero",'2.2 OPEX LAP 2023'!I396*'2.1 OPEX TUUA'!$G$7,'2.2 OPEX LAP 2023'!I396*'2.1 OPEX TUUA'!$G$8)</f>
        <v>0</v>
      </c>
      <c r="H395" s="3">
        <f>+IF(F395="Pasajero",'2.2 OPEX LAP 2023'!J396*'2.1 OPEX TUUA'!$H$7,'2.2 OPEX LAP 2023'!J396*'2.1 OPEX TUUA'!$H$8)</f>
        <v>0</v>
      </c>
      <c r="I395" s="3">
        <f>+IF(F395="Pasajero",'2.2 OPEX LAP 2023'!K396*'2.1 OPEX TUUA'!$I$7,'2.2 OPEX LAP 2023'!K396*'2.1 OPEX TUUA'!$I$8)</f>
        <v>0</v>
      </c>
      <c r="J395" s="3">
        <f>+IF(F395="Pasajero",'2.2 OPEX LAP 2023'!L396*'2.1 OPEX TUUA'!$J$7,'2.2 OPEX LAP 2023'!L396*'2.1 OPEX TUUA'!$J$8)</f>
        <v>0</v>
      </c>
      <c r="K395" s="3">
        <f>+IF(F395="Pasajero",'2.2 OPEX LAP 2023'!M396*'2.1 OPEX TUUA'!$K$7,'2.2 OPEX LAP 2023'!M396*'2.1 OPEX TUUA'!$K$8)</f>
        <v>0</v>
      </c>
      <c r="L395" s="3">
        <f>+IF(F395="Pasajero",'2.2 OPEX LAP 2023'!N396*'2.1 OPEX TUUA'!$L$7,'2.2 OPEX LAP 2023'!N396*'2.1 OPEX TUUA'!$L$8)</f>
        <v>0</v>
      </c>
      <c r="M395" s="3"/>
      <c r="N395" s="3">
        <f>+IF(F395="Pasajero",'2.2 OPEX LAP 2023'!I396*'2.1 OPEX TUUA'!$N$7,'2.2 OPEX LAP 2023'!I396*'2.1 OPEX TUUA'!$N$8)</f>
        <v>0</v>
      </c>
      <c r="O395" s="3">
        <f>+IF(F395="Pasajero",'2.2 OPEX LAP 2023'!J396*'2.1 OPEX TUUA'!$O$7,'2.2 OPEX LAP 2023'!J396*'2.1 OPEX TUUA'!$O$8)</f>
        <v>0</v>
      </c>
      <c r="P395" s="3">
        <f>+IF(F395="Pasajero",'2.2 OPEX LAP 2023'!K396*'2.1 OPEX TUUA'!$P$7,'2.2 OPEX LAP 2023'!K396*'2.1 OPEX TUUA'!$P$8)</f>
        <v>0</v>
      </c>
      <c r="Q395" s="3">
        <f>+IF(F395="Pasajero",'2.2 OPEX LAP 2023'!L396*'2.1 OPEX TUUA'!$Q$7,'2.2 OPEX LAP 2023'!L396*'2.1 OPEX TUUA'!$Q$8)</f>
        <v>0</v>
      </c>
      <c r="R395" s="3">
        <f>+IF(F395="Pasajero",'2.2 OPEX LAP 2023'!M396*'2.1 OPEX TUUA'!$R$7,'2.2 OPEX LAP 2023'!M396*'2.1 OPEX TUUA'!$R$8)</f>
        <v>0</v>
      </c>
      <c r="S395" s="3">
        <f>+IF(F395="Pasajero",'2.2 OPEX LAP 2023'!N396*'2.1 OPEX TUUA'!$S$7,'2.2 OPEX LAP 2023'!N396*'2.1 OPEX TUUA'!$S$8)</f>
        <v>0</v>
      </c>
      <c r="AA395" s="6"/>
      <c r="AB395" s="6"/>
      <c r="AC395" s="6"/>
      <c r="AD395" s="6"/>
      <c r="AE395" s="6"/>
      <c r="AF395" s="6"/>
    </row>
    <row r="396" spans="2:32" x14ac:dyDescent="0.25">
      <c r="B396" s="16">
        <v>6346000001</v>
      </c>
      <c r="C396" s="190" t="s">
        <v>177</v>
      </c>
      <c r="D396" s="190" t="s">
        <v>52</v>
      </c>
      <c r="E396" s="190" t="s">
        <v>87</v>
      </c>
      <c r="F396" s="162" t="s">
        <v>190</v>
      </c>
      <c r="G396" s="3">
        <f>+IF(F396="Pasajero",'2.2 OPEX LAP 2023'!I397*'2.1 OPEX TUUA'!$G$7,'2.2 OPEX LAP 2023'!I397*'2.1 OPEX TUUA'!$G$8)</f>
        <v>0</v>
      </c>
      <c r="H396" s="3">
        <f>+IF(F396="Pasajero",'2.2 OPEX LAP 2023'!J397*'2.1 OPEX TUUA'!$H$7,'2.2 OPEX LAP 2023'!J397*'2.1 OPEX TUUA'!$H$8)</f>
        <v>0</v>
      </c>
      <c r="I396" s="3">
        <f>+IF(F396="Pasajero",'2.2 OPEX LAP 2023'!K397*'2.1 OPEX TUUA'!$I$7,'2.2 OPEX LAP 2023'!K397*'2.1 OPEX TUUA'!$I$8)</f>
        <v>0</v>
      </c>
      <c r="J396" s="3">
        <f>+IF(F396="Pasajero",'2.2 OPEX LAP 2023'!L397*'2.1 OPEX TUUA'!$J$7,'2.2 OPEX LAP 2023'!L397*'2.1 OPEX TUUA'!$J$8)</f>
        <v>0</v>
      </c>
      <c r="K396" s="3">
        <f>+IF(F396="Pasajero",'2.2 OPEX LAP 2023'!M397*'2.1 OPEX TUUA'!$K$7,'2.2 OPEX LAP 2023'!M397*'2.1 OPEX TUUA'!$K$8)</f>
        <v>0</v>
      </c>
      <c r="L396" s="3">
        <f>+IF(F396="Pasajero",'2.2 OPEX LAP 2023'!N397*'2.1 OPEX TUUA'!$L$7,'2.2 OPEX LAP 2023'!N397*'2.1 OPEX TUUA'!$L$8)</f>
        <v>0</v>
      </c>
      <c r="M396" s="3"/>
      <c r="N396" s="3">
        <f>+IF(F396="Pasajero",'2.2 OPEX LAP 2023'!I397*'2.1 OPEX TUUA'!$N$7,'2.2 OPEX LAP 2023'!I397*'2.1 OPEX TUUA'!$N$8)</f>
        <v>0</v>
      </c>
      <c r="O396" s="3">
        <f>+IF(F396="Pasajero",'2.2 OPEX LAP 2023'!J397*'2.1 OPEX TUUA'!$O$7,'2.2 OPEX LAP 2023'!J397*'2.1 OPEX TUUA'!$O$8)</f>
        <v>0</v>
      </c>
      <c r="P396" s="3">
        <f>+IF(F396="Pasajero",'2.2 OPEX LAP 2023'!K397*'2.1 OPEX TUUA'!$P$7,'2.2 OPEX LAP 2023'!K397*'2.1 OPEX TUUA'!$P$8)</f>
        <v>0</v>
      </c>
      <c r="Q396" s="3">
        <f>+IF(F396="Pasajero",'2.2 OPEX LAP 2023'!L397*'2.1 OPEX TUUA'!$Q$7,'2.2 OPEX LAP 2023'!L397*'2.1 OPEX TUUA'!$Q$8)</f>
        <v>0</v>
      </c>
      <c r="R396" s="3">
        <f>+IF(F396="Pasajero",'2.2 OPEX LAP 2023'!M397*'2.1 OPEX TUUA'!$R$7,'2.2 OPEX LAP 2023'!M397*'2.1 OPEX TUUA'!$R$8)</f>
        <v>0</v>
      </c>
      <c r="S396" s="3">
        <f>+IF(F396="Pasajero",'2.2 OPEX LAP 2023'!N397*'2.1 OPEX TUUA'!$S$7,'2.2 OPEX LAP 2023'!N397*'2.1 OPEX TUUA'!$S$8)</f>
        <v>0</v>
      </c>
      <c r="AA396" s="6"/>
      <c r="AB396" s="6"/>
      <c r="AC396" s="6"/>
      <c r="AD396" s="6"/>
      <c r="AE396" s="6"/>
      <c r="AF396" s="6"/>
    </row>
    <row r="397" spans="2:32" x14ac:dyDescent="0.25">
      <c r="B397" s="16">
        <v>6347000001</v>
      </c>
      <c r="C397" s="190" t="s">
        <v>177</v>
      </c>
      <c r="D397" s="190" t="s">
        <v>52</v>
      </c>
      <c r="E397" s="190" t="s">
        <v>88</v>
      </c>
      <c r="F397" s="162" t="s">
        <v>190</v>
      </c>
      <c r="G397" s="3">
        <f>+IF(F397="Pasajero",'2.2 OPEX LAP 2023'!I398*'2.1 OPEX TUUA'!$G$7,'2.2 OPEX LAP 2023'!I398*'2.1 OPEX TUUA'!$G$8)</f>
        <v>84633.422519948334</v>
      </c>
      <c r="H397" s="3">
        <f>+IF(F397="Pasajero",'2.2 OPEX LAP 2023'!J398*'2.1 OPEX TUUA'!$H$7,'2.2 OPEX LAP 2023'!J398*'2.1 OPEX TUUA'!$H$8)</f>
        <v>97085.972365206428</v>
      </c>
      <c r="I397" s="3">
        <f>+IF(F397="Pasajero",'2.2 OPEX LAP 2023'!K398*'2.1 OPEX TUUA'!$I$7,'2.2 OPEX LAP 2023'!K398*'2.1 OPEX TUUA'!$I$8)</f>
        <v>107329.9655353566</v>
      </c>
      <c r="J397" s="3">
        <f>+IF(F397="Pasajero",'2.2 OPEX LAP 2023'!L398*'2.1 OPEX TUUA'!$J$7,'2.2 OPEX LAP 2023'!L398*'2.1 OPEX TUUA'!$J$8)</f>
        <v>111850.55987469965</v>
      </c>
      <c r="K397" s="3">
        <f>+IF(F397="Pasajero",'2.2 OPEX LAP 2023'!M398*'2.1 OPEX TUUA'!$K$7,'2.2 OPEX LAP 2023'!M398*'2.1 OPEX TUUA'!$K$8)</f>
        <v>114352.65951305391</v>
      </c>
      <c r="L397" s="3">
        <f>+IF(F397="Pasajero",'2.2 OPEX LAP 2023'!N398*'2.1 OPEX TUUA'!$L$7,'2.2 OPEX LAP 2023'!N398*'2.1 OPEX TUUA'!$L$8)</f>
        <v>117406.6304636603</v>
      </c>
      <c r="M397" s="3"/>
      <c r="N397" s="3">
        <f>+IF(F397="Pasajero",'2.2 OPEX LAP 2023'!I398*'2.1 OPEX TUUA'!$N$7,'2.2 OPEX LAP 2023'!I398*'2.1 OPEX TUUA'!$N$8)</f>
        <v>41742.661706832499</v>
      </c>
      <c r="O397" s="3">
        <f>+IF(F397="Pasajero",'2.2 OPEX LAP 2023'!J398*'2.1 OPEX TUUA'!$O$7,'2.2 OPEX LAP 2023'!J398*'2.1 OPEX TUUA'!$O$8)</f>
        <v>40209.439497124629</v>
      </c>
      <c r="P397" s="3">
        <f>+IF(F397="Pasajero",'2.2 OPEX LAP 2023'!K398*'2.1 OPEX TUUA'!$P$7,'2.2 OPEX LAP 2023'!K398*'2.1 OPEX TUUA'!$P$8)</f>
        <v>39296.578210619235</v>
      </c>
      <c r="Q397" s="3">
        <f>+IF(F397="Pasajero",'2.2 OPEX LAP 2023'!L398*'2.1 OPEX TUUA'!$Q$7,'2.2 OPEX LAP 2023'!L398*'2.1 OPEX TUUA'!$Q$8)</f>
        <v>38399.516440299994</v>
      </c>
      <c r="R397" s="3">
        <f>+IF(F397="Pasajero",'2.2 OPEX LAP 2023'!M398*'2.1 OPEX TUUA'!$R$7,'2.2 OPEX LAP 2023'!M398*'2.1 OPEX TUUA'!$R$8)</f>
        <v>37913.117501467023</v>
      </c>
      <c r="S397" s="3">
        <f>+IF(F397="Pasajero",'2.2 OPEX LAP 2023'!N398*'2.1 OPEX TUUA'!$S$7,'2.2 OPEX LAP 2023'!N398*'2.1 OPEX TUUA'!$S$8)</f>
        <v>37316.01157110263</v>
      </c>
      <c r="AA397" s="6"/>
      <c r="AB397" s="6"/>
      <c r="AC397" s="6"/>
      <c r="AD397" s="6"/>
      <c r="AE397" s="6"/>
      <c r="AF397" s="6"/>
    </row>
    <row r="398" spans="2:32" x14ac:dyDescent="0.25">
      <c r="B398" s="16">
        <v>6348000001</v>
      </c>
      <c r="C398" s="190" t="s">
        <v>177</v>
      </c>
      <c r="D398" s="190" t="s">
        <v>52</v>
      </c>
      <c r="E398" s="190" t="s">
        <v>89</v>
      </c>
      <c r="F398" s="162" t="s">
        <v>190</v>
      </c>
      <c r="G398" s="3">
        <f>+IF(F398="Pasajero",'2.2 OPEX LAP 2023'!I399*'2.1 OPEX TUUA'!$G$7,'2.2 OPEX LAP 2023'!I399*'2.1 OPEX TUUA'!$G$8)</f>
        <v>746.94511066773202</v>
      </c>
      <c r="H398" s="3">
        <f>+IF(F398="Pasajero",'2.2 OPEX LAP 2023'!J399*'2.1 OPEX TUUA'!$H$7,'2.2 OPEX LAP 2023'!J399*'2.1 OPEX TUUA'!$H$8)</f>
        <v>856.84697857422498</v>
      </c>
      <c r="I398" s="3">
        <f>+IF(F398="Pasajero",'2.2 OPEX LAP 2023'!K399*'2.1 OPEX TUUA'!$I$7,'2.2 OPEX LAP 2023'!K399*'2.1 OPEX TUUA'!$I$8)</f>
        <v>947.25689447185732</v>
      </c>
      <c r="J398" s="3">
        <f>+IF(F398="Pasajero",'2.2 OPEX LAP 2023'!L399*'2.1 OPEX TUUA'!$J$7,'2.2 OPEX LAP 2023'!L399*'2.1 OPEX TUUA'!$J$8)</f>
        <v>987.15408565880989</v>
      </c>
      <c r="K398" s="3">
        <f>+IF(F398="Pasajero",'2.2 OPEX LAP 2023'!M399*'2.1 OPEX TUUA'!$K$7,'2.2 OPEX LAP 2023'!M399*'2.1 OPEX TUUA'!$K$8)</f>
        <v>1009.2367456248735</v>
      </c>
      <c r="L398" s="3">
        <f>+IF(F398="Pasajero",'2.2 OPEX LAP 2023'!N399*'2.1 OPEX TUUA'!$L$7,'2.2 OPEX LAP 2023'!N399*'2.1 OPEX TUUA'!$L$8)</f>
        <v>1036.1900295847543</v>
      </c>
      <c r="M398" s="3"/>
      <c r="N398" s="3">
        <f>+IF(F398="Pasajero",'2.2 OPEX LAP 2023'!I399*'2.1 OPEX TUUA'!$N$7,'2.2 OPEX LAP 2023'!I399*'2.1 OPEX TUUA'!$N$8)</f>
        <v>368.40619391029128</v>
      </c>
      <c r="O398" s="3">
        <f>+IF(F398="Pasajero",'2.2 OPEX LAP 2023'!J399*'2.1 OPEX TUUA'!$O$7,'2.2 OPEX LAP 2023'!J399*'2.1 OPEX TUUA'!$O$8)</f>
        <v>354.87450868465208</v>
      </c>
      <c r="P398" s="3">
        <f>+IF(F398="Pasajero",'2.2 OPEX LAP 2023'!K399*'2.1 OPEX TUUA'!$P$7,'2.2 OPEX LAP 2023'!K399*'2.1 OPEX TUUA'!$P$8)</f>
        <v>346.81791290522057</v>
      </c>
      <c r="Q398" s="3">
        <f>+IF(F398="Pasajero",'2.2 OPEX LAP 2023'!L399*'2.1 OPEX TUUA'!$Q$7,'2.2 OPEX LAP 2023'!L399*'2.1 OPEX TUUA'!$Q$8)</f>
        <v>338.90075815292442</v>
      </c>
      <c r="R398" s="3">
        <f>+IF(F398="Pasajero",'2.2 OPEX LAP 2023'!M399*'2.1 OPEX TUUA'!$R$7,'2.2 OPEX LAP 2023'!M399*'2.1 OPEX TUUA'!$R$8)</f>
        <v>334.60797052390433</v>
      </c>
      <c r="S398" s="3">
        <f>+IF(F398="Pasajero",'2.2 OPEX LAP 2023'!N399*'2.1 OPEX TUUA'!$S$7,'2.2 OPEX LAP 2023'!N399*'2.1 OPEX TUUA'!$S$8)</f>
        <v>329.33812154513635</v>
      </c>
      <c r="AA398" s="6"/>
      <c r="AB398" s="6"/>
      <c r="AC398" s="6"/>
      <c r="AD398" s="6"/>
      <c r="AE398" s="6"/>
      <c r="AF398" s="6"/>
    </row>
    <row r="399" spans="2:32" x14ac:dyDescent="0.25">
      <c r="B399" s="16">
        <v>6354000001</v>
      </c>
      <c r="C399" s="190" t="s">
        <v>177</v>
      </c>
      <c r="D399" s="190" t="s">
        <v>40</v>
      </c>
      <c r="E399" s="190" t="s">
        <v>90</v>
      </c>
      <c r="F399" s="162" t="s">
        <v>190</v>
      </c>
      <c r="G399" s="3">
        <f>+IF(F399="Pasajero",'2.2 OPEX LAP 2023'!I400*'2.1 OPEX TUUA'!$G$7,'2.2 OPEX LAP 2023'!I400*'2.1 OPEX TUUA'!$G$8)</f>
        <v>17907.884199420201</v>
      </c>
      <c r="H399" s="3">
        <f>+IF(F399="Pasajero",'2.2 OPEX LAP 2023'!J400*'2.1 OPEX TUUA'!$H$7,'2.2 OPEX LAP 2023'!J400*'2.1 OPEX TUUA'!$H$8)</f>
        <v>20542.763115770638</v>
      </c>
      <c r="I399" s="3">
        <f>+IF(F399="Pasajero",'2.2 OPEX LAP 2023'!K400*'2.1 OPEX TUUA'!$I$7,'2.2 OPEX LAP 2023'!K400*'2.1 OPEX TUUA'!$I$8)</f>
        <v>22710.325740187269</v>
      </c>
      <c r="J399" s="3">
        <f>+IF(F399="Pasajero",'2.2 OPEX LAP 2023'!L400*'2.1 OPEX TUUA'!$J$7,'2.2 OPEX LAP 2023'!L400*'2.1 OPEX TUUA'!$J$8)</f>
        <v>23666.854231309422</v>
      </c>
      <c r="K399" s="3">
        <f>+IF(F399="Pasajero",'2.2 OPEX LAP 2023'!M400*'2.1 OPEX TUUA'!$K$7,'2.2 OPEX LAP 2023'!M400*'2.1 OPEX TUUA'!$K$8)</f>
        <v>24196.282313560238</v>
      </c>
      <c r="L399" s="3">
        <f>+IF(F399="Pasajero",'2.2 OPEX LAP 2023'!N400*'2.1 OPEX TUUA'!$L$7,'2.2 OPEX LAP 2023'!N400*'2.1 OPEX TUUA'!$L$8)</f>
        <v>24842.482792088231</v>
      </c>
      <c r="M399" s="3"/>
      <c r="N399" s="3">
        <f>+IF(F399="Pasajero",'2.2 OPEX LAP 2023'!I400*'2.1 OPEX TUUA'!$N$7,'2.2 OPEX LAP 2023'!I400*'2.1 OPEX TUUA'!$N$8)</f>
        <v>8832.4769312659573</v>
      </c>
      <c r="O399" s="3">
        <f>+IF(F399="Pasajero",'2.2 OPEX LAP 2023'!J400*'2.1 OPEX TUUA'!$O$7,'2.2 OPEX LAP 2023'!J400*'2.1 OPEX TUUA'!$O$8)</f>
        <v>8508.0570393851103</v>
      </c>
      <c r="P399" s="3">
        <f>+IF(F399="Pasajero",'2.2 OPEX LAP 2023'!K400*'2.1 OPEX TUUA'!$P$7,'2.2 OPEX LAP 2023'!K400*'2.1 OPEX TUUA'!$P$8)</f>
        <v>8314.901501984752</v>
      </c>
      <c r="Q399" s="3">
        <f>+IF(F399="Pasajero",'2.2 OPEX LAP 2023'!L400*'2.1 OPEX TUUA'!$Q$7,'2.2 OPEX LAP 2023'!L400*'2.1 OPEX TUUA'!$Q$8)</f>
        <v>8125.0890399066948</v>
      </c>
      <c r="R399" s="3">
        <f>+IF(F399="Pasajero",'2.2 OPEX LAP 2023'!M400*'2.1 OPEX TUUA'!$R$7,'2.2 OPEX LAP 2023'!M400*'2.1 OPEX TUUA'!$R$8)</f>
        <v>8022.1701739079963</v>
      </c>
      <c r="S399" s="3">
        <f>+IF(F399="Pasajero",'2.2 OPEX LAP 2023'!N400*'2.1 OPEX TUUA'!$S$7,'2.2 OPEX LAP 2023'!N400*'2.1 OPEX TUUA'!$S$8)</f>
        <v>7895.8264253347634</v>
      </c>
      <c r="AA399" s="6"/>
      <c r="AB399" s="6"/>
      <c r="AC399" s="6"/>
      <c r="AD399" s="6"/>
      <c r="AE399" s="6"/>
      <c r="AF399" s="6"/>
    </row>
    <row r="400" spans="2:32" x14ac:dyDescent="0.25">
      <c r="B400" s="16">
        <v>6356000001</v>
      </c>
      <c r="C400" s="190" t="s">
        <v>177</v>
      </c>
      <c r="D400" s="190" t="s">
        <v>40</v>
      </c>
      <c r="E400" s="190" t="s">
        <v>91</v>
      </c>
      <c r="F400" s="162" t="s">
        <v>190</v>
      </c>
      <c r="G400" s="3">
        <f>+IF(F400="Pasajero",'2.2 OPEX LAP 2023'!I401*'2.1 OPEX TUUA'!$G$7,'2.2 OPEX LAP 2023'!I401*'2.1 OPEX TUUA'!$G$8)</f>
        <v>17925.501712736983</v>
      </c>
      <c r="H400" s="3">
        <f>+IF(F400="Pasajero",'2.2 OPEX LAP 2023'!J401*'2.1 OPEX TUUA'!$H$7,'2.2 OPEX LAP 2023'!J401*'2.1 OPEX TUUA'!$H$8)</f>
        <v>20562.972784245449</v>
      </c>
      <c r="I400" s="3">
        <f>+IF(F400="Pasajero",'2.2 OPEX LAP 2023'!K401*'2.1 OPEX TUUA'!$I$7,'2.2 OPEX LAP 2023'!K401*'2.1 OPEX TUUA'!$I$8)</f>
        <v>22732.667824919372</v>
      </c>
      <c r="J400" s="3">
        <f>+IF(F400="Pasajero",'2.2 OPEX LAP 2023'!L401*'2.1 OPEX TUUA'!$J$7,'2.2 OPEX LAP 2023'!L401*'2.1 OPEX TUUA'!$J$8)</f>
        <v>23690.137334714786</v>
      </c>
      <c r="K400" s="3">
        <f>+IF(F400="Pasajero",'2.2 OPEX LAP 2023'!M401*'2.1 OPEX TUUA'!$K$7,'2.2 OPEX LAP 2023'!M401*'2.1 OPEX TUUA'!$K$8)</f>
        <v>24220.086260532906</v>
      </c>
      <c r="L400" s="3">
        <f>+IF(F400="Pasajero",'2.2 OPEX LAP 2023'!N401*'2.1 OPEX TUUA'!$L$7,'2.2 OPEX LAP 2023'!N401*'2.1 OPEX TUUA'!$L$8)</f>
        <v>24866.922461595677</v>
      </c>
      <c r="M400" s="3"/>
      <c r="N400" s="3">
        <f>+IF(F400="Pasajero",'2.2 OPEX LAP 2023'!I401*'2.1 OPEX TUUA'!$N$7,'2.2 OPEX LAP 2023'!I401*'2.1 OPEX TUUA'!$N$8)</f>
        <v>8841.1661922765779</v>
      </c>
      <c r="O400" s="3">
        <f>+IF(F400="Pasajero",'2.2 OPEX LAP 2023'!J401*'2.1 OPEX TUUA'!$O$7,'2.2 OPEX LAP 2023'!J401*'2.1 OPEX TUUA'!$O$8)</f>
        <v>8516.4271408734894</v>
      </c>
      <c r="P400" s="3">
        <f>+IF(F400="Pasajero",'2.2 OPEX LAP 2023'!K401*'2.1 OPEX TUUA'!$P$7,'2.2 OPEX LAP 2023'!K401*'2.1 OPEX TUUA'!$P$8)</f>
        <v>8323.0815798938802</v>
      </c>
      <c r="Q400" s="3">
        <f>+IF(F400="Pasajero",'2.2 OPEX LAP 2023'!L401*'2.1 OPEX TUUA'!$Q$7,'2.2 OPEX LAP 2023'!L401*'2.1 OPEX TUUA'!$Q$8)</f>
        <v>8133.0823831049502</v>
      </c>
      <c r="R400" s="3">
        <f>+IF(F400="Pasajero",'2.2 OPEX LAP 2023'!M401*'2.1 OPEX TUUA'!$R$7,'2.2 OPEX LAP 2023'!M401*'2.1 OPEX TUUA'!$R$8)</f>
        <v>8030.0622670382872</v>
      </c>
      <c r="S400" s="3">
        <f>+IF(F400="Pasajero",'2.2 OPEX LAP 2023'!N401*'2.1 OPEX TUUA'!$S$7,'2.2 OPEX LAP 2023'!N401*'2.1 OPEX TUUA'!$S$8)</f>
        <v>7903.5942233418455</v>
      </c>
      <c r="AA400" s="6"/>
      <c r="AB400" s="6"/>
      <c r="AC400" s="6"/>
      <c r="AD400" s="6"/>
      <c r="AE400" s="6"/>
      <c r="AF400" s="6"/>
    </row>
    <row r="401" spans="2:32" x14ac:dyDescent="0.25">
      <c r="B401" s="16">
        <v>6356000002</v>
      </c>
      <c r="C401" s="190" t="s">
        <v>177</v>
      </c>
      <c r="D401" s="190" t="s">
        <v>40</v>
      </c>
      <c r="E401" s="190" t="s">
        <v>92</v>
      </c>
      <c r="F401" s="162" t="s">
        <v>190</v>
      </c>
      <c r="G401" s="3">
        <f>+IF(F401="Pasajero",'2.2 OPEX LAP 2023'!I402*'2.1 OPEX TUUA'!$G$7,'2.2 OPEX LAP 2023'!I402*'2.1 OPEX TUUA'!$G$8)</f>
        <v>0</v>
      </c>
      <c r="H401" s="3">
        <f>+IF(F401="Pasajero",'2.2 OPEX LAP 2023'!J402*'2.1 OPEX TUUA'!$H$7,'2.2 OPEX LAP 2023'!J402*'2.1 OPEX TUUA'!$H$8)</f>
        <v>0</v>
      </c>
      <c r="I401" s="3">
        <f>+IF(F401="Pasajero",'2.2 OPEX LAP 2023'!K402*'2.1 OPEX TUUA'!$I$7,'2.2 OPEX LAP 2023'!K402*'2.1 OPEX TUUA'!$I$8)</f>
        <v>0</v>
      </c>
      <c r="J401" s="3">
        <f>+IF(F401="Pasajero",'2.2 OPEX LAP 2023'!L402*'2.1 OPEX TUUA'!$J$7,'2.2 OPEX LAP 2023'!L402*'2.1 OPEX TUUA'!$J$8)</f>
        <v>0</v>
      </c>
      <c r="K401" s="3">
        <f>+IF(F401="Pasajero",'2.2 OPEX LAP 2023'!M402*'2.1 OPEX TUUA'!$K$7,'2.2 OPEX LAP 2023'!M402*'2.1 OPEX TUUA'!$K$8)</f>
        <v>0</v>
      </c>
      <c r="L401" s="3">
        <f>+IF(F401="Pasajero",'2.2 OPEX LAP 2023'!N402*'2.1 OPEX TUUA'!$L$7,'2.2 OPEX LAP 2023'!N402*'2.1 OPEX TUUA'!$L$8)</f>
        <v>0</v>
      </c>
      <c r="M401" s="3"/>
      <c r="N401" s="3">
        <f>+IF(F401="Pasajero",'2.2 OPEX LAP 2023'!I402*'2.1 OPEX TUUA'!$N$7,'2.2 OPEX LAP 2023'!I402*'2.1 OPEX TUUA'!$N$8)</f>
        <v>0</v>
      </c>
      <c r="O401" s="3">
        <f>+IF(F401="Pasajero",'2.2 OPEX LAP 2023'!J402*'2.1 OPEX TUUA'!$O$7,'2.2 OPEX LAP 2023'!J402*'2.1 OPEX TUUA'!$O$8)</f>
        <v>0</v>
      </c>
      <c r="P401" s="3">
        <f>+IF(F401="Pasajero",'2.2 OPEX LAP 2023'!K402*'2.1 OPEX TUUA'!$P$7,'2.2 OPEX LAP 2023'!K402*'2.1 OPEX TUUA'!$P$8)</f>
        <v>0</v>
      </c>
      <c r="Q401" s="3">
        <f>+IF(F401="Pasajero",'2.2 OPEX LAP 2023'!L402*'2.1 OPEX TUUA'!$Q$7,'2.2 OPEX LAP 2023'!L402*'2.1 OPEX TUUA'!$Q$8)</f>
        <v>0</v>
      </c>
      <c r="R401" s="3">
        <f>+IF(F401="Pasajero",'2.2 OPEX LAP 2023'!M402*'2.1 OPEX TUUA'!$R$7,'2.2 OPEX LAP 2023'!M402*'2.1 OPEX TUUA'!$R$8)</f>
        <v>0</v>
      </c>
      <c r="S401" s="3">
        <f>+IF(F401="Pasajero",'2.2 OPEX LAP 2023'!N402*'2.1 OPEX TUUA'!$S$7,'2.2 OPEX LAP 2023'!N402*'2.1 OPEX TUUA'!$S$8)</f>
        <v>0</v>
      </c>
      <c r="AA401" s="6"/>
      <c r="AB401" s="6"/>
      <c r="AC401" s="6"/>
      <c r="AD401" s="6"/>
      <c r="AE401" s="6"/>
      <c r="AF401" s="6"/>
    </row>
    <row r="402" spans="2:32" x14ac:dyDescent="0.25">
      <c r="B402" s="16">
        <v>6357000001</v>
      </c>
      <c r="C402" s="190" t="s">
        <v>177</v>
      </c>
      <c r="D402" s="190" t="s">
        <v>40</v>
      </c>
      <c r="E402" s="190" t="s">
        <v>93</v>
      </c>
      <c r="F402" s="162" t="s">
        <v>190</v>
      </c>
      <c r="G402" s="3">
        <f>+IF(F402="Pasajero",'2.2 OPEX LAP 2023'!I403*'2.1 OPEX TUUA'!$G$7,'2.2 OPEX LAP 2023'!I403*'2.1 OPEX TUUA'!$G$8)</f>
        <v>155.08950375403285</v>
      </c>
      <c r="H402" s="3">
        <f>+IF(F402="Pasajero",'2.2 OPEX LAP 2023'!J403*'2.1 OPEX TUUA'!$H$7,'2.2 OPEX LAP 2023'!J403*'2.1 OPEX TUUA'!$H$8)</f>
        <v>177.90861845447208</v>
      </c>
      <c r="I402" s="3">
        <f>+IF(F402="Pasajero",'2.2 OPEX LAP 2023'!K403*'2.1 OPEX TUUA'!$I$7,'2.2 OPEX LAP 2023'!K403*'2.1 OPEX TUUA'!$I$8)</f>
        <v>196.68058548491825</v>
      </c>
      <c r="J402" s="3">
        <f>+IF(F402="Pasajero",'2.2 OPEX LAP 2023'!L403*'2.1 OPEX TUUA'!$J$7,'2.2 OPEX LAP 2023'!L403*'2.1 OPEX TUUA'!$J$8)</f>
        <v>204.96450821765134</v>
      </c>
      <c r="K402" s="3">
        <f>+IF(F402="Pasajero",'2.2 OPEX LAP 2023'!M403*'2.1 OPEX TUUA'!$K$7,'2.2 OPEX LAP 2023'!M403*'2.1 OPEX TUUA'!$K$8)</f>
        <v>209.54956905651841</v>
      </c>
      <c r="L402" s="3">
        <f>+IF(F402="Pasajero",'2.2 OPEX LAP 2023'!N403*'2.1 OPEX TUUA'!$L$7,'2.2 OPEX LAP 2023'!N403*'2.1 OPEX TUUA'!$L$8)</f>
        <v>215.145925969736</v>
      </c>
      <c r="M402" s="3"/>
      <c r="N402" s="3">
        <f>+IF(F402="Pasajero",'2.2 OPEX LAP 2023'!I403*'2.1 OPEX TUUA'!$N$7,'2.2 OPEX LAP 2023'!I403*'2.1 OPEX TUUA'!$N$8)</f>
        <v>76.492814501968383</v>
      </c>
      <c r="O402" s="3">
        <f>+IF(F402="Pasajero",'2.2 OPEX LAP 2023'!J403*'2.1 OPEX TUUA'!$O$7,'2.2 OPEX LAP 2023'!J403*'2.1 OPEX TUUA'!$O$8)</f>
        <v>73.683207321162158</v>
      </c>
      <c r="P402" s="3">
        <f>+IF(F402="Pasajero",'2.2 OPEX LAP 2023'!K403*'2.1 OPEX TUUA'!$P$7,'2.2 OPEX LAP 2023'!K403*'2.1 OPEX TUUA'!$P$8)</f>
        <v>72.010402420863812</v>
      </c>
      <c r="Q402" s="3">
        <f>+IF(F402="Pasajero",'2.2 OPEX LAP 2023'!L403*'2.1 OPEX TUUA'!$Q$7,'2.2 OPEX LAP 2023'!L403*'2.1 OPEX TUUA'!$Q$8)</f>
        <v>70.366549901928607</v>
      </c>
      <c r="R402" s="3">
        <f>+IF(F402="Pasajero",'2.2 OPEX LAP 2023'!M403*'2.1 OPEX TUUA'!$R$7,'2.2 OPEX LAP 2023'!M403*'2.1 OPEX TUUA'!$R$8)</f>
        <v>69.475230990273886</v>
      </c>
      <c r="S402" s="3">
        <f>+IF(F402="Pasajero",'2.2 OPEX LAP 2023'!N403*'2.1 OPEX TUUA'!$S$7,'2.2 OPEX LAP 2023'!N403*'2.1 OPEX TUUA'!$S$8)</f>
        <v>68.381043142594962</v>
      </c>
      <c r="AA402" s="6"/>
      <c r="AB402" s="6"/>
      <c r="AC402" s="6"/>
      <c r="AD402" s="6"/>
      <c r="AE402" s="6"/>
      <c r="AF402" s="6"/>
    </row>
    <row r="403" spans="2:32" x14ac:dyDescent="0.25">
      <c r="B403" s="16">
        <v>6358000001</v>
      </c>
      <c r="C403" s="190" t="s">
        <v>177</v>
      </c>
      <c r="D403" s="190" t="s">
        <v>40</v>
      </c>
      <c r="E403" s="190" t="s">
        <v>94</v>
      </c>
      <c r="F403" s="162" t="s">
        <v>190</v>
      </c>
      <c r="G403" s="3">
        <f>+IF(F403="Pasajero",'2.2 OPEX LAP 2023'!I404*'2.1 OPEX TUUA'!$G$7,'2.2 OPEX LAP 2023'!I404*'2.1 OPEX TUUA'!$G$8)</f>
        <v>0</v>
      </c>
      <c r="H403" s="3">
        <f>+IF(F403="Pasajero",'2.2 OPEX LAP 2023'!J404*'2.1 OPEX TUUA'!$H$7,'2.2 OPEX LAP 2023'!J404*'2.1 OPEX TUUA'!$H$8)</f>
        <v>0</v>
      </c>
      <c r="I403" s="3">
        <f>+IF(F403="Pasajero",'2.2 OPEX LAP 2023'!K404*'2.1 OPEX TUUA'!$I$7,'2.2 OPEX LAP 2023'!K404*'2.1 OPEX TUUA'!$I$8)</f>
        <v>0</v>
      </c>
      <c r="J403" s="3">
        <f>+IF(F403="Pasajero",'2.2 OPEX LAP 2023'!L404*'2.1 OPEX TUUA'!$J$7,'2.2 OPEX LAP 2023'!L404*'2.1 OPEX TUUA'!$J$8)</f>
        <v>0</v>
      </c>
      <c r="K403" s="3">
        <f>+IF(F403="Pasajero",'2.2 OPEX LAP 2023'!M404*'2.1 OPEX TUUA'!$K$7,'2.2 OPEX LAP 2023'!M404*'2.1 OPEX TUUA'!$K$8)</f>
        <v>0</v>
      </c>
      <c r="L403" s="3">
        <f>+IF(F403="Pasajero",'2.2 OPEX LAP 2023'!N404*'2.1 OPEX TUUA'!$L$7,'2.2 OPEX LAP 2023'!N404*'2.1 OPEX TUUA'!$L$8)</f>
        <v>0</v>
      </c>
      <c r="M403" s="3"/>
      <c r="N403" s="3">
        <f>+IF(F403="Pasajero",'2.2 OPEX LAP 2023'!I404*'2.1 OPEX TUUA'!$N$7,'2.2 OPEX LAP 2023'!I404*'2.1 OPEX TUUA'!$N$8)</f>
        <v>0</v>
      </c>
      <c r="O403" s="3">
        <f>+IF(F403="Pasajero",'2.2 OPEX LAP 2023'!J404*'2.1 OPEX TUUA'!$O$7,'2.2 OPEX LAP 2023'!J404*'2.1 OPEX TUUA'!$O$8)</f>
        <v>0</v>
      </c>
      <c r="P403" s="3">
        <f>+IF(F403="Pasajero",'2.2 OPEX LAP 2023'!K404*'2.1 OPEX TUUA'!$P$7,'2.2 OPEX LAP 2023'!K404*'2.1 OPEX TUUA'!$P$8)</f>
        <v>0</v>
      </c>
      <c r="Q403" s="3">
        <f>+IF(F403="Pasajero",'2.2 OPEX LAP 2023'!L404*'2.1 OPEX TUUA'!$Q$7,'2.2 OPEX LAP 2023'!L404*'2.1 OPEX TUUA'!$Q$8)</f>
        <v>0</v>
      </c>
      <c r="R403" s="3">
        <f>+IF(F403="Pasajero",'2.2 OPEX LAP 2023'!M404*'2.1 OPEX TUUA'!$R$7,'2.2 OPEX LAP 2023'!M404*'2.1 OPEX TUUA'!$R$8)</f>
        <v>0</v>
      </c>
      <c r="S403" s="3">
        <f>+IF(F403="Pasajero",'2.2 OPEX LAP 2023'!N404*'2.1 OPEX TUUA'!$S$7,'2.2 OPEX LAP 2023'!N404*'2.1 OPEX TUUA'!$S$8)</f>
        <v>0</v>
      </c>
      <c r="AA403" s="6"/>
      <c r="AB403" s="6"/>
      <c r="AC403" s="6"/>
      <c r="AD403" s="6"/>
      <c r="AE403" s="6"/>
      <c r="AF403" s="6"/>
    </row>
    <row r="404" spans="2:32" x14ac:dyDescent="0.25">
      <c r="B404" s="16">
        <v>6360000001</v>
      </c>
      <c r="C404" s="190" t="s">
        <v>177</v>
      </c>
      <c r="D404" s="190" t="s">
        <v>40</v>
      </c>
      <c r="E404" s="190" t="s">
        <v>95</v>
      </c>
      <c r="F404" s="162" t="s">
        <v>190</v>
      </c>
      <c r="G404" s="3">
        <f>+IF(F404="Pasajero",'2.2 OPEX LAP 2023'!I405*'2.1 OPEX TUUA'!$G$7,'2.2 OPEX LAP 2023'!I405*'2.1 OPEX TUUA'!$G$8)</f>
        <v>1797.1509761001184</v>
      </c>
      <c r="H404" s="3">
        <f>+IF(F404="Pasajero",'2.2 OPEX LAP 2023'!J405*'2.1 OPEX TUUA'!$H$7,'2.2 OPEX LAP 2023'!J405*'2.1 OPEX TUUA'!$H$8)</f>
        <v>2061.5750232791884</v>
      </c>
      <c r="I404" s="3">
        <f>+IF(F404="Pasajero",'2.2 OPEX LAP 2023'!K405*'2.1 OPEX TUUA'!$I$7,'2.2 OPEX LAP 2023'!K405*'2.1 OPEX TUUA'!$I$8)</f>
        <v>2279.1014067898996</v>
      </c>
      <c r="J404" s="3">
        <f>+IF(F404="Pasajero",'2.2 OPEX LAP 2023'!L405*'2.1 OPEX TUUA'!$J$7,'2.2 OPEX LAP 2023'!L405*'2.1 OPEX TUUA'!$J$8)</f>
        <v>2375.0941043271891</v>
      </c>
      <c r="K404" s="3">
        <f>+IF(F404="Pasajero",'2.2 OPEX LAP 2023'!M405*'2.1 OPEX TUUA'!$K$7,'2.2 OPEX LAP 2023'!M405*'2.1 OPEX TUUA'!$K$8)</f>
        <v>2428.225014947142</v>
      </c>
      <c r="L404" s="3">
        <f>+IF(F404="Pasajero",'2.2 OPEX LAP 2023'!N405*'2.1 OPEX TUUA'!$L$7,'2.2 OPEX LAP 2023'!N405*'2.1 OPEX TUUA'!$L$8)</f>
        <v>2493.0746536766883</v>
      </c>
      <c r="M404" s="3"/>
      <c r="N404" s="3">
        <f>+IF(F404="Pasajero",'2.2 OPEX LAP 2023'!I405*'2.1 OPEX TUUA'!$N$7,'2.2 OPEX LAP 2023'!I405*'2.1 OPEX TUUA'!$N$8)</f>
        <v>886.38581541198027</v>
      </c>
      <c r="O404" s="3">
        <f>+IF(F404="Pasajero",'2.2 OPEX LAP 2023'!J405*'2.1 OPEX TUUA'!$O$7,'2.2 OPEX LAP 2023'!J405*'2.1 OPEX TUUA'!$O$8)</f>
        <v>853.82856192142924</v>
      </c>
      <c r="P404" s="3">
        <f>+IF(F404="Pasajero",'2.2 OPEX LAP 2023'!K405*'2.1 OPEX TUUA'!$P$7,'2.2 OPEX LAP 2023'!K405*'2.1 OPEX TUUA'!$P$8)</f>
        <v>834.44438126040848</v>
      </c>
      <c r="Q404" s="3">
        <f>+IF(F404="Pasajero",'2.2 OPEX LAP 2023'!L405*'2.1 OPEX TUUA'!$Q$7,'2.2 OPEX LAP 2023'!L405*'2.1 OPEX TUUA'!$Q$8)</f>
        <v>815.39569590479346</v>
      </c>
      <c r="R404" s="3">
        <f>+IF(F404="Pasajero",'2.2 OPEX LAP 2023'!M405*'2.1 OPEX TUUA'!$R$7,'2.2 OPEX LAP 2023'!M405*'2.1 OPEX TUUA'!$R$8)</f>
        <v>805.06724289331669</v>
      </c>
      <c r="S404" s="3">
        <f>+IF(F404="Pasajero",'2.2 OPEX LAP 2023'!N405*'2.1 OPEX TUUA'!$S$7,'2.2 OPEX LAP 2023'!N405*'2.1 OPEX TUUA'!$S$8)</f>
        <v>792.38797891416471</v>
      </c>
      <c r="AA404" s="6"/>
      <c r="AB404" s="6"/>
      <c r="AC404" s="6"/>
      <c r="AD404" s="6"/>
      <c r="AE404" s="6"/>
      <c r="AF404" s="6"/>
    </row>
    <row r="405" spans="2:32" x14ac:dyDescent="0.25">
      <c r="B405" s="16">
        <v>6360000002</v>
      </c>
      <c r="C405" s="190" t="s">
        <v>177</v>
      </c>
      <c r="D405" s="190" t="s">
        <v>40</v>
      </c>
      <c r="E405" s="190" t="s">
        <v>96</v>
      </c>
      <c r="F405" s="162" t="s">
        <v>191</v>
      </c>
      <c r="G405" s="3">
        <f>+IF(F405="Pasajero",'2.2 OPEX LAP 2023'!I406*'2.1 OPEX TUUA'!$G$7,'2.2 OPEX LAP 2023'!I406*'2.1 OPEX TUUA'!$G$8)</f>
        <v>1870.897663894227</v>
      </c>
      <c r="H405" s="3">
        <f>+IF(F405="Pasajero",'2.2 OPEX LAP 2023'!J406*'2.1 OPEX TUUA'!$H$7,'2.2 OPEX LAP 2023'!J406*'2.1 OPEX TUUA'!$H$8)</f>
        <v>1870.897663894227</v>
      </c>
      <c r="I405" s="3">
        <f>+IF(F405="Pasajero",'2.2 OPEX LAP 2023'!K406*'2.1 OPEX TUUA'!$I$7,'2.2 OPEX LAP 2023'!K406*'2.1 OPEX TUUA'!$I$8)</f>
        <v>1870.897663894227</v>
      </c>
      <c r="J405" s="3">
        <f>+IF(F405="Pasajero",'2.2 OPEX LAP 2023'!L406*'2.1 OPEX TUUA'!$J$7,'2.2 OPEX LAP 2023'!L406*'2.1 OPEX TUUA'!$J$8)</f>
        <v>1870.897663894227</v>
      </c>
      <c r="K405" s="3">
        <f>+IF(F405="Pasajero",'2.2 OPEX LAP 2023'!M406*'2.1 OPEX TUUA'!$K$7,'2.2 OPEX LAP 2023'!M406*'2.1 OPEX TUUA'!$K$8)</f>
        <v>1870.897663894227</v>
      </c>
      <c r="L405" s="3">
        <f>+IF(F405="Pasajero",'2.2 OPEX LAP 2023'!N406*'2.1 OPEX TUUA'!$L$7,'2.2 OPEX LAP 2023'!N406*'2.1 OPEX TUUA'!$L$8)</f>
        <v>1870.897663894227</v>
      </c>
      <c r="M405" s="3"/>
      <c r="N405" s="3">
        <f>+IF(F405="Pasajero",'2.2 OPEX LAP 2023'!I406*'2.1 OPEX TUUA'!$N$7,'2.2 OPEX LAP 2023'!I406*'2.1 OPEX TUUA'!$N$8)</f>
        <v>349.62537059343055</v>
      </c>
      <c r="O405" s="3">
        <f>+IF(F405="Pasajero",'2.2 OPEX LAP 2023'!J406*'2.1 OPEX TUUA'!$O$7,'2.2 OPEX LAP 2023'!J406*'2.1 OPEX TUUA'!$O$8)</f>
        <v>349.62537059343055</v>
      </c>
      <c r="P405" s="3">
        <f>+IF(F405="Pasajero",'2.2 OPEX LAP 2023'!K406*'2.1 OPEX TUUA'!$P$7,'2.2 OPEX LAP 2023'!K406*'2.1 OPEX TUUA'!$P$8)</f>
        <v>349.62537059343055</v>
      </c>
      <c r="Q405" s="3">
        <f>+IF(F405="Pasajero",'2.2 OPEX LAP 2023'!L406*'2.1 OPEX TUUA'!$Q$7,'2.2 OPEX LAP 2023'!L406*'2.1 OPEX TUUA'!$Q$8)</f>
        <v>349.62537059343055</v>
      </c>
      <c r="R405" s="3">
        <f>+IF(F405="Pasajero",'2.2 OPEX LAP 2023'!M406*'2.1 OPEX TUUA'!$R$7,'2.2 OPEX LAP 2023'!M406*'2.1 OPEX TUUA'!$R$8)</f>
        <v>349.62537059343055</v>
      </c>
      <c r="S405" s="3">
        <f>+IF(F405="Pasajero",'2.2 OPEX LAP 2023'!N406*'2.1 OPEX TUUA'!$S$7,'2.2 OPEX LAP 2023'!N406*'2.1 OPEX TUUA'!$S$8)</f>
        <v>349.62537059343055</v>
      </c>
      <c r="AA405" s="6"/>
      <c r="AB405" s="6"/>
      <c r="AC405" s="6"/>
      <c r="AD405" s="6"/>
      <c r="AE405" s="6"/>
      <c r="AF405" s="6"/>
    </row>
    <row r="406" spans="2:32" x14ac:dyDescent="0.25">
      <c r="B406" s="16">
        <v>6360000003</v>
      </c>
      <c r="C406" s="190" t="s">
        <v>177</v>
      </c>
      <c r="D406" s="190" t="s">
        <v>40</v>
      </c>
      <c r="E406" s="190" t="s">
        <v>97</v>
      </c>
      <c r="F406" s="162" t="s">
        <v>191</v>
      </c>
      <c r="G406" s="3">
        <f>+IF(F406="Pasajero",'2.2 OPEX LAP 2023'!I407*'2.1 OPEX TUUA'!$G$7,'2.2 OPEX LAP 2023'!I407*'2.1 OPEX TUUA'!$G$8)</f>
        <v>267.26114210488822</v>
      </c>
      <c r="H406" s="3">
        <f>+IF(F406="Pasajero",'2.2 OPEX LAP 2023'!J407*'2.1 OPEX TUUA'!$H$7,'2.2 OPEX LAP 2023'!J407*'2.1 OPEX TUUA'!$H$8)</f>
        <v>267.26114210488822</v>
      </c>
      <c r="I406" s="3">
        <f>+IF(F406="Pasajero",'2.2 OPEX LAP 2023'!K407*'2.1 OPEX TUUA'!$I$7,'2.2 OPEX LAP 2023'!K407*'2.1 OPEX TUUA'!$I$8)</f>
        <v>267.26114210488822</v>
      </c>
      <c r="J406" s="3">
        <f>+IF(F406="Pasajero",'2.2 OPEX LAP 2023'!L407*'2.1 OPEX TUUA'!$J$7,'2.2 OPEX LAP 2023'!L407*'2.1 OPEX TUUA'!$J$8)</f>
        <v>267.26114210488822</v>
      </c>
      <c r="K406" s="3">
        <f>+IF(F406="Pasajero",'2.2 OPEX LAP 2023'!M407*'2.1 OPEX TUUA'!$K$7,'2.2 OPEX LAP 2023'!M407*'2.1 OPEX TUUA'!$K$8)</f>
        <v>267.26114210488822</v>
      </c>
      <c r="L406" s="3">
        <f>+IF(F406="Pasajero",'2.2 OPEX LAP 2023'!N407*'2.1 OPEX TUUA'!$L$7,'2.2 OPEX LAP 2023'!N407*'2.1 OPEX TUUA'!$L$8)</f>
        <v>267.26114210488822</v>
      </c>
      <c r="M406" s="3"/>
      <c r="N406" s="3">
        <f>+IF(F406="Pasajero",'2.2 OPEX LAP 2023'!I407*'2.1 OPEX TUUA'!$N$7,'2.2 OPEX LAP 2023'!I407*'2.1 OPEX TUUA'!$N$8)</f>
        <v>49.944621588307164</v>
      </c>
      <c r="O406" s="3">
        <f>+IF(F406="Pasajero",'2.2 OPEX LAP 2023'!J407*'2.1 OPEX TUUA'!$O$7,'2.2 OPEX LAP 2023'!J407*'2.1 OPEX TUUA'!$O$8)</f>
        <v>49.944621588307164</v>
      </c>
      <c r="P406" s="3">
        <f>+IF(F406="Pasajero",'2.2 OPEX LAP 2023'!K407*'2.1 OPEX TUUA'!$P$7,'2.2 OPEX LAP 2023'!K407*'2.1 OPEX TUUA'!$P$8)</f>
        <v>49.944621588307164</v>
      </c>
      <c r="Q406" s="3">
        <f>+IF(F406="Pasajero",'2.2 OPEX LAP 2023'!L407*'2.1 OPEX TUUA'!$Q$7,'2.2 OPEX LAP 2023'!L407*'2.1 OPEX TUUA'!$Q$8)</f>
        <v>49.944621588307164</v>
      </c>
      <c r="R406" s="3">
        <f>+IF(F406="Pasajero",'2.2 OPEX LAP 2023'!M407*'2.1 OPEX TUUA'!$R$7,'2.2 OPEX LAP 2023'!M407*'2.1 OPEX TUUA'!$R$8)</f>
        <v>49.944621588307164</v>
      </c>
      <c r="S406" s="3">
        <f>+IF(F406="Pasajero",'2.2 OPEX LAP 2023'!N407*'2.1 OPEX TUUA'!$S$7,'2.2 OPEX LAP 2023'!N407*'2.1 OPEX TUUA'!$S$8)</f>
        <v>49.944621588307164</v>
      </c>
      <c r="AA406" s="6"/>
      <c r="AB406" s="6"/>
      <c r="AC406" s="6"/>
      <c r="AD406" s="6"/>
      <c r="AE406" s="6"/>
      <c r="AF406" s="6"/>
    </row>
    <row r="407" spans="2:32" x14ac:dyDescent="0.25">
      <c r="B407" s="16">
        <v>6360000004</v>
      </c>
      <c r="C407" s="190" t="s">
        <v>177</v>
      </c>
      <c r="D407" s="190" t="s">
        <v>40</v>
      </c>
      <c r="E407" s="190" t="s">
        <v>98</v>
      </c>
      <c r="F407" s="162" t="s">
        <v>190</v>
      </c>
      <c r="G407" s="3">
        <f>+IF(F407="Pasajero",'2.2 OPEX LAP 2023'!I408*'2.1 OPEX TUUA'!$G$7,'2.2 OPEX LAP 2023'!I408*'2.1 OPEX TUUA'!$G$8)</f>
        <v>0</v>
      </c>
      <c r="H407" s="3">
        <f>+IF(F407="Pasajero",'2.2 OPEX LAP 2023'!J408*'2.1 OPEX TUUA'!$H$7,'2.2 OPEX LAP 2023'!J408*'2.1 OPEX TUUA'!$H$8)</f>
        <v>0</v>
      </c>
      <c r="I407" s="3">
        <f>+IF(F407="Pasajero",'2.2 OPEX LAP 2023'!K408*'2.1 OPEX TUUA'!$I$7,'2.2 OPEX LAP 2023'!K408*'2.1 OPEX TUUA'!$I$8)</f>
        <v>0</v>
      </c>
      <c r="J407" s="3">
        <f>+IF(F407="Pasajero",'2.2 OPEX LAP 2023'!L408*'2.1 OPEX TUUA'!$J$7,'2.2 OPEX LAP 2023'!L408*'2.1 OPEX TUUA'!$J$8)</f>
        <v>0</v>
      </c>
      <c r="K407" s="3">
        <f>+IF(F407="Pasajero",'2.2 OPEX LAP 2023'!M408*'2.1 OPEX TUUA'!$K$7,'2.2 OPEX LAP 2023'!M408*'2.1 OPEX TUUA'!$K$8)</f>
        <v>0</v>
      </c>
      <c r="L407" s="3">
        <f>+IF(F407="Pasajero",'2.2 OPEX LAP 2023'!N408*'2.1 OPEX TUUA'!$L$7,'2.2 OPEX LAP 2023'!N408*'2.1 OPEX TUUA'!$L$8)</f>
        <v>0</v>
      </c>
      <c r="M407" s="3"/>
      <c r="N407" s="3">
        <f>+IF(F407="Pasajero",'2.2 OPEX LAP 2023'!I408*'2.1 OPEX TUUA'!$N$7,'2.2 OPEX LAP 2023'!I408*'2.1 OPEX TUUA'!$N$8)</f>
        <v>0</v>
      </c>
      <c r="O407" s="3">
        <f>+IF(F407="Pasajero",'2.2 OPEX LAP 2023'!J408*'2.1 OPEX TUUA'!$O$7,'2.2 OPEX LAP 2023'!J408*'2.1 OPEX TUUA'!$O$8)</f>
        <v>0</v>
      </c>
      <c r="P407" s="3">
        <f>+IF(F407="Pasajero",'2.2 OPEX LAP 2023'!K408*'2.1 OPEX TUUA'!$P$7,'2.2 OPEX LAP 2023'!K408*'2.1 OPEX TUUA'!$P$8)</f>
        <v>0</v>
      </c>
      <c r="Q407" s="3">
        <f>+IF(F407="Pasajero",'2.2 OPEX LAP 2023'!L408*'2.1 OPEX TUUA'!$Q$7,'2.2 OPEX LAP 2023'!L408*'2.1 OPEX TUUA'!$Q$8)</f>
        <v>0</v>
      </c>
      <c r="R407" s="3">
        <f>+IF(F407="Pasajero",'2.2 OPEX LAP 2023'!M408*'2.1 OPEX TUUA'!$R$7,'2.2 OPEX LAP 2023'!M408*'2.1 OPEX TUUA'!$R$8)</f>
        <v>0</v>
      </c>
      <c r="S407" s="3">
        <f>+IF(F407="Pasajero",'2.2 OPEX LAP 2023'!N408*'2.1 OPEX TUUA'!$S$7,'2.2 OPEX LAP 2023'!N408*'2.1 OPEX TUUA'!$S$8)</f>
        <v>0</v>
      </c>
      <c r="AA407" s="6"/>
      <c r="AB407" s="6"/>
      <c r="AC407" s="6"/>
      <c r="AD407" s="6"/>
      <c r="AE407" s="6"/>
      <c r="AF407" s="6"/>
    </row>
    <row r="408" spans="2:32" x14ac:dyDescent="0.25">
      <c r="B408" s="16">
        <v>6360000005</v>
      </c>
      <c r="C408" s="190" t="s">
        <v>177</v>
      </c>
      <c r="D408" s="190" t="s">
        <v>40</v>
      </c>
      <c r="E408" s="190" t="s">
        <v>99</v>
      </c>
      <c r="F408" s="162" t="s">
        <v>190</v>
      </c>
      <c r="G408" s="3">
        <f>+IF(F408="Pasajero",'2.2 OPEX LAP 2023'!I409*'2.1 OPEX TUUA'!$G$7,'2.2 OPEX LAP 2023'!I409*'2.1 OPEX TUUA'!$G$8)</f>
        <v>0</v>
      </c>
      <c r="H408" s="3">
        <f>+IF(F408="Pasajero",'2.2 OPEX LAP 2023'!J409*'2.1 OPEX TUUA'!$H$7,'2.2 OPEX LAP 2023'!J409*'2.1 OPEX TUUA'!$H$8)</f>
        <v>0</v>
      </c>
      <c r="I408" s="3">
        <f>+IF(F408="Pasajero",'2.2 OPEX LAP 2023'!K409*'2.1 OPEX TUUA'!$I$7,'2.2 OPEX LAP 2023'!K409*'2.1 OPEX TUUA'!$I$8)</f>
        <v>0</v>
      </c>
      <c r="J408" s="3">
        <f>+IF(F408="Pasajero",'2.2 OPEX LAP 2023'!L409*'2.1 OPEX TUUA'!$J$7,'2.2 OPEX LAP 2023'!L409*'2.1 OPEX TUUA'!$J$8)</f>
        <v>0</v>
      </c>
      <c r="K408" s="3">
        <f>+IF(F408="Pasajero",'2.2 OPEX LAP 2023'!M409*'2.1 OPEX TUUA'!$K$7,'2.2 OPEX LAP 2023'!M409*'2.1 OPEX TUUA'!$K$8)</f>
        <v>0</v>
      </c>
      <c r="L408" s="3">
        <f>+IF(F408="Pasajero",'2.2 OPEX LAP 2023'!N409*'2.1 OPEX TUUA'!$L$7,'2.2 OPEX LAP 2023'!N409*'2.1 OPEX TUUA'!$L$8)</f>
        <v>0</v>
      </c>
      <c r="M408" s="3"/>
      <c r="N408" s="3">
        <f>+IF(F408="Pasajero",'2.2 OPEX LAP 2023'!I409*'2.1 OPEX TUUA'!$N$7,'2.2 OPEX LAP 2023'!I409*'2.1 OPEX TUUA'!$N$8)</f>
        <v>0</v>
      </c>
      <c r="O408" s="3">
        <f>+IF(F408="Pasajero",'2.2 OPEX LAP 2023'!J409*'2.1 OPEX TUUA'!$O$7,'2.2 OPEX LAP 2023'!J409*'2.1 OPEX TUUA'!$O$8)</f>
        <v>0</v>
      </c>
      <c r="P408" s="3">
        <f>+IF(F408="Pasajero",'2.2 OPEX LAP 2023'!K409*'2.1 OPEX TUUA'!$P$7,'2.2 OPEX LAP 2023'!K409*'2.1 OPEX TUUA'!$P$8)</f>
        <v>0</v>
      </c>
      <c r="Q408" s="3">
        <f>+IF(F408="Pasajero",'2.2 OPEX LAP 2023'!L409*'2.1 OPEX TUUA'!$Q$7,'2.2 OPEX LAP 2023'!L409*'2.1 OPEX TUUA'!$Q$8)</f>
        <v>0</v>
      </c>
      <c r="R408" s="3">
        <f>+IF(F408="Pasajero",'2.2 OPEX LAP 2023'!M409*'2.1 OPEX TUUA'!$R$7,'2.2 OPEX LAP 2023'!M409*'2.1 OPEX TUUA'!$R$8)</f>
        <v>0</v>
      </c>
      <c r="S408" s="3">
        <f>+IF(F408="Pasajero",'2.2 OPEX LAP 2023'!N409*'2.1 OPEX TUUA'!$S$7,'2.2 OPEX LAP 2023'!N409*'2.1 OPEX TUUA'!$S$8)</f>
        <v>0</v>
      </c>
      <c r="AA408" s="6"/>
      <c r="AB408" s="6"/>
      <c r="AC408" s="6"/>
      <c r="AD408" s="6"/>
      <c r="AE408" s="6"/>
      <c r="AF408" s="6"/>
    </row>
    <row r="409" spans="2:32" x14ac:dyDescent="0.25">
      <c r="B409" s="16">
        <v>6370000001</v>
      </c>
      <c r="C409" s="190" t="s">
        <v>177</v>
      </c>
      <c r="D409" s="190" t="s">
        <v>40</v>
      </c>
      <c r="E409" s="190" t="s">
        <v>100</v>
      </c>
      <c r="F409" s="162" t="s">
        <v>190</v>
      </c>
      <c r="G409" s="3">
        <f>+IF(F409="Pasajero",'2.2 OPEX LAP 2023'!I410*'2.1 OPEX TUUA'!$G$7,'2.2 OPEX LAP 2023'!I410*'2.1 OPEX TUUA'!$G$8)</f>
        <v>8999.6660499791251</v>
      </c>
      <c r="H409" s="3">
        <f>+IF(F409="Pasajero",'2.2 OPEX LAP 2023'!J410*'2.1 OPEX TUUA'!$H$7,'2.2 OPEX LAP 2023'!J410*'2.1 OPEX TUUA'!$H$8)</f>
        <v>10323.833107640385</v>
      </c>
      <c r="I409" s="3">
        <f>+IF(F409="Pasajero",'2.2 OPEX LAP 2023'!K410*'2.1 OPEX TUUA'!$I$7,'2.2 OPEX LAP 2023'!K410*'2.1 OPEX TUUA'!$I$8)</f>
        <v>11413.148827182373</v>
      </c>
      <c r="J409" s="3">
        <f>+IF(F409="Pasajero",'2.2 OPEX LAP 2023'!L410*'2.1 OPEX TUUA'!$J$7,'2.2 OPEX LAP 2023'!L410*'2.1 OPEX TUUA'!$J$8)</f>
        <v>11893.855363561948</v>
      </c>
      <c r="K409" s="3">
        <f>+IF(F409="Pasajero",'2.2 OPEX LAP 2023'!M410*'2.1 OPEX TUUA'!$K$7,'2.2 OPEX LAP 2023'!M410*'2.1 OPEX TUUA'!$K$8)</f>
        <v>12159.921186005253</v>
      </c>
      <c r="L409" s="3">
        <f>+IF(F409="Pasajero",'2.2 OPEX LAP 2023'!N410*'2.1 OPEX TUUA'!$L$7,'2.2 OPEX LAP 2023'!N410*'2.1 OPEX TUUA'!$L$8)</f>
        <v>12484.6713599134</v>
      </c>
      <c r="M409" s="3"/>
      <c r="N409" s="3">
        <f>+IF(F409="Pasajero",'2.2 OPEX LAP 2023'!I410*'2.1 OPEX TUUA'!$N$7,'2.2 OPEX LAP 2023'!I410*'2.1 OPEX TUUA'!$N$8)</f>
        <v>4438.7903054516992</v>
      </c>
      <c r="O409" s="3">
        <f>+IF(F409="Pasajero",'2.2 OPEX LAP 2023'!J410*'2.1 OPEX TUUA'!$O$7,'2.2 OPEX LAP 2023'!J410*'2.1 OPEX TUUA'!$O$8)</f>
        <v>4275.7520227386312</v>
      </c>
      <c r="P409" s="3">
        <f>+IF(F409="Pasajero",'2.2 OPEX LAP 2023'!K410*'2.1 OPEX TUUA'!$P$7,'2.2 OPEX LAP 2023'!K410*'2.1 OPEX TUUA'!$P$8)</f>
        <v>4178.6810727062548</v>
      </c>
      <c r="Q409" s="3">
        <f>+IF(F409="Pasajero",'2.2 OPEX LAP 2023'!L410*'2.1 OPEX TUUA'!$Q$7,'2.2 OPEX LAP 2023'!L410*'2.1 OPEX TUUA'!$Q$8)</f>
        <v>4083.2901961624957</v>
      </c>
      <c r="R409" s="3">
        <f>+IF(F409="Pasajero",'2.2 OPEX LAP 2023'!M410*'2.1 OPEX TUUA'!$R$7,'2.2 OPEX LAP 2023'!M410*'2.1 OPEX TUUA'!$R$8)</f>
        <v>4031.5679818620019</v>
      </c>
      <c r="S409" s="3">
        <f>+IF(F409="Pasajero",'2.2 OPEX LAP 2023'!N410*'2.1 OPEX TUUA'!$S$7,'2.2 OPEX LAP 2023'!N410*'2.1 OPEX TUUA'!$S$8)</f>
        <v>3968.0735158491802</v>
      </c>
      <c r="AA409" s="6"/>
      <c r="AB409" s="6"/>
      <c r="AC409" s="6"/>
      <c r="AD409" s="6"/>
      <c r="AE409" s="6"/>
      <c r="AF409" s="6"/>
    </row>
    <row r="410" spans="2:32" x14ac:dyDescent="0.25">
      <c r="B410" s="16">
        <v>6370000002</v>
      </c>
      <c r="C410" s="190" t="s">
        <v>177</v>
      </c>
      <c r="D410" s="190" t="s">
        <v>40</v>
      </c>
      <c r="E410" s="190" t="s">
        <v>101</v>
      </c>
      <c r="F410" s="162" t="s">
        <v>190</v>
      </c>
      <c r="G410" s="3">
        <f>+IF(F410="Pasajero",'2.2 OPEX LAP 2023'!I411*'2.1 OPEX TUUA'!$G$7,'2.2 OPEX LAP 2023'!I411*'2.1 OPEX TUUA'!$G$8)</f>
        <v>0</v>
      </c>
      <c r="H410" s="3">
        <f>+IF(F410="Pasajero",'2.2 OPEX LAP 2023'!J411*'2.1 OPEX TUUA'!$H$7,'2.2 OPEX LAP 2023'!J411*'2.1 OPEX TUUA'!$H$8)</f>
        <v>0</v>
      </c>
      <c r="I410" s="3">
        <f>+IF(F410="Pasajero",'2.2 OPEX LAP 2023'!K411*'2.1 OPEX TUUA'!$I$7,'2.2 OPEX LAP 2023'!K411*'2.1 OPEX TUUA'!$I$8)</f>
        <v>0</v>
      </c>
      <c r="J410" s="3">
        <f>+IF(F410="Pasajero",'2.2 OPEX LAP 2023'!L411*'2.1 OPEX TUUA'!$J$7,'2.2 OPEX LAP 2023'!L411*'2.1 OPEX TUUA'!$J$8)</f>
        <v>0</v>
      </c>
      <c r="K410" s="3">
        <f>+IF(F410="Pasajero",'2.2 OPEX LAP 2023'!M411*'2.1 OPEX TUUA'!$K$7,'2.2 OPEX LAP 2023'!M411*'2.1 OPEX TUUA'!$K$8)</f>
        <v>0</v>
      </c>
      <c r="L410" s="3">
        <f>+IF(F410="Pasajero",'2.2 OPEX LAP 2023'!N411*'2.1 OPEX TUUA'!$L$7,'2.2 OPEX LAP 2023'!N411*'2.1 OPEX TUUA'!$L$8)</f>
        <v>0</v>
      </c>
      <c r="M410" s="3"/>
      <c r="N410" s="3">
        <f>+IF(F410="Pasajero",'2.2 OPEX LAP 2023'!I411*'2.1 OPEX TUUA'!$N$7,'2.2 OPEX LAP 2023'!I411*'2.1 OPEX TUUA'!$N$8)</f>
        <v>0</v>
      </c>
      <c r="O410" s="3">
        <f>+IF(F410="Pasajero",'2.2 OPEX LAP 2023'!J411*'2.1 OPEX TUUA'!$O$7,'2.2 OPEX LAP 2023'!J411*'2.1 OPEX TUUA'!$O$8)</f>
        <v>0</v>
      </c>
      <c r="P410" s="3">
        <f>+IF(F410="Pasajero",'2.2 OPEX LAP 2023'!K411*'2.1 OPEX TUUA'!$P$7,'2.2 OPEX LAP 2023'!K411*'2.1 OPEX TUUA'!$P$8)</f>
        <v>0</v>
      </c>
      <c r="Q410" s="3">
        <f>+IF(F410="Pasajero",'2.2 OPEX LAP 2023'!L411*'2.1 OPEX TUUA'!$Q$7,'2.2 OPEX LAP 2023'!L411*'2.1 OPEX TUUA'!$Q$8)</f>
        <v>0</v>
      </c>
      <c r="R410" s="3">
        <f>+IF(F410="Pasajero",'2.2 OPEX LAP 2023'!M411*'2.1 OPEX TUUA'!$R$7,'2.2 OPEX LAP 2023'!M411*'2.1 OPEX TUUA'!$R$8)</f>
        <v>0</v>
      </c>
      <c r="S410" s="3">
        <f>+IF(F410="Pasajero",'2.2 OPEX LAP 2023'!N411*'2.1 OPEX TUUA'!$S$7,'2.2 OPEX LAP 2023'!N411*'2.1 OPEX TUUA'!$S$8)</f>
        <v>0</v>
      </c>
      <c r="AA410" s="6"/>
      <c r="AB410" s="6"/>
      <c r="AC410" s="6"/>
      <c r="AD410" s="6"/>
      <c r="AE410" s="6"/>
      <c r="AF410" s="6"/>
    </row>
    <row r="411" spans="2:32" x14ac:dyDescent="0.25">
      <c r="B411" s="16">
        <v>6370000003</v>
      </c>
      <c r="C411" s="190" t="s">
        <v>177</v>
      </c>
      <c r="D411" s="190" t="s">
        <v>40</v>
      </c>
      <c r="E411" s="190" t="s">
        <v>102</v>
      </c>
      <c r="F411" s="162" t="s">
        <v>190</v>
      </c>
      <c r="G411" s="3">
        <f>+IF(F411="Pasajero",'2.2 OPEX LAP 2023'!I412*'2.1 OPEX TUUA'!$G$7,'2.2 OPEX LAP 2023'!I412*'2.1 OPEX TUUA'!$G$8)</f>
        <v>927.29078339583884</v>
      </c>
      <c r="H411" s="3">
        <f>+IF(F411="Pasajero",'2.2 OPEX LAP 2023'!J412*'2.1 OPEX TUUA'!$H$7,'2.2 OPEX LAP 2023'!J412*'2.1 OPEX TUUA'!$H$8)</f>
        <v>1063.7278357738569</v>
      </c>
      <c r="I411" s="3">
        <f>+IF(F411="Pasajero",'2.2 OPEX LAP 2023'!K412*'2.1 OPEX TUUA'!$I$7,'2.2 OPEX LAP 2023'!K412*'2.1 OPEX TUUA'!$I$8)</f>
        <v>1175.9667145644576</v>
      </c>
      <c r="J411" s="3">
        <f>+IF(F411="Pasajero",'2.2 OPEX LAP 2023'!L412*'2.1 OPEX TUUA'!$J$7,'2.2 OPEX LAP 2023'!L412*'2.1 OPEX TUUA'!$J$8)</f>
        <v>1225.4968569305679</v>
      </c>
      <c r="K411" s="3">
        <f>+IF(F411="Pasajero",'2.2 OPEX LAP 2023'!M412*'2.1 OPEX TUUA'!$K$7,'2.2 OPEX LAP 2023'!M412*'2.1 OPEX TUUA'!$K$8)</f>
        <v>1252.9112502600719</v>
      </c>
      <c r="L411" s="3">
        <f>+IF(F411="Pasajero",'2.2 OPEX LAP 2023'!N412*'2.1 OPEX TUUA'!$L$7,'2.2 OPEX LAP 2023'!N412*'2.1 OPEX TUUA'!$L$8)</f>
        <v>1286.3722522015737</v>
      </c>
      <c r="M411" s="3"/>
      <c r="N411" s="3">
        <f>+IF(F411="Pasajero",'2.2 OPEX LAP 2023'!I412*'2.1 OPEX TUUA'!$N$7,'2.2 OPEX LAP 2023'!I412*'2.1 OPEX TUUA'!$N$8)</f>
        <v>457.35578596071434</v>
      </c>
      <c r="O411" s="3">
        <f>+IF(F411="Pasajero",'2.2 OPEX LAP 2023'!J412*'2.1 OPEX TUUA'!$O$7,'2.2 OPEX LAP 2023'!J412*'2.1 OPEX TUUA'!$O$8)</f>
        <v>440.55695186387987</v>
      </c>
      <c r="P411" s="3">
        <f>+IF(F411="Pasajero",'2.2 OPEX LAP 2023'!K412*'2.1 OPEX TUUA'!$P$7,'2.2 OPEX LAP 2023'!K412*'2.1 OPEX TUUA'!$P$8)</f>
        <v>430.55513659644464</v>
      </c>
      <c r="Q411" s="3">
        <f>+IF(F411="Pasajero",'2.2 OPEX LAP 2023'!L412*'2.1 OPEX TUUA'!$Q$7,'2.2 OPEX LAP 2023'!L412*'2.1 OPEX TUUA'!$Q$8)</f>
        <v>420.72642960355751</v>
      </c>
      <c r="R411" s="3">
        <f>+IF(F411="Pasajero",'2.2 OPEX LAP 2023'!M412*'2.1 OPEX TUUA'!$R$7,'2.2 OPEX LAP 2023'!M412*'2.1 OPEX TUUA'!$R$8)</f>
        <v>415.39717267876489</v>
      </c>
      <c r="S411" s="3">
        <f>+IF(F411="Pasajero",'2.2 OPEX LAP 2023'!N412*'2.1 OPEX TUUA'!$S$7,'2.2 OPEX LAP 2023'!N412*'2.1 OPEX TUUA'!$S$8)</f>
        <v>408.85494846696025</v>
      </c>
      <c r="AA411" s="6"/>
      <c r="AB411" s="6"/>
      <c r="AC411" s="6"/>
      <c r="AD411" s="6"/>
      <c r="AE411" s="6"/>
      <c r="AF411" s="6"/>
    </row>
    <row r="412" spans="2:32" x14ac:dyDescent="0.25">
      <c r="B412" s="16">
        <v>6380000002</v>
      </c>
      <c r="C412" s="190" t="s">
        <v>177</v>
      </c>
      <c r="D412" s="190" t="s">
        <v>40</v>
      </c>
      <c r="E412" s="190" t="s">
        <v>103</v>
      </c>
      <c r="F412" s="162" t="s">
        <v>190</v>
      </c>
      <c r="G412" s="3">
        <f>+IF(F412="Pasajero",'2.2 OPEX LAP 2023'!I413*'2.1 OPEX TUUA'!$G$7,'2.2 OPEX LAP 2023'!I413*'2.1 OPEX TUUA'!$G$8)</f>
        <v>0</v>
      </c>
      <c r="H412" s="3">
        <f>+IF(F412="Pasajero",'2.2 OPEX LAP 2023'!J413*'2.1 OPEX TUUA'!$H$7,'2.2 OPEX LAP 2023'!J413*'2.1 OPEX TUUA'!$H$8)</f>
        <v>0</v>
      </c>
      <c r="I412" s="3">
        <f>+IF(F412="Pasajero",'2.2 OPEX LAP 2023'!K413*'2.1 OPEX TUUA'!$I$7,'2.2 OPEX LAP 2023'!K413*'2.1 OPEX TUUA'!$I$8)</f>
        <v>0</v>
      </c>
      <c r="J412" s="3">
        <f>+IF(F412="Pasajero",'2.2 OPEX LAP 2023'!L413*'2.1 OPEX TUUA'!$J$7,'2.2 OPEX LAP 2023'!L413*'2.1 OPEX TUUA'!$J$8)</f>
        <v>0</v>
      </c>
      <c r="K412" s="3">
        <f>+IF(F412="Pasajero",'2.2 OPEX LAP 2023'!M413*'2.1 OPEX TUUA'!$K$7,'2.2 OPEX LAP 2023'!M413*'2.1 OPEX TUUA'!$K$8)</f>
        <v>0</v>
      </c>
      <c r="L412" s="3">
        <f>+IF(F412="Pasajero",'2.2 OPEX LAP 2023'!N413*'2.1 OPEX TUUA'!$L$7,'2.2 OPEX LAP 2023'!N413*'2.1 OPEX TUUA'!$L$8)</f>
        <v>0</v>
      </c>
      <c r="M412" s="3"/>
      <c r="N412" s="3">
        <f>+IF(F412="Pasajero",'2.2 OPEX LAP 2023'!I413*'2.1 OPEX TUUA'!$N$7,'2.2 OPEX LAP 2023'!I413*'2.1 OPEX TUUA'!$N$8)</f>
        <v>0</v>
      </c>
      <c r="O412" s="3">
        <f>+IF(F412="Pasajero",'2.2 OPEX LAP 2023'!J413*'2.1 OPEX TUUA'!$O$7,'2.2 OPEX LAP 2023'!J413*'2.1 OPEX TUUA'!$O$8)</f>
        <v>0</v>
      </c>
      <c r="P412" s="3">
        <f>+IF(F412="Pasajero",'2.2 OPEX LAP 2023'!K413*'2.1 OPEX TUUA'!$P$7,'2.2 OPEX LAP 2023'!K413*'2.1 OPEX TUUA'!$P$8)</f>
        <v>0</v>
      </c>
      <c r="Q412" s="3">
        <f>+IF(F412="Pasajero",'2.2 OPEX LAP 2023'!L413*'2.1 OPEX TUUA'!$Q$7,'2.2 OPEX LAP 2023'!L413*'2.1 OPEX TUUA'!$Q$8)</f>
        <v>0</v>
      </c>
      <c r="R412" s="3">
        <f>+IF(F412="Pasajero",'2.2 OPEX LAP 2023'!M413*'2.1 OPEX TUUA'!$R$7,'2.2 OPEX LAP 2023'!M413*'2.1 OPEX TUUA'!$R$8)</f>
        <v>0</v>
      </c>
      <c r="S412" s="3">
        <f>+IF(F412="Pasajero",'2.2 OPEX LAP 2023'!N413*'2.1 OPEX TUUA'!$S$7,'2.2 OPEX LAP 2023'!N413*'2.1 OPEX TUUA'!$S$8)</f>
        <v>0</v>
      </c>
      <c r="AA412" s="6"/>
      <c r="AB412" s="6"/>
      <c r="AC412" s="6"/>
      <c r="AD412" s="6"/>
      <c r="AE412" s="6"/>
      <c r="AF412" s="6"/>
    </row>
    <row r="413" spans="2:32" x14ac:dyDescent="0.25">
      <c r="B413" s="16">
        <v>6380000003</v>
      </c>
      <c r="C413" s="190" t="s">
        <v>177</v>
      </c>
      <c r="D413" s="190" t="s">
        <v>38</v>
      </c>
      <c r="E413" s="190" t="s">
        <v>104</v>
      </c>
      <c r="F413" s="162" t="s">
        <v>190</v>
      </c>
      <c r="G413" s="3">
        <f>+IF(F413="Pasajero",'2.2 OPEX LAP 2023'!I414*'2.1 OPEX TUUA'!$G$7,'2.2 OPEX LAP 2023'!I414*'2.1 OPEX TUUA'!$G$8)</f>
        <v>0</v>
      </c>
      <c r="H413" s="3">
        <f>+IF(F413="Pasajero",'2.2 OPEX LAP 2023'!J414*'2.1 OPEX TUUA'!$H$7,'2.2 OPEX LAP 2023'!J414*'2.1 OPEX TUUA'!$H$8)</f>
        <v>0</v>
      </c>
      <c r="I413" s="3">
        <f>+IF(F413="Pasajero",'2.2 OPEX LAP 2023'!K414*'2.1 OPEX TUUA'!$I$7,'2.2 OPEX LAP 2023'!K414*'2.1 OPEX TUUA'!$I$8)</f>
        <v>0</v>
      </c>
      <c r="J413" s="3">
        <f>+IF(F413="Pasajero",'2.2 OPEX LAP 2023'!L414*'2.1 OPEX TUUA'!$J$7,'2.2 OPEX LAP 2023'!L414*'2.1 OPEX TUUA'!$J$8)</f>
        <v>0</v>
      </c>
      <c r="K413" s="3">
        <f>+IF(F413="Pasajero",'2.2 OPEX LAP 2023'!M414*'2.1 OPEX TUUA'!$K$7,'2.2 OPEX LAP 2023'!M414*'2.1 OPEX TUUA'!$K$8)</f>
        <v>0</v>
      </c>
      <c r="L413" s="3">
        <f>+IF(F413="Pasajero",'2.2 OPEX LAP 2023'!N414*'2.1 OPEX TUUA'!$L$7,'2.2 OPEX LAP 2023'!N414*'2.1 OPEX TUUA'!$L$8)</f>
        <v>0</v>
      </c>
      <c r="M413" s="3"/>
      <c r="N413" s="3">
        <f>+IF(F413="Pasajero",'2.2 OPEX LAP 2023'!I414*'2.1 OPEX TUUA'!$N$7,'2.2 OPEX LAP 2023'!I414*'2.1 OPEX TUUA'!$N$8)</f>
        <v>0</v>
      </c>
      <c r="O413" s="3">
        <f>+IF(F413="Pasajero",'2.2 OPEX LAP 2023'!J414*'2.1 OPEX TUUA'!$O$7,'2.2 OPEX LAP 2023'!J414*'2.1 OPEX TUUA'!$O$8)</f>
        <v>0</v>
      </c>
      <c r="P413" s="3">
        <f>+IF(F413="Pasajero",'2.2 OPEX LAP 2023'!K414*'2.1 OPEX TUUA'!$P$7,'2.2 OPEX LAP 2023'!K414*'2.1 OPEX TUUA'!$P$8)</f>
        <v>0</v>
      </c>
      <c r="Q413" s="3">
        <f>+IF(F413="Pasajero",'2.2 OPEX LAP 2023'!L414*'2.1 OPEX TUUA'!$Q$7,'2.2 OPEX LAP 2023'!L414*'2.1 OPEX TUUA'!$Q$8)</f>
        <v>0</v>
      </c>
      <c r="R413" s="3">
        <f>+IF(F413="Pasajero",'2.2 OPEX LAP 2023'!M414*'2.1 OPEX TUUA'!$R$7,'2.2 OPEX LAP 2023'!M414*'2.1 OPEX TUUA'!$R$8)</f>
        <v>0</v>
      </c>
      <c r="S413" s="3">
        <f>+IF(F413="Pasajero",'2.2 OPEX LAP 2023'!N414*'2.1 OPEX TUUA'!$S$7,'2.2 OPEX LAP 2023'!N414*'2.1 OPEX TUUA'!$S$8)</f>
        <v>0</v>
      </c>
      <c r="AA413" s="6"/>
      <c r="AB413" s="6"/>
      <c r="AC413" s="6"/>
      <c r="AD413" s="6"/>
      <c r="AE413" s="6"/>
      <c r="AF413" s="6"/>
    </row>
    <row r="414" spans="2:32" x14ac:dyDescent="0.25">
      <c r="B414" s="16">
        <v>6380000004</v>
      </c>
      <c r="C414" s="190" t="s">
        <v>177</v>
      </c>
      <c r="D414" s="190" t="s">
        <v>49</v>
      </c>
      <c r="E414" s="190" t="s">
        <v>105</v>
      </c>
      <c r="F414" s="162" t="s">
        <v>191</v>
      </c>
      <c r="G414" s="3">
        <f>+IF(F414="Pasajero",'2.2 OPEX LAP 2023'!I415*'2.1 OPEX TUUA'!$G$7,'2.2 OPEX LAP 2023'!I415*'2.1 OPEX TUUA'!$G$8)</f>
        <v>1542.0179515533691</v>
      </c>
      <c r="H414" s="3">
        <f>+IF(F414="Pasajero",'2.2 OPEX LAP 2023'!J415*'2.1 OPEX TUUA'!$H$7,'2.2 OPEX LAP 2023'!J415*'2.1 OPEX TUUA'!$H$8)</f>
        <v>1542.0179515533691</v>
      </c>
      <c r="I414" s="3">
        <f>+IF(F414="Pasajero",'2.2 OPEX LAP 2023'!K415*'2.1 OPEX TUUA'!$I$7,'2.2 OPEX LAP 2023'!K415*'2.1 OPEX TUUA'!$I$8)</f>
        <v>1542.0179515533691</v>
      </c>
      <c r="J414" s="3">
        <f>+IF(F414="Pasajero",'2.2 OPEX LAP 2023'!L415*'2.1 OPEX TUUA'!$J$7,'2.2 OPEX LAP 2023'!L415*'2.1 OPEX TUUA'!$J$8)</f>
        <v>1542.0179515533691</v>
      </c>
      <c r="K414" s="3">
        <f>+IF(F414="Pasajero",'2.2 OPEX LAP 2023'!M415*'2.1 OPEX TUUA'!$K$7,'2.2 OPEX LAP 2023'!M415*'2.1 OPEX TUUA'!$K$8)</f>
        <v>1542.0179515533691</v>
      </c>
      <c r="L414" s="3">
        <f>+IF(F414="Pasajero",'2.2 OPEX LAP 2023'!N415*'2.1 OPEX TUUA'!$L$7,'2.2 OPEX LAP 2023'!N415*'2.1 OPEX TUUA'!$L$8)</f>
        <v>1542.0179515533691</v>
      </c>
      <c r="M414" s="3"/>
      <c r="N414" s="3">
        <f>+IF(F414="Pasajero",'2.2 OPEX LAP 2023'!I415*'2.1 OPEX TUUA'!$N$7,'2.2 OPEX LAP 2023'!I415*'2.1 OPEX TUUA'!$N$8)</f>
        <v>288.16573358234172</v>
      </c>
      <c r="O414" s="3">
        <f>+IF(F414="Pasajero",'2.2 OPEX LAP 2023'!J415*'2.1 OPEX TUUA'!$O$7,'2.2 OPEX LAP 2023'!J415*'2.1 OPEX TUUA'!$O$8)</f>
        <v>288.16573358234172</v>
      </c>
      <c r="P414" s="3">
        <f>+IF(F414="Pasajero",'2.2 OPEX LAP 2023'!K415*'2.1 OPEX TUUA'!$P$7,'2.2 OPEX LAP 2023'!K415*'2.1 OPEX TUUA'!$P$8)</f>
        <v>288.16573358234172</v>
      </c>
      <c r="Q414" s="3">
        <f>+IF(F414="Pasajero",'2.2 OPEX LAP 2023'!L415*'2.1 OPEX TUUA'!$Q$7,'2.2 OPEX LAP 2023'!L415*'2.1 OPEX TUUA'!$Q$8)</f>
        <v>288.16573358234172</v>
      </c>
      <c r="R414" s="3">
        <f>+IF(F414="Pasajero",'2.2 OPEX LAP 2023'!M415*'2.1 OPEX TUUA'!$R$7,'2.2 OPEX LAP 2023'!M415*'2.1 OPEX TUUA'!$R$8)</f>
        <v>288.16573358234172</v>
      </c>
      <c r="S414" s="3">
        <f>+IF(F414="Pasajero",'2.2 OPEX LAP 2023'!N415*'2.1 OPEX TUUA'!$S$7,'2.2 OPEX LAP 2023'!N415*'2.1 OPEX TUUA'!$S$8)</f>
        <v>288.16573358234172</v>
      </c>
      <c r="AA414" s="6"/>
      <c r="AB414" s="6"/>
      <c r="AC414" s="6"/>
      <c r="AD414" s="6"/>
      <c r="AE414" s="6"/>
      <c r="AF414" s="6"/>
    </row>
    <row r="415" spans="2:32" x14ac:dyDescent="0.25">
      <c r="B415" s="16">
        <v>6380000005</v>
      </c>
      <c r="C415" s="190" t="s">
        <v>177</v>
      </c>
      <c r="D415" s="190" t="s">
        <v>38</v>
      </c>
      <c r="E415" s="190" t="s">
        <v>106</v>
      </c>
      <c r="F415" s="162" t="s">
        <v>190</v>
      </c>
      <c r="G415" s="3">
        <f>+IF(F415="Pasajero",'2.2 OPEX LAP 2023'!I416*'2.1 OPEX TUUA'!$G$7,'2.2 OPEX LAP 2023'!I416*'2.1 OPEX TUUA'!$G$8)</f>
        <v>0</v>
      </c>
      <c r="H415" s="3">
        <f>+IF(F415="Pasajero",'2.2 OPEX LAP 2023'!J416*'2.1 OPEX TUUA'!$H$7,'2.2 OPEX LAP 2023'!J416*'2.1 OPEX TUUA'!$H$8)</f>
        <v>0</v>
      </c>
      <c r="I415" s="3">
        <f>+IF(F415="Pasajero",'2.2 OPEX LAP 2023'!K416*'2.1 OPEX TUUA'!$I$7,'2.2 OPEX LAP 2023'!K416*'2.1 OPEX TUUA'!$I$8)</f>
        <v>0</v>
      </c>
      <c r="J415" s="3">
        <f>+IF(F415="Pasajero",'2.2 OPEX LAP 2023'!L416*'2.1 OPEX TUUA'!$J$7,'2.2 OPEX LAP 2023'!L416*'2.1 OPEX TUUA'!$J$8)</f>
        <v>0</v>
      </c>
      <c r="K415" s="3">
        <f>+IF(F415="Pasajero",'2.2 OPEX LAP 2023'!M416*'2.1 OPEX TUUA'!$K$7,'2.2 OPEX LAP 2023'!M416*'2.1 OPEX TUUA'!$K$8)</f>
        <v>0</v>
      </c>
      <c r="L415" s="3">
        <f>+IF(F415="Pasajero",'2.2 OPEX LAP 2023'!N416*'2.1 OPEX TUUA'!$L$7,'2.2 OPEX LAP 2023'!N416*'2.1 OPEX TUUA'!$L$8)</f>
        <v>0</v>
      </c>
      <c r="M415" s="3"/>
      <c r="N415" s="3">
        <f>+IF(F415="Pasajero",'2.2 OPEX LAP 2023'!I416*'2.1 OPEX TUUA'!$N$7,'2.2 OPEX LAP 2023'!I416*'2.1 OPEX TUUA'!$N$8)</f>
        <v>0</v>
      </c>
      <c r="O415" s="3">
        <f>+IF(F415="Pasajero",'2.2 OPEX LAP 2023'!J416*'2.1 OPEX TUUA'!$O$7,'2.2 OPEX LAP 2023'!J416*'2.1 OPEX TUUA'!$O$8)</f>
        <v>0</v>
      </c>
      <c r="P415" s="3">
        <f>+IF(F415="Pasajero",'2.2 OPEX LAP 2023'!K416*'2.1 OPEX TUUA'!$P$7,'2.2 OPEX LAP 2023'!K416*'2.1 OPEX TUUA'!$P$8)</f>
        <v>0</v>
      </c>
      <c r="Q415" s="3">
        <f>+IF(F415="Pasajero",'2.2 OPEX LAP 2023'!L416*'2.1 OPEX TUUA'!$Q$7,'2.2 OPEX LAP 2023'!L416*'2.1 OPEX TUUA'!$Q$8)</f>
        <v>0</v>
      </c>
      <c r="R415" s="3">
        <f>+IF(F415="Pasajero",'2.2 OPEX LAP 2023'!M416*'2.1 OPEX TUUA'!$R$7,'2.2 OPEX LAP 2023'!M416*'2.1 OPEX TUUA'!$R$8)</f>
        <v>0</v>
      </c>
      <c r="S415" s="3">
        <f>+IF(F415="Pasajero",'2.2 OPEX LAP 2023'!N416*'2.1 OPEX TUUA'!$S$7,'2.2 OPEX LAP 2023'!N416*'2.1 OPEX TUUA'!$S$8)</f>
        <v>0</v>
      </c>
      <c r="AA415" s="6"/>
      <c r="AB415" s="6"/>
      <c r="AC415" s="6"/>
      <c r="AD415" s="6"/>
      <c r="AE415" s="6"/>
      <c r="AF415" s="6"/>
    </row>
    <row r="416" spans="2:32" x14ac:dyDescent="0.25">
      <c r="B416" s="16">
        <v>6380000007</v>
      </c>
      <c r="C416" s="190" t="s">
        <v>177</v>
      </c>
      <c r="D416" s="190" t="s">
        <v>40</v>
      </c>
      <c r="E416" s="190" t="s">
        <v>107</v>
      </c>
      <c r="F416" s="162" t="s">
        <v>191</v>
      </c>
      <c r="G416" s="3">
        <f>+IF(F416="Pasajero",'2.2 OPEX LAP 2023'!I417*'2.1 OPEX TUUA'!$G$7,'2.2 OPEX LAP 2023'!I417*'2.1 OPEX TUUA'!$G$8)</f>
        <v>2077.1313785499556</v>
      </c>
      <c r="H416" s="3">
        <f>+IF(F416="Pasajero",'2.2 OPEX LAP 2023'!J417*'2.1 OPEX TUUA'!$H$7,'2.2 OPEX LAP 2023'!J417*'2.1 OPEX TUUA'!$H$8)</f>
        <v>2077.1313785499556</v>
      </c>
      <c r="I416" s="3">
        <f>+IF(F416="Pasajero",'2.2 OPEX LAP 2023'!K417*'2.1 OPEX TUUA'!$I$7,'2.2 OPEX LAP 2023'!K417*'2.1 OPEX TUUA'!$I$8)</f>
        <v>2077.1313785499556</v>
      </c>
      <c r="J416" s="3">
        <f>+IF(F416="Pasajero",'2.2 OPEX LAP 2023'!L417*'2.1 OPEX TUUA'!$J$7,'2.2 OPEX LAP 2023'!L417*'2.1 OPEX TUUA'!$J$8)</f>
        <v>2077.1313785499556</v>
      </c>
      <c r="K416" s="3">
        <f>+IF(F416="Pasajero",'2.2 OPEX LAP 2023'!M417*'2.1 OPEX TUUA'!$K$7,'2.2 OPEX LAP 2023'!M417*'2.1 OPEX TUUA'!$K$8)</f>
        <v>2077.1313785499556</v>
      </c>
      <c r="L416" s="3">
        <f>+IF(F416="Pasajero",'2.2 OPEX LAP 2023'!N417*'2.1 OPEX TUUA'!$L$7,'2.2 OPEX LAP 2023'!N417*'2.1 OPEX TUUA'!$L$8)</f>
        <v>2077.1313785499556</v>
      </c>
      <c r="M416" s="3"/>
      <c r="N416" s="3">
        <f>+IF(F416="Pasajero",'2.2 OPEX LAP 2023'!I417*'2.1 OPEX TUUA'!$N$7,'2.2 OPEX LAP 2023'!I417*'2.1 OPEX TUUA'!$N$8)</f>
        <v>388.16544700000696</v>
      </c>
      <c r="O416" s="3">
        <f>+IF(F416="Pasajero",'2.2 OPEX LAP 2023'!J417*'2.1 OPEX TUUA'!$O$7,'2.2 OPEX LAP 2023'!J417*'2.1 OPEX TUUA'!$O$8)</f>
        <v>388.16544700000696</v>
      </c>
      <c r="P416" s="3">
        <f>+IF(F416="Pasajero",'2.2 OPEX LAP 2023'!K417*'2.1 OPEX TUUA'!$P$7,'2.2 OPEX LAP 2023'!K417*'2.1 OPEX TUUA'!$P$8)</f>
        <v>388.16544700000696</v>
      </c>
      <c r="Q416" s="3">
        <f>+IF(F416="Pasajero",'2.2 OPEX LAP 2023'!L417*'2.1 OPEX TUUA'!$Q$7,'2.2 OPEX LAP 2023'!L417*'2.1 OPEX TUUA'!$Q$8)</f>
        <v>388.16544700000696</v>
      </c>
      <c r="R416" s="3">
        <f>+IF(F416="Pasajero",'2.2 OPEX LAP 2023'!M417*'2.1 OPEX TUUA'!$R$7,'2.2 OPEX LAP 2023'!M417*'2.1 OPEX TUUA'!$R$8)</f>
        <v>388.16544700000696</v>
      </c>
      <c r="S416" s="3">
        <f>+IF(F416="Pasajero",'2.2 OPEX LAP 2023'!N417*'2.1 OPEX TUUA'!$S$7,'2.2 OPEX LAP 2023'!N417*'2.1 OPEX TUUA'!$S$8)</f>
        <v>388.16544700000696</v>
      </c>
      <c r="AA416" s="6"/>
      <c r="AB416" s="6"/>
      <c r="AC416" s="6"/>
      <c r="AD416" s="6"/>
      <c r="AE416" s="6"/>
      <c r="AF416" s="6"/>
    </row>
    <row r="417" spans="2:32" x14ac:dyDescent="0.25">
      <c r="B417" s="16">
        <v>6380000008</v>
      </c>
      <c r="C417" s="190" t="s">
        <v>177</v>
      </c>
      <c r="D417" s="190" t="s">
        <v>40</v>
      </c>
      <c r="E417" s="190" t="s">
        <v>108</v>
      </c>
      <c r="F417" s="162" t="s">
        <v>190</v>
      </c>
      <c r="G417" s="3">
        <f>+IF(F417="Pasajero",'2.2 OPEX LAP 2023'!I418*'2.1 OPEX TUUA'!$G$7,'2.2 OPEX LAP 2023'!I418*'2.1 OPEX TUUA'!$G$8)</f>
        <v>0</v>
      </c>
      <c r="H417" s="3">
        <f>+IF(F417="Pasajero",'2.2 OPEX LAP 2023'!J418*'2.1 OPEX TUUA'!$H$7,'2.2 OPEX LAP 2023'!J418*'2.1 OPEX TUUA'!$H$8)</f>
        <v>0</v>
      </c>
      <c r="I417" s="3">
        <f>+IF(F417="Pasajero",'2.2 OPEX LAP 2023'!K418*'2.1 OPEX TUUA'!$I$7,'2.2 OPEX LAP 2023'!K418*'2.1 OPEX TUUA'!$I$8)</f>
        <v>0</v>
      </c>
      <c r="J417" s="3">
        <f>+IF(F417="Pasajero",'2.2 OPEX LAP 2023'!L418*'2.1 OPEX TUUA'!$J$7,'2.2 OPEX LAP 2023'!L418*'2.1 OPEX TUUA'!$J$8)</f>
        <v>0</v>
      </c>
      <c r="K417" s="3">
        <f>+IF(F417="Pasajero",'2.2 OPEX LAP 2023'!M418*'2.1 OPEX TUUA'!$K$7,'2.2 OPEX LAP 2023'!M418*'2.1 OPEX TUUA'!$K$8)</f>
        <v>0</v>
      </c>
      <c r="L417" s="3">
        <f>+IF(F417="Pasajero",'2.2 OPEX LAP 2023'!N418*'2.1 OPEX TUUA'!$L$7,'2.2 OPEX LAP 2023'!N418*'2.1 OPEX TUUA'!$L$8)</f>
        <v>0</v>
      </c>
      <c r="M417" s="3"/>
      <c r="N417" s="3">
        <f>+IF(F417="Pasajero",'2.2 OPEX LAP 2023'!I418*'2.1 OPEX TUUA'!$N$7,'2.2 OPEX LAP 2023'!I418*'2.1 OPEX TUUA'!$N$8)</f>
        <v>0</v>
      </c>
      <c r="O417" s="3">
        <f>+IF(F417="Pasajero",'2.2 OPEX LAP 2023'!J418*'2.1 OPEX TUUA'!$O$7,'2.2 OPEX LAP 2023'!J418*'2.1 OPEX TUUA'!$O$8)</f>
        <v>0</v>
      </c>
      <c r="P417" s="3">
        <f>+IF(F417="Pasajero",'2.2 OPEX LAP 2023'!K418*'2.1 OPEX TUUA'!$P$7,'2.2 OPEX LAP 2023'!K418*'2.1 OPEX TUUA'!$P$8)</f>
        <v>0</v>
      </c>
      <c r="Q417" s="3">
        <f>+IF(F417="Pasajero",'2.2 OPEX LAP 2023'!L418*'2.1 OPEX TUUA'!$Q$7,'2.2 OPEX LAP 2023'!L418*'2.1 OPEX TUUA'!$Q$8)</f>
        <v>0</v>
      </c>
      <c r="R417" s="3">
        <f>+IF(F417="Pasajero",'2.2 OPEX LAP 2023'!M418*'2.1 OPEX TUUA'!$R$7,'2.2 OPEX LAP 2023'!M418*'2.1 OPEX TUUA'!$R$8)</f>
        <v>0</v>
      </c>
      <c r="S417" s="3">
        <f>+IF(F417="Pasajero",'2.2 OPEX LAP 2023'!N418*'2.1 OPEX TUUA'!$S$7,'2.2 OPEX LAP 2023'!N418*'2.1 OPEX TUUA'!$S$8)</f>
        <v>0</v>
      </c>
      <c r="AA417" s="6"/>
      <c r="AB417" s="6"/>
      <c r="AC417" s="6"/>
      <c r="AD417" s="6"/>
      <c r="AE417" s="6"/>
      <c r="AF417" s="6"/>
    </row>
    <row r="418" spans="2:32" x14ac:dyDescent="0.25">
      <c r="B418" s="16">
        <v>6380000009</v>
      </c>
      <c r="C418" s="190" t="s">
        <v>177</v>
      </c>
      <c r="D418" s="190" t="s">
        <v>40</v>
      </c>
      <c r="E418" s="190" t="s">
        <v>109</v>
      </c>
      <c r="F418" s="162" t="s">
        <v>190</v>
      </c>
      <c r="G418" s="3">
        <f>+IF(F418="Pasajero",'2.2 OPEX LAP 2023'!I419*'2.1 OPEX TUUA'!$G$7,'2.2 OPEX LAP 2023'!I419*'2.1 OPEX TUUA'!$G$8)</f>
        <v>0</v>
      </c>
      <c r="H418" s="3">
        <f>+IF(F418="Pasajero",'2.2 OPEX LAP 2023'!J419*'2.1 OPEX TUUA'!$H$7,'2.2 OPEX LAP 2023'!J419*'2.1 OPEX TUUA'!$H$8)</f>
        <v>0</v>
      </c>
      <c r="I418" s="3">
        <f>+IF(F418="Pasajero",'2.2 OPEX LAP 2023'!K419*'2.1 OPEX TUUA'!$I$7,'2.2 OPEX LAP 2023'!K419*'2.1 OPEX TUUA'!$I$8)</f>
        <v>0</v>
      </c>
      <c r="J418" s="3">
        <f>+IF(F418="Pasajero",'2.2 OPEX LAP 2023'!L419*'2.1 OPEX TUUA'!$J$7,'2.2 OPEX LAP 2023'!L419*'2.1 OPEX TUUA'!$J$8)</f>
        <v>0</v>
      </c>
      <c r="K418" s="3">
        <f>+IF(F418="Pasajero",'2.2 OPEX LAP 2023'!M419*'2.1 OPEX TUUA'!$K$7,'2.2 OPEX LAP 2023'!M419*'2.1 OPEX TUUA'!$K$8)</f>
        <v>0</v>
      </c>
      <c r="L418" s="3">
        <f>+IF(F418="Pasajero",'2.2 OPEX LAP 2023'!N419*'2.1 OPEX TUUA'!$L$7,'2.2 OPEX LAP 2023'!N419*'2.1 OPEX TUUA'!$L$8)</f>
        <v>0</v>
      </c>
      <c r="M418" s="3"/>
      <c r="N418" s="3">
        <f>+IF(F418="Pasajero",'2.2 OPEX LAP 2023'!I419*'2.1 OPEX TUUA'!$N$7,'2.2 OPEX LAP 2023'!I419*'2.1 OPEX TUUA'!$N$8)</f>
        <v>0</v>
      </c>
      <c r="O418" s="3">
        <f>+IF(F418="Pasajero",'2.2 OPEX LAP 2023'!J419*'2.1 OPEX TUUA'!$O$7,'2.2 OPEX LAP 2023'!J419*'2.1 OPEX TUUA'!$O$8)</f>
        <v>0</v>
      </c>
      <c r="P418" s="3">
        <f>+IF(F418="Pasajero",'2.2 OPEX LAP 2023'!K419*'2.1 OPEX TUUA'!$P$7,'2.2 OPEX LAP 2023'!K419*'2.1 OPEX TUUA'!$P$8)</f>
        <v>0</v>
      </c>
      <c r="Q418" s="3">
        <f>+IF(F418="Pasajero",'2.2 OPEX LAP 2023'!L419*'2.1 OPEX TUUA'!$Q$7,'2.2 OPEX LAP 2023'!L419*'2.1 OPEX TUUA'!$Q$8)</f>
        <v>0</v>
      </c>
      <c r="R418" s="3">
        <f>+IF(F418="Pasajero",'2.2 OPEX LAP 2023'!M419*'2.1 OPEX TUUA'!$R$7,'2.2 OPEX LAP 2023'!M419*'2.1 OPEX TUUA'!$R$8)</f>
        <v>0</v>
      </c>
      <c r="S418" s="3">
        <f>+IF(F418="Pasajero",'2.2 OPEX LAP 2023'!N419*'2.1 OPEX TUUA'!$S$7,'2.2 OPEX LAP 2023'!N419*'2.1 OPEX TUUA'!$S$8)</f>
        <v>0</v>
      </c>
      <c r="AA418" s="6"/>
      <c r="AB418" s="6"/>
      <c r="AC418" s="6"/>
      <c r="AD418" s="6"/>
      <c r="AE418" s="6"/>
      <c r="AF418" s="6"/>
    </row>
    <row r="419" spans="2:32" x14ac:dyDescent="0.25">
      <c r="B419" s="16">
        <v>6380000010</v>
      </c>
      <c r="C419" s="190" t="s">
        <v>177</v>
      </c>
      <c r="D419" s="190" t="s">
        <v>40</v>
      </c>
      <c r="E419" s="190" t="s">
        <v>110</v>
      </c>
      <c r="F419" s="162" t="s">
        <v>190</v>
      </c>
      <c r="G419" s="3">
        <f>+IF(F419="Pasajero",'2.2 OPEX LAP 2023'!I420*'2.1 OPEX TUUA'!$G$7,'2.2 OPEX LAP 2023'!I420*'2.1 OPEX TUUA'!$G$8)</f>
        <v>180.99517612765408</v>
      </c>
      <c r="H419" s="3">
        <f>+IF(F419="Pasajero",'2.2 OPEX LAP 2023'!J420*'2.1 OPEX TUUA'!$H$7,'2.2 OPEX LAP 2023'!J420*'2.1 OPEX TUUA'!$H$8)</f>
        <v>207.62592536799875</v>
      </c>
      <c r="I419" s="3">
        <f>+IF(F419="Pasajero",'2.2 OPEX LAP 2023'!K420*'2.1 OPEX TUUA'!$I$7,'2.2 OPEX LAP 2023'!K420*'2.1 OPEX TUUA'!$I$8)</f>
        <v>229.53350387393471</v>
      </c>
      <c r="J419" s="3">
        <f>+IF(F419="Pasajero",'2.2 OPEX LAP 2023'!L420*'2.1 OPEX TUUA'!$J$7,'2.2 OPEX LAP 2023'!L420*'2.1 OPEX TUUA'!$J$8)</f>
        <v>239.2011475103269</v>
      </c>
      <c r="K419" s="3">
        <f>+IF(F419="Pasajero",'2.2 OPEX LAP 2023'!M420*'2.1 OPEX TUUA'!$K$7,'2.2 OPEX LAP 2023'!M420*'2.1 OPEX TUUA'!$K$8)</f>
        <v>244.55208277028433</v>
      </c>
      <c r="L419" s="3">
        <f>+IF(F419="Pasajero",'2.2 OPEX LAP 2023'!N420*'2.1 OPEX TUUA'!$L$7,'2.2 OPEX LAP 2023'!N420*'2.1 OPEX TUUA'!$L$8)</f>
        <v>251.08323788177069</v>
      </c>
      <c r="M419" s="3"/>
      <c r="N419" s="3">
        <f>+IF(F419="Pasajero",'2.2 OPEX LAP 2023'!I420*'2.1 OPEX TUUA'!$N$7,'2.2 OPEX LAP 2023'!I420*'2.1 OPEX TUUA'!$N$8)</f>
        <v>89.269938314079681</v>
      </c>
      <c r="O419" s="3">
        <f>+IF(F419="Pasajero",'2.2 OPEX LAP 2023'!J420*'2.1 OPEX TUUA'!$O$7,'2.2 OPEX LAP 2023'!J420*'2.1 OPEX TUUA'!$O$8)</f>
        <v>85.991023015298069</v>
      </c>
      <c r="P419" s="3">
        <f>+IF(F419="Pasajero",'2.2 OPEX LAP 2023'!K420*'2.1 OPEX TUUA'!$P$7,'2.2 OPEX LAP 2023'!K420*'2.1 OPEX TUUA'!$P$8)</f>
        <v>84.038797943787856</v>
      </c>
      <c r="Q419" s="3">
        <f>+IF(F419="Pasajero",'2.2 OPEX LAP 2023'!L420*'2.1 OPEX TUUA'!$Q$7,'2.2 OPEX LAP 2023'!L420*'2.1 OPEX TUUA'!$Q$8)</f>
        <v>82.12036137012754</v>
      </c>
      <c r="R419" s="3">
        <f>+IF(F419="Pasajero",'2.2 OPEX LAP 2023'!M420*'2.1 OPEX TUUA'!$R$7,'2.2 OPEX LAP 2023'!M420*'2.1 OPEX TUUA'!$R$8)</f>
        <v>81.080159296512605</v>
      </c>
      <c r="S419" s="3">
        <f>+IF(F419="Pasajero",'2.2 OPEX LAP 2023'!N420*'2.1 OPEX TUUA'!$S$7,'2.2 OPEX LAP 2023'!N420*'2.1 OPEX TUUA'!$S$8)</f>
        <v>79.803201685496745</v>
      </c>
      <c r="AA419" s="6"/>
      <c r="AB419" s="6"/>
      <c r="AC419" s="6"/>
      <c r="AD419" s="6"/>
      <c r="AE419" s="6"/>
      <c r="AF419" s="6"/>
    </row>
    <row r="420" spans="2:32" x14ac:dyDescent="0.25">
      <c r="B420" s="16">
        <v>6380000012</v>
      </c>
      <c r="C420" s="190" t="s">
        <v>177</v>
      </c>
      <c r="D420" s="190" t="s">
        <v>40</v>
      </c>
      <c r="E420" s="190" t="s">
        <v>111</v>
      </c>
      <c r="F420" s="162" t="s">
        <v>190</v>
      </c>
      <c r="G420" s="3">
        <f>+IF(F420="Pasajero",'2.2 OPEX LAP 2023'!I421*'2.1 OPEX TUUA'!$G$7,'2.2 OPEX LAP 2023'!I421*'2.1 OPEX TUUA'!$G$8)</f>
        <v>350.81158600299517</v>
      </c>
      <c r="H420" s="3">
        <f>+IF(F420="Pasajero",'2.2 OPEX LAP 2023'!J421*'2.1 OPEX TUUA'!$H$7,'2.2 OPEX LAP 2023'!J421*'2.1 OPEX TUUA'!$H$8)</f>
        <v>402.42829522879401</v>
      </c>
      <c r="I420" s="3">
        <f>+IF(F420="Pasajero",'2.2 OPEX LAP 2023'!K421*'2.1 OPEX TUUA'!$I$7,'2.2 OPEX LAP 2023'!K421*'2.1 OPEX TUUA'!$I$8)</f>
        <v>444.8903791670536</v>
      </c>
      <c r="J420" s="3">
        <f>+IF(F420="Pasajero",'2.2 OPEX LAP 2023'!L421*'2.1 OPEX TUUA'!$J$7,'2.2 OPEX LAP 2023'!L421*'2.1 OPEX TUUA'!$J$8)</f>
        <v>463.62856583895973</v>
      </c>
      <c r="K420" s="3">
        <f>+IF(F420="Pasajero",'2.2 OPEX LAP 2023'!M421*'2.1 OPEX TUUA'!$K$7,'2.2 OPEX LAP 2023'!M421*'2.1 OPEX TUUA'!$K$8)</f>
        <v>473.99994769181677</v>
      </c>
      <c r="L420" s="3">
        <f>+IF(F420="Pasajero",'2.2 OPEX LAP 2023'!N421*'2.1 OPEX TUUA'!$L$7,'2.2 OPEX LAP 2023'!N421*'2.1 OPEX TUUA'!$L$8)</f>
        <v>486.65887558211665</v>
      </c>
      <c r="M420" s="3"/>
      <c r="N420" s="3">
        <f>+IF(F420="Pasajero",'2.2 OPEX LAP 2023'!I421*'2.1 OPEX TUUA'!$N$7,'2.2 OPEX LAP 2023'!I421*'2.1 OPEX TUUA'!$N$8)</f>
        <v>173.02631657025114</v>
      </c>
      <c r="O420" s="3">
        <f>+IF(F420="Pasajero",'2.2 OPEX LAP 2023'!J421*'2.1 OPEX TUUA'!$O$7,'2.2 OPEX LAP 2023'!J421*'2.1 OPEX TUUA'!$O$8)</f>
        <v>166.67100091518762</v>
      </c>
      <c r="P420" s="3">
        <f>+IF(F420="Pasajero",'2.2 OPEX LAP 2023'!K421*'2.1 OPEX TUUA'!$P$7,'2.2 OPEX LAP 2023'!K421*'2.1 OPEX TUUA'!$P$8)</f>
        <v>162.88712563064257</v>
      </c>
      <c r="Q420" s="3">
        <f>+IF(F420="Pasajero",'2.2 OPEX LAP 2023'!L421*'2.1 OPEX TUUA'!$Q$7,'2.2 OPEX LAP 2023'!L421*'2.1 OPEX TUUA'!$Q$8)</f>
        <v>159.16874047004987</v>
      </c>
      <c r="R420" s="3">
        <f>+IF(F420="Pasajero",'2.2 OPEX LAP 2023'!M421*'2.1 OPEX TUUA'!$R$7,'2.2 OPEX LAP 2023'!M421*'2.1 OPEX TUUA'!$R$8)</f>
        <v>157.1525821004418</v>
      </c>
      <c r="S420" s="3">
        <f>+IF(F420="Pasajero",'2.2 OPEX LAP 2023'!N421*'2.1 OPEX TUUA'!$S$7,'2.2 OPEX LAP 2023'!N421*'2.1 OPEX TUUA'!$S$8)</f>
        <v>154.67753533752077</v>
      </c>
      <c r="AA420" s="6"/>
      <c r="AB420" s="6"/>
      <c r="AC420" s="6"/>
      <c r="AD420" s="6"/>
      <c r="AE420" s="6"/>
      <c r="AF420" s="6"/>
    </row>
    <row r="421" spans="2:32" x14ac:dyDescent="0.25">
      <c r="B421" s="16">
        <v>6380000014</v>
      </c>
      <c r="C421" s="190" t="s">
        <v>177</v>
      </c>
      <c r="D421" s="190" t="s">
        <v>49</v>
      </c>
      <c r="E421" s="190" t="s">
        <v>112</v>
      </c>
      <c r="F421" s="162" t="s">
        <v>190</v>
      </c>
      <c r="G421" s="3">
        <f>+IF(F421="Pasajero",'2.2 OPEX LAP 2023'!I422*'2.1 OPEX TUUA'!$G$7,'2.2 OPEX LAP 2023'!I422*'2.1 OPEX TUUA'!$G$8)</f>
        <v>0</v>
      </c>
      <c r="H421" s="3">
        <f>+IF(F421="Pasajero",'2.2 OPEX LAP 2023'!J422*'2.1 OPEX TUUA'!$H$7,'2.2 OPEX LAP 2023'!J422*'2.1 OPEX TUUA'!$H$8)</f>
        <v>0</v>
      </c>
      <c r="I421" s="3">
        <f>+IF(F421="Pasajero",'2.2 OPEX LAP 2023'!K422*'2.1 OPEX TUUA'!$I$7,'2.2 OPEX LAP 2023'!K422*'2.1 OPEX TUUA'!$I$8)</f>
        <v>0</v>
      </c>
      <c r="J421" s="3">
        <f>+IF(F421="Pasajero",'2.2 OPEX LAP 2023'!L422*'2.1 OPEX TUUA'!$J$7,'2.2 OPEX LAP 2023'!L422*'2.1 OPEX TUUA'!$J$8)</f>
        <v>0</v>
      </c>
      <c r="K421" s="3">
        <f>+IF(F421="Pasajero",'2.2 OPEX LAP 2023'!M422*'2.1 OPEX TUUA'!$K$7,'2.2 OPEX LAP 2023'!M422*'2.1 OPEX TUUA'!$K$8)</f>
        <v>0</v>
      </c>
      <c r="L421" s="3">
        <f>+IF(F421="Pasajero",'2.2 OPEX LAP 2023'!N422*'2.1 OPEX TUUA'!$L$7,'2.2 OPEX LAP 2023'!N422*'2.1 OPEX TUUA'!$L$8)</f>
        <v>0</v>
      </c>
      <c r="M421" s="3"/>
      <c r="N421" s="3">
        <f>+IF(F421="Pasajero",'2.2 OPEX LAP 2023'!I422*'2.1 OPEX TUUA'!$N$7,'2.2 OPEX LAP 2023'!I422*'2.1 OPEX TUUA'!$N$8)</f>
        <v>0</v>
      </c>
      <c r="O421" s="3">
        <f>+IF(F421="Pasajero",'2.2 OPEX LAP 2023'!J422*'2.1 OPEX TUUA'!$O$7,'2.2 OPEX LAP 2023'!J422*'2.1 OPEX TUUA'!$O$8)</f>
        <v>0</v>
      </c>
      <c r="P421" s="3">
        <f>+IF(F421="Pasajero",'2.2 OPEX LAP 2023'!K422*'2.1 OPEX TUUA'!$P$7,'2.2 OPEX LAP 2023'!K422*'2.1 OPEX TUUA'!$P$8)</f>
        <v>0</v>
      </c>
      <c r="Q421" s="3">
        <f>+IF(F421="Pasajero",'2.2 OPEX LAP 2023'!L422*'2.1 OPEX TUUA'!$Q$7,'2.2 OPEX LAP 2023'!L422*'2.1 OPEX TUUA'!$Q$8)</f>
        <v>0</v>
      </c>
      <c r="R421" s="3">
        <f>+IF(F421="Pasajero",'2.2 OPEX LAP 2023'!M422*'2.1 OPEX TUUA'!$R$7,'2.2 OPEX LAP 2023'!M422*'2.1 OPEX TUUA'!$R$8)</f>
        <v>0</v>
      </c>
      <c r="S421" s="3">
        <f>+IF(F421="Pasajero",'2.2 OPEX LAP 2023'!N422*'2.1 OPEX TUUA'!$S$7,'2.2 OPEX LAP 2023'!N422*'2.1 OPEX TUUA'!$S$8)</f>
        <v>0</v>
      </c>
      <c r="AA421" s="6"/>
      <c r="AB421" s="6"/>
      <c r="AC421" s="6"/>
      <c r="AD421" s="6"/>
      <c r="AE421" s="6"/>
      <c r="AF421" s="6"/>
    </row>
    <row r="422" spans="2:32" x14ac:dyDescent="0.25">
      <c r="B422" s="16">
        <v>6380000015</v>
      </c>
      <c r="C422" s="190" t="s">
        <v>177</v>
      </c>
      <c r="D422" s="190" t="s">
        <v>40</v>
      </c>
      <c r="E422" s="190" t="s">
        <v>113</v>
      </c>
      <c r="F422" s="162" t="s">
        <v>190</v>
      </c>
      <c r="G422" s="3">
        <f>+IF(F422="Pasajero",'2.2 OPEX LAP 2023'!I423*'2.1 OPEX TUUA'!$G$7,'2.2 OPEX LAP 2023'!I423*'2.1 OPEX TUUA'!$G$8)</f>
        <v>0</v>
      </c>
      <c r="H422" s="3">
        <f>+IF(F422="Pasajero",'2.2 OPEX LAP 2023'!J423*'2.1 OPEX TUUA'!$H$7,'2.2 OPEX LAP 2023'!J423*'2.1 OPEX TUUA'!$H$8)</f>
        <v>0</v>
      </c>
      <c r="I422" s="3">
        <f>+IF(F422="Pasajero",'2.2 OPEX LAP 2023'!K423*'2.1 OPEX TUUA'!$I$7,'2.2 OPEX LAP 2023'!K423*'2.1 OPEX TUUA'!$I$8)</f>
        <v>0</v>
      </c>
      <c r="J422" s="3">
        <f>+IF(F422="Pasajero",'2.2 OPEX LAP 2023'!L423*'2.1 OPEX TUUA'!$J$7,'2.2 OPEX LAP 2023'!L423*'2.1 OPEX TUUA'!$J$8)</f>
        <v>0</v>
      </c>
      <c r="K422" s="3">
        <f>+IF(F422="Pasajero",'2.2 OPEX LAP 2023'!M423*'2.1 OPEX TUUA'!$K$7,'2.2 OPEX LAP 2023'!M423*'2.1 OPEX TUUA'!$K$8)</f>
        <v>0</v>
      </c>
      <c r="L422" s="3">
        <f>+IF(F422="Pasajero",'2.2 OPEX LAP 2023'!N423*'2.1 OPEX TUUA'!$L$7,'2.2 OPEX LAP 2023'!N423*'2.1 OPEX TUUA'!$L$8)</f>
        <v>0</v>
      </c>
      <c r="M422" s="3"/>
      <c r="N422" s="3">
        <f>+IF(F422="Pasajero",'2.2 OPEX LAP 2023'!I423*'2.1 OPEX TUUA'!$N$7,'2.2 OPEX LAP 2023'!I423*'2.1 OPEX TUUA'!$N$8)</f>
        <v>0</v>
      </c>
      <c r="O422" s="3">
        <f>+IF(F422="Pasajero",'2.2 OPEX LAP 2023'!J423*'2.1 OPEX TUUA'!$O$7,'2.2 OPEX LAP 2023'!J423*'2.1 OPEX TUUA'!$O$8)</f>
        <v>0</v>
      </c>
      <c r="P422" s="3">
        <f>+IF(F422="Pasajero",'2.2 OPEX LAP 2023'!K423*'2.1 OPEX TUUA'!$P$7,'2.2 OPEX LAP 2023'!K423*'2.1 OPEX TUUA'!$P$8)</f>
        <v>0</v>
      </c>
      <c r="Q422" s="3">
        <f>+IF(F422="Pasajero",'2.2 OPEX LAP 2023'!L423*'2.1 OPEX TUUA'!$Q$7,'2.2 OPEX LAP 2023'!L423*'2.1 OPEX TUUA'!$Q$8)</f>
        <v>0</v>
      </c>
      <c r="R422" s="3">
        <f>+IF(F422="Pasajero",'2.2 OPEX LAP 2023'!M423*'2.1 OPEX TUUA'!$R$7,'2.2 OPEX LAP 2023'!M423*'2.1 OPEX TUUA'!$R$8)</f>
        <v>0</v>
      </c>
      <c r="S422" s="3">
        <f>+IF(F422="Pasajero",'2.2 OPEX LAP 2023'!N423*'2.1 OPEX TUUA'!$S$7,'2.2 OPEX LAP 2023'!N423*'2.1 OPEX TUUA'!$S$8)</f>
        <v>0</v>
      </c>
      <c r="AA422" s="6"/>
      <c r="AB422" s="6"/>
      <c r="AC422" s="6"/>
      <c r="AD422" s="6"/>
      <c r="AE422" s="6"/>
      <c r="AF422" s="6"/>
    </row>
    <row r="423" spans="2:32" x14ac:dyDescent="0.25">
      <c r="B423" s="16">
        <v>6380000016</v>
      </c>
      <c r="C423" s="190" t="s">
        <v>177</v>
      </c>
      <c r="D423" s="190" t="s">
        <v>49</v>
      </c>
      <c r="E423" s="190" t="s">
        <v>114</v>
      </c>
      <c r="F423" s="162" t="s">
        <v>190</v>
      </c>
      <c r="G423" s="3">
        <f>+IF(F423="Pasajero",'2.2 OPEX LAP 2023'!I424*'2.1 OPEX TUUA'!$G$7,'2.2 OPEX LAP 2023'!I424*'2.1 OPEX TUUA'!$G$8)</f>
        <v>0</v>
      </c>
      <c r="H423" s="3">
        <f>+IF(F423="Pasajero",'2.2 OPEX LAP 2023'!J424*'2.1 OPEX TUUA'!$H$7,'2.2 OPEX LAP 2023'!J424*'2.1 OPEX TUUA'!$H$8)</f>
        <v>0</v>
      </c>
      <c r="I423" s="3">
        <f>+IF(F423="Pasajero",'2.2 OPEX LAP 2023'!K424*'2.1 OPEX TUUA'!$I$7,'2.2 OPEX LAP 2023'!K424*'2.1 OPEX TUUA'!$I$8)</f>
        <v>0</v>
      </c>
      <c r="J423" s="3">
        <f>+IF(F423="Pasajero",'2.2 OPEX LAP 2023'!L424*'2.1 OPEX TUUA'!$J$7,'2.2 OPEX LAP 2023'!L424*'2.1 OPEX TUUA'!$J$8)</f>
        <v>0</v>
      </c>
      <c r="K423" s="3">
        <f>+IF(F423="Pasajero",'2.2 OPEX LAP 2023'!M424*'2.1 OPEX TUUA'!$K$7,'2.2 OPEX LAP 2023'!M424*'2.1 OPEX TUUA'!$K$8)</f>
        <v>0</v>
      </c>
      <c r="L423" s="3">
        <f>+IF(F423="Pasajero",'2.2 OPEX LAP 2023'!N424*'2.1 OPEX TUUA'!$L$7,'2.2 OPEX LAP 2023'!N424*'2.1 OPEX TUUA'!$L$8)</f>
        <v>0</v>
      </c>
      <c r="M423" s="3"/>
      <c r="N423" s="3">
        <f>+IF(F423="Pasajero",'2.2 OPEX LAP 2023'!I424*'2.1 OPEX TUUA'!$N$7,'2.2 OPEX LAP 2023'!I424*'2.1 OPEX TUUA'!$N$8)</f>
        <v>0</v>
      </c>
      <c r="O423" s="3">
        <f>+IF(F423="Pasajero",'2.2 OPEX LAP 2023'!J424*'2.1 OPEX TUUA'!$O$7,'2.2 OPEX LAP 2023'!J424*'2.1 OPEX TUUA'!$O$8)</f>
        <v>0</v>
      </c>
      <c r="P423" s="3">
        <f>+IF(F423="Pasajero",'2.2 OPEX LAP 2023'!K424*'2.1 OPEX TUUA'!$P$7,'2.2 OPEX LAP 2023'!K424*'2.1 OPEX TUUA'!$P$8)</f>
        <v>0</v>
      </c>
      <c r="Q423" s="3">
        <f>+IF(F423="Pasajero",'2.2 OPEX LAP 2023'!L424*'2.1 OPEX TUUA'!$Q$7,'2.2 OPEX LAP 2023'!L424*'2.1 OPEX TUUA'!$Q$8)</f>
        <v>0</v>
      </c>
      <c r="R423" s="3">
        <f>+IF(F423="Pasajero",'2.2 OPEX LAP 2023'!M424*'2.1 OPEX TUUA'!$R$7,'2.2 OPEX LAP 2023'!M424*'2.1 OPEX TUUA'!$R$8)</f>
        <v>0</v>
      </c>
      <c r="S423" s="3">
        <f>+IF(F423="Pasajero",'2.2 OPEX LAP 2023'!N424*'2.1 OPEX TUUA'!$S$7,'2.2 OPEX LAP 2023'!N424*'2.1 OPEX TUUA'!$S$8)</f>
        <v>0</v>
      </c>
      <c r="AA423" s="6"/>
      <c r="AB423" s="6"/>
      <c r="AC423" s="6"/>
      <c r="AD423" s="6"/>
      <c r="AE423" s="6"/>
      <c r="AF423" s="6"/>
    </row>
    <row r="424" spans="2:32" x14ac:dyDescent="0.25">
      <c r="B424" s="16">
        <v>6380000017</v>
      </c>
      <c r="C424" s="190" t="s">
        <v>177</v>
      </c>
      <c r="D424" s="190" t="s">
        <v>49</v>
      </c>
      <c r="E424" s="190" t="s">
        <v>115</v>
      </c>
      <c r="F424" s="162" t="s">
        <v>190</v>
      </c>
      <c r="G424" s="3">
        <f>+IF(F424="Pasajero",'2.2 OPEX LAP 2023'!I425*'2.1 OPEX TUUA'!$G$7,'2.2 OPEX LAP 2023'!I425*'2.1 OPEX TUUA'!$G$8)</f>
        <v>0</v>
      </c>
      <c r="H424" s="3">
        <f>+IF(F424="Pasajero",'2.2 OPEX LAP 2023'!J425*'2.1 OPEX TUUA'!$H$7,'2.2 OPEX LAP 2023'!J425*'2.1 OPEX TUUA'!$H$8)</f>
        <v>0</v>
      </c>
      <c r="I424" s="3">
        <f>+IF(F424="Pasajero",'2.2 OPEX LAP 2023'!K425*'2.1 OPEX TUUA'!$I$7,'2.2 OPEX LAP 2023'!K425*'2.1 OPEX TUUA'!$I$8)</f>
        <v>0</v>
      </c>
      <c r="J424" s="3">
        <f>+IF(F424="Pasajero",'2.2 OPEX LAP 2023'!L425*'2.1 OPEX TUUA'!$J$7,'2.2 OPEX LAP 2023'!L425*'2.1 OPEX TUUA'!$J$8)</f>
        <v>0</v>
      </c>
      <c r="K424" s="3">
        <f>+IF(F424="Pasajero",'2.2 OPEX LAP 2023'!M425*'2.1 OPEX TUUA'!$K$7,'2.2 OPEX LAP 2023'!M425*'2.1 OPEX TUUA'!$K$8)</f>
        <v>0</v>
      </c>
      <c r="L424" s="3">
        <f>+IF(F424="Pasajero",'2.2 OPEX LAP 2023'!N425*'2.1 OPEX TUUA'!$L$7,'2.2 OPEX LAP 2023'!N425*'2.1 OPEX TUUA'!$L$8)</f>
        <v>0</v>
      </c>
      <c r="M424" s="3"/>
      <c r="N424" s="3">
        <f>+IF(F424="Pasajero",'2.2 OPEX LAP 2023'!I425*'2.1 OPEX TUUA'!$N$7,'2.2 OPEX LAP 2023'!I425*'2.1 OPEX TUUA'!$N$8)</f>
        <v>0</v>
      </c>
      <c r="O424" s="3">
        <f>+IF(F424="Pasajero",'2.2 OPEX LAP 2023'!J425*'2.1 OPEX TUUA'!$O$7,'2.2 OPEX LAP 2023'!J425*'2.1 OPEX TUUA'!$O$8)</f>
        <v>0</v>
      </c>
      <c r="P424" s="3">
        <f>+IF(F424="Pasajero",'2.2 OPEX LAP 2023'!K425*'2.1 OPEX TUUA'!$P$7,'2.2 OPEX LAP 2023'!K425*'2.1 OPEX TUUA'!$P$8)</f>
        <v>0</v>
      </c>
      <c r="Q424" s="3">
        <f>+IF(F424="Pasajero",'2.2 OPEX LAP 2023'!L425*'2.1 OPEX TUUA'!$Q$7,'2.2 OPEX LAP 2023'!L425*'2.1 OPEX TUUA'!$Q$8)</f>
        <v>0</v>
      </c>
      <c r="R424" s="3">
        <f>+IF(F424="Pasajero",'2.2 OPEX LAP 2023'!M425*'2.1 OPEX TUUA'!$R$7,'2.2 OPEX LAP 2023'!M425*'2.1 OPEX TUUA'!$R$8)</f>
        <v>0</v>
      </c>
      <c r="S424" s="3">
        <f>+IF(F424="Pasajero",'2.2 OPEX LAP 2023'!N425*'2.1 OPEX TUUA'!$S$7,'2.2 OPEX LAP 2023'!N425*'2.1 OPEX TUUA'!$S$8)</f>
        <v>0</v>
      </c>
      <c r="AA424" s="6"/>
      <c r="AB424" s="6"/>
      <c r="AC424" s="6"/>
      <c r="AD424" s="6"/>
      <c r="AE424" s="6"/>
      <c r="AF424" s="6"/>
    </row>
    <row r="425" spans="2:32" x14ac:dyDescent="0.25">
      <c r="B425" s="16">
        <v>6380000018</v>
      </c>
      <c r="C425" s="190" t="s">
        <v>177</v>
      </c>
      <c r="D425" s="190" t="s">
        <v>49</v>
      </c>
      <c r="E425" s="190" t="s">
        <v>116</v>
      </c>
      <c r="F425" s="162" t="s">
        <v>190</v>
      </c>
      <c r="G425" s="3">
        <f>+IF(F425="Pasajero",'2.2 OPEX LAP 2023'!I426*'2.1 OPEX TUUA'!$G$7,'2.2 OPEX LAP 2023'!I426*'2.1 OPEX TUUA'!$G$8)</f>
        <v>0</v>
      </c>
      <c r="H425" s="3">
        <f>+IF(F425="Pasajero",'2.2 OPEX LAP 2023'!J426*'2.1 OPEX TUUA'!$H$7,'2.2 OPEX LAP 2023'!J426*'2.1 OPEX TUUA'!$H$8)</f>
        <v>0</v>
      </c>
      <c r="I425" s="3">
        <f>+IF(F425="Pasajero",'2.2 OPEX LAP 2023'!K426*'2.1 OPEX TUUA'!$I$7,'2.2 OPEX LAP 2023'!K426*'2.1 OPEX TUUA'!$I$8)</f>
        <v>0</v>
      </c>
      <c r="J425" s="3">
        <f>+IF(F425="Pasajero",'2.2 OPEX LAP 2023'!L426*'2.1 OPEX TUUA'!$J$7,'2.2 OPEX LAP 2023'!L426*'2.1 OPEX TUUA'!$J$8)</f>
        <v>0</v>
      </c>
      <c r="K425" s="3">
        <f>+IF(F425="Pasajero",'2.2 OPEX LAP 2023'!M426*'2.1 OPEX TUUA'!$K$7,'2.2 OPEX LAP 2023'!M426*'2.1 OPEX TUUA'!$K$8)</f>
        <v>0</v>
      </c>
      <c r="L425" s="3">
        <f>+IF(F425="Pasajero",'2.2 OPEX LAP 2023'!N426*'2.1 OPEX TUUA'!$L$7,'2.2 OPEX LAP 2023'!N426*'2.1 OPEX TUUA'!$L$8)</f>
        <v>0</v>
      </c>
      <c r="M425" s="3"/>
      <c r="N425" s="3">
        <f>+IF(F425="Pasajero",'2.2 OPEX LAP 2023'!I426*'2.1 OPEX TUUA'!$N$7,'2.2 OPEX LAP 2023'!I426*'2.1 OPEX TUUA'!$N$8)</f>
        <v>0</v>
      </c>
      <c r="O425" s="3">
        <f>+IF(F425="Pasajero",'2.2 OPEX LAP 2023'!J426*'2.1 OPEX TUUA'!$O$7,'2.2 OPEX LAP 2023'!J426*'2.1 OPEX TUUA'!$O$8)</f>
        <v>0</v>
      </c>
      <c r="P425" s="3">
        <f>+IF(F425="Pasajero",'2.2 OPEX LAP 2023'!K426*'2.1 OPEX TUUA'!$P$7,'2.2 OPEX LAP 2023'!K426*'2.1 OPEX TUUA'!$P$8)</f>
        <v>0</v>
      </c>
      <c r="Q425" s="3">
        <f>+IF(F425="Pasajero",'2.2 OPEX LAP 2023'!L426*'2.1 OPEX TUUA'!$Q$7,'2.2 OPEX LAP 2023'!L426*'2.1 OPEX TUUA'!$Q$8)</f>
        <v>0</v>
      </c>
      <c r="R425" s="3">
        <f>+IF(F425="Pasajero",'2.2 OPEX LAP 2023'!M426*'2.1 OPEX TUUA'!$R$7,'2.2 OPEX LAP 2023'!M426*'2.1 OPEX TUUA'!$R$8)</f>
        <v>0</v>
      </c>
      <c r="S425" s="3">
        <f>+IF(F425="Pasajero",'2.2 OPEX LAP 2023'!N426*'2.1 OPEX TUUA'!$S$7,'2.2 OPEX LAP 2023'!N426*'2.1 OPEX TUUA'!$S$8)</f>
        <v>0</v>
      </c>
      <c r="AA425" s="6"/>
      <c r="AB425" s="6"/>
      <c r="AC425" s="6"/>
      <c r="AD425" s="6"/>
      <c r="AE425" s="6"/>
      <c r="AF425" s="6"/>
    </row>
    <row r="426" spans="2:32" x14ac:dyDescent="0.25">
      <c r="B426" s="16">
        <v>6380000019</v>
      </c>
      <c r="C426" s="190" t="s">
        <v>177</v>
      </c>
      <c r="D426" s="190" t="s">
        <v>40</v>
      </c>
      <c r="E426" s="190" t="s">
        <v>117</v>
      </c>
      <c r="F426" s="162" t="s">
        <v>190</v>
      </c>
      <c r="G426" s="3">
        <f>+IF(F426="Pasajero",'2.2 OPEX LAP 2023'!I427*'2.1 OPEX TUUA'!$G$7,'2.2 OPEX LAP 2023'!I427*'2.1 OPEX TUUA'!$G$8)</f>
        <v>0</v>
      </c>
      <c r="H426" s="3">
        <f>+IF(F426="Pasajero",'2.2 OPEX LAP 2023'!J427*'2.1 OPEX TUUA'!$H$7,'2.2 OPEX LAP 2023'!J427*'2.1 OPEX TUUA'!$H$8)</f>
        <v>0</v>
      </c>
      <c r="I426" s="3">
        <f>+IF(F426="Pasajero",'2.2 OPEX LAP 2023'!K427*'2.1 OPEX TUUA'!$I$7,'2.2 OPEX LAP 2023'!K427*'2.1 OPEX TUUA'!$I$8)</f>
        <v>0</v>
      </c>
      <c r="J426" s="3">
        <f>+IF(F426="Pasajero",'2.2 OPEX LAP 2023'!L427*'2.1 OPEX TUUA'!$J$7,'2.2 OPEX LAP 2023'!L427*'2.1 OPEX TUUA'!$J$8)</f>
        <v>0</v>
      </c>
      <c r="K426" s="3">
        <f>+IF(F426="Pasajero",'2.2 OPEX LAP 2023'!M427*'2.1 OPEX TUUA'!$K$7,'2.2 OPEX LAP 2023'!M427*'2.1 OPEX TUUA'!$K$8)</f>
        <v>0</v>
      </c>
      <c r="L426" s="3">
        <f>+IF(F426="Pasajero",'2.2 OPEX LAP 2023'!N427*'2.1 OPEX TUUA'!$L$7,'2.2 OPEX LAP 2023'!N427*'2.1 OPEX TUUA'!$L$8)</f>
        <v>0</v>
      </c>
      <c r="M426" s="3"/>
      <c r="N426" s="3">
        <f>+IF(F426="Pasajero",'2.2 OPEX LAP 2023'!I427*'2.1 OPEX TUUA'!$N$7,'2.2 OPEX LAP 2023'!I427*'2.1 OPEX TUUA'!$N$8)</f>
        <v>0</v>
      </c>
      <c r="O426" s="3">
        <f>+IF(F426="Pasajero",'2.2 OPEX LAP 2023'!J427*'2.1 OPEX TUUA'!$O$7,'2.2 OPEX LAP 2023'!J427*'2.1 OPEX TUUA'!$O$8)</f>
        <v>0</v>
      </c>
      <c r="P426" s="3">
        <f>+IF(F426="Pasajero",'2.2 OPEX LAP 2023'!K427*'2.1 OPEX TUUA'!$P$7,'2.2 OPEX LAP 2023'!K427*'2.1 OPEX TUUA'!$P$8)</f>
        <v>0</v>
      </c>
      <c r="Q426" s="3">
        <f>+IF(F426="Pasajero",'2.2 OPEX LAP 2023'!L427*'2.1 OPEX TUUA'!$Q$7,'2.2 OPEX LAP 2023'!L427*'2.1 OPEX TUUA'!$Q$8)</f>
        <v>0</v>
      </c>
      <c r="R426" s="3">
        <f>+IF(F426="Pasajero",'2.2 OPEX LAP 2023'!M427*'2.1 OPEX TUUA'!$R$7,'2.2 OPEX LAP 2023'!M427*'2.1 OPEX TUUA'!$R$8)</f>
        <v>0</v>
      </c>
      <c r="S426" s="3">
        <f>+IF(F426="Pasajero",'2.2 OPEX LAP 2023'!N427*'2.1 OPEX TUUA'!$S$7,'2.2 OPEX LAP 2023'!N427*'2.1 OPEX TUUA'!$S$8)</f>
        <v>0</v>
      </c>
      <c r="AA426" s="6"/>
      <c r="AB426" s="6"/>
      <c r="AC426" s="6"/>
      <c r="AD426" s="6"/>
      <c r="AE426" s="6"/>
      <c r="AF426" s="6"/>
    </row>
    <row r="427" spans="2:32" x14ac:dyDescent="0.25">
      <c r="B427" s="16">
        <v>6380000020</v>
      </c>
      <c r="C427" s="190" t="s">
        <v>177</v>
      </c>
      <c r="D427" s="190" t="s">
        <v>49</v>
      </c>
      <c r="E427" s="190" t="s">
        <v>118</v>
      </c>
      <c r="F427" s="162" t="s">
        <v>190</v>
      </c>
      <c r="G427" s="3">
        <f>+IF(F427="Pasajero",'2.2 OPEX LAP 2023'!I428*'2.1 OPEX TUUA'!$G$7,'2.2 OPEX LAP 2023'!I428*'2.1 OPEX TUUA'!$G$8)</f>
        <v>0</v>
      </c>
      <c r="H427" s="3">
        <f>+IF(F427="Pasajero",'2.2 OPEX LAP 2023'!J428*'2.1 OPEX TUUA'!$H$7,'2.2 OPEX LAP 2023'!J428*'2.1 OPEX TUUA'!$H$8)</f>
        <v>0</v>
      </c>
      <c r="I427" s="3">
        <f>+IF(F427="Pasajero",'2.2 OPEX LAP 2023'!K428*'2.1 OPEX TUUA'!$I$7,'2.2 OPEX LAP 2023'!K428*'2.1 OPEX TUUA'!$I$8)</f>
        <v>0</v>
      </c>
      <c r="J427" s="3">
        <f>+IF(F427="Pasajero",'2.2 OPEX LAP 2023'!L428*'2.1 OPEX TUUA'!$J$7,'2.2 OPEX LAP 2023'!L428*'2.1 OPEX TUUA'!$J$8)</f>
        <v>0</v>
      </c>
      <c r="K427" s="3">
        <f>+IF(F427="Pasajero",'2.2 OPEX LAP 2023'!M428*'2.1 OPEX TUUA'!$K$7,'2.2 OPEX LAP 2023'!M428*'2.1 OPEX TUUA'!$K$8)</f>
        <v>0</v>
      </c>
      <c r="L427" s="3">
        <f>+IF(F427="Pasajero",'2.2 OPEX LAP 2023'!N428*'2.1 OPEX TUUA'!$L$7,'2.2 OPEX LAP 2023'!N428*'2.1 OPEX TUUA'!$L$8)</f>
        <v>0</v>
      </c>
      <c r="M427" s="3"/>
      <c r="N427" s="3">
        <f>+IF(F427="Pasajero",'2.2 OPEX LAP 2023'!I428*'2.1 OPEX TUUA'!$N$7,'2.2 OPEX LAP 2023'!I428*'2.1 OPEX TUUA'!$N$8)</f>
        <v>0</v>
      </c>
      <c r="O427" s="3">
        <f>+IF(F427="Pasajero",'2.2 OPEX LAP 2023'!J428*'2.1 OPEX TUUA'!$O$7,'2.2 OPEX LAP 2023'!J428*'2.1 OPEX TUUA'!$O$8)</f>
        <v>0</v>
      </c>
      <c r="P427" s="3">
        <f>+IF(F427="Pasajero",'2.2 OPEX LAP 2023'!K428*'2.1 OPEX TUUA'!$P$7,'2.2 OPEX LAP 2023'!K428*'2.1 OPEX TUUA'!$P$8)</f>
        <v>0</v>
      </c>
      <c r="Q427" s="3">
        <f>+IF(F427="Pasajero",'2.2 OPEX LAP 2023'!L428*'2.1 OPEX TUUA'!$Q$7,'2.2 OPEX LAP 2023'!L428*'2.1 OPEX TUUA'!$Q$8)</f>
        <v>0</v>
      </c>
      <c r="R427" s="3">
        <f>+IF(F427="Pasajero",'2.2 OPEX LAP 2023'!M428*'2.1 OPEX TUUA'!$R$7,'2.2 OPEX LAP 2023'!M428*'2.1 OPEX TUUA'!$R$8)</f>
        <v>0</v>
      </c>
      <c r="S427" s="3">
        <f>+IF(F427="Pasajero",'2.2 OPEX LAP 2023'!N428*'2.1 OPEX TUUA'!$S$7,'2.2 OPEX LAP 2023'!N428*'2.1 OPEX TUUA'!$S$8)</f>
        <v>0</v>
      </c>
      <c r="AA427" s="6"/>
      <c r="AB427" s="6"/>
      <c r="AC427" s="6"/>
      <c r="AD427" s="6"/>
      <c r="AE427" s="6"/>
      <c r="AF427" s="6"/>
    </row>
    <row r="428" spans="2:32" x14ac:dyDescent="0.25">
      <c r="B428" s="16">
        <v>6380000021</v>
      </c>
      <c r="C428" s="190" t="s">
        <v>177</v>
      </c>
      <c r="D428" s="190" t="s">
        <v>40</v>
      </c>
      <c r="E428" s="190" t="s">
        <v>119</v>
      </c>
      <c r="F428" s="162" t="s">
        <v>190</v>
      </c>
      <c r="G428" s="3">
        <f>+IF(F428="Pasajero",'2.2 OPEX LAP 2023'!I429*'2.1 OPEX TUUA'!$G$7,'2.2 OPEX LAP 2023'!I429*'2.1 OPEX TUUA'!$G$8)</f>
        <v>4883.2853454200713</v>
      </c>
      <c r="H428" s="3">
        <f>+IF(F428="Pasajero",'2.2 OPEX LAP 2023'!J429*'2.1 OPEX TUUA'!$H$7,'2.2 OPEX LAP 2023'!J429*'2.1 OPEX TUUA'!$H$8)</f>
        <v>5601.7881822648051</v>
      </c>
      <c r="I428" s="3">
        <f>+IF(F428="Pasajero",'2.2 OPEX LAP 2023'!K429*'2.1 OPEX TUUA'!$I$7,'2.2 OPEX LAP 2023'!K429*'2.1 OPEX TUUA'!$I$8)</f>
        <v>6192.8589464724892</v>
      </c>
      <c r="J428" s="3">
        <f>+IF(F428="Pasajero",'2.2 OPEX LAP 2023'!L429*'2.1 OPEX TUUA'!$J$7,'2.2 OPEX LAP 2023'!L429*'2.1 OPEX TUUA'!$J$8)</f>
        <v>6453.6938676255313</v>
      </c>
      <c r="K428" s="3">
        <f>+IF(F428="Pasajero",'2.2 OPEX LAP 2023'!M429*'2.1 OPEX TUUA'!$K$7,'2.2 OPEX LAP 2023'!M429*'2.1 OPEX TUUA'!$K$8)</f>
        <v>6598.0631502676961</v>
      </c>
      <c r="L428" s="3">
        <f>+IF(F428="Pasajero",'2.2 OPEX LAP 2023'!N429*'2.1 OPEX TUUA'!$L$7,'2.2 OPEX LAP 2023'!N429*'2.1 OPEX TUUA'!$L$8)</f>
        <v>6774.2749959474531</v>
      </c>
      <c r="M428" s="3"/>
      <c r="N428" s="3">
        <f>+IF(F428="Pasajero",'2.2 OPEX LAP 2023'!I429*'2.1 OPEX TUUA'!$N$7,'2.2 OPEX LAP 2023'!I429*'2.1 OPEX TUUA'!$N$8)</f>
        <v>2408.5204417174168</v>
      </c>
      <c r="O428" s="3">
        <f>+IF(F428="Pasajero",'2.2 OPEX LAP 2023'!J429*'2.1 OPEX TUUA'!$O$7,'2.2 OPEX LAP 2023'!J429*'2.1 OPEX TUUA'!$O$8)</f>
        <v>2320.0546639548047</v>
      </c>
      <c r="P428" s="3">
        <f>+IF(F428="Pasajero",'2.2 OPEX LAP 2023'!K429*'2.1 OPEX TUUA'!$P$7,'2.2 OPEX LAP 2023'!K429*'2.1 OPEX TUUA'!$P$8)</f>
        <v>2267.3832486904344</v>
      </c>
      <c r="Q428" s="3">
        <f>+IF(F428="Pasajero",'2.2 OPEX LAP 2023'!L429*'2.1 OPEX TUUA'!$Q$7,'2.2 OPEX LAP 2023'!L429*'2.1 OPEX TUUA'!$Q$8)</f>
        <v>2215.6234537240425</v>
      </c>
      <c r="R428" s="3">
        <f>+IF(F428="Pasajero",'2.2 OPEX LAP 2023'!M429*'2.1 OPEX TUUA'!$R$7,'2.2 OPEX LAP 2023'!M429*'2.1 OPEX TUUA'!$R$8)</f>
        <v>2187.5585977923201</v>
      </c>
      <c r="S428" s="3">
        <f>+IF(F428="Pasajero",'2.2 OPEX LAP 2023'!N429*'2.1 OPEX TUUA'!$S$7,'2.2 OPEX LAP 2023'!N429*'2.1 OPEX TUUA'!$S$8)</f>
        <v>2153.1060310333123</v>
      </c>
      <c r="AA428" s="6"/>
      <c r="AB428" s="6"/>
      <c r="AC428" s="6"/>
      <c r="AD428" s="6"/>
      <c r="AE428" s="6"/>
      <c r="AF428" s="6"/>
    </row>
    <row r="429" spans="2:32" x14ac:dyDescent="0.25">
      <c r="B429" s="16">
        <v>6380000022</v>
      </c>
      <c r="C429" s="190" t="s">
        <v>177</v>
      </c>
      <c r="D429" s="190" t="s">
        <v>40</v>
      </c>
      <c r="E429" s="190" t="s">
        <v>120</v>
      </c>
      <c r="F429" s="162" t="s">
        <v>190</v>
      </c>
      <c r="G429" s="3">
        <f>+IF(F429="Pasajero",'2.2 OPEX LAP 2023'!I430*'2.1 OPEX TUUA'!$G$7,'2.2 OPEX LAP 2023'!I430*'2.1 OPEX TUUA'!$G$8)</f>
        <v>23.017302079636778</v>
      </c>
      <c r="H429" s="3">
        <f>+IF(F429="Pasajero",'2.2 OPEX LAP 2023'!J430*'2.1 OPEX TUUA'!$H$7,'2.2 OPEX LAP 2023'!J430*'2.1 OPEX TUUA'!$H$8)</f>
        <v>26.403955873325458</v>
      </c>
      <c r="I429" s="3">
        <f>+IF(F429="Pasajero",'2.2 OPEX LAP 2023'!K430*'2.1 OPEX TUUA'!$I$7,'2.2 OPEX LAP 2023'!K430*'2.1 OPEX TUUA'!$I$8)</f>
        <v>29.189960246993632</v>
      </c>
      <c r="J429" s="3">
        <f>+IF(F429="Pasajero",'2.2 OPEX LAP 2023'!L430*'2.1 OPEX TUUA'!$J$7,'2.2 OPEX LAP 2023'!L430*'2.1 OPEX TUUA'!$J$8)</f>
        <v>30.419402261625969</v>
      </c>
      <c r="K429" s="3">
        <f>+IF(F429="Pasajero",'2.2 OPEX LAP 2023'!M430*'2.1 OPEX TUUA'!$K$7,'2.2 OPEX LAP 2023'!M430*'2.1 OPEX TUUA'!$K$8)</f>
        <v>31.09988500112259</v>
      </c>
      <c r="L429" s="3">
        <f>+IF(F429="Pasajero",'2.2 OPEX LAP 2023'!N430*'2.1 OPEX TUUA'!$L$7,'2.2 OPEX LAP 2023'!N430*'2.1 OPEX TUUA'!$L$8)</f>
        <v>31.930457248108993</v>
      </c>
      <c r="M429" s="3"/>
      <c r="N429" s="3">
        <f>+IF(F429="Pasajero",'2.2 OPEX LAP 2023'!I430*'2.1 OPEX TUUA'!$N$7,'2.2 OPEX LAP 2023'!I430*'2.1 OPEX TUUA'!$N$8)</f>
        <v>11.352529834035556</v>
      </c>
      <c r="O429" s="3">
        <f>+IF(F429="Pasajero",'2.2 OPEX LAP 2023'!J430*'2.1 OPEX TUUA'!$O$7,'2.2 OPEX LAP 2023'!J430*'2.1 OPEX TUUA'!$O$8)</f>
        <v>10.935547539035776</v>
      </c>
      <c r="P429" s="3">
        <f>+IF(F429="Pasajero",'2.2 OPEX LAP 2023'!K430*'2.1 OPEX TUUA'!$P$7,'2.2 OPEX LAP 2023'!K430*'2.1 OPEX TUUA'!$P$8)</f>
        <v>10.68728150698032</v>
      </c>
      <c r="Q429" s="3">
        <f>+IF(F429="Pasajero",'2.2 OPEX LAP 2023'!L430*'2.1 OPEX TUUA'!$Q$7,'2.2 OPEX LAP 2023'!L430*'2.1 OPEX TUUA'!$Q$8)</f>
        <v>10.443312385364507</v>
      </c>
      <c r="R429" s="3">
        <f>+IF(F429="Pasajero",'2.2 OPEX LAP 2023'!M430*'2.1 OPEX TUUA'!$R$7,'2.2 OPEX LAP 2023'!M430*'2.1 OPEX TUUA'!$R$8)</f>
        <v>10.311029051275135</v>
      </c>
      <c r="S429" s="3">
        <f>+IF(F429="Pasajero",'2.2 OPEX LAP 2023'!N430*'2.1 OPEX TUUA'!$S$7,'2.2 OPEX LAP 2023'!N430*'2.1 OPEX TUUA'!$S$8)</f>
        <v>10.148637325128171</v>
      </c>
      <c r="AA429" s="6"/>
      <c r="AB429" s="6"/>
      <c r="AC429" s="6"/>
      <c r="AD429" s="6"/>
      <c r="AE429" s="6"/>
      <c r="AF429" s="6"/>
    </row>
    <row r="430" spans="2:32" x14ac:dyDescent="0.25">
      <c r="B430" s="16">
        <v>6380000023</v>
      </c>
      <c r="C430" s="190" t="s">
        <v>177</v>
      </c>
      <c r="D430" s="190" t="s">
        <v>49</v>
      </c>
      <c r="E430" s="190" t="s">
        <v>121</v>
      </c>
      <c r="F430" s="162" t="s">
        <v>190</v>
      </c>
      <c r="G430" s="3">
        <f>+IF(F430="Pasajero",'2.2 OPEX LAP 2023'!I431*'2.1 OPEX TUUA'!$G$7,'2.2 OPEX LAP 2023'!I431*'2.1 OPEX TUUA'!$G$8)</f>
        <v>0</v>
      </c>
      <c r="H430" s="3">
        <f>+IF(F430="Pasajero",'2.2 OPEX LAP 2023'!J431*'2.1 OPEX TUUA'!$H$7,'2.2 OPEX LAP 2023'!J431*'2.1 OPEX TUUA'!$H$8)</f>
        <v>0</v>
      </c>
      <c r="I430" s="3">
        <f>+IF(F430="Pasajero",'2.2 OPEX LAP 2023'!K431*'2.1 OPEX TUUA'!$I$7,'2.2 OPEX LAP 2023'!K431*'2.1 OPEX TUUA'!$I$8)</f>
        <v>0</v>
      </c>
      <c r="J430" s="3">
        <f>+IF(F430="Pasajero",'2.2 OPEX LAP 2023'!L431*'2.1 OPEX TUUA'!$J$7,'2.2 OPEX LAP 2023'!L431*'2.1 OPEX TUUA'!$J$8)</f>
        <v>0</v>
      </c>
      <c r="K430" s="3">
        <f>+IF(F430="Pasajero",'2.2 OPEX LAP 2023'!M431*'2.1 OPEX TUUA'!$K$7,'2.2 OPEX LAP 2023'!M431*'2.1 OPEX TUUA'!$K$8)</f>
        <v>0</v>
      </c>
      <c r="L430" s="3">
        <f>+IF(F430="Pasajero",'2.2 OPEX LAP 2023'!N431*'2.1 OPEX TUUA'!$L$7,'2.2 OPEX LAP 2023'!N431*'2.1 OPEX TUUA'!$L$8)</f>
        <v>0</v>
      </c>
      <c r="M430" s="3"/>
      <c r="N430" s="3">
        <f>+IF(F430="Pasajero",'2.2 OPEX LAP 2023'!I431*'2.1 OPEX TUUA'!$N$7,'2.2 OPEX LAP 2023'!I431*'2.1 OPEX TUUA'!$N$8)</f>
        <v>0</v>
      </c>
      <c r="O430" s="3">
        <f>+IF(F430="Pasajero",'2.2 OPEX LAP 2023'!J431*'2.1 OPEX TUUA'!$O$7,'2.2 OPEX LAP 2023'!J431*'2.1 OPEX TUUA'!$O$8)</f>
        <v>0</v>
      </c>
      <c r="P430" s="3">
        <f>+IF(F430="Pasajero",'2.2 OPEX LAP 2023'!K431*'2.1 OPEX TUUA'!$P$7,'2.2 OPEX LAP 2023'!K431*'2.1 OPEX TUUA'!$P$8)</f>
        <v>0</v>
      </c>
      <c r="Q430" s="3">
        <f>+IF(F430="Pasajero",'2.2 OPEX LAP 2023'!L431*'2.1 OPEX TUUA'!$Q$7,'2.2 OPEX LAP 2023'!L431*'2.1 OPEX TUUA'!$Q$8)</f>
        <v>0</v>
      </c>
      <c r="R430" s="3">
        <f>+IF(F430="Pasajero",'2.2 OPEX LAP 2023'!M431*'2.1 OPEX TUUA'!$R$7,'2.2 OPEX LAP 2023'!M431*'2.1 OPEX TUUA'!$R$8)</f>
        <v>0</v>
      </c>
      <c r="S430" s="3">
        <f>+IF(F430="Pasajero",'2.2 OPEX LAP 2023'!N431*'2.1 OPEX TUUA'!$S$7,'2.2 OPEX LAP 2023'!N431*'2.1 OPEX TUUA'!$S$8)</f>
        <v>0</v>
      </c>
      <c r="AA430" s="6"/>
      <c r="AB430" s="6"/>
      <c r="AC430" s="6"/>
      <c r="AD430" s="6"/>
      <c r="AE430" s="6"/>
      <c r="AF430" s="6"/>
    </row>
    <row r="431" spans="2:32" x14ac:dyDescent="0.25">
      <c r="B431" s="16">
        <v>6380000024</v>
      </c>
      <c r="C431" s="190" t="s">
        <v>177</v>
      </c>
      <c r="D431" s="190" t="s">
        <v>49</v>
      </c>
      <c r="E431" s="190" t="s">
        <v>122</v>
      </c>
      <c r="F431" s="162" t="s">
        <v>190</v>
      </c>
      <c r="G431" s="3">
        <f>+IF(F431="Pasajero",'2.2 OPEX LAP 2023'!I432*'2.1 OPEX TUUA'!$G$7,'2.2 OPEX LAP 2023'!I432*'2.1 OPEX TUUA'!$G$8)</f>
        <v>0</v>
      </c>
      <c r="H431" s="3">
        <f>+IF(F431="Pasajero",'2.2 OPEX LAP 2023'!J432*'2.1 OPEX TUUA'!$H$7,'2.2 OPEX LAP 2023'!J432*'2.1 OPEX TUUA'!$H$8)</f>
        <v>0</v>
      </c>
      <c r="I431" s="3">
        <f>+IF(F431="Pasajero",'2.2 OPEX LAP 2023'!K432*'2.1 OPEX TUUA'!$I$7,'2.2 OPEX LAP 2023'!K432*'2.1 OPEX TUUA'!$I$8)</f>
        <v>0</v>
      </c>
      <c r="J431" s="3">
        <f>+IF(F431="Pasajero",'2.2 OPEX LAP 2023'!L432*'2.1 OPEX TUUA'!$J$7,'2.2 OPEX LAP 2023'!L432*'2.1 OPEX TUUA'!$J$8)</f>
        <v>0</v>
      </c>
      <c r="K431" s="3">
        <f>+IF(F431="Pasajero",'2.2 OPEX LAP 2023'!M432*'2.1 OPEX TUUA'!$K$7,'2.2 OPEX LAP 2023'!M432*'2.1 OPEX TUUA'!$K$8)</f>
        <v>0</v>
      </c>
      <c r="L431" s="3">
        <f>+IF(F431="Pasajero",'2.2 OPEX LAP 2023'!N432*'2.1 OPEX TUUA'!$L$7,'2.2 OPEX LAP 2023'!N432*'2.1 OPEX TUUA'!$L$8)</f>
        <v>0</v>
      </c>
      <c r="M431" s="3"/>
      <c r="N431" s="3">
        <f>+IF(F431="Pasajero",'2.2 OPEX LAP 2023'!I432*'2.1 OPEX TUUA'!$N$7,'2.2 OPEX LAP 2023'!I432*'2.1 OPEX TUUA'!$N$8)</f>
        <v>0</v>
      </c>
      <c r="O431" s="3">
        <f>+IF(F431="Pasajero",'2.2 OPEX LAP 2023'!J432*'2.1 OPEX TUUA'!$O$7,'2.2 OPEX LAP 2023'!J432*'2.1 OPEX TUUA'!$O$8)</f>
        <v>0</v>
      </c>
      <c r="P431" s="3">
        <f>+IF(F431="Pasajero",'2.2 OPEX LAP 2023'!K432*'2.1 OPEX TUUA'!$P$7,'2.2 OPEX LAP 2023'!K432*'2.1 OPEX TUUA'!$P$8)</f>
        <v>0</v>
      </c>
      <c r="Q431" s="3">
        <f>+IF(F431="Pasajero",'2.2 OPEX LAP 2023'!L432*'2.1 OPEX TUUA'!$Q$7,'2.2 OPEX LAP 2023'!L432*'2.1 OPEX TUUA'!$Q$8)</f>
        <v>0</v>
      </c>
      <c r="R431" s="3">
        <f>+IF(F431="Pasajero",'2.2 OPEX LAP 2023'!M432*'2.1 OPEX TUUA'!$R$7,'2.2 OPEX LAP 2023'!M432*'2.1 OPEX TUUA'!$R$8)</f>
        <v>0</v>
      </c>
      <c r="S431" s="3">
        <f>+IF(F431="Pasajero",'2.2 OPEX LAP 2023'!N432*'2.1 OPEX TUUA'!$S$7,'2.2 OPEX LAP 2023'!N432*'2.1 OPEX TUUA'!$S$8)</f>
        <v>0</v>
      </c>
      <c r="AA431" s="6"/>
      <c r="AB431" s="6"/>
      <c r="AC431" s="6"/>
      <c r="AD431" s="6"/>
      <c r="AE431" s="6"/>
      <c r="AF431" s="6"/>
    </row>
    <row r="432" spans="2:32" x14ac:dyDescent="0.25">
      <c r="B432" s="16">
        <v>6380000025</v>
      </c>
      <c r="C432" s="190" t="s">
        <v>177</v>
      </c>
      <c r="D432" s="190" t="s">
        <v>49</v>
      </c>
      <c r="E432" s="190" t="s">
        <v>123</v>
      </c>
      <c r="F432" s="162" t="s">
        <v>190</v>
      </c>
      <c r="G432" s="3">
        <f>+IF(F432="Pasajero",'2.2 OPEX LAP 2023'!I433*'2.1 OPEX TUUA'!$G$7,'2.2 OPEX LAP 2023'!I433*'2.1 OPEX TUUA'!$G$8)</f>
        <v>0</v>
      </c>
      <c r="H432" s="3">
        <f>+IF(F432="Pasajero",'2.2 OPEX LAP 2023'!J433*'2.1 OPEX TUUA'!$H$7,'2.2 OPEX LAP 2023'!J433*'2.1 OPEX TUUA'!$H$8)</f>
        <v>0</v>
      </c>
      <c r="I432" s="3">
        <f>+IF(F432="Pasajero",'2.2 OPEX LAP 2023'!K433*'2.1 OPEX TUUA'!$I$7,'2.2 OPEX LAP 2023'!K433*'2.1 OPEX TUUA'!$I$8)</f>
        <v>0</v>
      </c>
      <c r="J432" s="3">
        <f>+IF(F432="Pasajero",'2.2 OPEX LAP 2023'!L433*'2.1 OPEX TUUA'!$J$7,'2.2 OPEX LAP 2023'!L433*'2.1 OPEX TUUA'!$J$8)</f>
        <v>0</v>
      </c>
      <c r="K432" s="3">
        <f>+IF(F432="Pasajero",'2.2 OPEX LAP 2023'!M433*'2.1 OPEX TUUA'!$K$7,'2.2 OPEX LAP 2023'!M433*'2.1 OPEX TUUA'!$K$8)</f>
        <v>0</v>
      </c>
      <c r="L432" s="3">
        <f>+IF(F432="Pasajero",'2.2 OPEX LAP 2023'!N433*'2.1 OPEX TUUA'!$L$7,'2.2 OPEX LAP 2023'!N433*'2.1 OPEX TUUA'!$L$8)</f>
        <v>0</v>
      </c>
      <c r="M432" s="3"/>
      <c r="N432" s="3">
        <f>+IF(F432="Pasajero",'2.2 OPEX LAP 2023'!I433*'2.1 OPEX TUUA'!$N$7,'2.2 OPEX LAP 2023'!I433*'2.1 OPEX TUUA'!$N$8)</f>
        <v>0</v>
      </c>
      <c r="O432" s="3">
        <f>+IF(F432="Pasajero",'2.2 OPEX LAP 2023'!J433*'2.1 OPEX TUUA'!$O$7,'2.2 OPEX LAP 2023'!J433*'2.1 OPEX TUUA'!$O$8)</f>
        <v>0</v>
      </c>
      <c r="P432" s="3">
        <f>+IF(F432="Pasajero",'2.2 OPEX LAP 2023'!K433*'2.1 OPEX TUUA'!$P$7,'2.2 OPEX LAP 2023'!K433*'2.1 OPEX TUUA'!$P$8)</f>
        <v>0</v>
      </c>
      <c r="Q432" s="3">
        <f>+IF(F432="Pasajero",'2.2 OPEX LAP 2023'!L433*'2.1 OPEX TUUA'!$Q$7,'2.2 OPEX LAP 2023'!L433*'2.1 OPEX TUUA'!$Q$8)</f>
        <v>0</v>
      </c>
      <c r="R432" s="3">
        <f>+IF(F432="Pasajero",'2.2 OPEX LAP 2023'!M433*'2.1 OPEX TUUA'!$R$7,'2.2 OPEX LAP 2023'!M433*'2.1 OPEX TUUA'!$R$8)</f>
        <v>0</v>
      </c>
      <c r="S432" s="3">
        <f>+IF(F432="Pasajero",'2.2 OPEX LAP 2023'!N433*'2.1 OPEX TUUA'!$S$7,'2.2 OPEX LAP 2023'!N433*'2.1 OPEX TUUA'!$S$8)</f>
        <v>0</v>
      </c>
      <c r="AA432" s="6"/>
      <c r="AB432" s="6"/>
      <c r="AC432" s="6"/>
      <c r="AD432" s="6"/>
      <c r="AE432" s="6"/>
      <c r="AF432" s="6"/>
    </row>
    <row r="433" spans="2:32" x14ac:dyDescent="0.25">
      <c r="B433" s="16">
        <v>6380000026</v>
      </c>
      <c r="C433" s="190" t="s">
        <v>177</v>
      </c>
      <c r="D433" s="190" t="s">
        <v>49</v>
      </c>
      <c r="E433" s="190" t="s">
        <v>124</v>
      </c>
      <c r="F433" s="162" t="s">
        <v>190</v>
      </c>
      <c r="G433" s="3">
        <f>+IF(F433="Pasajero",'2.2 OPEX LAP 2023'!I434*'2.1 OPEX TUUA'!$G$7,'2.2 OPEX LAP 2023'!I434*'2.1 OPEX TUUA'!$G$8)</f>
        <v>0</v>
      </c>
      <c r="H433" s="3">
        <f>+IF(F433="Pasajero",'2.2 OPEX LAP 2023'!J434*'2.1 OPEX TUUA'!$H$7,'2.2 OPEX LAP 2023'!J434*'2.1 OPEX TUUA'!$H$8)</f>
        <v>0</v>
      </c>
      <c r="I433" s="3">
        <f>+IF(F433="Pasajero",'2.2 OPEX LAP 2023'!K434*'2.1 OPEX TUUA'!$I$7,'2.2 OPEX LAP 2023'!K434*'2.1 OPEX TUUA'!$I$8)</f>
        <v>0</v>
      </c>
      <c r="J433" s="3">
        <f>+IF(F433="Pasajero",'2.2 OPEX LAP 2023'!L434*'2.1 OPEX TUUA'!$J$7,'2.2 OPEX LAP 2023'!L434*'2.1 OPEX TUUA'!$J$8)</f>
        <v>0</v>
      </c>
      <c r="K433" s="3">
        <f>+IF(F433="Pasajero",'2.2 OPEX LAP 2023'!M434*'2.1 OPEX TUUA'!$K$7,'2.2 OPEX LAP 2023'!M434*'2.1 OPEX TUUA'!$K$8)</f>
        <v>0</v>
      </c>
      <c r="L433" s="3">
        <f>+IF(F433="Pasajero",'2.2 OPEX LAP 2023'!N434*'2.1 OPEX TUUA'!$L$7,'2.2 OPEX LAP 2023'!N434*'2.1 OPEX TUUA'!$L$8)</f>
        <v>0</v>
      </c>
      <c r="M433" s="3"/>
      <c r="N433" s="3">
        <f>+IF(F433="Pasajero",'2.2 OPEX LAP 2023'!I434*'2.1 OPEX TUUA'!$N$7,'2.2 OPEX LAP 2023'!I434*'2.1 OPEX TUUA'!$N$8)</f>
        <v>0</v>
      </c>
      <c r="O433" s="3">
        <f>+IF(F433="Pasajero",'2.2 OPEX LAP 2023'!J434*'2.1 OPEX TUUA'!$O$7,'2.2 OPEX LAP 2023'!J434*'2.1 OPEX TUUA'!$O$8)</f>
        <v>0</v>
      </c>
      <c r="P433" s="3">
        <f>+IF(F433="Pasajero",'2.2 OPEX LAP 2023'!K434*'2.1 OPEX TUUA'!$P$7,'2.2 OPEX LAP 2023'!K434*'2.1 OPEX TUUA'!$P$8)</f>
        <v>0</v>
      </c>
      <c r="Q433" s="3">
        <f>+IF(F433="Pasajero",'2.2 OPEX LAP 2023'!L434*'2.1 OPEX TUUA'!$Q$7,'2.2 OPEX LAP 2023'!L434*'2.1 OPEX TUUA'!$Q$8)</f>
        <v>0</v>
      </c>
      <c r="R433" s="3">
        <f>+IF(F433="Pasajero",'2.2 OPEX LAP 2023'!M434*'2.1 OPEX TUUA'!$R$7,'2.2 OPEX LAP 2023'!M434*'2.1 OPEX TUUA'!$R$8)</f>
        <v>0</v>
      </c>
      <c r="S433" s="3">
        <f>+IF(F433="Pasajero",'2.2 OPEX LAP 2023'!N434*'2.1 OPEX TUUA'!$S$7,'2.2 OPEX LAP 2023'!N434*'2.1 OPEX TUUA'!$S$8)</f>
        <v>0</v>
      </c>
      <c r="AA433" s="6"/>
      <c r="AB433" s="6"/>
      <c r="AC433" s="6"/>
      <c r="AD433" s="6"/>
      <c r="AE433" s="6"/>
      <c r="AF433" s="6"/>
    </row>
    <row r="434" spans="2:32" x14ac:dyDescent="0.25">
      <c r="B434" s="16">
        <v>6380000027</v>
      </c>
      <c r="C434" s="190" t="s">
        <v>177</v>
      </c>
      <c r="D434" s="190" t="s">
        <v>49</v>
      </c>
      <c r="E434" s="190" t="s">
        <v>125</v>
      </c>
      <c r="F434" s="162" t="s">
        <v>190</v>
      </c>
      <c r="G434" s="3">
        <f>+IF(F434="Pasajero",'2.2 OPEX LAP 2023'!I435*'2.1 OPEX TUUA'!$G$7,'2.2 OPEX LAP 2023'!I435*'2.1 OPEX TUUA'!$G$8)</f>
        <v>0</v>
      </c>
      <c r="H434" s="3">
        <f>+IF(F434="Pasajero",'2.2 OPEX LAP 2023'!J435*'2.1 OPEX TUUA'!$H$7,'2.2 OPEX LAP 2023'!J435*'2.1 OPEX TUUA'!$H$8)</f>
        <v>0</v>
      </c>
      <c r="I434" s="3">
        <f>+IF(F434="Pasajero",'2.2 OPEX LAP 2023'!K435*'2.1 OPEX TUUA'!$I$7,'2.2 OPEX LAP 2023'!K435*'2.1 OPEX TUUA'!$I$8)</f>
        <v>0</v>
      </c>
      <c r="J434" s="3">
        <f>+IF(F434="Pasajero",'2.2 OPEX LAP 2023'!L435*'2.1 OPEX TUUA'!$J$7,'2.2 OPEX LAP 2023'!L435*'2.1 OPEX TUUA'!$J$8)</f>
        <v>0</v>
      </c>
      <c r="K434" s="3">
        <f>+IF(F434="Pasajero",'2.2 OPEX LAP 2023'!M435*'2.1 OPEX TUUA'!$K$7,'2.2 OPEX LAP 2023'!M435*'2.1 OPEX TUUA'!$K$8)</f>
        <v>0</v>
      </c>
      <c r="L434" s="3">
        <f>+IF(F434="Pasajero",'2.2 OPEX LAP 2023'!N435*'2.1 OPEX TUUA'!$L$7,'2.2 OPEX LAP 2023'!N435*'2.1 OPEX TUUA'!$L$8)</f>
        <v>0</v>
      </c>
      <c r="M434" s="3"/>
      <c r="N434" s="3">
        <f>+IF(F434="Pasajero",'2.2 OPEX LAP 2023'!I435*'2.1 OPEX TUUA'!$N$7,'2.2 OPEX LAP 2023'!I435*'2.1 OPEX TUUA'!$N$8)</f>
        <v>0</v>
      </c>
      <c r="O434" s="3">
        <f>+IF(F434="Pasajero",'2.2 OPEX LAP 2023'!J435*'2.1 OPEX TUUA'!$O$7,'2.2 OPEX LAP 2023'!J435*'2.1 OPEX TUUA'!$O$8)</f>
        <v>0</v>
      </c>
      <c r="P434" s="3">
        <f>+IF(F434="Pasajero",'2.2 OPEX LAP 2023'!K435*'2.1 OPEX TUUA'!$P$7,'2.2 OPEX LAP 2023'!K435*'2.1 OPEX TUUA'!$P$8)</f>
        <v>0</v>
      </c>
      <c r="Q434" s="3">
        <f>+IF(F434="Pasajero",'2.2 OPEX LAP 2023'!L435*'2.1 OPEX TUUA'!$Q$7,'2.2 OPEX LAP 2023'!L435*'2.1 OPEX TUUA'!$Q$8)</f>
        <v>0</v>
      </c>
      <c r="R434" s="3">
        <f>+IF(F434="Pasajero",'2.2 OPEX LAP 2023'!M435*'2.1 OPEX TUUA'!$R$7,'2.2 OPEX LAP 2023'!M435*'2.1 OPEX TUUA'!$R$8)</f>
        <v>0</v>
      </c>
      <c r="S434" s="3">
        <f>+IF(F434="Pasajero",'2.2 OPEX LAP 2023'!N435*'2.1 OPEX TUUA'!$S$7,'2.2 OPEX LAP 2023'!N435*'2.1 OPEX TUUA'!$S$8)</f>
        <v>0</v>
      </c>
      <c r="AA434" s="6"/>
      <c r="AB434" s="6"/>
      <c r="AC434" s="6"/>
      <c r="AD434" s="6"/>
      <c r="AE434" s="6"/>
      <c r="AF434" s="6"/>
    </row>
    <row r="435" spans="2:32" x14ac:dyDescent="0.25">
      <c r="B435" s="16">
        <v>6380000028</v>
      </c>
      <c r="C435" s="190" t="s">
        <v>177</v>
      </c>
      <c r="D435" s="190" t="s">
        <v>49</v>
      </c>
      <c r="E435" s="190" t="s">
        <v>126</v>
      </c>
      <c r="F435" s="162" t="s">
        <v>190</v>
      </c>
      <c r="G435" s="3">
        <f>+IF(F435="Pasajero",'2.2 OPEX LAP 2023'!I436*'2.1 OPEX TUUA'!$G$7,'2.2 OPEX LAP 2023'!I436*'2.1 OPEX TUUA'!$G$8)</f>
        <v>0</v>
      </c>
      <c r="H435" s="3">
        <f>+IF(F435="Pasajero",'2.2 OPEX LAP 2023'!J436*'2.1 OPEX TUUA'!$H$7,'2.2 OPEX LAP 2023'!J436*'2.1 OPEX TUUA'!$H$8)</f>
        <v>0</v>
      </c>
      <c r="I435" s="3">
        <f>+IF(F435="Pasajero",'2.2 OPEX LAP 2023'!K436*'2.1 OPEX TUUA'!$I$7,'2.2 OPEX LAP 2023'!K436*'2.1 OPEX TUUA'!$I$8)</f>
        <v>0</v>
      </c>
      <c r="J435" s="3">
        <f>+IF(F435="Pasajero",'2.2 OPEX LAP 2023'!L436*'2.1 OPEX TUUA'!$J$7,'2.2 OPEX LAP 2023'!L436*'2.1 OPEX TUUA'!$J$8)</f>
        <v>0</v>
      </c>
      <c r="K435" s="3">
        <f>+IF(F435="Pasajero",'2.2 OPEX LAP 2023'!M436*'2.1 OPEX TUUA'!$K$7,'2.2 OPEX LAP 2023'!M436*'2.1 OPEX TUUA'!$K$8)</f>
        <v>0</v>
      </c>
      <c r="L435" s="3">
        <f>+IF(F435="Pasajero",'2.2 OPEX LAP 2023'!N436*'2.1 OPEX TUUA'!$L$7,'2.2 OPEX LAP 2023'!N436*'2.1 OPEX TUUA'!$L$8)</f>
        <v>0</v>
      </c>
      <c r="M435" s="3"/>
      <c r="N435" s="3">
        <f>+IF(F435="Pasajero",'2.2 OPEX LAP 2023'!I436*'2.1 OPEX TUUA'!$N$7,'2.2 OPEX LAP 2023'!I436*'2.1 OPEX TUUA'!$N$8)</f>
        <v>0</v>
      </c>
      <c r="O435" s="3">
        <f>+IF(F435="Pasajero",'2.2 OPEX LAP 2023'!J436*'2.1 OPEX TUUA'!$O$7,'2.2 OPEX LAP 2023'!J436*'2.1 OPEX TUUA'!$O$8)</f>
        <v>0</v>
      </c>
      <c r="P435" s="3">
        <f>+IF(F435="Pasajero",'2.2 OPEX LAP 2023'!K436*'2.1 OPEX TUUA'!$P$7,'2.2 OPEX LAP 2023'!K436*'2.1 OPEX TUUA'!$P$8)</f>
        <v>0</v>
      </c>
      <c r="Q435" s="3">
        <f>+IF(F435="Pasajero",'2.2 OPEX LAP 2023'!L436*'2.1 OPEX TUUA'!$Q$7,'2.2 OPEX LAP 2023'!L436*'2.1 OPEX TUUA'!$Q$8)</f>
        <v>0</v>
      </c>
      <c r="R435" s="3">
        <f>+IF(F435="Pasajero",'2.2 OPEX LAP 2023'!M436*'2.1 OPEX TUUA'!$R$7,'2.2 OPEX LAP 2023'!M436*'2.1 OPEX TUUA'!$R$8)</f>
        <v>0</v>
      </c>
      <c r="S435" s="3">
        <f>+IF(F435="Pasajero",'2.2 OPEX LAP 2023'!N436*'2.1 OPEX TUUA'!$S$7,'2.2 OPEX LAP 2023'!N436*'2.1 OPEX TUUA'!$S$8)</f>
        <v>0</v>
      </c>
      <c r="AA435" s="6"/>
      <c r="AB435" s="6"/>
      <c r="AC435" s="6"/>
      <c r="AD435" s="6"/>
      <c r="AE435" s="6"/>
      <c r="AF435" s="6"/>
    </row>
    <row r="436" spans="2:32" x14ac:dyDescent="0.25">
      <c r="B436" s="16">
        <v>6380000029</v>
      </c>
      <c r="C436" s="190" t="s">
        <v>177</v>
      </c>
      <c r="D436" s="190" t="s">
        <v>40</v>
      </c>
      <c r="E436" s="190" t="s">
        <v>127</v>
      </c>
      <c r="F436" s="162" t="s">
        <v>190</v>
      </c>
      <c r="G436" s="3">
        <f>+IF(F436="Pasajero",'2.2 OPEX LAP 2023'!I437*'2.1 OPEX TUUA'!$G$7,'2.2 OPEX LAP 2023'!I437*'2.1 OPEX TUUA'!$G$8)</f>
        <v>0</v>
      </c>
      <c r="H436" s="3">
        <f>+IF(F436="Pasajero",'2.2 OPEX LAP 2023'!J437*'2.1 OPEX TUUA'!$H$7,'2.2 OPEX LAP 2023'!J437*'2.1 OPEX TUUA'!$H$8)</f>
        <v>0</v>
      </c>
      <c r="I436" s="3">
        <f>+IF(F436="Pasajero",'2.2 OPEX LAP 2023'!K437*'2.1 OPEX TUUA'!$I$7,'2.2 OPEX LAP 2023'!K437*'2.1 OPEX TUUA'!$I$8)</f>
        <v>0</v>
      </c>
      <c r="J436" s="3">
        <f>+IF(F436="Pasajero",'2.2 OPEX LAP 2023'!L437*'2.1 OPEX TUUA'!$J$7,'2.2 OPEX LAP 2023'!L437*'2.1 OPEX TUUA'!$J$8)</f>
        <v>0</v>
      </c>
      <c r="K436" s="3">
        <f>+IF(F436="Pasajero",'2.2 OPEX LAP 2023'!M437*'2.1 OPEX TUUA'!$K$7,'2.2 OPEX LAP 2023'!M437*'2.1 OPEX TUUA'!$K$8)</f>
        <v>0</v>
      </c>
      <c r="L436" s="3">
        <f>+IF(F436="Pasajero",'2.2 OPEX LAP 2023'!N437*'2.1 OPEX TUUA'!$L$7,'2.2 OPEX LAP 2023'!N437*'2.1 OPEX TUUA'!$L$8)</f>
        <v>0</v>
      </c>
      <c r="M436" s="3"/>
      <c r="N436" s="3">
        <f>+IF(F436="Pasajero",'2.2 OPEX LAP 2023'!I437*'2.1 OPEX TUUA'!$N$7,'2.2 OPEX LAP 2023'!I437*'2.1 OPEX TUUA'!$N$8)</f>
        <v>0</v>
      </c>
      <c r="O436" s="3">
        <f>+IF(F436="Pasajero",'2.2 OPEX LAP 2023'!J437*'2.1 OPEX TUUA'!$O$7,'2.2 OPEX LAP 2023'!J437*'2.1 OPEX TUUA'!$O$8)</f>
        <v>0</v>
      </c>
      <c r="P436" s="3">
        <f>+IF(F436="Pasajero",'2.2 OPEX LAP 2023'!K437*'2.1 OPEX TUUA'!$P$7,'2.2 OPEX LAP 2023'!K437*'2.1 OPEX TUUA'!$P$8)</f>
        <v>0</v>
      </c>
      <c r="Q436" s="3">
        <f>+IF(F436="Pasajero",'2.2 OPEX LAP 2023'!L437*'2.1 OPEX TUUA'!$Q$7,'2.2 OPEX LAP 2023'!L437*'2.1 OPEX TUUA'!$Q$8)</f>
        <v>0</v>
      </c>
      <c r="R436" s="3">
        <f>+IF(F436="Pasajero",'2.2 OPEX LAP 2023'!M437*'2.1 OPEX TUUA'!$R$7,'2.2 OPEX LAP 2023'!M437*'2.1 OPEX TUUA'!$R$8)</f>
        <v>0</v>
      </c>
      <c r="S436" s="3">
        <f>+IF(F436="Pasajero",'2.2 OPEX LAP 2023'!N437*'2.1 OPEX TUUA'!$S$7,'2.2 OPEX LAP 2023'!N437*'2.1 OPEX TUUA'!$S$8)</f>
        <v>0</v>
      </c>
      <c r="AA436" s="6"/>
      <c r="AB436" s="6"/>
      <c r="AC436" s="6"/>
      <c r="AD436" s="6"/>
      <c r="AE436" s="6"/>
      <c r="AF436" s="6"/>
    </row>
    <row r="437" spans="2:32" x14ac:dyDescent="0.25">
      <c r="B437" s="16">
        <v>6380000030</v>
      </c>
      <c r="C437" s="190" t="s">
        <v>177</v>
      </c>
      <c r="D437" s="190" t="s">
        <v>40</v>
      </c>
      <c r="E437" s="190" t="s">
        <v>128</v>
      </c>
      <c r="F437" s="162" t="s">
        <v>190</v>
      </c>
      <c r="G437" s="3">
        <f>+IF(F437="Pasajero",'2.2 OPEX LAP 2023'!I438*'2.1 OPEX TUUA'!$G$7,'2.2 OPEX LAP 2023'!I438*'2.1 OPEX TUUA'!$G$8)</f>
        <v>84091.948565332801</v>
      </c>
      <c r="H437" s="3">
        <f>+IF(F437="Pasajero",'2.2 OPEX LAP 2023'!J438*'2.1 OPEX TUUA'!$H$7,'2.2 OPEX LAP 2023'!J438*'2.1 OPEX TUUA'!$H$8)</f>
        <v>96464.828568476587</v>
      </c>
      <c r="I437" s="3">
        <f>+IF(F437="Pasajero",'2.2 OPEX LAP 2023'!K438*'2.1 OPEX TUUA'!$I$7,'2.2 OPEX LAP 2023'!K438*'2.1 OPEX TUUA'!$I$8)</f>
        <v>106643.28196334958</v>
      </c>
      <c r="J437" s="3">
        <f>+IF(F437="Pasajero",'2.2 OPEX LAP 2023'!L438*'2.1 OPEX TUUA'!$J$7,'2.2 OPEX LAP 2023'!L438*'2.1 OPEX TUUA'!$J$8)</f>
        <v>111134.95411071158</v>
      </c>
      <c r="K437" s="3">
        <f>+IF(F437="Pasajero",'2.2 OPEX LAP 2023'!M438*'2.1 OPEX TUUA'!$K$7,'2.2 OPEX LAP 2023'!M438*'2.1 OPEX TUUA'!$K$8)</f>
        <v>113621.04563140165</v>
      </c>
      <c r="L437" s="3">
        <f>+IF(F437="Pasajero",'2.2 OPEX LAP 2023'!N438*'2.1 OPEX TUUA'!$L$7,'2.2 OPEX LAP 2023'!N438*'2.1 OPEX TUUA'!$L$8)</f>
        <v>116655.4776613468</v>
      </c>
      <c r="M437" s="3"/>
      <c r="N437" s="3">
        <f>+IF(F437="Pasajero",'2.2 OPEX LAP 2023'!I438*'2.1 OPEX TUUA'!$N$7,'2.2 OPEX LAP 2023'!I438*'2.1 OPEX TUUA'!$N$8)</f>
        <v>41475.597426107597</v>
      </c>
      <c r="O437" s="3">
        <f>+IF(F437="Pasajero",'2.2 OPEX LAP 2023'!J438*'2.1 OPEX TUUA'!$O$7,'2.2 OPEX LAP 2023'!J438*'2.1 OPEX TUUA'!$O$8)</f>
        <v>39952.184578569846</v>
      </c>
      <c r="P437" s="3">
        <f>+IF(F437="Pasajero",'2.2 OPEX LAP 2023'!K438*'2.1 OPEX TUUA'!$P$7,'2.2 OPEX LAP 2023'!K438*'2.1 OPEX TUUA'!$P$8)</f>
        <v>39045.163663351617</v>
      </c>
      <c r="Q437" s="3">
        <f>+IF(F437="Pasajero",'2.2 OPEX LAP 2023'!L438*'2.1 OPEX TUUA'!$Q$7,'2.2 OPEX LAP 2023'!L438*'2.1 OPEX TUUA'!$Q$8)</f>
        <v>38153.841181009237</v>
      </c>
      <c r="R437" s="3">
        <f>+IF(F437="Pasajero",'2.2 OPEX LAP 2023'!M438*'2.1 OPEX TUUA'!$R$7,'2.2 OPEX LAP 2023'!M438*'2.1 OPEX TUUA'!$R$8)</f>
        <v>37670.554161192274</v>
      </c>
      <c r="S437" s="3">
        <f>+IF(F437="Pasajero",'2.2 OPEX LAP 2023'!N438*'2.1 OPEX TUUA'!$S$7,'2.2 OPEX LAP 2023'!N438*'2.1 OPEX TUUA'!$S$8)</f>
        <v>37077.26843920198</v>
      </c>
      <c r="AA437" s="6"/>
      <c r="AB437" s="6"/>
      <c r="AC437" s="6"/>
      <c r="AD437" s="6"/>
      <c r="AE437" s="6"/>
      <c r="AF437" s="6"/>
    </row>
    <row r="438" spans="2:32" x14ac:dyDescent="0.25">
      <c r="B438" s="16">
        <v>6380000031</v>
      </c>
      <c r="C438" s="190" t="s">
        <v>177</v>
      </c>
      <c r="D438" s="190" t="s">
        <v>49</v>
      </c>
      <c r="E438" s="190" t="s">
        <v>129</v>
      </c>
      <c r="F438" s="162" t="s">
        <v>190</v>
      </c>
      <c r="G438" s="3">
        <f>+IF(F438="Pasajero",'2.2 OPEX LAP 2023'!I439*'2.1 OPEX TUUA'!$G$7,'2.2 OPEX LAP 2023'!I439*'2.1 OPEX TUUA'!$G$8)</f>
        <v>0</v>
      </c>
      <c r="H438" s="3">
        <f>+IF(F438="Pasajero",'2.2 OPEX LAP 2023'!J439*'2.1 OPEX TUUA'!$H$7,'2.2 OPEX LAP 2023'!J439*'2.1 OPEX TUUA'!$H$8)</f>
        <v>0</v>
      </c>
      <c r="I438" s="3">
        <f>+IF(F438="Pasajero",'2.2 OPEX LAP 2023'!K439*'2.1 OPEX TUUA'!$I$7,'2.2 OPEX LAP 2023'!K439*'2.1 OPEX TUUA'!$I$8)</f>
        <v>0</v>
      </c>
      <c r="J438" s="3">
        <f>+IF(F438="Pasajero",'2.2 OPEX LAP 2023'!L439*'2.1 OPEX TUUA'!$J$7,'2.2 OPEX LAP 2023'!L439*'2.1 OPEX TUUA'!$J$8)</f>
        <v>0</v>
      </c>
      <c r="K438" s="3">
        <f>+IF(F438="Pasajero",'2.2 OPEX LAP 2023'!M439*'2.1 OPEX TUUA'!$K$7,'2.2 OPEX LAP 2023'!M439*'2.1 OPEX TUUA'!$K$8)</f>
        <v>0</v>
      </c>
      <c r="L438" s="3">
        <f>+IF(F438="Pasajero",'2.2 OPEX LAP 2023'!N439*'2.1 OPEX TUUA'!$L$7,'2.2 OPEX LAP 2023'!N439*'2.1 OPEX TUUA'!$L$8)</f>
        <v>0</v>
      </c>
      <c r="M438" s="3"/>
      <c r="N438" s="3">
        <f>+IF(F438="Pasajero",'2.2 OPEX LAP 2023'!I439*'2.1 OPEX TUUA'!$N$7,'2.2 OPEX LAP 2023'!I439*'2.1 OPEX TUUA'!$N$8)</f>
        <v>0</v>
      </c>
      <c r="O438" s="3">
        <f>+IF(F438="Pasajero",'2.2 OPEX LAP 2023'!J439*'2.1 OPEX TUUA'!$O$7,'2.2 OPEX LAP 2023'!J439*'2.1 OPEX TUUA'!$O$8)</f>
        <v>0</v>
      </c>
      <c r="P438" s="3">
        <f>+IF(F438="Pasajero",'2.2 OPEX LAP 2023'!K439*'2.1 OPEX TUUA'!$P$7,'2.2 OPEX LAP 2023'!K439*'2.1 OPEX TUUA'!$P$8)</f>
        <v>0</v>
      </c>
      <c r="Q438" s="3">
        <f>+IF(F438="Pasajero",'2.2 OPEX LAP 2023'!L439*'2.1 OPEX TUUA'!$Q$7,'2.2 OPEX LAP 2023'!L439*'2.1 OPEX TUUA'!$Q$8)</f>
        <v>0</v>
      </c>
      <c r="R438" s="3">
        <f>+IF(F438="Pasajero",'2.2 OPEX LAP 2023'!M439*'2.1 OPEX TUUA'!$R$7,'2.2 OPEX LAP 2023'!M439*'2.1 OPEX TUUA'!$R$8)</f>
        <v>0</v>
      </c>
      <c r="S438" s="3">
        <f>+IF(F438="Pasajero",'2.2 OPEX LAP 2023'!N439*'2.1 OPEX TUUA'!$S$7,'2.2 OPEX LAP 2023'!N439*'2.1 OPEX TUUA'!$S$8)</f>
        <v>0</v>
      </c>
      <c r="AA438" s="6"/>
      <c r="AB438" s="6"/>
      <c r="AC438" s="6"/>
      <c r="AD438" s="6"/>
      <c r="AE438" s="6"/>
      <c r="AF438" s="6"/>
    </row>
    <row r="439" spans="2:32" x14ac:dyDescent="0.25">
      <c r="B439" s="16">
        <v>6381000001</v>
      </c>
      <c r="C439" s="190" t="s">
        <v>177</v>
      </c>
      <c r="D439" s="190" t="s">
        <v>49</v>
      </c>
      <c r="E439" s="190" t="s">
        <v>130</v>
      </c>
      <c r="F439" s="162" t="s">
        <v>190</v>
      </c>
      <c r="G439" s="3">
        <f>+IF(F439="Pasajero",'2.2 OPEX LAP 2023'!I440*'2.1 OPEX TUUA'!$G$7,'2.2 OPEX LAP 2023'!I440*'2.1 OPEX TUUA'!$G$8)</f>
        <v>0</v>
      </c>
      <c r="H439" s="3">
        <f>+IF(F439="Pasajero",'2.2 OPEX LAP 2023'!J440*'2.1 OPEX TUUA'!$H$7,'2.2 OPEX LAP 2023'!J440*'2.1 OPEX TUUA'!$H$8)</f>
        <v>0</v>
      </c>
      <c r="I439" s="3">
        <f>+IF(F439="Pasajero",'2.2 OPEX LAP 2023'!K440*'2.1 OPEX TUUA'!$I$7,'2.2 OPEX LAP 2023'!K440*'2.1 OPEX TUUA'!$I$8)</f>
        <v>0</v>
      </c>
      <c r="J439" s="3">
        <f>+IF(F439="Pasajero",'2.2 OPEX LAP 2023'!L440*'2.1 OPEX TUUA'!$J$7,'2.2 OPEX LAP 2023'!L440*'2.1 OPEX TUUA'!$J$8)</f>
        <v>0</v>
      </c>
      <c r="K439" s="3">
        <f>+IF(F439="Pasajero",'2.2 OPEX LAP 2023'!M440*'2.1 OPEX TUUA'!$K$7,'2.2 OPEX LAP 2023'!M440*'2.1 OPEX TUUA'!$K$8)</f>
        <v>0</v>
      </c>
      <c r="L439" s="3">
        <f>+IF(F439="Pasajero",'2.2 OPEX LAP 2023'!N440*'2.1 OPEX TUUA'!$L$7,'2.2 OPEX LAP 2023'!N440*'2.1 OPEX TUUA'!$L$8)</f>
        <v>0</v>
      </c>
      <c r="M439" s="3"/>
      <c r="N439" s="3">
        <f>+IF(F439="Pasajero",'2.2 OPEX LAP 2023'!I440*'2.1 OPEX TUUA'!$N$7,'2.2 OPEX LAP 2023'!I440*'2.1 OPEX TUUA'!$N$8)</f>
        <v>0</v>
      </c>
      <c r="O439" s="3">
        <f>+IF(F439="Pasajero",'2.2 OPEX LAP 2023'!J440*'2.1 OPEX TUUA'!$O$7,'2.2 OPEX LAP 2023'!J440*'2.1 OPEX TUUA'!$O$8)</f>
        <v>0</v>
      </c>
      <c r="P439" s="3">
        <f>+IF(F439="Pasajero",'2.2 OPEX LAP 2023'!K440*'2.1 OPEX TUUA'!$P$7,'2.2 OPEX LAP 2023'!K440*'2.1 OPEX TUUA'!$P$8)</f>
        <v>0</v>
      </c>
      <c r="Q439" s="3">
        <f>+IF(F439="Pasajero",'2.2 OPEX LAP 2023'!L440*'2.1 OPEX TUUA'!$Q$7,'2.2 OPEX LAP 2023'!L440*'2.1 OPEX TUUA'!$Q$8)</f>
        <v>0</v>
      </c>
      <c r="R439" s="3">
        <f>+IF(F439="Pasajero",'2.2 OPEX LAP 2023'!M440*'2.1 OPEX TUUA'!$R$7,'2.2 OPEX LAP 2023'!M440*'2.1 OPEX TUUA'!$R$8)</f>
        <v>0</v>
      </c>
      <c r="S439" s="3">
        <f>+IF(F439="Pasajero",'2.2 OPEX LAP 2023'!N440*'2.1 OPEX TUUA'!$S$7,'2.2 OPEX LAP 2023'!N440*'2.1 OPEX TUUA'!$S$8)</f>
        <v>0</v>
      </c>
      <c r="AA439" s="6"/>
      <c r="AB439" s="6"/>
      <c r="AC439" s="6"/>
      <c r="AD439" s="6"/>
      <c r="AE439" s="6"/>
      <c r="AF439" s="6"/>
    </row>
    <row r="440" spans="2:32" x14ac:dyDescent="0.25">
      <c r="B440" s="16">
        <v>6381000002</v>
      </c>
      <c r="C440" s="190" t="s">
        <v>177</v>
      </c>
      <c r="D440" s="190" t="s">
        <v>49</v>
      </c>
      <c r="E440" s="190" t="s">
        <v>131</v>
      </c>
      <c r="F440" s="162" t="s">
        <v>190</v>
      </c>
      <c r="G440" s="3">
        <f>+IF(F440="Pasajero",'2.2 OPEX LAP 2023'!I441*'2.1 OPEX TUUA'!$G$7,'2.2 OPEX LAP 2023'!I441*'2.1 OPEX TUUA'!$G$8)</f>
        <v>1671.3693081163096</v>
      </c>
      <c r="H440" s="3">
        <f>+IF(F440="Pasajero",'2.2 OPEX LAP 2023'!J441*'2.1 OPEX TUUA'!$H$7,'2.2 OPEX LAP 2023'!J441*'2.1 OPEX TUUA'!$H$8)</f>
        <v>1917.2864528973475</v>
      </c>
      <c r="I440" s="3">
        <f>+IF(F440="Pasajero",'2.2 OPEX LAP 2023'!K441*'2.1 OPEX TUUA'!$I$7,'2.2 OPEX LAP 2023'!K441*'2.1 OPEX TUUA'!$I$8)</f>
        <v>2119.5882772517448</v>
      </c>
      <c r="J440" s="3">
        <f>+IF(F440="Pasajero",'2.2 OPEX LAP 2023'!L441*'2.1 OPEX TUUA'!$J$7,'2.2 OPEX LAP 2023'!L441*'2.1 OPEX TUUA'!$J$8)</f>
        <v>2208.8624955009413</v>
      </c>
      <c r="K440" s="3">
        <f>+IF(F440="Pasajero",'2.2 OPEX LAP 2023'!M441*'2.1 OPEX TUUA'!$K$7,'2.2 OPEX LAP 2023'!M441*'2.1 OPEX TUUA'!$K$8)</f>
        <v>2258.2748011466042</v>
      </c>
      <c r="L440" s="3">
        <f>+IF(F440="Pasajero",'2.2 OPEX LAP 2023'!N441*'2.1 OPEX TUUA'!$L$7,'2.2 OPEX LAP 2023'!N441*'2.1 OPEX TUUA'!$L$8)</f>
        <v>2318.5856471781376</v>
      </c>
      <c r="M440" s="3"/>
      <c r="N440" s="3">
        <f>+IF(F440="Pasajero",'2.2 OPEX LAP 2023'!I441*'2.1 OPEX TUUA'!$N$7,'2.2 OPEX LAP 2023'!I441*'2.1 OPEX TUUA'!$N$8)</f>
        <v>824.34813030794578</v>
      </c>
      <c r="O440" s="3">
        <f>+IF(F440="Pasajero",'2.2 OPEX LAP 2023'!J441*'2.1 OPEX TUUA'!$O$7,'2.2 OPEX LAP 2023'!J441*'2.1 OPEX TUUA'!$O$8)</f>
        <v>794.06954216241752</v>
      </c>
      <c r="P440" s="3">
        <f>+IF(F440="Pasajero",'2.2 OPEX LAP 2023'!K441*'2.1 OPEX TUUA'!$P$7,'2.2 OPEX LAP 2023'!K441*'2.1 OPEX TUUA'!$P$8)</f>
        <v>776.04205028740716</v>
      </c>
      <c r="Q440" s="3">
        <f>+IF(F440="Pasajero",'2.2 OPEX LAP 2023'!L441*'2.1 OPEX TUUA'!$Q$7,'2.2 OPEX LAP 2023'!L441*'2.1 OPEX TUUA'!$Q$8)</f>
        <v>758.32657257477342</v>
      </c>
      <c r="R440" s="3">
        <f>+IF(F440="Pasajero",'2.2 OPEX LAP 2023'!M441*'2.1 OPEX TUUA'!$R$7,'2.2 OPEX LAP 2023'!M441*'2.1 OPEX TUUA'!$R$8)</f>
        <v>748.72100265144718</v>
      </c>
      <c r="S440" s="3">
        <f>+IF(F440="Pasajero",'2.2 OPEX LAP 2023'!N441*'2.1 OPEX TUUA'!$S$7,'2.2 OPEX LAP 2023'!N441*'2.1 OPEX TUUA'!$S$8)</f>
        <v>736.92915380508805</v>
      </c>
      <c r="AA440" s="6"/>
      <c r="AB440" s="6"/>
      <c r="AC440" s="6"/>
      <c r="AD440" s="6"/>
      <c r="AE440" s="6"/>
      <c r="AF440" s="6"/>
    </row>
    <row r="441" spans="2:32" x14ac:dyDescent="0.25">
      <c r="B441" s="16">
        <v>6381000003</v>
      </c>
      <c r="C441" s="190" t="s">
        <v>177</v>
      </c>
      <c r="D441" s="190" t="s">
        <v>49</v>
      </c>
      <c r="E441" s="190" t="s">
        <v>132</v>
      </c>
      <c r="F441" s="162" t="s">
        <v>190</v>
      </c>
      <c r="G441" s="3">
        <f>+IF(F441="Pasajero",'2.2 OPEX LAP 2023'!I442*'2.1 OPEX TUUA'!$G$7,'2.2 OPEX LAP 2023'!I442*'2.1 OPEX TUUA'!$G$8)</f>
        <v>0</v>
      </c>
      <c r="H441" s="3">
        <f>+IF(F441="Pasajero",'2.2 OPEX LAP 2023'!J442*'2.1 OPEX TUUA'!$H$7,'2.2 OPEX LAP 2023'!J442*'2.1 OPEX TUUA'!$H$8)</f>
        <v>0</v>
      </c>
      <c r="I441" s="3">
        <f>+IF(F441="Pasajero",'2.2 OPEX LAP 2023'!K442*'2.1 OPEX TUUA'!$I$7,'2.2 OPEX LAP 2023'!K442*'2.1 OPEX TUUA'!$I$8)</f>
        <v>0</v>
      </c>
      <c r="J441" s="3">
        <f>+IF(F441="Pasajero",'2.2 OPEX LAP 2023'!L442*'2.1 OPEX TUUA'!$J$7,'2.2 OPEX LAP 2023'!L442*'2.1 OPEX TUUA'!$J$8)</f>
        <v>0</v>
      </c>
      <c r="K441" s="3">
        <f>+IF(F441="Pasajero",'2.2 OPEX LAP 2023'!M442*'2.1 OPEX TUUA'!$K$7,'2.2 OPEX LAP 2023'!M442*'2.1 OPEX TUUA'!$K$8)</f>
        <v>0</v>
      </c>
      <c r="L441" s="3">
        <f>+IF(F441="Pasajero",'2.2 OPEX LAP 2023'!N442*'2.1 OPEX TUUA'!$L$7,'2.2 OPEX LAP 2023'!N442*'2.1 OPEX TUUA'!$L$8)</f>
        <v>0</v>
      </c>
      <c r="M441" s="3"/>
      <c r="N441" s="3">
        <f>+IF(F441="Pasajero",'2.2 OPEX LAP 2023'!I442*'2.1 OPEX TUUA'!$N$7,'2.2 OPEX LAP 2023'!I442*'2.1 OPEX TUUA'!$N$8)</f>
        <v>0</v>
      </c>
      <c r="O441" s="3">
        <f>+IF(F441="Pasajero",'2.2 OPEX LAP 2023'!J442*'2.1 OPEX TUUA'!$O$7,'2.2 OPEX LAP 2023'!J442*'2.1 OPEX TUUA'!$O$8)</f>
        <v>0</v>
      </c>
      <c r="P441" s="3">
        <f>+IF(F441="Pasajero",'2.2 OPEX LAP 2023'!K442*'2.1 OPEX TUUA'!$P$7,'2.2 OPEX LAP 2023'!K442*'2.1 OPEX TUUA'!$P$8)</f>
        <v>0</v>
      </c>
      <c r="Q441" s="3">
        <f>+IF(F441="Pasajero",'2.2 OPEX LAP 2023'!L442*'2.1 OPEX TUUA'!$Q$7,'2.2 OPEX LAP 2023'!L442*'2.1 OPEX TUUA'!$Q$8)</f>
        <v>0</v>
      </c>
      <c r="R441" s="3">
        <f>+IF(F441="Pasajero",'2.2 OPEX LAP 2023'!M442*'2.1 OPEX TUUA'!$R$7,'2.2 OPEX LAP 2023'!M442*'2.1 OPEX TUUA'!$R$8)</f>
        <v>0</v>
      </c>
      <c r="S441" s="3">
        <f>+IF(F441="Pasajero",'2.2 OPEX LAP 2023'!N442*'2.1 OPEX TUUA'!$S$7,'2.2 OPEX LAP 2023'!N442*'2.1 OPEX TUUA'!$S$8)</f>
        <v>0</v>
      </c>
      <c r="AA441" s="6"/>
      <c r="AB441" s="6"/>
      <c r="AC441" s="6"/>
      <c r="AD441" s="6"/>
      <c r="AE441" s="6"/>
      <c r="AF441" s="6"/>
    </row>
    <row r="442" spans="2:32" x14ac:dyDescent="0.25">
      <c r="B442" s="16">
        <v>6381000004</v>
      </c>
      <c r="C442" s="190" t="s">
        <v>177</v>
      </c>
      <c r="D442" s="190" t="s">
        <v>40</v>
      </c>
      <c r="E442" s="190" t="s">
        <v>133</v>
      </c>
      <c r="F442" s="162" t="s">
        <v>190</v>
      </c>
      <c r="G442" s="3">
        <f>+IF(F442="Pasajero",'2.2 OPEX LAP 2023'!I443*'2.1 OPEX TUUA'!$G$7,'2.2 OPEX LAP 2023'!I443*'2.1 OPEX TUUA'!$G$8)</f>
        <v>0</v>
      </c>
      <c r="H442" s="3">
        <f>+IF(F442="Pasajero",'2.2 OPEX LAP 2023'!J443*'2.1 OPEX TUUA'!$H$7,'2.2 OPEX LAP 2023'!J443*'2.1 OPEX TUUA'!$H$8)</f>
        <v>0</v>
      </c>
      <c r="I442" s="3">
        <f>+IF(F442="Pasajero",'2.2 OPEX LAP 2023'!K443*'2.1 OPEX TUUA'!$I$7,'2.2 OPEX LAP 2023'!K443*'2.1 OPEX TUUA'!$I$8)</f>
        <v>0</v>
      </c>
      <c r="J442" s="3">
        <f>+IF(F442="Pasajero",'2.2 OPEX LAP 2023'!L443*'2.1 OPEX TUUA'!$J$7,'2.2 OPEX LAP 2023'!L443*'2.1 OPEX TUUA'!$J$8)</f>
        <v>0</v>
      </c>
      <c r="K442" s="3">
        <f>+IF(F442="Pasajero",'2.2 OPEX LAP 2023'!M443*'2.1 OPEX TUUA'!$K$7,'2.2 OPEX LAP 2023'!M443*'2.1 OPEX TUUA'!$K$8)</f>
        <v>0</v>
      </c>
      <c r="L442" s="3">
        <f>+IF(F442="Pasajero",'2.2 OPEX LAP 2023'!N443*'2.1 OPEX TUUA'!$L$7,'2.2 OPEX LAP 2023'!N443*'2.1 OPEX TUUA'!$L$8)</f>
        <v>0</v>
      </c>
      <c r="M442" s="3"/>
      <c r="N442" s="3">
        <f>+IF(F442="Pasajero",'2.2 OPEX LAP 2023'!I443*'2.1 OPEX TUUA'!$N$7,'2.2 OPEX LAP 2023'!I443*'2.1 OPEX TUUA'!$N$8)</f>
        <v>0</v>
      </c>
      <c r="O442" s="3">
        <f>+IF(F442="Pasajero",'2.2 OPEX LAP 2023'!J443*'2.1 OPEX TUUA'!$O$7,'2.2 OPEX LAP 2023'!J443*'2.1 OPEX TUUA'!$O$8)</f>
        <v>0</v>
      </c>
      <c r="P442" s="3">
        <f>+IF(F442="Pasajero",'2.2 OPEX LAP 2023'!K443*'2.1 OPEX TUUA'!$P$7,'2.2 OPEX LAP 2023'!K443*'2.1 OPEX TUUA'!$P$8)</f>
        <v>0</v>
      </c>
      <c r="Q442" s="3">
        <f>+IF(F442="Pasajero",'2.2 OPEX LAP 2023'!L443*'2.1 OPEX TUUA'!$Q$7,'2.2 OPEX LAP 2023'!L443*'2.1 OPEX TUUA'!$Q$8)</f>
        <v>0</v>
      </c>
      <c r="R442" s="3">
        <f>+IF(F442="Pasajero",'2.2 OPEX LAP 2023'!M443*'2.1 OPEX TUUA'!$R$7,'2.2 OPEX LAP 2023'!M443*'2.1 OPEX TUUA'!$R$8)</f>
        <v>0</v>
      </c>
      <c r="S442" s="3">
        <f>+IF(F442="Pasajero",'2.2 OPEX LAP 2023'!N443*'2.1 OPEX TUUA'!$S$7,'2.2 OPEX LAP 2023'!N443*'2.1 OPEX TUUA'!$S$8)</f>
        <v>0</v>
      </c>
      <c r="AA442" s="6"/>
      <c r="AB442" s="6"/>
      <c r="AC442" s="6"/>
      <c r="AD442" s="6"/>
      <c r="AE442" s="6"/>
      <c r="AF442" s="6"/>
    </row>
    <row r="443" spans="2:32" x14ac:dyDescent="0.25">
      <c r="B443" s="16">
        <v>6381000005</v>
      </c>
      <c r="C443" s="190" t="s">
        <v>177</v>
      </c>
      <c r="D443" s="190" t="s">
        <v>49</v>
      </c>
      <c r="E443" s="190" t="s">
        <v>134</v>
      </c>
      <c r="F443" s="162" t="s">
        <v>190</v>
      </c>
      <c r="G443" s="3">
        <f>+IF(F443="Pasajero",'2.2 OPEX LAP 2023'!I444*'2.1 OPEX TUUA'!$G$7,'2.2 OPEX LAP 2023'!I444*'2.1 OPEX TUUA'!$G$8)</f>
        <v>0</v>
      </c>
      <c r="H443" s="3">
        <f>+IF(F443="Pasajero",'2.2 OPEX LAP 2023'!J444*'2.1 OPEX TUUA'!$H$7,'2.2 OPEX LAP 2023'!J444*'2.1 OPEX TUUA'!$H$8)</f>
        <v>0</v>
      </c>
      <c r="I443" s="3">
        <f>+IF(F443="Pasajero",'2.2 OPEX LAP 2023'!K444*'2.1 OPEX TUUA'!$I$7,'2.2 OPEX LAP 2023'!K444*'2.1 OPEX TUUA'!$I$8)</f>
        <v>0</v>
      </c>
      <c r="J443" s="3">
        <f>+IF(F443="Pasajero",'2.2 OPEX LAP 2023'!L444*'2.1 OPEX TUUA'!$J$7,'2.2 OPEX LAP 2023'!L444*'2.1 OPEX TUUA'!$J$8)</f>
        <v>0</v>
      </c>
      <c r="K443" s="3">
        <f>+IF(F443="Pasajero",'2.2 OPEX LAP 2023'!M444*'2.1 OPEX TUUA'!$K$7,'2.2 OPEX LAP 2023'!M444*'2.1 OPEX TUUA'!$K$8)</f>
        <v>0</v>
      </c>
      <c r="L443" s="3">
        <f>+IF(F443="Pasajero",'2.2 OPEX LAP 2023'!N444*'2.1 OPEX TUUA'!$L$7,'2.2 OPEX LAP 2023'!N444*'2.1 OPEX TUUA'!$L$8)</f>
        <v>0</v>
      </c>
      <c r="M443" s="3"/>
      <c r="N443" s="3">
        <f>+IF(F443="Pasajero",'2.2 OPEX LAP 2023'!I444*'2.1 OPEX TUUA'!$N$7,'2.2 OPEX LAP 2023'!I444*'2.1 OPEX TUUA'!$N$8)</f>
        <v>0</v>
      </c>
      <c r="O443" s="3">
        <f>+IF(F443="Pasajero",'2.2 OPEX LAP 2023'!J444*'2.1 OPEX TUUA'!$O$7,'2.2 OPEX LAP 2023'!J444*'2.1 OPEX TUUA'!$O$8)</f>
        <v>0</v>
      </c>
      <c r="P443" s="3">
        <f>+IF(F443="Pasajero",'2.2 OPEX LAP 2023'!K444*'2.1 OPEX TUUA'!$P$7,'2.2 OPEX LAP 2023'!K444*'2.1 OPEX TUUA'!$P$8)</f>
        <v>0</v>
      </c>
      <c r="Q443" s="3">
        <f>+IF(F443="Pasajero",'2.2 OPEX LAP 2023'!L444*'2.1 OPEX TUUA'!$Q$7,'2.2 OPEX LAP 2023'!L444*'2.1 OPEX TUUA'!$Q$8)</f>
        <v>0</v>
      </c>
      <c r="R443" s="3">
        <f>+IF(F443="Pasajero",'2.2 OPEX LAP 2023'!M444*'2.1 OPEX TUUA'!$R$7,'2.2 OPEX LAP 2023'!M444*'2.1 OPEX TUUA'!$R$8)</f>
        <v>0</v>
      </c>
      <c r="S443" s="3">
        <f>+IF(F443="Pasajero",'2.2 OPEX LAP 2023'!N444*'2.1 OPEX TUUA'!$S$7,'2.2 OPEX LAP 2023'!N444*'2.1 OPEX TUUA'!$S$8)</f>
        <v>0</v>
      </c>
      <c r="AA443" s="6"/>
      <c r="AB443" s="6"/>
      <c r="AC443" s="6"/>
      <c r="AD443" s="6"/>
      <c r="AE443" s="6"/>
      <c r="AF443" s="6"/>
    </row>
    <row r="444" spans="2:32" x14ac:dyDescent="0.25">
      <c r="B444" s="16">
        <v>6381000006</v>
      </c>
      <c r="C444" s="190" t="s">
        <v>177</v>
      </c>
      <c r="D444" s="190" t="s">
        <v>49</v>
      </c>
      <c r="E444" s="190" t="s">
        <v>135</v>
      </c>
      <c r="F444" s="162" t="s">
        <v>190</v>
      </c>
      <c r="G444" s="3">
        <f>+IF(F444="Pasajero",'2.2 OPEX LAP 2023'!I445*'2.1 OPEX TUUA'!$G$7,'2.2 OPEX LAP 2023'!I445*'2.1 OPEX TUUA'!$G$8)</f>
        <v>0</v>
      </c>
      <c r="H444" s="3">
        <f>+IF(F444="Pasajero",'2.2 OPEX LAP 2023'!J445*'2.1 OPEX TUUA'!$H$7,'2.2 OPEX LAP 2023'!J445*'2.1 OPEX TUUA'!$H$8)</f>
        <v>0</v>
      </c>
      <c r="I444" s="3">
        <f>+IF(F444="Pasajero",'2.2 OPEX LAP 2023'!K445*'2.1 OPEX TUUA'!$I$7,'2.2 OPEX LAP 2023'!K445*'2.1 OPEX TUUA'!$I$8)</f>
        <v>0</v>
      </c>
      <c r="J444" s="3">
        <f>+IF(F444="Pasajero",'2.2 OPEX LAP 2023'!L445*'2.1 OPEX TUUA'!$J$7,'2.2 OPEX LAP 2023'!L445*'2.1 OPEX TUUA'!$J$8)</f>
        <v>0</v>
      </c>
      <c r="K444" s="3">
        <f>+IF(F444="Pasajero",'2.2 OPEX LAP 2023'!M445*'2.1 OPEX TUUA'!$K$7,'2.2 OPEX LAP 2023'!M445*'2.1 OPEX TUUA'!$K$8)</f>
        <v>0</v>
      </c>
      <c r="L444" s="3">
        <f>+IF(F444="Pasajero",'2.2 OPEX LAP 2023'!N445*'2.1 OPEX TUUA'!$L$7,'2.2 OPEX LAP 2023'!N445*'2.1 OPEX TUUA'!$L$8)</f>
        <v>0</v>
      </c>
      <c r="M444" s="3"/>
      <c r="N444" s="3">
        <f>+IF(F444="Pasajero",'2.2 OPEX LAP 2023'!I445*'2.1 OPEX TUUA'!$N$7,'2.2 OPEX LAP 2023'!I445*'2.1 OPEX TUUA'!$N$8)</f>
        <v>0</v>
      </c>
      <c r="O444" s="3">
        <f>+IF(F444="Pasajero",'2.2 OPEX LAP 2023'!J445*'2.1 OPEX TUUA'!$O$7,'2.2 OPEX LAP 2023'!J445*'2.1 OPEX TUUA'!$O$8)</f>
        <v>0</v>
      </c>
      <c r="P444" s="3">
        <f>+IF(F444="Pasajero",'2.2 OPEX LAP 2023'!K445*'2.1 OPEX TUUA'!$P$7,'2.2 OPEX LAP 2023'!K445*'2.1 OPEX TUUA'!$P$8)</f>
        <v>0</v>
      </c>
      <c r="Q444" s="3">
        <f>+IF(F444="Pasajero",'2.2 OPEX LAP 2023'!L445*'2.1 OPEX TUUA'!$Q$7,'2.2 OPEX LAP 2023'!L445*'2.1 OPEX TUUA'!$Q$8)</f>
        <v>0</v>
      </c>
      <c r="R444" s="3">
        <f>+IF(F444="Pasajero",'2.2 OPEX LAP 2023'!M445*'2.1 OPEX TUUA'!$R$7,'2.2 OPEX LAP 2023'!M445*'2.1 OPEX TUUA'!$R$8)</f>
        <v>0</v>
      </c>
      <c r="S444" s="3">
        <f>+IF(F444="Pasajero",'2.2 OPEX LAP 2023'!N445*'2.1 OPEX TUUA'!$S$7,'2.2 OPEX LAP 2023'!N445*'2.1 OPEX TUUA'!$S$8)</f>
        <v>0</v>
      </c>
      <c r="AA444" s="6"/>
      <c r="AB444" s="6"/>
      <c r="AC444" s="6"/>
      <c r="AD444" s="6"/>
      <c r="AE444" s="6"/>
      <c r="AF444" s="6"/>
    </row>
    <row r="445" spans="2:32" x14ac:dyDescent="0.25">
      <c r="B445" s="16">
        <v>6382000001</v>
      </c>
      <c r="C445" s="190" t="s">
        <v>177</v>
      </c>
      <c r="D445" s="190" t="s">
        <v>40</v>
      </c>
      <c r="E445" s="190" t="s">
        <v>136</v>
      </c>
      <c r="F445" s="162" t="s">
        <v>190</v>
      </c>
      <c r="G445" s="3">
        <f>+IF(F445="Pasajero",'2.2 OPEX LAP 2023'!I446*'2.1 OPEX TUUA'!$G$7,'2.2 OPEX LAP 2023'!I446*'2.1 OPEX TUUA'!$G$8)</f>
        <v>9820.6362602909485</v>
      </c>
      <c r="H445" s="3">
        <f>+IF(F445="Pasajero",'2.2 OPEX LAP 2023'!J446*'2.1 OPEX TUUA'!$H$7,'2.2 OPEX LAP 2023'!J446*'2.1 OPEX TUUA'!$H$8)</f>
        <v>11265.596878710907</v>
      </c>
      <c r="I445" s="3">
        <f>+IF(F445="Pasajero",'2.2 OPEX LAP 2023'!K446*'2.1 OPEX TUUA'!$I$7,'2.2 OPEX LAP 2023'!K446*'2.1 OPEX TUUA'!$I$8)</f>
        <v>12454.282480468737</v>
      </c>
      <c r="J445" s="3">
        <f>+IF(F445="Pasajero",'2.2 OPEX LAP 2023'!L446*'2.1 OPEX TUUA'!$J$7,'2.2 OPEX LAP 2023'!L446*'2.1 OPEX TUUA'!$J$8)</f>
        <v>12978.840171333175</v>
      </c>
      <c r="K445" s="3">
        <f>+IF(F445="Pasajero",'2.2 OPEX LAP 2023'!M446*'2.1 OPEX TUUA'!$K$7,'2.2 OPEX LAP 2023'!M446*'2.1 OPEX TUUA'!$K$8)</f>
        <v>13269.177129282511</v>
      </c>
      <c r="L445" s="3">
        <f>+IF(F445="Pasajero",'2.2 OPEX LAP 2023'!N446*'2.1 OPEX TUUA'!$L$7,'2.2 OPEX LAP 2023'!N446*'2.1 OPEX TUUA'!$L$8)</f>
        <v>13623.551760041786</v>
      </c>
      <c r="M445" s="3"/>
      <c r="N445" s="3">
        <f>+IF(F445="Pasajero",'2.2 OPEX LAP 2023'!I446*'2.1 OPEX TUUA'!$N$7,'2.2 OPEX LAP 2023'!I446*'2.1 OPEX TUUA'!$N$8)</f>
        <v>4843.7069535094579</v>
      </c>
      <c r="O445" s="3">
        <f>+IF(F445="Pasajero",'2.2 OPEX LAP 2023'!J446*'2.1 OPEX TUUA'!$O$7,'2.2 OPEX LAP 2023'!J446*'2.1 OPEX TUUA'!$O$8)</f>
        <v>4665.7959441302555</v>
      </c>
      <c r="P445" s="3">
        <f>+IF(F445="Pasajero",'2.2 OPEX LAP 2023'!K446*'2.1 OPEX TUUA'!$P$7,'2.2 OPEX LAP 2023'!K446*'2.1 OPEX TUUA'!$P$8)</f>
        <v>4559.8699590531705</v>
      </c>
      <c r="Q445" s="3">
        <f>+IF(F445="Pasajero",'2.2 OPEX LAP 2023'!L446*'2.1 OPEX TUUA'!$Q$7,'2.2 OPEX LAP 2023'!L446*'2.1 OPEX TUUA'!$Q$8)</f>
        <v>4455.777307627648</v>
      </c>
      <c r="R445" s="3">
        <f>+IF(F445="Pasajero",'2.2 OPEX LAP 2023'!M446*'2.1 OPEX TUUA'!$R$7,'2.2 OPEX LAP 2023'!M446*'2.1 OPEX TUUA'!$R$8)</f>
        <v>4399.3368741269915</v>
      </c>
      <c r="S445" s="3">
        <f>+IF(F445="Pasajero",'2.2 OPEX LAP 2023'!N446*'2.1 OPEX TUUA'!$S$7,'2.2 OPEX LAP 2023'!N446*'2.1 OPEX TUUA'!$S$8)</f>
        <v>4330.0502970706375</v>
      </c>
      <c r="AA445" s="6"/>
      <c r="AB445" s="6"/>
      <c r="AC445" s="6"/>
      <c r="AD445" s="6"/>
      <c r="AE445" s="6"/>
      <c r="AF445" s="6"/>
    </row>
    <row r="446" spans="2:32" x14ac:dyDescent="0.25">
      <c r="B446" s="16">
        <v>6382000002</v>
      </c>
      <c r="C446" s="190" t="s">
        <v>177</v>
      </c>
      <c r="D446" s="190" t="s">
        <v>40</v>
      </c>
      <c r="E446" s="190" t="s">
        <v>137</v>
      </c>
      <c r="F446" s="162" t="s">
        <v>190</v>
      </c>
      <c r="G446" s="3">
        <f>+IF(F446="Pasajero",'2.2 OPEX LAP 2023'!I447*'2.1 OPEX TUUA'!$G$7,'2.2 OPEX LAP 2023'!I447*'2.1 OPEX TUUA'!$G$8)</f>
        <v>1161.7779791780822</v>
      </c>
      <c r="H446" s="3">
        <f>+IF(F446="Pasajero",'2.2 OPEX LAP 2023'!J447*'2.1 OPEX TUUA'!$H$7,'2.2 OPEX LAP 2023'!J447*'2.1 OPEX TUUA'!$H$8)</f>
        <v>1332.7163362016133</v>
      </c>
      <c r="I446" s="3">
        <f>+IF(F446="Pasajero",'2.2 OPEX LAP 2023'!K447*'2.1 OPEX TUUA'!$I$7,'2.2 OPEX LAP 2023'!K447*'2.1 OPEX TUUA'!$I$8)</f>
        <v>1473.3374446192245</v>
      </c>
      <c r="J446" s="3">
        <f>+IF(F446="Pasajero",'2.2 OPEX LAP 2023'!L447*'2.1 OPEX TUUA'!$J$7,'2.2 OPEX LAP 2023'!L447*'2.1 OPEX TUUA'!$J$8)</f>
        <v>1535.3924436948905</v>
      </c>
      <c r="K446" s="3">
        <f>+IF(F446="Pasajero",'2.2 OPEX LAP 2023'!M447*'2.1 OPEX TUUA'!$K$7,'2.2 OPEX LAP 2023'!M447*'2.1 OPEX TUUA'!$K$8)</f>
        <v>1569.739208542599</v>
      </c>
      <c r="L446" s="3">
        <f>+IF(F446="Pasajero",'2.2 OPEX LAP 2023'!N447*'2.1 OPEX TUUA'!$L$7,'2.2 OPEX LAP 2023'!N447*'2.1 OPEX TUUA'!$L$8)</f>
        <v>1611.6616086278345</v>
      </c>
      <c r="M446" s="3"/>
      <c r="N446" s="3">
        <f>+IF(F446="Pasajero",'2.2 OPEX LAP 2023'!I447*'2.1 OPEX TUUA'!$N$7,'2.2 OPEX LAP 2023'!I447*'2.1 OPEX TUUA'!$N$8)</f>
        <v>573.00890971114393</v>
      </c>
      <c r="O446" s="3">
        <f>+IF(F446="Pasajero",'2.2 OPEX LAP 2023'!J447*'2.1 OPEX TUUA'!$O$7,'2.2 OPEX LAP 2023'!J447*'2.1 OPEX TUUA'!$O$8)</f>
        <v>551.9620969108521</v>
      </c>
      <c r="P446" s="3">
        <f>+IF(F446="Pasajero",'2.2 OPEX LAP 2023'!K447*'2.1 OPEX TUUA'!$P$7,'2.2 OPEX LAP 2023'!K447*'2.1 OPEX TUUA'!$P$8)</f>
        <v>539.43108836684371</v>
      </c>
      <c r="Q446" s="3">
        <f>+IF(F446="Pasajero",'2.2 OPEX LAP 2023'!L447*'2.1 OPEX TUUA'!$Q$7,'2.2 OPEX LAP 2023'!L447*'2.1 OPEX TUUA'!$Q$8)</f>
        <v>527.11696257955498</v>
      </c>
      <c r="R446" s="3">
        <f>+IF(F446="Pasajero",'2.2 OPEX LAP 2023'!M447*'2.1 OPEX TUUA'!$R$7,'2.2 OPEX LAP 2023'!M447*'2.1 OPEX TUUA'!$R$8)</f>
        <v>520.44007820685295</v>
      </c>
      <c r="S446" s="3">
        <f>+IF(F446="Pasajero",'2.2 OPEX LAP 2023'!N447*'2.1 OPEX TUUA'!$S$7,'2.2 OPEX LAP 2023'!N447*'2.1 OPEX TUUA'!$S$8)</f>
        <v>512.24349935562566</v>
      </c>
      <c r="AA446" s="6"/>
      <c r="AB446" s="6"/>
      <c r="AC446" s="6"/>
      <c r="AD446" s="6"/>
      <c r="AE446" s="6"/>
      <c r="AF446" s="6"/>
    </row>
    <row r="447" spans="2:32" x14ac:dyDescent="0.25">
      <c r="B447" s="16">
        <v>6390000001</v>
      </c>
      <c r="C447" s="190" t="s">
        <v>177</v>
      </c>
      <c r="D447" s="190" t="s">
        <v>38</v>
      </c>
      <c r="E447" s="190" t="s">
        <v>138</v>
      </c>
      <c r="F447" s="162" t="s">
        <v>190</v>
      </c>
      <c r="G447" s="3">
        <f>+IF(F447="Pasajero",'2.2 OPEX LAP 2023'!I448*'2.1 OPEX TUUA'!$G$7,'2.2 OPEX LAP 2023'!I448*'2.1 OPEX TUUA'!$G$8)</f>
        <v>0</v>
      </c>
      <c r="H447" s="3">
        <f>+IF(F447="Pasajero",'2.2 OPEX LAP 2023'!J448*'2.1 OPEX TUUA'!$H$7,'2.2 OPEX LAP 2023'!J448*'2.1 OPEX TUUA'!$H$8)</f>
        <v>0</v>
      </c>
      <c r="I447" s="3">
        <f>+IF(F447="Pasajero",'2.2 OPEX LAP 2023'!K448*'2.1 OPEX TUUA'!$I$7,'2.2 OPEX LAP 2023'!K448*'2.1 OPEX TUUA'!$I$8)</f>
        <v>0</v>
      </c>
      <c r="J447" s="3">
        <f>+IF(F447="Pasajero",'2.2 OPEX LAP 2023'!L448*'2.1 OPEX TUUA'!$J$7,'2.2 OPEX LAP 2023'!L448*'2.1 OPEX TUUA'!$J$8)</f>
        <v>0</v>
      </c>
      <c r="K447" s="3">
        <f>+IF(F447="Pasajero",'2.2 OPEX LAP 2023'!M448*'2.1 OPEX TUUA'!$K$7,'2.2 OPEX LAP 2023'!M448*'2.1 OPEX TUUA'!$K$8)</f>
        <v>0</v>
      </c>
      <c r="L447" s="3">
        <f>+IF(F447="Pasajero",'2.2 OPEX LAP 2023'!N448*'2.1 OPEX TUUA'!$L$7,'2.2 OPEX LAP 2023'!N448*'2.1 OPEX TUUA'!$L$8)</f>
        <v>0</v>
      </c>
      <c r="M447" s="3"/>
      <c r="N447" s="3">
        <f>+IF(F447="Pasajero",'2.2 OPEX LAP 2023'!I448*'2.1 OPEX TUUA'!$N$7,'2.2 OPEX LAP 2023'!I448*'2.1 OPEX TUUA'!$N$8)</f>
        <v>0</v>
      </c>
      <c r="O447" s="3">
        <f>+IF(F447="Pasajero",'2.2 OPEX LAP 2023'!J448*'2.1 OPEX TUUA'!$O$7,'2.2 OPEX LAP 2023'!J448*'2.1 OPEX TUUA'!$O$8)</f>
        <v>0</v>
      </c>
      <c r="P447" s="3">
        <f>+IF(F447="Pasajero",'2.2 OPEX LAP 2023'!K448*'2.1 OPEX TUUA'!$P$7,'2.2 OPEX LAP 2023'!K448*'2.1 OPEX TUUA'!$P$8)</f>
        <v>0</v>
      </c>
      <c r="Q447" s="3">
        <f>+IF(F447="Pasajero",'2.2 OPEX LAP 2023'!L448*'2.1 OPEX TUUA'!$Q$7,'2.2 OPEX LAP 2023'!L448*'2.1 OPEX TUUA'!$Q$8)</f>
        <v>0</v>
      </c>
      <c r="R447" s="3">
        <f>+IF(F447="Pasajero",'2.2 OPEX LAP 2023'!M448*'2.1 OPEX TUUA'!$R$7,'2.2 OPEX LAP 2023'!M448*'2.1 OPEX TUUA'!$R$8)</f>
        <v>0</v>
      </c>
      <c r="S447" s="3">
        <f>+IF(F447="Pasajero",'2.2 OPEX LAP 2023'!N448*'2.1 OPEX TUUA'!$S$7,'2.2 OPEX LAP 2023'!N448*'2.1 OPEX TUUA'!$S$8)</f>
        <v>0</v>
      </c>
      <c r="AA447" s="6"/>
      <c r="AB447" s="6"/>
      <c r="AC447" s="6"/>
      <c r="AD447" s="6"/>
      <c r="AE447" s="6"/>
      <c r="AF447" s="6"/>
    </row>
    <row r="448" spans="2:32" x14ac:dyDescent="0.25">
      <c r="B448" s="16">
        <v>6391000001</v>
      </c>
      <c r="C448" s="190" t="s">
        <v>177</v>
      </c>
      <c r="D448" s="190" t="s">
        <v>38</v>
      </c>
      <c r="E448" s="190" t="s">
        <v>139</v>
      </c>
      <c r="F448" s="162" t="s">
        <v>190</v>
      </c>
      <c r="G448" s="3">
        <f>+IF(F448="Pasajero",'2.2 OPEX LAP 2023'!I449*'2.1 OPEX TUUA'!$G$7,'2.2 OPEX LAP 2023'!I449*'2.1 OPEX TUUA'!$G$8)</f>
        <v>4357.0398768902651</v>
      </c>
      <c r="H448" s="3">
        <f>+IF(F448="Pasajero",'2.2 OPEX LAP 2023'!J449*'2.1 OPEX TUUA'!$H$7,'2.2 OPEX LAP 2023'!J449*'2.1 OPEX TUUA'!$H$8)</f>
        <v>4998.1135169402696</v>
      </c>
      <c r="I448" s="3">
        <f>+IF(F448="Pasajero",'2.2 OPEX LAP 2023'!K449*'2.1 OPEX TUUA'!$I$7,'2.2 OPEX LAP 2023'!K449*'2.1 OPEX TUUA'!$I$8)</f>
        <v>5525.4877552964645</v>
      </c>
      <c r="J448" s="3">
        <f>+IF(F448="Pasajero",'2.2 OPEX LAP 2023'!L449*'2.1 OPEX TUUA'!$J$7,'2.2 OPEX LAP 2023'!L449*'2.1 OPEX TUUA'!$J$8)</f>
        <v>5758.213896072818</v>
      </c>
      <c r="K448" s="3">
        <f>+IF(F448="Pasajero",'2.2 OPEX LAP 2023'!M449*'2.1 OPEX TUUA'!$K$7,'2.2 OPEX LAP 2023'!M449*'2.1 OPEX TUUA'!$K$8)</f>
        <v>5887.0252754979219</v>
      </c>
      <c r="L448" s="3">
        <f>+IF(F448="Pasajero",'2.2 OPEX LAP 2023'!N449*'2.1 OPEX TUUA'!$L$7,'2.2 OPEX LAP 2023'!N449*'2.1 OPEX TUUA'!$L$8)</f>
        <v>6044.2477157403709</v>
      </c>
      <c r="M448" s="3"/>
      <c r="N448" s="3">
        <f>+IF(F448="Pasajero",'2.2 OPEX LAP 2023'!I449*'2.1 OPEX TUUA'!$N$7,'2.2 OPEX LAP 2023'!I449*'2.1 OPEX TUUA'!$N$8)</f>
        <v>2148.9671126243434</v>
      </c>
      <c r="O448" s="3">
        <f>+IF(F448="Pasajero",'2.2 OPEX LAP 2023'!J449*'2.1 OPEX TUUA'!$O$7,'2.2 OPEX LAP 2023'!J449*'2.1 OPEX TUUA'!$O$8)</f>
        <v>2070.0348172152053</v>
      </c>
      <c r="P448" s="3">
        <f>+IF(F448="Pasajero",'2.2 OPEX LAP 2023'!K449*'2.1 OPEX TUUA'!$P$7,'2.2 OPEX LAP 2023'!K449*'2.1 OPEX TUUA'!$P$8)</f>
        <v>2023.0395178529955</v>
      </c>
      <c r="Q448" s="3">
        <f>+IF(F448="Pasajero",'2.2 OPEX LAP 2023'!L449*'2.1 OPEX TUUA'!$Q$7,'2.2 OPEX LAP 2023'!L449*'2.1 OPEX TUUA'!$Q$8)</f>
        <v>1976.8575983590338</v>
      </c>
      <c r="R448" s="3">
        <f>+IF(F448="Pasajero",'2.2 OPEX LAP 2023'!M449*'2.1 OPEX TUUA'!$R$7,'2.2 OPEX LAP 2023'!M449*'2.1 OPEX TUUA'!$R$8)</f>
        <v>1951.8171414157632</v>
      </c>
      <c r="S448" s="3">
        <f>+IF(F448="Pasajero",'2.2 OPEX LAP 2023'!N449*'2.1 OPEX TUUA'!$S$7,'2.2 OPEX LAP 2023'!N449*'2.1 OPEX TUUA'!$S$8)</f>
        <v>1921.0773429784249</v>
      </c>
      <c r="AA448" s="6"/>
      <c r="AB448" s="6"/>
      <c r="AC448" s="6"/>
      <c r="AD448" s="6"/>
      <c r="AE448" s="6"/>
      <c r="AF448" s="6"/>
    </row>
    <row r="449" spans="2:32" x14ac:dyDescent="0.25">
      <c r="B449" s="16">
        <v>6391000003</v>
      </c>
      <c r="C449" s="190" t="s">
        <v>177</v>
      </c>
      <c r="D449" s="190" t="s">
        <v>38</v>
      </c>
      <c r="E449" s="190" t="s">
        <v>140</v>
      </c>
      <c r="F449" s="162" t="s">
        <v>190</v>
      </c>
      <c r="G449" s="3">
        <f>+IF(F449="Pasajero",'2.2 OPEX LAP 2023'!I450*'2.1 OPEX TUUA'!$G$7,'2.2 OPEX LAP 2023'!I450*'2.1 OPEX TUUA'!$G$8)</f>
        <v>2362.3980645865081</v>
      </c>
      <c r="H449" s="3">
        <f>+IF(F449="Pasajero",'2.2 OPEX LAP 2023'!J450*'2.1 OPEX TUUA'!$H$7,'2.2 OPEX LAP 2023'!J450*'2.1 OPEX TUUA'!$H$8)</f>
        <v>2709.9898170844162</v>
      </c>
      <c r="I449" s="3">
        <f>+IF(F449="Pasajero",'2.2 OPEX LAP 2023'!K450*'2.1 OPEX TUUA'!$I$7,'2.2 OPEX LAP 2023'!K450*'2.1 OPEX TUUA'!$I$8)</f>
        <v>2995.9334658018729</v>
      </c>
      <c r="J449" s="3">
        <f>+IF(F449="Pasajero",'2.2 OPEX LAP 2023'!L450*'2.1 OPEX TUUA'!$J$7,'2.2 OPEX LAP 2023'!L450*'2.1 OPEX TUUA'!$J$8)</f>
        <v>3122.1181691975976</v>
      </c>
      <c r="K449" s="3">
        <f>+IF(F449="Pasajero",'2.2 OPEX LAP 2023'!M450*'2.1 OPEX TUUA'!$K$7,'2.2 OPEX LAP 2023'!M450*'2.1 OPEX TUUA'!$K$8)</f>
        <v>3191.9600256067183</v>
      </c>
      <c r="L449" s="3">
        <f>+IF(F449="Pasajero",'2.2 OPEX LAP 2023'!N450*'2.1 OPEX TUUA'!$L$7,'2.2 OPEX LAP 2023'!N450*'2.1 OPEX TUUA'!$L$8)</f>
        <v>3277.20643120157</v>
      </c>
      <c r="M449" s="3"/>
      <c r="N449" s="3">
        <f>+IF(F449="Pasajero",'2.2 OPEX LAP 2023'!I450*'2.1 OPEX TUUA'!$N$7,'2.2 OPEX LAP 2023'!I450*'2.1 OPEX TUUA'!$N$8)</f>
        <v>1165.1754152287428</v>
      </c>
      <c r="O449" s="3">
        <f>+IF(F449="Pasajero",'2.2 OPEX LAP 2023'!J450*'2.1 OPEX TUUA'!$O$7,'2.2 OPEX LAP 2023'!J450*'2.1 OPEX TUUA'!$O$8)</f>
        <v>1122.3781245964142</v>
      </c>
      <c r="P449" s="3">
        <f>+IF(F449="Pasajero",'2.2 OPEX LAP 2023'!K450*'2.1 OPEX TUUA'!$P$7,'2.2 OPEX LAP 2023'!K450*'2.1 OPEX TUUA'!$P$8)</f>
        <v>1096.897154168118</v>
      </c>
      <c r="Q449" s="3">
        <f>+IF(F449="Pasajero",'2.2 OPEX LAP 2023'!L450*'2.1 OPEX TUUA'!$Q$7,'2.2 OPEX LAP 2023'!L450*'2.1 OPEX TUUA'!$Q$8)</f>
        <v>1071.8572003659754</v>
      </c>
      <c r="R449" s="3">
        <f>+IF(F449="Pasajero",'2.2 OPEX LAP 2023'!M450*'2.1 OPEX TUUA'!$R$7,'2.2 OPEX LAP 2023'!M450*'2.1 OPEX TUUA'!$R$8)</f>
        <v>1058.2802011438878</v>
      </c>
      <c r="S449" s="3">
        <f>+IF(F449="Pasajero",'2.2 OPEX LAP 2023'!N450*'2.1 OPEX TUUA'!$S$7,'2.2 OPEX LAP 2023'!N450*'2.1 OPEX TUUA'!$S$8)</f>
        <v>1041.6130045181874</v>
      </c>
      <c r="AA449" s="6"/>
      <c r="AB449" s="6"/>
      <c r="AC449" s="6"/>
      <c r="AD449" s="6"/>
      <c r="AE449" s="6"/>
      <c r="AF449" s="6"/>
    </row>
    <row r="450" spans="2:32" x14ac:dyDescent="0.25">
      <c r="B450" s="16">
        <v>6410000001</v>
      </c>
      <c r="C450" s="190" t="s">
        <v>177</v>
      </c>
      <c r="D450" s="190" t="s">
        <v>38</v>
      </c>
      <c r="E450" s="190" t="s">
        <v>141</v>
      </c>
      <c r="F450" s="162" t="s">
        <v>190</v>
      </c>
      <c r="G450" s="3">
        <f>+IF(F450="Pasajero",'2.2 OPEX LAP 2023'!I451*'2.1 OPEX TUUA'!$G$7,'2.2 OPEX LAP 2023'!I451*'2.1 OPEX TUUA'!$G$8)</f>
        <v>0</v>
      </c>
      <c r="H450" s="3">
        <f>+IF(F450="Pasajero",'2.2 OPEX LAP 2023'!J451*'2.1 OPEX TUUA'!$H$7,'2.2 OPEX LAP 2023'!J451*'2.1 OPEX TUUA'!$H$8)</f>
        <v>0</v>
      </c>
      <c r="I450" s="3">
        <f>+IF(F450="Pasajero",'2.2 OPEX LAP 2023'!K451*'2.1 OPEX TUUA'!$I$7,'2.2 OPEX LAP 2023'!K451*'2.1 OPEX TUUA'!$I$8)</f>
        <v>0</v>
      </c>
      <c r="J450" s="3">
        <f>+IF(F450="Pasajero",'2.2 OPEX LAP 2023'!L451*'2.1 OPEX TUUA'!$J$7,'2.2 OPEX LAP 2023'!L451*'2.1 OPEX TUUA'!$J$8)</f>
        <v>0</v>
      </c>
      <c r="K450" s="3">
        <f>+IF(F450="Pasajero",'2.2 OPEX LAP 2023'!M451*'2.1 OPEX TUUA'!$K$7,'2.2 OPEX LAP 2023'!M451*'2.1 OPEX TUUA'!$K$8)</f>
        <v>0</v>
      </c>
      <c r="L450" s="3">
        <f>+IF(F450="Pasajero",'2.2 OPEX LAP 2023'!N451*'2.1 OPEX TUUA'!$L$7,'2.2 OPEX LAP 2023'!N451*'2.1 OPEX TUUA'!$L$8)</f>
        <v>0</v>
      </c>
      <c r="M450" s="3"/>
      <c r="N450" s="3">
        <f>+IF(F450="Pasajero",'2.2 OPEX LAP 2023'!I451*'2.1 OPEX TUUA'!$N$7,'2.2 OPEX LAP 2023'!I451*'2.1 OPEX TUUA'!$N$8)</f>
        <v>0</v>
      </c>
      <c r="O450" s="3">
        <f>+IF(F450="Pasajero",'2.2 OPEX LAP 2023'!J451*'2.1 OPEX TUUA'!$O$7,'2.2 OPEX LAP 2023'!J451*'2.1 OPEX TUUA'!$O$8)</f>
        <v>0</v>
      </c>
      <c r="P450" s="3">
        <f>+IF(F450="Pasajero",'2.2 OPEX LAP 2023'!K451*'2.1 OPEX TUUA'!$P$7,'2.2 OPEX LAP 2023'!K451*'2.1 OPEX TUUA'!$P$8)</f>
        <v>0</v>
      </c>
      <c r="Q450" s="3">
        <f>+IF(F450="Pasajero",'2.2 OPEX LAP 2023'!L451*'2.1 OPEX TUUA'!$Q$7,'2.2 OPEX LAP 2023'!L451*'2.1 OPEX TUUA'!$Q$8)</f>
        <v>0</v>
      </c>
      <c r="R450" s="3">
        <f>+IF(F450="Pasajero",'2.2 OPEX LAP 2023'!M451*'2.1 OPEX TUUA'!$R$7,'2.2 OPEX LAP 2023'!M451*'2.1 OPEX TUUA'!$R$8)</f>
        <v>0</v>
      </c>
      <c r="S450" s="3">
        <f>+IF(F450="Pasajero",'2.2 OPEX LAP 2023'!N451*'2.1 OPEX TUUA'!$S$7,'2.2 OPEX LAP 2023'!N451*'2.1 OPEX TUUA'!$S$8)</f>
        <v>0</v>
      </c>
      <c r="AA450" s="6"/>
      <c r="AB450" s="6"/>
      <c r="AC450" s="6"/>
      <c r="AD450" s="6"/>
      <c r="AE450" s="6"/>
      <c r="AF450" s="6"/>
    </row>
    <row r="451" spans="2:32" x14ac:dyDescent="0.25">
      <c r="B451" s="16">
        <v>6410000002</v>
      </c>
      <c r="C451" s="190" t="s">
        <v>177</v>
      </c>
      <c r="D451" s="190" t="s">
        <v>38</v>
      </c>
      <c r="E451" s="190" t="s">
        <v>142</v>
      </c>
      <c r="F451" s="162" t="s">
        <v>190</v>
      </c>
      <c r="G451" s="3">
        <f>+IF(F451="Pasajero",'2.2 OPEX LAP 2023'!I452*'2.1 OPEX TUUA'!$G$7,'2.2 OPEX LAP 2023'!I452*'2.1 OPEX TUUA'!$G$8)</f>
        <v>0</v>
      </c>
      <c r="H451" s="3">
        <f>+IF(F451="Pasajero",'2.2 OPEX LAP 2023'!J452*'2.1 OPEX TUUA'!$H$7,'2.2 OPEX LAP 2023'!J452*'2.1 OPEX TUUA'!$H$8)</f>
        <v>0</v>
      </c>
      <c r="I451" s="3">
        <f>+IF(F451="Pasajero",'2.2 OPEX LAP 2023'!K452*'2.1 OPEX TUUA'!$I$7,'2.2 OPEX LAP 2023'!K452*'2.1 OPEX TUUA'!$I$8)</f>
        <v>0</v>
      </c>
      <c r="J451" s="3">
        <f>+IF(F451="Pasajero",'2.2 OPEX LAP 2023'!L452*'2.1 OPEX TUUA'!$J$7,'2.2 OPEX LAP 2023'!L452*'2.1 OPEX TUUA'!$J$8)</f>
        <v>0</v>
      </c>
      <c r="K451" s="3">
        <f>+IF(F451="Pasajero",'2.2 OPEX LAP 2023'!M452*'2.1 OPEX TUUA'!$K$7,'2.2 OPEX LAP 2023'!M452*'2.1 OPEX TUUA'!$K$8)</f>
        <v>0</v>
      </c>
      <c r="L451" s="3">
        <f>+IF(F451="Pasajero",'2.2 OPEX LAP 2023'!N452*'2.1 OPEX TUUA'!$L$7,'2.2 OPEX LAP 2023'!N452*'2.1 OPEX TUUA'!$L$8)</f>
        <v>0</v>
      </c>
      <c r="M451" s="3"/>
      <c r="N451" s="3">
        <f>+IF(F451="Pasajero",'2.2 OPEX LAP 2023'!I452*'2.1 OPEX TUUA'!$N$7,'2.2 OPEX LAP 2023'!I452*'2.1 OPEX TUUA'!$N$8)</f>
        <v>0</v>
      </c>
      <c r="O451" s="3">
        <f>+IF(F451="Pasajero",'2.2 OPEX LAP 2023'!J452*'2.1 OPEX TUUA'!$O$7,'2.2 OPEX LAP 2023'!J452*'2.1 OPEX TUUA'!$O$8)</f>
        <v>0</v>
      </c>
      <c r="P451" s="3">
        <f>+IF(F451="Pasajero",'2.2 OPEX LAP 2023'!K452*'2.1 OPEX TUUA'!$P$7,'2.2 OPEX LAP 2023'!K452*'2.1 OPEX TUUA'!$P$8)</f>
        <v>0</v>
      </c>
      <c r="Q451" s="3">
        <f>+IF(F451="Pasajero",'2.2 OPEX LAP 2023'!L452*'2.1 OPEX TUUA'!$Q$7,'2.2 OPEX LAP 2023'!L452*'2.1 OPEX TUUA'!$Q$8)</f>
        <v>0</v>
      </c>
      <c r="R451" s="3">
        <f>+IF(F451="Pasajero",'2.2 OPEX LAP 2023'!M452*'2.1 OPEX TUUA'!$R$7,'2.2 OPEX LAP 2023'!M452*'2.1 OPEX TUUA'!$R$8)</f>
        <v>0</v>
      </c>
      <c r="S451" s="3">
        <f>+IF(F451="Pasajero",'2.2 OPEX LAP 2023'!N452*'2.1 OPEX TUUA'!$S$7,'2.2 OPEX LAP 2023'!N452*'2.1 OPEX TUUA'!$S$8)</f>
        <v>0</v>
      </c>
      <c r="AA451" s="6"/>
      <c r="AB451" s="6"/>
      <c r="AC451" s="6"/>
      <c r="AD451" s="6"/>
      <c r="AE451" s="6"/>
      <c r="AF451" s="6"/>
    </row>
    <row r="452" spans="2:32" x14ac:dyDescent="0.25">
      <c r="B452" s="16">
        <v>6430000001</v>
      </c>
      <c r="C452" s="190" t="s">
        <v>177</v>
      </c>
      <c r="D452" s="190" t="s">
        <v>38</v>
      </c>
      <c r="E452" s="190" t="s">
        <v>143</v>
      </c>
      <c r="F452" s="162" t="s">
        <v>192</v>
      </c>
      <c r="G452" s="3">
        <f>+IF(F452="Pasajero",'2.2 OPEX LAP 2023'!I453*'2.1 OPEX TUUA'!$G$7,'2.2 OPEX LAP 2023'!I453*'2.1 OPEX TUUA'!$G$8)</f>
        <v>772.91395378041011</v>
      </c>
      <c r="H452" s="3">
        <f>+IF(F452="Pasajero",'2.2 OPEX LAP 2023'!J453*'2.1 OPEX TUUA'!$H$7,'2.2 OPEX LAP 2023'!J453*'2.1 OPEX TUUA'!$H$8)</f>
        <v>772.91395378041011</v>
      </c>
      <c r="I452" s="3">
        <f>+IF(F452="Pasajero",'2.2 OPEX LAP 2023'!K453*'2.1 OPEX TUUA'!$I$7,'2.2 OPEX LAP 2023'!K453*'2.1 OPEX TUUA'!$I$8)</f>
        <v>772.91395378041011</v>
      </c>
      <c r="J452" s="3">
        <f>+IF(F452="Pasajero",'2.2 OPEX LAP 2023'!L453*'2.1 OPEX TUUA'!$J$7,'2.2 OPEX LAP 2023'!L453*'2.1 OPEX TUUA'!$J$8)</f>
        <v>772.91395378041011</v>
      </c>
      <c r="K452" s="3">
        <f>+IF(F452="Pasajero",'2.2 OPEX LAP 2023'!M453*'2.1 OPEX TUUA'!$K$7,'2.2 OPEX LAP 2023'!M453*'2.1 OPEX TUUA'!$K$8)</f>
        <v>772.91395378041011</v>
      </c>
      <c r="L452" s="3">
        <f>+IF(F452="Pasajero",'2.2 OPEX LAP 2023'!N453*'2.1 OPEX TUUA'!$L$7,'2.2 OPEX LAP 2023'!N453*'2.1 OPEX TUUA'!$L$8)</f>
        <v>772.91395378041011</v>
      </c>
      <c r="M452" s="3"/>
      <c r="N452" s="3">
        <f>+IF(F452="Pasajero",'2.2 OPEX LAP 2023'!I453*'2.1 OPEX TUUA'!$N$7,'2.2 OPEX LAP 2023'!I453*'2.1 OPEX TUUA'!$N$8)</f>
        <v>144.43886095021992</v>
      </c>
      <c r="O452" s="3">
        <f>+IF(F452="Pasajero",'2.2 OPEX LAP 2023'!J453*'2.1 OPEX TUUA'!$O$7,'2.2 OPEX LAP 2023'!J453*'2.1 OPEX TUUA'!$O$8)</f>
        <v>144.43886095021992</v>
      </c>
      <c r="P452" s="3">
        <f>+IF(F452="Pasajero",'2.2 OPEX LAP 2023'!K453*'2.1 OPEX TUUA'!$P$7,'2.2 OPEX LAP 2023'!K453*'2.1 OPEX TUUA'!$P$8)</f>
        <v>144.43886095021992</v>
      </c>
      <c r="Q452" s="3">
        <f>+IF(F452="Pasajero",'2.2 OPEX LAP 2023'!L453*'2.1 OPEX TUUA'!$Q$7,'2.2 OPEX LAP 2023'!L453*'2.1 OPEX TUUA'!$Q$8)</f>
        <v>144.43886095021992</v>
      </c>
      <c r="R452" s="3">
        <f>+IF(F452="Pasajero",'2.2 OPEX LAP 2023'!M453*'2.1 OPEX TUUA'!$R$7,'2.2 OPEX LAP 2023'!M453*'2.1 OPEX TUUA'!$R$8)</f>
        <v>144.43886095021992</v>
      </c>
      <c r="S452" s="3">
        <f>+IF(F452="Pasajero",'2.2 OPEX LAP 2023'!N453*'2.1 OPEX TUUA'!$S$7,'2.2 OPEX LAP 2023'!N453*'2.1 OPEX TUUA'!$S$8)</f>
        <v>144.43886095021992</v>
      </c>
      <c r="AA452" s="6"/>
      <c r="AB452" s="6"/>
      <c r="AC452" s="6"/>
      <c r="AD452" s="6"/>
      <c r="AE452" s="6"/>
      <c r="AF452" s="6"/>
    </row>
    <row r="453" spans="2:32" x14ac:dyDescent="0.25">
      <c r="B453" s="16">
        <v>6430000002</v>
      </c>
      <c r="C453" s="190" t="s">
        <v>177</v>
      </c>
      <c r="D453" s="190" t="s">
        <v>38</v>
      </c>
      <c r="E453" s="190" t="s">
        <v>144</v>
      </c>
      <c r="F453" s="162" t="s">
        <v>192</v>
      </c>
      <c r="G453" s="3">
        <f>+IF(F453="Pasajero",'2.2 OPEX LAP 2023'!I454*'2.1 OPEX TUUA'!$G$7,'2.2 OPEX LAP 2023'!I454*'2.1 OPEX TUUA'!$G$8)</f>
        <v>90.378957990086349</v>
      </c>
      <c r="H453" s="3">
        <f>+IF(F453="Pasajero",'2.2 OPEX LAP 2023'!J454*'2.1 OPEX TUUA'!$H$7,'2.2 OPEX LAP 2023'!J454*'2.1 OPEX TUUA'!$H$8)</f>
        <v>90.378957990086349</v>
      </c>
      <c r="I453" s="3">
        <f>+IF(F453="Pasajero",'2.2 OPEX LAP 2023'!K454*'2.1 OPEX TUUA'!$I$7,'2.2 OPEX LAP 2023'!K454*'2.1 OPEX TUUA'!$I$8)</f>
        <v>90.378957990086349</v>
      </c>
      <c r="J453" s="3">
        <f>+IF(F453="Pasajero",'2.2 OPEX LAP 2023'!L454*'2.1 OPEX TUUA'!$J$7,'2.2 OPEX LAP 2023'!L454*'2.1 OPEX TUUA'!$J$8)</f>
        <v>90.378957990086349</v>
      </c>
      <c r="K453" s="3">
        <f>+IF(F453="Pasajero",'2.2 OPEX LAP 2023'!M454*'2.1 OPEX TUUA'!$K$7,'2.2 OPEX LAP 2023'!M454*'2.1 OPEX TUUA'!$K$8)</f>
        <v>90.378957990086349</v>
      </c>
      <c r="L453" s="3">
        <f>+IF(F453="Pasajero",'2.2 OPEX LAP 2023'!N454*'2.1 OPEX TUUA'!$L$7,'2.2 OPEX LAP 2023'!N454*'2.1 OPEX TUUA'!$L$8)</f>
        <v>90.378957990086349</v>
      </c>
      <c r="M453" s="3"/>
      <c r="N453" s="3">
        <f>+IF(F453="Pasajero",'2.2 OPEX LAP 2023'!I454*'2.1 OPEX TUUA'!$N$7,'2.2 OPEX LAP 2023'!I454*'2.1 OPEX TUUA'!$N$8)</f>
        <v>16.889633939335816</v>
      </c>
      <c r="O453" s="3">
        <f>+IF(F453="Pasajero",'2.2 OPEX LAP 2023'!J454*'2.1 OPEX TUUA'!$O$7,'2.2 OPEX LAP 2023'!J454*'2.1 OPEX TUUA'!$O$8)</f>
        <v>16.889633939335816</v>
      </c>
      <c r="P453" s="3">
        <f>+IF(F453="Pasajero",'2.2 OPEX LAP 2023'!K454*'2.1 OPEX TUUA'!$P$7,'2.2 OPEX LAP 2023'!K454*'2.1 OPEX TUUA'!$P$8)</f>
        <v>16.889633939335816</v>
      </c>
      <c r="Q453" s="3">
        <f>+IF(F453="Pasajero",'2.2 OPEX LAP 2023'!L454*'2.1 OPEX TUUA'!$Q$7,'2.2 OPEX LAP 2023'!L454*'2.1 OPEX TUUA'!$Q$8)</f>
        <v>16.889633939335816</v>
      </c>
      <c r="R453" s="3">
        <f>+IF(F453="Pasajero",'2.2 OPEX LAP 2023'!M454*'2.1 OPEX TUUA'!$R$7,'2.2 OPEX LAP 2023'!M454*'2.1 OPEX TUUA'!$R$8)</f>
        <v>16.889633939335816</v>
      </c>
      <c r="S453" s="3">
        <f>+IF(F453="Pasajero",'2.2 OPEX LAP 2023'!N454*'2.1 OPEX TUUA'!$S$7,'2.2 OPEX LAP 2023'!N454*'2.1 OPEX TUUA'!$S$8)</f>
        <v>16.889633939335816</v>
      </c>
      <c r="AA453" s="6"/>
      <c r="AB453" s="6"/>
      <c r="AC453" s="6"/>
      <c r="AD453" s="6"/>
      <c r="AE453" s="6"/>
      <c r="AF453" s="6"/>
    </row>
    <row r="454" spans="2:32" x14ac:dyDescent="0.25">
      <c r="B454" s="16">
        <v>6430000003</v>
      </c>
      <c r="C454" s="190" t="s">
        <v>177</v>
      </c>
      <c r="D454" s="190" t="s">
        <v>38</v>
      </c>
      <c r="E454" s="190" t="s">
        <v>145</v>
      </c>
      <c r="F454" s="162" t="s">
        <v>190</v>
      </c>
      <c r="G454" s="3">
        <f>+IF(F454="Pasajero",'2.2 OPEX LAP 2023'!I455*'2.1 OPEX TUUA'!$G$7,'2.2 OPEX LAP 2023'!I455*'2.1 OPEX TUUA'!$G$8)</f>
        <v>32.559098890467517</v>
      </c>
      <c r="H454" s="3">
        <f>+IF(F454="Pasajero",'2.2 OPEX LAP 2023'!J455*'2.1 OPEX TUUA'!$H$7,'2.2 OPEX LAP 2023'!J455*'2.1 OPEX TUUA'!$H$8)</f>
        <v>37.349686223204415</v>
      </c>
      <c r="I454" s="3">
        <f>+IF(F454="Pasajero",'2.2 OPEX LAP 2023'!K455*'2.1 OPEX TUUA'!$I$7,'2.2 OPEX LAP 2023'!K455*'2.1 OPEX TUUA'!$I$8)</f>
        <v>41.290625591236925</v>
      </c>
      <c r="J454" s="3">
        <f>+IF(F454="Pasajero",'2.2 OPEX LAP 2023'!L455*'2.1 OPEX TUUA'!$J$7,'2.2 OPEX LAP 2023'!L455*'2.1 OPEX TUUA'!$J$8)</f>
        <v>43.029731416759532</v>
      </c>
      <c r="K454" s="3">
        <f>+IF(F454="Pasajero",'2.2 OPEX LAP 2023'!M455*'2.1 OPEX TUUA'!$K$7,'2.2 OPEX LAP 2023'!M455*'2.1 OPEX TUUA'!$K$8)</f>
        <v>43.99230751416097</v>
      </c>
      <c r="L454" s="3">
        <f>+IF(F454="Pasajero",'2.2 OPEX LAP 2023'!N455*'2.1 OPEX TUUA'!$L$7,'2.2 OPEX LAP 2023'!N455*'2.1 OPEX TUUA'!$L$8)</f>
        <v>45.167192556367219</v>
      </c>
      <c r="M454" s="3"/>
      <c r="N454" s="3">
        <f>+IF(F454="Pasajero",'2.2 OPEX LAP 2023'!I455*'2.1 OPEX TUUA'!$N$7,'2.2 OPEX LAP 2023'!I455*'2.1 OPEX TUUA'!$N$8)</f>
        <v>16.058708368360577</v>
      </c>
      <c r="O454" s="3">
        <f>+IF(F454="Pasajero",'2.2 OPEX LAP 2023'!J455*'2.1 OPEX TUUA'!$O$7,'2.2 OPEX LAP 2023'!J455*'2.1 OPEX TUUA'!$O$8)</f>
        <v>15.468866529751567</v>
      </c>
      <c r="P454" s="3">
        <f>+IF(F454="Pasajero",'2.2 OPEX LAP 2023'!K455*'2.1 OPEX TUUA'!$P$7,'2.2 OPEX LAP 2023'!K455*'2.1 OPEX TUUA'!$P$8)</f>
        <v>15.117682092024227</v>
      </c>
      <c r="Q454" s="3">
        <f>+IF(F454="Pasajero",'2.2 OPEX LAP 2023'!L455*'2.1 OPEX TUUA'!$Q$7,'2.2 OPEX LAP 2023'!L455*'2.1 OPEX TUUA'!$Q$8)</f>
        <v>14.772575844149189</v>
      </c>
      <c r="R454" s="3">
        <f>+IF(F454="Pasajero",'2.2 OPEX LAP 2023'!M455*'2.1 OPEX TUUA'!$R$7,'2.2 OPEX LAP 2023'!M455*'2.1 OPEX TUUA'!$R$8)</f>
        <v>14.58545460199514</v>
      </c>
      <c r="S454" s="3">
        <f>+IF(F454="Pasajero",'2.2 OPEX LAP 2023'!N455*'2.1 OPEX TUUA'!$S$7,'2.2 OPEX LAP 2023'!N455*'2.1 OPEX TUUA'!$S$8)</f>
        <v>14.355743567560292</v>
      </c>
      <c r="AA454" s="6"/>
      <c r="AB454" s="6"/>
      <c r="AC454" s="6"/>
      <c r="AD454" s="6"/>
      <c r="AE454" s="6"/>
      <c r="AF454" s="6"/>
    </row>
    <row r="455" spans="2:32" x14ac:dyDescent="0.25">
      <c r="B455" s="16">
        <v>6510000001</v>
      </c>
      <c r="C455" s="190" t="s">
        <v>177</v>
      </c>
      <c r="D455" s="190" t="s">
        <v>38</v>
      </c>
      <c r="E455" s="190" t="s">
        <v>146</v>
      </c>
      <c r="F455" s="162" t="s">
        <v>192</v>
      </c>
      <c r="G455" s="3">
        <f>+IF(F455="Pasajero",'2.2 OPEX LAP 2023'!I456*'2.1 OPEX TUUA'!$G$7,'2.2 OPEX LAP 2023'!I456*'2.1 OPEX TUUA'!$G$8)</f>
        <v>1605.9793943810078</v>
      </c>
      <c r="H455" s="3">
        <f>+IF(F455="Pasajero",'2.2 OPEX LAP 2023'!J456*'2.1 OPEX TUUA'!$H$7,'2.2 OPEX LAP 2023'!J456*'2.1 OPEX TUUA'!$H$8)</f>
        <v>1605.9793943810078</v>
      </c>
      <c r="I455" s="3">
        <f>+IF(F455="Pasajero",'2.2 OPEX LAP 2023'!K456*'2.1 OPEX TUUA'!$I$7,'2.2 OPEX LAP 2023'!K456*'2.1 OPEX TUUA'!$I$8)</f>
        <v>1605.9793943810078</v>
      </c>
      <c r="J455" s="3">
        <f>+IF(F455="Pasajero",'2.2 OPEX LAP 2023'!L456*'2.1 OPEX TUUA'!$J$7,'2.2 OPEX LAP 2023'!L456*'2.1 OPEX TUUA'!$J$8)</f>
        <v>1605.9793943810078</v>
      </c>
      <c r="K455" s="3">
        <f>+IF(F455="Pasajero",'2.2 OPEX LAP 2023'!M456*'2.1 OPEX TUUA'!$K$7,'2.2 OPEX LAP 2023'!M456*'2.1 OPEX TUUA'!$K$8)</f>
        <v>1605.9793943810078</v>
      </c>
      <c r="L455" s="3">
        <f>+IF(F455="Pasajero",'2.2 OPEX LAP 2023'!N456*'2.1 OPEX TUUA'!$L$7,'2.2 OPEX LAP 2023'!N456*'2.1 OPEX TUUA'!$L$8)</f>
        <v>1605.9793943810078</v>
      </c>
      <c r="M455" s="3"/>
      <c r="N455" s="3">
        <f>+IF(F455="Pasajero",'2.2 OPEX LAP 2023'!I456*'2.1 OPEX TUUA'!$N$7,'2.2 OPEX LAP 2023'!I456*'2.1 OPEX TUUA'!$N$8)</f>
        <v>300.11857503586975</v>
      </c>
      <c r="O455" s="3">
        <f>+IF(F455="Pasajero",'2.2 OPEX LAP 2023'!J456*'2.1 OPEX TUUA'!$O$7,'2.2 OPEX LAP 2023'!J456*'2.1 OPEX TUUA'!$O$8)</f>
        <v>300.11857503586975</v>
      </c>
      <c r="P455" s="3">
        <f>+IF(F455="Pasajero",'2.2 OPEX LAP 2023'!K456*'2.1 OPEX TUUA'!$P$7,'2.2 OPEX LAP 2023'!K456*'2.1 OPEX TUUA'!$P$8)</f>
        <v>300.11857503586975</v>
      </c>
      <c r="Q455" s="3">
        <f>+IF(F455="Pasajero",'2.2 OPEX LAP 2023'!L456*'2.1 OPEX TUUA'!$Q$7,'2.2 OPEX LAP 2023'!L456*'2.1 OPEX TUUA'!$Q$8)</f>
        <v>300.11857503586975</v>
      </c>
      <c r="R455" s="3">
        <f>+IF(F455="Pasajero",'2.2 OPEX LAP 2023'!M456*'2.1 OPEX TUUA'!$R$7,'2.2 OPEX LAP 2023'!M456*'2.1 OPEX TUUA'!$R$8)</f>
        <v>300.11857503586975</v>
      </c>
      <c r="S455" s="3">
        <f>+IF(F455="Pasajero",'2.2 OPEX LAP 2023'!N456*'2.1 OPEX TUUA'!$S$7,'2.2 OPEX LAP 2023'!N456*'2.1 OPEX TUUA'!$S$8)</f>
        <v>300.11857503586975</v>
      </c>
      <c r="AA455" s="6"/>
      <c r="AB455" s="6"/>
      <c r="AC455" s="6"/>
      <c r="AD455" s="6"/>
      <c r="AE455" s="6"/>
      <c r="AF455" s="6"/>
    </row>
    <row r="456" spans="2:32" x14ac:dyDescent="0.25">
      <c r="B456" s="16">
        <v>6530000001</v>
      </c>
      <c r="C456" s="190" t="s">
        <v>177</v>
      </c>
      <c r="D456" s="190" t="s">
        <v>38</v>
      </c>
      <c r="E456" s="190" t="s">
        <v>147</v>
      </c>
      <c r="F456" s="162" t="s">
        <v>190</v>
      </c>
      <c r="G456" s="3">
        <f>+IF(F456="Pasajero",'2.2 OPEX LAP 2023'!I457*'2.1 OPEX TUUA'!$G$7,'2.2 OPEX LAP 2023'!I457*'2.1 OPEX TUUA'!$G$8)</f>
        <v>930.19865791663824</v>
      </c>
      <c r="H456" s="3">
        <f>+IF(F456="Pasajero",'2.2 OPEX LAP 2023'!J457*'2.1 OPEX TUUA'!$H$7,'2.2 OPEX LAP 2023'!J457*'2.1 OPEX TUUA'!$H$8)</f>
        <v>1067.0635607978718</v>
      </c>
      <c r="I456" s="3">
        <f>+IF(F456="Pasajero",'2.2 OPEX LAP 2023'!K457*'2.1 OPEX TUUA'!$I$7,'2.2 OPEX LAP 2023'!K457*'2.1 OPEX TUUA'!$I$8)</f>
        <v>1179.6544074735441</v>
      </c>
      <c r="J456" s="3">
        <f>+IF(F456="Pasajero",'2.2 OPEX LAP 2023'!L457*'2.1 OPEX TUUA'!$J$7,'2.2 OPEX LAP 2023'!L457*'2.1 OPEX TUUA'!$J$8)</f>
        <v>1229.3398705239285</v>
      </c>
      <c r="K456" s="3">
        <f>+IF(F456="Pasajero",'2.2 OPEX LAP 2023'!M457*'2.1 OPEX TUUA'!$K$7,'2.2 OPEX LAP 2023'!M457*'2.1 OPEX TUUA'!$K$8)</f>
        <v>1256.8402321573274</v>
      </c>
      <c r="L456" s="3">
        <f>+IF(F456="Pasajero",'2.2 OPEX LAP 2023'!N457*'2.1 OPEX TUUA'!$L$7,'2.2 OPEX LAP 2023'!N457*'2.1 OPEX TUUA'!$L$8)</f>
        <v>1290.4061638541211</v>
      </c>
      <c r="M456" s="3"/>
      <c r="N456" s="3">
        <f>+IF(F456="Pasajero",'2.2 OPEX LAP 2023'!I457*'2.1 OPEX TUUA'!$N$7,'2.2 OPEX LAP 2023'!I457*'2.1 OPEX TUUA'!$N$8)</f>
        <v>458.78999975939462</v>
      </c>
      <c r="O456" s="3">
        <f>+IF(F456="Pasajero",'2.2 OPEX LAP 2023'!J457*'2.1 OPEX TUUA'!$O$7,'2.2 OPEX LAP 2023'!J457*'2.1 OPEX TUUA'!$O$8)</f>
        <v>441.93848650029088</v>
      </c>
      <c r="P456" s="3">
        <f>+IF(F456="Pasajero",'2.2 OPEX LAP 2023'!K457*'2.1 OPEX TUUA'!$P$7,'2.2 OPEX LAP 2023'!K457*'2.1 OPEX TUUA'!$P$8)</f>
        <v>431.9053067199124</v>
      </c>
      <c r="Q456" s="3">
        <f>+IF(F456="Pasajero",'2.2 OPEX LAP 2023'!L457*'2.1 OPEX TUUA'!$Q$7,'2.2 OPEX LAP 2023'!L457*'2.1 OPEX TUUA'!$Q$8)</f>
        <v>422.04577806121256</v>
      </c>
      <c r="R456" s="3">
        <f>+IF(F456="Pasajero",'2.2 OPEX LAP 2023'!M457*'2.1 OPEX TUUA'!$R$7,'2.2 OPEX LAP 2023'!M457*'2.1 OPEX TUUA'!$R$8)</f>
        <v>416.69980921530106</v>
      </c>
      <c r="S456" s="3">
        <f>+IF(F456="Pasajero",'2.2 OPEX LAP 2023'!N457*'2.1 OPEX TUUA'!$S$7,'2.2 OPEX LAP 2023'!N457*'2.1 OPEX TUUA'!$S$8)</f>
        <v>410.13706936003751</v>
      </c>
      <c r="AA456" s="6"/>
      <c r="AB456" s="6"/>
      <c r="AC456" s="6"/>
      <c r="AD456" s="6"/>
      <c r="AE456" s="6"/>
      <c r="AF456" s="6"/>
    </row>
    <row r="457" spans="2:32" x14ac:dyDescent="0.25">
      <c r="B457" s="16">
        <v>6530000002</v>
      </c>
      <c r="C457" s="190" t="s">
        <v>177</v>
      </c>
      <c r="D457" s="190" t="s">
        <v>38</v>
      </c>
      <c r="E457" s="190" t="s">
        <v>148</v>
      </c>
      <c r="F457" s="162" t="s">
        <v>190</v>
      </c>
      <c r="G457" s="3">
        <f>+IF(F457="Pasajero",'2.2 OPEX LAP 2023'!I458*'2.1 OPEX TUUA'!$G$7,'2.2 OPEX LAP 2023'!I458*'2.1 OPEX TUUA'!$G$8)</f>
        <v>5989.524839357734</v>
      </c>
      <c r="H457" s="3">
        <f>+IF(F457="Pasajero",'2.2 OPEX LAP 2023'!J458*'2.1 OPEX TUUA'!$H$7,'2.2 OPEX LAP 2023'!J458*'2.1 OPEX TUUA'!$H$8)</f>
        <v>6870.7943708354887</v>
      </c>
      <c r="I457" s="3">
        <f>+IF(F457="Pasajero",'2.2 OPEX LAP 2023'!K458*'2.1 OPEX TUUA'!$I$7,'2.2 OPEX LAP 2023'!K458*'2.1 OPEX TUUA'!$I$8)</f>
        <v>7595.7638890227454</v>
      </c>
      <c r="J457" s="3">
        <f>+IF(F457="Pasajero",'2.2 OPEX LAP 2023'!L458*'2.1 OPEX TUUA'!$J$7,'2.2 OPEX LAP 2023'!L458*'2.1 OPEX TUUA'!$J$8)</f>
        <v>7915.6872866352342</v>
      </c>
      <c r="K457" s="3">
        <f>+IF(F457="Pasajero",'2.2 OPEX LAP 2023'!M458*'2.1 OPEX TUUA'!$K$7,'2.2 OPEX LAP 2023'!M458*'2.1 OPEX TUUA'!$K$8)</f>
        <v>8092.7613962275582</v>
      </c>
      <c r="L457" s="3">
        <f>+IF(F457="Pasajero",'2.2 OPEX LAP 2023'!N458*'2.1 OPEX TUUA'!$L$7,'2.2 OPEX LAP 2023'!N458*'2.1 OPEX TUUA'!$L$8)</f>
        <v>8308.8915528807702</v>
      </c>
      <c r="M457" s="3"/>
      <c r="N457" s="3">
        <f>+IF(F457="Pasajero",'2.2 OPEX LAP 2023'!I458*'2.1 OPEX TUUA'!$N$7,'2.2 OPEX LAP 2023'!I458*'2.1 OPEX TUUA'!$N$8)</f>
        <v>2954.1368139171032</v>
      </c>
      <c r="O457" s="3">
        <f>+IF(F457="Pasajero",'2.2 OPEX LAP 2023'!J458*'2.1 OPEX TUUA'!$O$7,'2.2 OPEX LAP 2023'!J458*'2.1 OPEX TUUA'!$O$8)</f>
        <v>2845.6303606050478</v>
      </c>
      <c r="P457" s="3">
        <f>+IF(F457="Pasajero",'2.2 OPEX LAP 2023'!K458*'2.1 OPEX TUUA'!$P$7,'2.2 OPEX LAP 2023'!K458*'2.1 OPEX TUUA'!$P$8)</f>
        <v>2781.0269783050658</v>
      </c>
      <c r="Q457" s="3">
        <f>+IF(F457="Pasajero",'2.2 OPEX LAP 2023'!L458*'2.1 OPEX TUUA'!$Q$7,'2.2 OPEX LAP 2023'!L458*'2.1 OPEX TUUA'!$Q$8)</f>
        <v>2717.5417310376652</v>
      </c>
      <c r="R457" s="3">
        <f>+IF(F457="Pasajero",'2.2 OPEX LAP 2023'!M458*'2.1 OPEX TUUA'!$R$7,'2.2 OPEX LAP 2023'!M458*'2.1 OPEX TUUA'!$R$8)</f>
        <v>2683.1191774030103</v>
      </c>
      <c r="S457" s="3">
        <f>+IF(F457="Pasajero",'2.2 OPEX LAP 2023'!N458*'2.1 OPEX TUUA'!$S$7,'2.2 OPEX LAP 2023'!N458*'2.1 OPEX TUUA'!$S$8)</f>
        <v>2640.8618670502078</v>
      </c>
      <c r="AA457" s="6"/>
      <c r="AB457" s="6"/>
      <c r="AC457" s="6"/>
      <c r="AD457" s="6"/>
      <c r="AE457" s="6"/>
      <c r="AF457" s="6"/>
    </row>
    <row r="458" spans="2:32" x14ac:dyDescent="0.25">
      <c r="B458" s="16">
        <v>6540000001</v>
      </c>
      <c r="C458" s="190" t="s">
        <v>177</v>
      </c>
      <c r="D458" s="190" t="s">
        <v>38</v>
      </c>
      <c r="E458" s="190" t="s">
        <v>149</v>
      </c>
      <c r="F458" s="162" t="s">
        <v>190</v>
      </c>
      <c r="G458" s="3">
        <f>+IF(F458="Pasajero",'2.2 OPEX LAP 2023'!I459*'2.1 OPEX TUUA'!$G$7,'2.2 OPEX LAP 2023'!I459*'2.1 OPEX TUUA'!$G$8)</f>
        <v>21358.562045816179</v>
      </c>
      <c r="H458" s="3">
        <f>+IF(F458="Pasajero",'2.2 OPEX LAP 2023'!J459*'2.1 OPEX TUUA'!$H$7,'2.2 OPEX LAP 2023'!J459*'2.1 OPEX TUUA'!$H$8)</f>
        <v>24501.156904672021</v>
      </c>
      <c r="I458" s="3">
        <f>+IF(F458="Pasajero",'2.2 OPEX LAP 2023'!K459*'2.1 OPEX TUUA'!$I$7,'2.2 OPEX LAP 2023'!K459*'2.1 OPEX TUUA'!$I$8)</f>
        <v>27086.38809593099</v>
      </c>
      <c r="J458" s="3">
        <f>+IF(F458="Pasajero",'2.2 OPEX LAP 2023'!L459*'2.1 OPEX TUUA'!$J$7,'2.2 OPEX LAP 2023'!L459*'2.1 OPEX TUUA'!$J$8)</f>
        <v>28227.230470089566</v>
      </c>
      <c r="K458" s="3">
        <f>+IF(F458="Pasajero",'2.2 OPEX LAP 2023'!M459*'2.1 OPEX TUUA'!$K$7,'2.2 OPEX LAP 2023'!M459*'2.1 OPEX TUUA'!$K$8)</f>
        <v>28858.674275378278</v>
      </c>
      <c r="L458" s="3">
        <f>+IF(F458="Pasajero",'2.2 OPEX LAP 2023'!N459*'2.1 OPEX TUUA'!$L$7,'2.2 OPEX LAP 2023'!N459*'2.1 OPEX TUUA'!$L$8)</f>
        <v>29629.391399801225</v>
      </c>
      <c r="M458" s="3"/>
      <c r="N458" s="3">
        <f>+IF(F458="Pasajero",'2.2 OPEX LAP 2023'!I459*'2.1 OPEX TUUA'!$N$7,'2.2 OPEX LAP 2023'!I459*'2.1 OPEX TUUA'!$N$8)</f>
        <v>10534.410679335968</v>
      </c>
      <c r="O458" s="3">
        <f>+IF(F458="Pasajero",'2.2 OPEX LAP 2023'!J459*'2.1 OPEX TUUA'!$O$7,'2.2 OPEX LAP 2023'!J459*'2.1 OPEX TUUA'!$O$8)</f>
        <v>10147.478180081904</v>
      </c>
      <c r="P458" s="3">
        <f>+IF(F458="Pasajero",'2.2 OPEX LAP 2023'!K459*'2.1 OPEX TUUA'!$P$7,'2.2 OPEX LAP 2023'!K459*'2.1 OPEX TUUA'!$P$8)</f>
        <v>9917.1034197742556</v>
      </c>
      <c r="Q458" s="3">
        <f>+IF(F458="Pasajero",'2.2 OPEX LAP 2023'!L459*'2.1 OPEX TUUA'!$Q$7,'2.2 OPEX LAP 2023'!L459*'2.1 OPEX TUUA'!$Q$8)</f>
        <v>9690.7159133990153</v>
      </c>
      <c r="R458" s="3">
        <f>+IF(F458="Pasajero",'2.2 OPEX LAP 2023'!M459*'2.1 OPEX TUUA'!$R$7,'2.2 OPEX LAP 2023'!M459*'2.1 OPEX TUUA'!$R$8)</f>
        <v>9567.9655672029294</v>
      </c>
      <c r="S458" s="3">
        <f>+IF(F458="Pasajero",'2.2 OPEX LAP 2023'!N459*'2.1 OPEX TUUA'!$S$7,'2.2 OPEX LAP 2023'!N459*'2.1 OPEX TUUA'!$S$8)</f>
        <v>9417.2765878153041</v>
      </c>
      <c r="AA458" s="6"/>
      <c r="AB458" s="6"/>
      <c r="AC458" s="6"/>
      <c r="AD458" s="6"/>
      <c r="AE458" s="6"/>
      <c r="AF458" s="6"/>
    </row>
    <row r="459" spans="2:32" x14ac:dyDescent="0.25">
      <c r="B459" s="16">
        <v>6561000001</v>
      </c>
      <c r="C459" s="190" t="s">
        <v>177</v>
      </c>
      <c r="D459" s="190" t="s">
        <v>38</v>
      </c>
      <c r="E459" s="190" t="s">
        <v>150</v>
      </c>
      <c r="F459" s="162" t="s">
        <v>190</v>
      </c>
      <c r="G459" s="3">
        <f>+IF(F459="Pasajero",'2.2 OPEX LAP 2023'!I460*'2.1 OPEX TUUA'!$G$7,'2.2 OPEX LAP 2023'!I460*'2.1 OPEX TUUA'!$G$8)</f>
        <v>217.19591291895864</v>
      </c>
      <c r="H459" s="3">
        <f>+IF(F459="Pasajero",'2.2 OPEX LAP 2023'!J460*'2.1 OPEX TUUA'!$H$7,'2.2 OPEX LAP 2023'!J460*'2.1 OPEX TUUA'!$H$8)</f>
        <v>249.15306236747799</v>
      </c>
      <c r="I459" s="3">
        <f>+IF(F459="Pasajero",'2.2 OPEX LAP 2023'!K460*'2.1 OPEX TUUA'!$I$7,'2.2 OPEX LAP 2023'!K460*'2.1 OPEX TUUA'!$I$8)</f>
        <v>275.44236253139275</v>
      </c>
      <c r="J459" s="3">
        <f>+IF(F459="Pasajero",'2.2 OPEX LAP 2023'!L460*'2.1 OPEX TUUA'!$J$7,'2.2 OPEX LAP 2023'!L460*'2.1 OPEX TUUA'!$J$8)</f>
        <v>287.04362578219019</v>
      </c>
      <c r="K459" s="3">
        <f>+IF(F459="Pasajero",'2.2 OPEX LAP 2023'!M460*'2.1 OPEX TUUA'!$K$7,'2.2 OPEX LAP 2023'!M460*'2.1 OPEX TUUA'!$K$8)</f>
        <v>293.46479839917203</v>
      </c>
      <c r="L459" s="3">
        <f>+IF(F459="Pasajero",'2.2 OPEX LAP 2023'!N460*'2.1 OPEX TUUA'!$L$7,'2.2 OPEX LAP 2023'!N460*'2.1 OPEX TUUA'!$L$8)</f>
        <v>301.30224593343183</v>
      </c>
      <c r="M459" s="3"/>
      <c r="N459" s="3">
        <f>+IF(F459="Pasajero",'2.2 OPEX LAP 2023'!I460*'2.1 OPEX TUUA'!$N$7,'2.2 OPEX LAP 2023'!I460*'2.1 OPEX TUUA'!$N$8)</f>
        <v>107.12476521844287</v>
      </c>
      <c r="O459" s="3">
        <f>+IF(F459="Pasajero",'2.2 OPEX LAP 2023'!J460*'2.1 OPEX TUUA'!$O$7,'2.2 OPEX LAP 2023'!J460*'2.1 OPEX TUUA'!$O$8)</f>
        <v>103.19003603427652</v>
      </c>
      <c r="P459" s="3">
        <f>+IF(F459="Pasajero",'2.2 OPEX LAP 2023'!K460*'2.1 OPEX TUUA'!$P$7,'2.2 OPEX LAP 2023'!K460*'2.1 OPEX TUUA'!$P$8)</f>
        <v>100.84734759527144</v>
      </c>
      <c r="Q459" s="3">
        <f>+IF(F459="Pasajero",'2.2 OPEX LAP 2023'!L460*'2.1 OPEX TUUA'!$Q$7,'2.2 OPEX LAP 2023'!L460*'2.1 OPEX TUUA'!$Q$8)</f>
        <v>98.545205671337541</v>
      </c>
      <c r="R459" s="3">
        <f>+IF(F459="Pasajero",'2.2 OPEX LAP 2023'!M460*'2.1 OPEX TUUA'!$R$7,'2.2 OPEX LAP 2023'!M460*'2.1 OPEX TUUA'!$R$8)</f>
        <v>97.296953403886818</v>
      </c>
      <c r="S459" s="3">
        <f>+IF(F459="Pasajero",'2.2 OPEX LAP 2023'!N460*'2.1 OPEX TUUA'!$S$7,'2.2 OPEX LAP 2023'!N460*'2.1 OPEX TUUA'!$S$8)</f>
        <v>95.764592265776756</v>
      </c>
      <c r="AA459" s="6"/>
      <c r="AB459" s="6"/>
      <c r="AC459" s="6"/>
      <c r="AD459" s="6"/>
      <c r="AE459" s="6"/>
      <c r="AF459" s="6"/>
    </row>
    <row r="460" spans="2:32" x14ac:dyDescent="0.25">
      <c r="B460" s="16">
        <v>6561000002</v>
      </c>
      <c r="C460" s="190" t="s">
        <v>177</v>
      </c>
      <c r="D460" s="190" t="s">
        <v>38</v>
      </c>
      <c r="E460" s="190" t="s">
        <v>151</v>
      </c>
      <c r="F460" s="162" t="s">
        <v>190</v>
      </c>
      <c r="G460" s="3">
        <f>+IF(F460="Pasajero",'2.2 OPEX LAP 2023'!I461*'2.1 OPEX TUUA'!$G$7,'2.2 OPEX LAP 2023'!I461*'2.1 OPEX TUUA'!$G$8)</f>
        <v>4583.1209464627836</v>
      </c>
      <c r="H460" s="3">
        <f>+IF(F460="Pasajero",'2.2 OPEX LAP 2023'!J461*'2.1 OPEX TUUA'!$H$7,'2.2 OPEX LAP 2023'!J461*'2.1 OPEX TUUA'!$H$8)</f>
        <v>5257.4590546637419</v>
      </c>
      <c r="I460" s="3">
        <f>+IF(F460="Pasajero",'2.2 OPEX LAP 2023'!K461*'2.1 OPEX TUUA'!$I$7,'2.2 OPEX LAP 2023'!K461*'2.1 OPEX TUUA'!$I$8)</f>
        <v>5812.1980487351539</v>
      </c>
      <c r="J460" s="3">
        <f>+IF(F460="Pasajero",'2.2 OPEX LAP 2023'!L461*'2.1 OPEX TUUA'!$J$7,'2.2 OPEX LAP 2023'!L461*'2.1 OPEX TUUA'!$J$8)</f>
        <v>6057.0000429144729</v>
      </c>
      <c r="K460" s="3">
        <f>+IF(F460="Pasajero",'2.2 OPEX LAP 2023'!M461*'2.1 OPEX TUUA'!$K$7,'2.2 OPEX LAP 2023'!M461*'2.1 OPEX TUUA'!$K$8)</f>
        <v>6192.4952754270826</v>
      </c>
      <c r="L460" s="3">
        <f>+IF(F460="Pasajero",'2.2 OPEX LAP 2023'!N461*'2.1 OPEX TUUA'!$L$7,'2.2 OPEX LAP 2023'!N461*'2.1 OPEX TUUA'!$L$8)</f>
        <v>6357.8757813414441</v>
      </c>
      <c r="M460" s="3"/>
      <c r="N460" s="3">
        <f>+IF(F460="Pasajero",'2.2 OPEX LAP 2023'!I461*'2.1 OPEX TUUA'!$N$7,'2.2 OPEX LAP 2023'!I461*'2.1 OPEX TUUA'!$N$8)</f>
        <v>2260.4741901416223</v>
      </c>
      <c r="O460" s="3">
        <f>+IF(F460="Pasajero",'2.2 OPEX LAP 2023'!J461*'2.1 OPEX TUUA'!$O$7,'2.2 OPEX LAP 2023'!J461*'2.1 OPEX TUUA'!$O$8)</f>
        <v>2177.4462017220612</v>
      </c>
      <c r="P460" s="3">
        <f>+IF(F460="Pasajero",'2.2 OPEX LAP 2023'!K461*'2.1 OPEX TUUA'!$P$7,'2.2 OPEX LAP 2023'!K461*'2.1 OPEX TUUA'!$P$8)</f>
        <v>2128.0123780761878</v>
      </c>
      <c r="Q460" s="3">
        <f>+IF(F460="Pasajero",'2.2 OPEX LAP 2023'!L461*'2.1 OPEX TUUA'!$Q$7,'2.2 OPEX LAP 2023'!L461*'2.1 OPEX TUUA'!$Q$8)</f>
        <v>2079.4341395103065</v>
      </c>
      <c r="R460" s="3">
        <f>+IF(F460="Pasajero",'2.2 OPEX LAP 2023'!M461*'2.1 OPEX TUUA'!$R$7,'2.2 OPEX LAP 2023'!M461*'2.1 OPEX TUUA'!$R$8)</f>
        <v>2053.0943661852084</v>
      </c>
      <c r="S460" s="3">
        <f>+IF(F460="Pasajero",'2.2 OPEX LAP 2023'!N461*'2.1 OPEX TUUA'!$S$7,'2.2 OPEX LAP 2023'!N461*'2.1 OPEX TUUA'!$S$8)</f>
        <v>2020.7595200307219</v>
      </c>
      <c r="AA460" s="6"/>
      <c r="AB460" s="6"/>
      <c r="AC460" s="6"/>
      <c r="AD460" s="6"/>
      <c r="AE460" s="6"/>
      <c r="AF460" s="6"/>
    </row>
    <row r="461" spans="2:32" x14ac:dyDescent="0.25">
      <c r="B461" s="16">
        <v>6561000003</v>
      </c>
      <c r="C461" s="190" t="s">
        <v>177</v>
      </c>
      <c r="D461" s="190" t="s">
        <v>38</v>
      </c>
      <c r="E461" s="190" t="s">
        <v>152</v>
      </c>
      <c r="F461" s="162" t="s">
        <v>190</v>
      </c>
      <c r="G461" s="3">
        <f>+IF(F461="Pasajero",'2.2 OPEX LAP 2023'!I462*'2.1 OPEX TUUA'!$G$7,'2.2 OPEX LAP 2023'!I462*'2.1 OPEX TUUA'!$G$8)</f>
        <v>8193.1082497560692</v>
      </c>
      <c r="H461" s="3">
        <f>+IF(F461="Pasajero",'2.2 OPEX LAP 2023'!J462*'2.1 OPEX TUUA'!$H$7,'2.2 OPEX LAP 2023'!J462*'2.1 OPEX TUUA'!$H$8)</f>
        <v>9398.6023185281938</v>
      </c>
      <c r="I461" s="3">
        <f>+IF(F461="Pasajero",'2.2 OPEX LAP 2023'!K462*'2.1 OPEX TUUA'!$I$7,'2.2 OPEX LAP 2023'!K462*'2.1 OPEX TUUA'!$I$8)</f>
        <v>10390.292627791296</v>
      </c>
      <c r="J461" s="3">
        <f>+IF(F461="Pasajero",'2.2 OPEX LAP 2023'!L462*'2.1 OPEX TUUA'!$J$7,'2.2 OPEX LAP 2023'!L462*'2.1 OPEX TUUA'!$J$8)</f>
        <v>10827.917831554527</v>
      </c>
      <c r="K461" s="3">
        <f>+IF(F461="Pasajero",'2.2 OPEX LAP 2023'!M462*'2.1 OPEX TUUA'!$K$7,'2.2 OPEX LAP 2023'!M462*'2.1 OPEX TUUA'!$K$8)</f>
        <v>11070.138606495775</v>
      </c>
      <c r="L461" s="3">
        <f>+IF(F461="Pasajero",'2.2 OPEX LAP 2023'!N462*'2.1 OPEX TUUA'!$L$7,'2.2 OPEX LAP 2023'!N462*'2.1 OPEX TUUA'!$L$8)</f>
        <v>11365.784390926045</v>
      </c>
      <c r="M461" s="3"/>
      <c r="N461" s="3">
        <f>+IF(F461="Pasajero",'2.2 OPEX LAP 2023'!I462*'2.1 OPEX TUUA'!$N$7,'2.2 OPEX LAP 2023'!I462*'2.1 OPEX TUUA'!$N$8)</f>
        <v>4040.9821062880364</v>
      </c>
      <c r="O461" s="3">
        <f>+IF(F461="Pasajero",'2.2 OPEX LAP 2023'!J462*'2.1 OPEX TUUA'!$O$7,'2.2 OPEX LAP 2023'!J462*'2.1 OPEX TUUA'!$O$8)</f>
        <v>3892.5554544873735</v>
      </c>
      <c r="P461" s="3">
        <f>+IF(F461="Pasajero",'2.2 OPEX LAP 2023'!K462*'2.1 OPEX TUUA'!$P$7,'2.2 OPEX LAP 2023'!K462*'2.1 OPEX TUUA'!$P$8)</f>
        <v>3804.184086360468</v>
      </c>
      <c r="Q461" s="3">
        <f>+IF(F461="Pasajero",'2.2 OPEX LAP 2023'!L462*'2.1 OPEX TUUA'!$Q$7,'2.2 OPEX LAP 2023'!L462*'2.1 OPEX TUUA'!$Q$8)</f>
        <v>3717.3422220932985</v>
      </c>
      <c r="R461" s="3">
        <f>+IF(F461="Pasajero",'2.2 OPEX LAP 2023'!M462*'2.1 OPEX TUUA'!$R$7,'2.2 OPEX LAP 2023'!M462*'2.1 OPEX TUUA'!$R$8)</f>
        <v>3670.2553970569397</v>
      </c>
      <c r="S461" s="3">
        <f>+IF(F461="Pasajero",'2.2 OPEX LAP 2023'!N462*'2.1 OPEX TUUA'!$S$7,'2.2 OPEX LAP 2023'!N462*'2.1 OPEX TUUA'!$S$8)</f>
        <v>3612.4513596166048</v>
      </c>
      <c r="AA461" s="6"/>
      <c r="AB461" s="6"/>
      <c r="AC461" s="6"/>
      <c r="AD461" s="6"/>
      <c r="AE461" s="6"/>
      <c r="AF461" s="6"/>
    </row>
    <row r="462" spans="2:32" x14ac:dyDescent="0.25">
      <c r="B462" s="16">
        <v>6561000004</v>
      </c>
      <c r="C462" s="190" t="s">
        <v>177</v>
      </c>
      <c r="D462" s="190" t="s">
        <v>38</v>
      </c>
      <c r="E462" s="190" t="s">
        <v>153</v>
      </c>
      <c r="F462" s="162" t="s">
        <v>190</v>
      </c>
      <c r="G462" s="3">
        <f>+IF(F462="Pasajero",'2.2 OPEX LAP 2023'!I463*'2.1 OPEX TUUA'!$G$7,'2.2 OPEX LAP 2023'!I463*'2.1 OPEX TUUA'!$G$8)</f>
        <v>1581.8517839541084</v>
      </c>
      <c r="H462" s="3">
        <f>+IF(F462="Pasajero",'2.2 OPEX LAP 2023'!J463*'2.1 OPEX TUUA'!$H$7,'2.2 OPEX LAP 2023'!J463*'2.1 OPEX TUUA'!$H$8)</f>
        <v>1814.5977559471009</v>
      </c>
      <c r="I462" s="3">
        <f>+IF(F462="Pasajero",'2.2 OPEX LAP 2023'!K463*'2.1 OPEX TUUA'!$I$7,'2.2 OPEX LAP 2023'!K463*'2.1 OPEX TUUA'!$I$8)</f>
        <v>2006.0644175629218</v>
      </c>
      <c r="J462" s="3">
        <f>+IF(F462="Pasajero",'2.2 OPEX LAP 2023'!L463*'2.1 OPEX TUUA'!$J$7,'2.2 OPEX LAP 2023'!L463*'2.1 OPEX TUUA'!$J$8)</f>
        <v>2090.5571629500905</v>
      </c>
      <c r="K462" s="3">
        <f>+IF(F462="Pasajero",'2.2 OPEX LAP 2023'!M463*'2.1 OPEX TUUA'!$K$7,'2.2 OPEX LAP 2023'!M463*'2.1 OPEX TUUA'!$K$8)</f>
        <v>2137.3229755417851</v>
      </c>
      <c r="L462" s="3">
        <f>+IF(F462="Pasajero",'2.2 OPEX LAP 2023'!N463*'2.1 OPEX TUUA'!$L$7,'2.2 OPEX LAP 2023'!N463*'2.1 OPEX TUUA'!$L$8)</f>
        <v>2194.4036093212126</v>
      </c>
      <c r="M462" s="3"/>
      <c r="N462" s="3">
        <f>+IF(F462="Pasajero",'2.2 OPEX LAP 2023'!I463*'2.1 OPEX TUUA'!$N$7,'2.2 OPEX LAP 2023'!I463*'2.1 OPEX TUUA'!$N$8)</f>
        <v>780.1965455477382</v>
      </c>
      <c r="O462" s="3">
        <f>+IF(F462="Pasajero",'2.2 OPEX LAP 2023'!J463*'2.1 OPEX TUUA'!$O$7,'2.2 OPEX LAP 2023'!J463*'2.1 OPEX TUUA'!$O$8)</f>
        <v>751.53966017774394</v>
      </c>
      <c r="P462" s="3">
        <f>+IF(F462="Pasajero",'2.2 OPEX LAP 2023'!K463*'2.1 OPEX TUUA'!$P$7,'2.2 OPEX LAP 2023'!K463*'2.1 OPEX TUUA'!$P$8)</f>
        <v>734.47770980913106</v>
      </c>
      <c r="Q462" s="3">
        <f>+IF(F462="Pasajero",'2.2 OPEX LAP 2023'!L463*'2.1 OPEX TUUA'!$Q$7,'2.2 OPEX LAP 2023'!L463*'2.1 OPEX TUUA'!$Q$8)</f>
        <v>717.71106231402291</v>
      </c>
      <c r="R462" s="3">
        <f>+IF(F462="Pasajero",'2.2 OPEX LAP 2023'!M463*'2.1 OPEX TUUA'!$R$7,'2.2 OPEX LAP 2023'!M463*'2.1 OPEX TUUA'!$R$8)</f>
        <v>708.61996087682212</v>
      </c>
      <c r="S462" s="3">
        <f>+IF(F462="Pasajero",'2.2 OPEX LAP 2023'!N463*'2.1 OPEX TUUA'!$S$7,'2.2 OPEX LAP 2023'!N463*'2.1 OPEX TUUA'!$S$8)</f>
        <v>697.45967628672577</v>
      </c>
      <c r="AA462" s="6"/>
      <c r="AB462" s="6"/>
      <c r="AC462" s="6"/>
      <c r="AD462" s="6"/>
      <c r="AE462" s="6"/>
      <c r="AF462" s="6"/>
    </row>
    <row r="463" spans="2:32" x14ac:dyDescent="0.25">
      <c r="B463" s="16">
        <v>6561000005</v>
      </c>
      <c r="C463" s="190" t="s">
        <v>177</v>
      </c>
      <c r="D463" s="190" t="s">
        <v>38</v>
      </c>
      <c r="E463" s="190" t="s">
        <v>154</v>
      </c>
      <c r="F463" s="162" t="s">
        <v>190</v>
      </c>
      <c r="G463" s="3">
        <f>+IF(F463="Pasajero",'2.2 OPEX LAP 2023'!I464*'2.1 OPEX TUUA'!$G$7,'2.2 OPEX LAP 2023'!I464*'2.1 OPEX TUUA'!$G$8)</f>
        <v>20.97246862715096</v>
      </c>
      <c r="H463" s="3">
        <f>+IF(F463="Pasajero",'2.2 OPEX LAP 2023'!J464*'2.1 OPEX TUUA'!$H$7,'2.2 OPEX LAP 2023'!J464*'2.1 OPEX TUUA'!$H$8)</f>
        <v>24.058255579653711</v>
      </c>
      <c r="I463" s="3">
        <f>+IF(F463="Pasajero",'2.2 OPEX LAP 2023'!K464*'2.1 OPEX TUUA'!$I$7,'2.2 OPEX LAP 2023'!K464*'2.1 OPEX TUUA'!$I$8)</f>
        <v>26.59675418907819</v>
      </c>
      <c r="J463" s="3">
        <f>+IF(F463="Pasajero",'2.2 OPEX LAP 2023'!L464*'2.1 OPEX TUUA'!$J$7,'2.2 OPEX LAP 2023'!L464*'2.1 OPEX TUUA'!$J$8)</f>
        <v>27.716973839129587</v>
      </c>
      <c r="K463" s="3">
        <f>+IF(F463="Pasajero",'2.2 OPEX LAP 2023'!M464*'2.1 OPEX TUUA'!$K$7,'2.2 OPEX LAP 2023'!M464*'2.1 OPEX TUUA'!$K$8)</f>
        <v>28.33700319165898</v>
      </c>
      <c r="L463" s="3">
        <f>+IF(F463="Pasajero",'2.2 OPEX LAP 2023'!N464*'2.1 OPEX TUUA'!$L$7,'2.2 OPEX LAP 2023'!N464*'2.1 OPEX TUUA'!$L$8)</f>
        <v>29.093788254140961</v>
      </c>
      <c r="M463" s="3"/>
      <c r="N463" s="3">
        <f>+IF(F463="Pasajero",'2.2 OPEX LAP 2023'!I464*'2.1 OPEX TUUA'!$N$7,'2.2 OPEX LAP 2023'!I464*'2.1 OPEX TUUA'!$N$8)</f>
        <v>10.343982755204955</v>
      </c>
      <c r="O463" s="3">
        <f>+IF(F463="Pasajero",'2.2 OPEX LAP 2023'!J464*'2.1 OPEX TUUA'!$O$7,'2.2 OPEX LAP 2023'!J464*'2.1 OPEX TUUA'!$O$8)</f>
        <v>9.9640447385901822</v>
      </c>
      <c r="P463" s="3">
        <f>+IF(F463="Pasajero",'2.2 OPEX LAP 2023'!K464*'2.1 OPEX TUUA'!$P$7,'2.2 OPEX LAP 2023'!K464*'2.1 OPEX TUUA'!$P$8)</f>
        <v>9.7378344055782744</v>
      </c>
      <c r="Q463" s="3">
        <f>+IF(F463="Pasajero",'2.2 OPEX LAP 2023'!L464*'2.1 OPEX TUUA'!$Q$7,'2.2 OPEX LAP 2023'!L464*'2.1 OPEX TUUA'!$Q$8)</f>
        <v>9.5155392499002396</v>
      </c>
      <c r="R463" s="3">
        <f>+IF(F463="Pasajero",'2.2 OPEX LAP 2023'!M464*'2.1 OPEX TUUA'!$R$7,'2.2 OPEX LAP 2023'!M464*'2.1 OPEX TUUA'!$R$8)</f>
        <v>9.3950078312098313</v>
      </c>
      <c r="S463" s="3">
        <f>+IF(F463="Pasajero",'2.2 OPEX LAP 2023'!N464*'2.1 OPEX TUUA'!$S$7,'2.2 OPEX LAP 2023'!N464*'2.1 OPEX TUUA'!$S$8)</f>
        <v>9.2470428190575547</v>
      </c>
      <c r="AA463" s="6"/>
      <c r="AB463" s="6"/>
      <c r="AC463" s="6"/>
      <c r="AD463" s="6"/>
      <c r="AE463" s="6"/>
      <c r="AF463" s="6"/>
    </row>
    <row r="464" spans="2:32" x14ac:dyDescent="0.25">
      <c r="B464" s="16">
        <v>6562000001</v>
      </c>
      <c r="C464" s="190" t="s">
        <v>177</v>
      </c>
      <c r="D464" s="190" t="s">
        <v>38</v>
      </c>
      <c r="E464" s="190" t="s">
        <v>155</v>
      </c>
      <c r="F464" s="162" t="s">
        <v>190</v>
      </c>
      <c r="G464" s="3">
        <f>+IF(F464="Pasajero",'2.2 OPEX LAP 2023'!I465*'2.1 OPEX TUUA'!$G$7,'2.2 OPEX LAP 2023'!I465*'2.1 OPEX TUUA'!$G$8)</f>
        <v>0</v>
      </c>
      <c r="H464" s="3">
        <f>+IF(F464="Pasajero",'2.2 OPEX LAP 2023'!J465*'2.1 OPEX TUUA'!$H$7,'2.2 OPEX LAP 2023'!J465*'2.1 OPEX TUUA'!$H$8)</f>
        <v>0</v>
      </c>
      <c r="I464" s="3">
        <f>+IF(F464="Pasajero",'2.2 OPEX LAP 2023'!K465*'2.1 OPEX TUUA'!$I$7,'2.2 OPEX LAP 2023'!K465*'2.1 OPEX TUUA'!$I$8)</f>
        <v>0</v>
      </c>
      <c r="J464" s="3">
        <f>+IF(F464="Pasajero",'2.2 OPEX LAP 2023'!L465*'2.1 OPEX TUUA'!$J$7,'2.2 OPEX LAP 2023'!L465*'2.1 OPEX TUUA'!$J$8)</f>
        <v>0</v>
      </c>
      <c r="K464" s="3">
        <f>+IF(F464="Pasajero",'2.2 OPEX LAP 2023'!M465*'2.1 OPEX TUUA'!$K$7,'2.2 OPEX LAP 2023'!M465*'2.1 OPEX TUUA'!$K$8)</f>
        <v>0</v>
      </c>
      <c r="L464" s="3">
        <f>+IF(F464="Pasajero",'2.2 OPEX LAP 2023'!N465*'2.1 OPEX TUUA'!$L$7,'2.2 OPEX LAP 2023'!N465*'2.1 OPEX TUUA'!$L$8)</f>
        <v>0</v>
      </c>
      <c r="M464" s="3"/>
      <c r="N464" s="3">
        <f>+IF(F464="Pasajero",'2.2 OPEX LAP 2023'!I465*'2.1 OPEX TUUA'!$N$7,'2.2 OPEX LAP 2023'!I465*'2.1 OPEX TUUA'!$N$8)</f>
        <v>0</v>
      </c>
      <c r="O464" s="3">
        <f>+IF(F464="Pasajero",'2.2 OPEX LAP 2023'!J465*'2.1 OPEX TUUA'!$O$7,'2.2 OPEX LAP 2023'!J465*'2.1 OPEX TUUA'!$O$8)</f>
        <v>0</v>
      </c>
      <c r="P464" s="3">
        <f>+IF(F464="Pasajero",'2.2 OPEX LAP 2023'!K465*'2.1 OPEX TUUA'!$P$7,'2.2 OPEX LAP 2023'!K465*'2.1 OPEX TUUA'!$P$8)</f>
        <v>0</v>
      </c>
      <c r="Q464" s="3">
        <f>+IF(F464="Pasajero",'2.2 OPEX LAP 2023'!L465*'2.1 OPEX TUUA'!$Q$7,'2.2 OPEX LAP 2023'!L465*'2.1 OPEX TUUA'!$Q$8)</f>
        <v>0</v>
      </c>
      <c r="R464" s="3">
        <f>+IF(F464="Pasajero",'2.2 OPEX LAP 2023'!M465*'2.1 OPEX TUUA'!$R$7,'2.2 OPEX LAP 2023'!M465*'2.1 OPEX TUUA'!$R$8)</f>
        <v>0</v>
      </c>
      <c r="S464" s="3">
        <f>+IF(F464="Pasajero",'2.2 OPEX LAP 2023'!N465*'2.1 OPEX TUUA'!$S$7,'2.2 OPEX LAP 2023'!N465*'2.1 OPEX TUUA'!$S$8)</f>
        <v>0</v>
      </c>
      <c r="AA464" s="6"/>
      <c r="AB464" s="6"/>
      <c r="AC464" s="6"/>
      <c r="AD464" s="6"/>
      <c r="AE464" s="6"/>
      <c r="AF464" s="6"/>
    </row>
    <row r="465" spans="2:32" x14ac:dyDescent="0.25">
      <c r="B465" s="16">
        <v>6562000002</v>
      </c>
      <c r="C465" s="190" t="s">
        <v>177</v>
      </c>
      <c r="D465" s="190" t="s">
        <v>38</v>
      </c>
      <c r="E465" s="190" t="s">
        <v>156</v>
      </c>
      <c r="F465" s="162" t="s">
        <v>190</v>
      </c>
      <c r="G465" s="3">
        <f>+IF(F465="Pasajero",'2.2 OPEX LAP 2023'!I466*'2.1 OPEX TUUA'!$G$7,'2.2 OPEX LAP 2023'!I466*'2.1 OPEX TUUA'!$G$8)</f>
        <v>0</v>
      </c>
      <c r="H465" s="3">
        <f>+IF(F465="Pasajero",'2.2 OPEX LAP 2023'!J466*'2.1 OPEX TUUA'!$H$7,'2.2 OPEX LAP 2023'!J466*'2.1 OPEX TUUA'!$H$8)</f>
        <v>0</v>
      </c>
      <c r="I465" s="3">
        <f>+IF(F465="Pasajero",'2.2 OPEX LAP 2023'!K466*'2.1 OPEX TUUA'!$I$7,'2.2 OPEX LAP 2023'!K466*'2.1 OPEX TUUA'!$I$8)</f>
        <v>0</v>
      </c>
      <c r="J465" s="3">
        <f>+IF(F465="Pasajero",'2.2 OPEX LAP 2023'!L466*'2.1 OPEX TUUA'!$J$7,'2.2 OPEX LAP 2023'!L466*'2.1 OPEX TUUA'!$J$8)</f>
        <v>0</v>
      </c>
      <c r="K465" s="3">
        <f>+IF(F465="Pasajero",'2.2 OPEX LAP 2023'!M466*'2.1 OPEX TUUA'!$K$7,'2.2 OPEX LAP 2023'!M466*'2.1 OPEX TUUA'!$K$8)</f>
        <v>0</v>
      </c>
      <c r="L465" s="3">
        <f>+IF(F465="Pasajero",'2.2 OPEX LAP 2023'!N466*'2.1 OPEX TUUA'!$L$7,'2.2 OPEX LAP 2023'!N466*'2.1 OPEX TUUA'!$L$8)</f>
        <v>0</v>
      </c>
      <c r="M465" s="3"/>
      <c r="N465" s="3">
        <f>+IF(F465="Pasajero",'2.2 OPEX LAP 2023'!I466*'2.1 OPEX TUUA'!$N$7,'2.2 OPEX LAP 2023'!I466*'2.1 OPEX TUUA'!$N$8)</f>
        <v>0</v>
      </c>
      <c r="O465" s="3">
        <f>+IF(F465="Pasajero",'2.2 OPEX LAP 2023'!J466*'2.1 OPEX TUUA'!$O$7,'2.2 OPEX LAP 2023'!J466*'2.1 OPEX TUUA'!$O$8)</f>
        <v>0</v>
      </c>
      <c r="P465" s="3">
        <f>+IF(F465="Pasajero",'2.2 OPEX LAP 2023'!K466*'2.1 OPEX TUUA'!$P$7,'2.2 OPEX LAP 2023'!K466*'2.1 OPEX TUUA'!$P$8)</f>
        <v>0</v>
      </c>
      <c r="Q465" s="3">
        <f>+IF(F465="Pasajero",'2.2 OPEX LAP 2023'!L466*'2.1 OPEX TUUA'!$Q$7,'2.2 OPEX LAP 2023'!L466*'2.1 OPEX TUUA'!$Q$8)</f>
        <v>0</v>
      </c>
      <c r="R465" s="3">
        <f>+IF(F465="Pasajero",'2.2 OPEX LAP 2023'!M466*'2.1 OPEX TUUA'!$R$7,'2.2 OPEX LAP 2023'!M466*'2.1 OPEX TUUA'!$R$8)</f>
        <v>0</v>
      </c>
      <c r="S465" s="3">
        <f>+IF(F465="Pasajero",'2.2 OPEX LAP 2023'!N466*'2.1 OPEX TUUA'!$S$7,'2.2 OPEX LAP 2023'!N466*'2.1 OPEX TUUA'!$S$8)</f>
        <v>0</v>
      </c>
      <c r="AA465" s="6"/>
      <c r="AB465" s="6"/>
      <c r="AC465" s="6"/>
      <c r="AD465" s="6"/>
      <c r="AE465" s="6"/>
      <c r="AF465" s="6"/>
    </row>
    <row r="466" spans="2:32" x14ac:dyDescent="0.25">
      <c r="B466" s="16">
        <v>6562000003</v>
      </c>
      <c r="C466" s="190" t="s">
        <v>177</v>
      </c>
      <c r="D466" s="190" t="s">
        <v>38</v>
      </c>
      <c r="E466" s="190" t="s">
        <v>157</v>
      </c>
      <c r="F466" s="162" t="s">
        <v>190</v>
      </c>
      <c r="G466" s="3">
        <f>+IF(F466="Pasajero",'2.2 OPEX LAP 2023'!I467*'2.1 OPEX TUUA'!$G$7,'2.2 OPEX LAP 2023'!I467*'2.1 OPEX TUUA'!$G$8)</f>
        <v>4.5501042751282528</v>
      </c>
      <c r="H466" s="3">
        <f>+IF(F466="Pasajero",'2.2 OPEX LAP 2023'!J467*'2.1 OPEX TUUA'!$H$7,'2.2 OPEX LAP 2023'!J467*'2.1 OPEX TUUA'!$H$8)</f>
        <v>5.2195844710142412</v>
      </c>
      <c r="I466" s="3">
        <f>+IF(F466="Pasajero",'2.2 OPEX LAP 2023'!K467*'2.1 OPEX TUUA'!$I$7,'2.2 OPEX LAP 2023'!K467*'2.1 OPEX TUUA'!$I$8)</f>
        <v>5.7703271413452031</v>
      </c>
      <c r="J466" s="3">
        <f>+IF(F466="Pasajero",'2.2 OPEX LAP 2023'!L467*'2.1 OPEX TUUA'!$J$7,'2.2 OPEX LAP 2023'!L467*'2.1 OPEX TUUA'!$J$8)</f>
        <v>6.0133655890071438</v>
      </c>
      <c r="K466" s="3">
        <f>+IF(F466="Pasajero",'2.2 OPEX LAP 2023'!M467*'2.1 OPEX TUUA'!$K$7,'2.2 OPEX LAP 2023'!M467*'2.1 OPEX TUUA'!$K$8)</f>
        <v>6.1478847177661056</v>
      </c>
      <c r="L466" s="3">
        <f>+IF(F466="Pasajero",'2.2 OPEX LAP 2023'!N467*'2.1 OPEX TUUA'!$L$7,'2.2 OPEX LAP 2023'!N467*'2.1 OPEX TUUA'!$L$8)</f>
        <v>6.3120738272777333</v>
      </c>
      <c r="M466" s="3"/>
      <c r="N466" s="3">
        <f>+IF(F466="Pasajero",'2.2 OPEX LAP 2023'!I467*'2.1 OPEX TUUA'!$N$7,'2.2 OPEX LAP 2023'!I467*'2.1 OPEX TUUA'!$N$8)</f>
        <v>2.2441897991626552</v>
      </c>
      <c r="O466" s="3">
        <f>+IF(F466="Pasajero",'2.2 OPEX LAP 2023'!J467*'2.1 OPEX TUUA'!$O$7,'2.2 OPEX LAP 2023'!J467*'2.1 OPEX TUUA'!$O$8)</f>
        <v>2.1617599419810078</v>
      </c>
      <c r="P466" s="3">
        <f>+IF(F466="Pasajero",'2.2 OPEX LAP 2023'!K467*'2.1 OPEX TUUA'!$P$7,'2.2 OPEX LAP 2023'!K467*'2.1 OPEX TUUA'!$P$8)</f>
        <v>2.1126822381773094</v>
      </c>
      <c r="Q466" s="3">
        <f>+IF(F466="Pasajero",'2.2 OPEX LAP 2023'!L467*'2.1 OPEX TUUA'!$Q$7,'2.2 OPEX LAP 2023'!L467*'2.1 OPEX TUUA'!$Q$8)</f>
        <v>2.0644539558433226</v>
      </c>
      <c r="R466" s="3">
        <f>+IF(F466="Pasajero",'2.2 OPEX LAP 2023'!M467*'2.1 OPEX TUUA'!$R$7,'2.2 OPEX LAP 2023'!M467*'2.1 OPEX TUUA'!$R$8)</f>
        <v>2.038303933486846</v>
      </c>
      <c r="S466" s="3">
        <f>+IF(F466="Pasajero",'2.2 OPEX LAP 2023'!N467*'2.1 OPEX TUUA'!$S$7,'2.2 OPEX LAP 2023'!N467*'2.1 OPEX TUUA'!$S$8)</f>
        <v>2.0062020266330252</v>
      </c>
      <c r="AA466" s="6"/>
      <c r="AB466" s="6"/>
      <c r="AC466" s="6"/>
      <c r="AD466" s="6"/>
      <c r="AE466" s="6"/>
      <c r="AF466" s="6"/>
    </row>
    <row r="467" spans="2:32" x14ac:dyDescent="0.25">
      <c r="B467" s="16">
        <v>6562000004</v>
      </c>
      <c r="C467" s="190" t="s">
        <v>177</v>
      </c>
      <c r="D467" s="190" t="s">
        <v>38</v>
      </c>
      <c r="E467" s="190" t="s">
        <v>158</v>
      </c>
      <c r="F467" s="162" t="s">
        <v>190</v>
      </c>
      <c r="G467" s="3">
        <f>+IF(F467="Pasajero",'2.2 OPEX LAP 2023'!I468*'2.1 OPEX TUUA'!$G$7,'2.2 OPEX LAP 2023'!I468*'2.1 OPEX TUUA'!$G$8)</f>
        <v>0</v>
      </c>
      <c r="H467" s="3">
        <f>+IF(F467="Pasajero",'2.2 OPEX LAP 2023'!J468*'2.1 OPEX TUUA'!$H$7,'2.2 OPEX LAP 2023'!J468*'2.1 OPEX TUUA'!$H$8)</f>
        <v>0</v>
      </c>
      <c r="I467" s="3">
        <f>+IF(F467="Pasajero",'2.2 OPEX LAP 2023'!K468*'2.1 OPEX TUUA'!$I$7,'2.2 OPEX LAP 2023'!K468*'2.1 OPEX TUUA'!$I$8)</f>
        <v>0</v>
      </c>
      <c r="J467" s="3">
        <f>+IF(F467="Pasajero",'2.2 OPEX LAP 2023'!L468*'2.1 OPEX TUUA'!$J$7,'2.2 OPEX LAP 2023'!L468*'2.1 OPEX TUUA'!$J$8)</f>
        <v>0</v>
      </c>
      <c r="K467" s="3">
        <f>+IF(F467="Pasajero",'2.2 OPEX LAP 2023'!M468*'2.1 OPEX TUUA'!$K$7,'2.2 OPEX LAP 2023'!M468*'2.1 OPEX TUUA'!$K$8)</f>
        <v>0</v>
      </c>
      <c r="L467" s="3">
        <f>+IF(F467="Pasajero",'2.2 OPEX LAP 2023'!N468*'2.1 OPEX TUUA'!$L$7,'2.2 OPEX LAP 2023'!N468*'2.1 OPEX TUUA'!$L$8)</f>
        <v>0</v>
      </c>
      <c r="M467" s="3"/>
      <c r="N467" s="3">
        <f>+IF(F467="Pasajero",'2.2 OPEX LAP 2023'!I468*'2.1 OPEX TUUA'!$N$7,'2.2 OPEX LAP 2023'!I468*'2.1 OPEX TUUA'!$N$8)</f>
        <v>0</v>
      </c>
      <c r="O467" s="3">
        <f>+IF(F467="Pasajero",'2.2 OPEX LAP 2023'!J468*'2.1 OPEX TUUA'!$O$7,'2.2 OPEX LAP 2023'!J468*'2.1 OPEX TUUA'!$O$8)</f>
        <v>0</v>
      </c>
      <c r="P467" s="3">
        <f>+IF(F467="Pasajero",'2.2 OPEX LAP 2023'!K468*'2.1 OPEX TUUA'!$P$7,'2.2 OPEX LAP 2023'!K468*'2.1 OPEX TUUA'!$P$8)</f>
        <v>0</v>
      </c>
      <c r="Q467" s="3">
        <f>+IF(F467="Pasajero",'2.2 OPEX LAP 2023'!L468*'2.1 OPEX TUUA'!$Q$7,'2.2 OPEX LAP 2023'!L468*'2.1 OPEX TUUA'!$Q$8)</f>
        <v>0</v>
      </c>
      <c r="R467" s="3">
        <f>+IF(F467="Pasajero",'2.2 OPEX LAP 2023'!M468*'2.1 OPEX TUUA'!$R$7,'2.2 OPEX LAP 2023'!M468*'2.1 OPEX TUUA'!$R$8)</f>
        <v>0</v>
      </c>
      <c r="S467" s="3">
        <f>+IF(F467="Pasajero",'2.2 OPEX LAP 2023'!N468*'2.1 OPEX TUUA'!$S$7,'2.2 OPEX LAP 2023'!N468*'2.1 OPEX TUUA'!$S$8)</f>
        <v>0</v>
      </c>
      <c r="AA467" s="6"/>
      <c r="AB467" s="6"/>
      <c r="AC467" s="6"/>
      <c r="AD467" s="6"/>
      <c r="AE467" s="6"/>
      <c r="AF467" s="6"/>
    </row>
    <row r="468" spans="2:32" x14ac:dyDescent="0.25">
      <c r="B468" s="16">
        <v>6562000005</v>
      </c>
      <c r="C468" s="190" t="s">
        <v>177</v>
      </c>
      <c r="D468" s="190" t="s">
        <v>38</v>
      </c>
      <c r="E468" s="190" t="s">
        <v>159</v>
      </c>
      <c r="F468" s="162" t="s">
        <v>190</v>
      </c>
      <c r="G468" s="3">
        <f>+IF(F468="Pasajero",'2.2 OPEX LAP 2023'!I469*'2.1 OPEX TUUA'!$G$7,'2.2 OPEX LAP 2023'!I469*'2.1 OPEX TUUA'!$G$8)</f>
        <v>3.8205068563958991E-3</v>
      </c>
      <c r="H468" s="3">
        <f>+IF(F468="Pasajero",'2.2 OPEX LAP 2023'!J469*'2.1 OPEX TUUA'!$H$7,'2.2 OPEX LAP 2023'!J469*'2.1 OPEX TUUA'!$H$8)</f>
        <v>4.3826376393286898E-3</v>
      </c>
      <c r="I468" s="3">
        <f>+IF(F468="Pasajero",'2.2 OPEX LAP 2023'!K469*'2.1 OPEX TUUA'!$I$7,'2.2 OPEX LAP 2023'!K469*'2.1 OPEX TUUA'!$I$8)</f>
        <v>4.8450701509550132E-3</v>
      </c>
      <c r="J468" s="3">
        <f>+IF(F468="Pasajero",'2.2 OPEX LAP 2023'!L469*'2.1 OPEX TUUA'!$J$7,'2.2 OPEX LAP 2023'!L469*'2.1 OPEX TUUA'!$J$8)</f>
        <v>5.049138013912745E-3</v>
      </c>
      <c r="K468" s="3">
        <f>+IF(F468="Pasajero",'2.2 OPEX LAP 2023'!M469*'2.1 OPEX TUUA'!$K$7,'2.2 OPEX LAP 2023'!M469*'2.1 OPEX TUUA'!$K$8)</f>
        <v>5.1620873492827625E-3</v>
      </c>
      <c r="L468" s="3">
        <f>+IF(F468="Pasajero",'2.2 OPEX LAP 2023'!N469*'2.1 OPEX TUUA'!$L$7,'2.2 OPEX LAP 2023'!N469*'2.1 OPEX TUUA'!$L$8)</f>
        <v>5.2999491609479537E-3</v>
      </c>
      <c r="M468" s="3"/>
      <c r="N468" s="3">
        <f>+IF(F468="Pasajero",'2.2 OPEX LAP 2023'!I469*'2.1 OPEX TUUA'!$N$7,'2.2 OPEX LAP 2023'!I469*'2.1 OPEX TUUA'!$N$8)</f>
        <v>1.8843397857102927E-3</v>
      </c>
      <c r="O468" s="3">
        <f>+IF(F468="Pasajero",'2.2 OPEX LAP 2023'!J469*'2.1 OPEX TUUA'!$O$7,'2.2 OPEX LAP 2023'!J469*'2.1 OPEX TUUA'!$O$8)</f>
        <v>1.8151273423261591E-3</v>
      </c>
      <c r="P468" s="3">
        <f>+IF(F468="Pasajero",'2.2 OPEX LAP 2023'!K469*'2.1 OPEX TUUA'!$P$7,'2.2 OPEX LAP 2023'!K469*'2.1 OPEX TUUA'!$P$8)</f>
        <v>1.7739191210326129E-3</v>
      </c>
      <c r="Q468" s="3">
        <f>+IF(F468="Pasajero",'2.2 OPEX LAP 2023'!L469*'2.1 OPEX TUUA'!$Q$7,'2.2 OPEX LAP 2023'!L469*'2.1 OPEX TUUA'!$Q$8)</f>
        <v>1.7334241186792872E-3</v>
      </c>
      <c r="R468" s="3">
        <f>+IF(F468="Pasajero",'2.2 OPEX LAP 2023'!M469*'2.1 OPEX TUUA'!$R$7,'2.2 OPEX LAP 2023'!M469*'2.1 OPEX TUUA'!$R$8)</f>
        <v>1.7114671845813302E-3</v>
      </c>
      <c r="S468" s="3">
        <f>+IF(F468="Pasajero",'2.2 OPEX LAP 2023'!N469*'2.1 OPEX TUUA'!$S$7,'2.2 OPEX LAP 2023'!N469*'2.1 OPEX TUUA'!$S$8)</f>
        <v>1.6845127352275407E-3</v>
      </c>
      <c r="AA468" s="6"/>
      <c r="AB468" s="6"/>
      <c r="AC468" s="6"/>
      <c r="AD468" s="6"/>
      <c r="AE468" s="6"/>
      <c r="AF468" s="6"/>
    </row>
    <row r="469" spans="2:32" x14ac:dyDescent="0.25">
      <c r="B469" s="16">
        <v>6563000001</v>
      </c>
      <c r="C469" s="190" t="s">
        <v>177</v>
      </c>
      <c r="D469" s="190" t="s">
        <v>38</v>
      </c>
      <c r="E469" s="190" t="s">
        <v>160</v>
      </c>
      <c r="F469" s="162" t="s">
        <v>190</v>
      </c>
      <c r="G469" s="3">
        <f>+IF(F469="Pasajero",'2.2 OPEX LAP 2023'!I470*'2.1 OPEX TUUA'!$G$7,'2.2 OPEX LAP 2023'!I470*'2.1 OPEX TUUA'!$G$8)</f>
        <v>0</v>
      </c>
      <c r="H469" s="3">
        <f>+IF(F469="Pasajero",'2.2 OPEX LAP 2023'!J470*'2.1 OPEX TUUA'!$H$7,'2.2 OPEX LAP 2023'!J470*'2.1 OPEX TUUA'!$H$8)</f>
        <v>0</v>
      </c>
      <c r="I469" s="3">
        <f>+IF(F469="Pasajero",'2.2 OPEX LAP 2023'!K470*'2.1 OPEX TUUA'!$I$7,'2.2 OPEX LAP 2023'!K470*'2.1 OPEX TUUA'!$I$8)</f>
        <v>0</v>
      </c>
      <c r="J469" s="3">
        <f>+IF(F469="Pasajero",'2.2 OPEX LAP 2023'!L470*'2.1 OPEX TUUA'!$J$7,'2.2 OPEX LAP 2023'!L470*'2.1 OPEX TUUA'!$J$8)</f>
        <v>0</v>
      </c>
      <c r="K469" s="3">
        <f>+IF(F469="Pasajero",'2.2 OPEX LAP 2023'!M470*'2.1 OPEX TUUA'!$K$7,'2.2 OPEX LAP 2023'!M470*'2.1 OPEX TUUA'!$K$8)</f>
        <v>0</v>
      </c>
      <c r="L469" s="3">
        <f>+IF(F469="Pasajero",'2.2 OPEX LAP 2023'!N470*'2.1 OPEX TUUA'!$L$7,'2.2 OPEX LAP 2023'!N470*'2.1 OPEX TUUA'!$L$8)</f>
        <v>0</v>
      </c>
      <c r="M469" s="3"/>
      <c r="N469" s="3">
        <f>+IF(F469="Pasajero",'2.2 OPEX LAP 2023'!I470*'2.1 OPEX TUUA'!$N$7,'2.2 OPEX LAP 2023'!I470*'2.1 OPEX TUUA'!$N$8)</f>
        <v>0</v>
      </c>
      <c r="O469" s="3">
        <f>+IF(F469="Pasajero",'2.2 OPEX LAP 2023'!J470*'2.1 OPEX TUUA'!$O$7,'2.2 OPEX LAP 2023'!J470*'2.1 OPEX TUUA'!$O$8)</f>
        <v>0</v>
      </c>
      <c r="P469" s="3">
        <f>+IF(F469="Pasajero",'2.2 OPEX LAP 2023'!K470*'2.1 OPEX TUUA'!$P$7,'2.2 OPEX LAP 2023'!K470*'2.1 OPEX TUUA'!$P$8)</f>
        <v>0</v>
      </c>
      <c r="Q469" s="3">
        <f>+IF(F469="Pasajero",'2.2 OPEX LAP 2023'!L470*'2.1 OPEX TUUA'!$Q$7,'2.2 OPEX LAP 2023'!L470*'2.1 OPEX TUUA'!$Q$8)</f>
        <v>0</v>
      </c>
      <c r="R469" s="3">
        <f>+IF(F469="Pasajero",'2.2 OPEX LAP 2023'!M470*'2.1 OPEX TUUA'!$R$7,'2.2 OPEX LAP 2023'!M470*'2.1 OPEX TUUA'!$R$8)</f>
        <v>0</v>
      </c>
      <c r="S469" s="3">
        <f>+IF(F469="Pasajero",'2.2 OPEX LAP 2023'!N470*'2.1 OPEX TUUA'!$S$7,'2.2 OPEX LAP 2023'!N470*'2.1 OPEX TUUA'!$S$8)</f>
        <v>0</v>
      </c>
      <c r="AA469" s="6"/>
      <c r="AB469" s="6"/>
      <c r="AC469" s="6"/>
      <c r="AD469" s="6"/>
      <c r="AE469" s="6"/>
      <c r="AF469" s="6"/>
    </row>
    <row r="470" spans="2:32" x14ac:dyDescent="0.25">
      <c r="B470" s="16">
        <v>6563000002</v>
      </c>
      <c r="C470" s="190" t="s">
        <v>177</v>
      </c>
      <c r="D470" s="190" t="s">
        <v>38</v>
      </c>
      <c r="E470" s="190" t="s">
        <v>161</v>
      </c>
      <c r="F470" s="162" t="s">
        <v>190</v>
      </c>
      <c r="G470" s="3">
        <f>+IF(F470="Pasajero",'2.2 OPEX LAP 2023'!I471*'2.1 OPEX TUUA'!$G$7,'2.2 OPEX LAP 2023'!I471*'2.1 OPEX TUUA'!$G$8)</f>
        <v>0</v>
      </c>
      <c r="H470" s="3">
        <f>+IF(F470="Pasajero",'2.2 OPEX LAP 2023'!J471*'2.1 OPEX TUUA'!$H$7,'2.2 OPEX LAP 2023'!J471*'2.1 OPEX TUUA'!$H$8)</f>
        <v>0</v>
      </c>
      <c r="I470" s="3">
        <f>+IF(F470="Pasajero",'2.2 OPEX LAP 2023'!K471*'2.1 OPEX TUUA'!$I$7,'2.2 OPEX LAP 2023'!K471*'2.1 OPEX TUUA'!$I$8)</f>
        <v>0</v>
      </c>
      <c r="J470" s="3">
        <f>+IF(F470="Pasajero",'2.2 OPEX LAP 2023'!L471*'2.1 OPEX TUUA'!$J$7,'2.2 OPEX LAP 2023'!L471*'2.1 OPEX TUUA'!$J$8)</f>
        <v>0</v>
      </c>
      <c r="K470" s="3">
        <f>+IF(F470="Pasajero",'2.2 OPEX LAP 2023'!M471*'2.1 OPEX TUUA'!$K$7,'2.2 OPEX LAP 2023'!M471*'2.1 OPEX TUUA'!$K$8)</f>
        <v>0</v>
      </c>
      <c r="L470" s="3">
        <f>+IF(F470="Pasajero",'2.2 OPEX LAP 2023'!N471*'2.1 OPEX TUUA'!$L$7,'2.2 OPEX LAP 2023'!N471*'2.1 OPEX TUUA'!$L$8)</f>
        <v>0</v>
      </c>
      <c r="M470" s="3"/>
      <c r="N470" s="3">
        <f>+IF(F470="Pasajero",'2.2 OPEX LAP 2023'!I471*'2.1 OPEX TUUA'!$N$7,'2.2 OPEX LAP 2023'!I471*'2.1 OPEX TUUA'!$N$8)</f>
        <v>0</v>
      </c>
      <c r="O470" s="3">
        <f>+IF(F470="Pasajero",'2.2 OPEX LAP 2023'!J471*'2.1 OPEX TUUA'!$O$7,'2.2 OPEX LAP 2023'!J471*'2.1 OPEX TUUA'!$O$8)</f>
        <v>0</v>
      </c>
      <c r="P470" s="3">
        <f>+IF(F470="Pasajero",'2.2 OPEX LAP 2023'!K471*'2.1 OPEX TUUA'!$P$7,'2.2 OPEX LAP 2023'!K471*'2.1 OPEX TUUA'!$P$8)</f>
        <v>0</v>
      </c>
      <c r="Q470" s="3">
        <f>+IF(F470="Pasajero",'2.2 OPEX LAP 2023'!L471*'2.1 OPEX TUUA'!$Q$7,'2.2 OPEX LAP 2023'!L471*'2.1 OPEX TUUA'!$Q$8)</f>
        <v>0</v>
      </c>
      <c r="R470" s="3">
        <f>+IF(F470="Pasajero",'2.2 OPEX LAP 2023'!M471*'2.1 OPEX TUUA'!$R$7,'2.2 OPEX LAP 2023'!M471*'2.1 OPEX TUUA'!$R$8)</f>
        <v>0</v>
      </c>
      <c r="S470" s="3">
        <f>+IF(F470="Pasajero",'2.2 OPEX LAP 2023'!N471*'2.1 OPEX TUUA'!$S$7,'2.2 OPEX LAP 2023'!N471*'2.1 OPEX TUUA'!$S$8)</f>
        <v>0</v>
      </c>
      <c r="AA470" s="6"/>
      <c r="AB470" s="6"/>
      <c r="AC470" s="6"/>
      <c r="AD470" s="6"/>
      <c r="AE470" s="6"/>
      <c r="AF470" s="6"/>
    </row>
    <row r="471" spans="2:32" x14ac:dyDescent="0.25">
      <c r="B471" s="16">
        <v>6563000003</v>
      </c>
      <c r="C471" s="190" t="s">
        <v>177</v>
      </c>
      <c r="D471" s="190" t="s">
        <v>38</v>
      </c>
      <c r="E471" s="190" t="s">
        <v>162</v>
      </c>
      <c r="F471" s="162" t="s">
        <v>190</v>
      </c>
      <c r="G471" s="3">
        <f>+IF(F471="Pasajero",'2.2 OPEX LAP 2023'!I472*'2.1 OPEX TUUA'!$G$7,'2.2 OPEX LAP 2023'!I472*'2.1 OPEX TUUA'!$G$8)</f>
        <v>0</v>
      </c>
      <c r="H471" s="3">
        <f>+IF(F471="Pasajero",'2.2 OPEX LAP 2023'!J472*'2.1 OPEX TUUA'!$H$7,'2.2 OPEX LAP 2023'!J472*'2.1 OPEX TUUA'!$H$8)</f>
        <v>0</v>
      </c>
      <c r="I471" s="3">
        <f>+IF(F471="Pasajero",'2.2 OPEX LAP 2023'!K472*'2.1 OPEX TUUA'!$I$7,'2.2 OPEX LAP 2023'!K472*'2.1 OPEX TUUA'!$I$8)</f>
        <v>0</v>
      </c>
      <c r="J471" s="3">
        <f>+IF(F471="Pasajero",'2.2 OPEX LAP 2023'!L472*'2.1 OPEX TUUA'!$J$7,'2.2 OPEX LAP 2023'!L472*'2.1 OPEX TUUA'!$J$8)</f>
        <v>0</v>
      </c>
      <c r="K471" s="3">
        <f>+IF(F471="Pasajero",'2.2 OPEX LAP 2023'!M472*'2.1 OPEX TUUA'!$K$7,'2.2 OPEX LAP 2023'!M472*'2.1 OPEX TUUA'!$K$8)</f>
        <v>0</v>
      </c>
      <c r="L471" s="3">
        <f>+IF(F471="Pasajero",'2.2 OPEX LAP 2023'!N472*'2.1 OPEX TUUA'!$L$7,'2.2 OPEX LAP 2023'!N472*'2.1 OPEX TUUA'!$L$8)</f>
        <v>0</v>
      </c>
      <c r="M471" s="3"/>
      <c r="N471" s="3">
        <f>+IF(F471="Pasajero",'2.2 OPEX LAP 2023'!I472*'2.1 OPEX TUUA'!$N$7,'2.2 OPEX LAP 2023'!I472*'2.1 OPEX TUUA'!$N$8)</f>
        <v>0</v>
      </c>
      <c r="O471" s="3">
        <f>+IF(F471="Pasajero",'2.2 OPEX LAP 2023'!J472*'2.1 OPEX TUUA'!$O$7,'2.2 OPEX LAP 2023'!J472*'2.1 OPEX TUUA'!$O$8)</f>
        <v>0</v>
      </c>
      <c r="P471" s="3">
        <f>+IF(F471="Pasajero",'2.2 OPEX LAP 2023'!K472*'2.1 OPEX TUUA'!$P$7,'2.2 OPEX LAP 2023'!K472*'2.1 OPEX TUUA'!$P$8)</f>
        <v>0</v>
      </c>
      <c r="Q471" s="3">
        <f>+IF(F471="Pasajero",'2.2 OPEX LAP 2023'!L472*'2.1 OPEX TUUA'!$Q$7,'2.2 OPEX LAP 2023'!L472*'2.1 OPEX TUUA'!$Q$8)</f>
        <v>0</v>
      </c>
      <c r="R471" s="3">
        <f>+IF(F471="Pasajero",'2.2 OPEX LAP 2023'!M472*'2.1 OPEX TUUA'!$R$7,'2.2 OPEX LAP 2023'!M472*'2.1 OPEX TUUA'!$R$8)</f>
        <v>0</v>
      </c>
      <c r="S471" s="3">
        <f>+IF(F471="Pasajero",'2.2 OPEX LAP 2023'!N472*'2.1 OPEX TUUA'!$S$7,'2.2 OPEX LAP 2023'!N472*'2.1 OPEX TUUA'!$S$8)</f>
        <v>0</v>
      </c>
      <c r="AA471" s="6"/>
      <c r="AB471" s="6"/>
      <c r="AC471" s="6"/>
      <c r="AD471" s="6"/>
      <c r="AE471" s="6"/>
      <c r="AF471" s="6"/>
    </row>
    <row r="472" spans="2:32" x14ac:dyDescent="0.25">
      <c r="B472" s="16">
        <v>6563000004</v>
      </c>
      <c r="C472" s="190" t="s">
        <v>177</v>
      </c>
      <c r="D472" s="190" t="s">
        <v>38</v>
      </c>
      <c r="E472" s="190" t="s">
        <v>163</v>
      </c>
      <c r="F472" s="162" t="s">
        <v>190</v>
      </c>
      <c r="G472" s="3">
        <f>+IF(F472="Pasajero",'2.2 OPEX LAP 2023'!I473*'2.1 OPEX TUUA'!$G$7,'2.2 OPEX LAP 2023'!I473*'2.1 OPEX TUUA'!$G$8)</f>
        <v>0</v>
      </c>
      <c r="H472" s="3">
        <f>+IF(F472="Pasajero",'2.2 OPEX LAP 2023'!J473*'2.1 OPEX TUUA'!$H$7,'2.2 OPEX LAP 2023'!J473*'2.1 OPEX TUUA'!$H$8)</f>
        <v>0</v>
      </c>
      <c r="I472" s="3">
        <f>+IF(F472="Pasajero",'2.2 OPEX LAP 2023'!K473*'2.1 OPEX TUUA'!$I$7,'2.2 OPEX LAP 2023'!K473*'2.1 OPEX TUUA'!$I$8)</f>
        <v>0</v>
      </c>
      <c r="J472" s="3">
        <f>+IF(F472="Pasajero",'2.2 OPEX LAP 2023'!L473*'2.1 OPEX TUUA'!$J$7,'2.2 OPEX LAP 2023'!L473*'2.1 OPEX TUUA'!$J$8)</f>
        <v>0</v>
      </c>
      <c r="K472" s="3">
        <f>+IF(F472="Pasajero",'2.2 OPEX LAP 2023'!M473*'2.1 OPEX TUUA'!$K$7,'2.2 OPEX LAP 2023'!M473*'2.1 OPEX TUUA'!$K$8)</f>
        <v>0</v>
      </c>
      <c r="L472" s="3">
        <f>+IF(F472="Pasajero",'2.2 OPEX LAP 2023'!N473*'2.1 OPEX TUUA'!$L$7,'2.2 OPEX LAP 2023'!N473*'2.1 OPEX TUUA'!$L$8)</f>
        <v>0</v>
      </c>
      <c r="M472" s="3"/>
      <c r="N472" s="3">
        <f>+IF(F472="Pasajero",'2.2 OPEX LAP 2023'!I473*'2.1 OPEX TUUA'!$N$7,'2.2 OPEX LAP 2023'!I473*'2.1 OPEX TUUA'!$N$8)</f>
        <v>0</v>
      </c>
      <c r="O472" s="3">
        <f>+IF(F472="Pasajero",'2.2 OPEX LAP 2023'!J473*'2.1 OPEX TUUA'!$O$7,'2.2 OPEX LAP 2023'!J473*'2.1 OPEX TUUA'!$O$8)</f>
        <v>0</v>
      </c>
      <c r="P472" s="3">
        <f>+IF(F472="Pasajero",'2.2 OPEX LAP 2023'!K473*'2.1 OPEX TUUA'!$P$7,'2.2 OPEX LAP 2023'!K473*'2.1 OPEX TUUA'!$P$8)</f>
        <v>0</v>
      </c>
      <c r="Q472" s="3">
        <f>+IF(F472="Pasajero",'2.2 OPEX LAP 2023'!L473*'2.1 OPEX TUUA'!$Q$7,'2.2 OPEX LAP 2023'!L473*'2.1 OPEX TUUA'!$Q$8)</f>
        <v>0</v>
      </c>
      <c r="R472" s="3">
        <f>+IF(F472="Pasajero",'2.2 OPEX LAP 2023'!M473*'2.1 OPEX TUUA'!$R$7,'2.2 OPEX LAP 2023'!M473*'2.1 OPEX TUUA'!$R$8)</f>
        <v>0</v>
      </c>
      <c r="S472" s="3">
        <f>+IF(F472="Pasajero",'2.2 OPEX LAP 2023'!N473*'2.1 OPEX TUUA'!$S$7,'2.2 OPEX LAP 2023'!N473*'2.1 OPEX TUUA'!$S$8)</f>
        <v>0</v>
      </c>
      <c r="AA472" s="6"/>
      <c r="AB472" s="6"/>
      <c r="AC472" s="6"/>
      <c r="AD472" s="6"/>
      <c r="AE472" s="6"/>
      <c r="AF472" s="6"/>
    </row>
    <row r="473" spans="2:32" x14ac:dyDescent="0.25">
      <c r="B473" s="16">
        <v>6563000005</v>
      </c>
      <c r="C473" s="190" t="s">
        <v>177</v>
      </c>
      <c r="D473" s="190" t="s">
        <v>38</v>
      </c>
      <c r="E473" s="190" t="s">
        <v>164</v>
      </c>
      <c r="F473" s="162" t="s">
        <v>190</v>
      </c>
      <c r="G473" s="3">
        <f>+IF(F473="Pasajero",'2.2 OPEX LAP 2023'!I474*'2.1 OPEX TUUA'!$G$7,'2.2 OPEX LAP 2023'!I474*'2.1 OPEX TUUA'!$G$8)</f>
        <v>0</v>
      </c>
      <c r="H473" s="3">
        <f>+IF(F473="Pasajero",'2.2 OPEX LAP 2023'!J474*'2.1 OPEX TUUA'!$H$7,'2.2 OPEX LAP 2023'!J474*'2.1 OPEX TUUA'!$H$8)</f>
        <v>0</v>
      </c>
      <c r="I473" s="3">
        <f>+IF(F473="Pasajero",'2.2 OPEX LAP 2023'!K474*'2.1 OPEX TUUA'!$I$7,'2.2 OPEX LAP 2023'!K474*'2.1 OPEX TUUA'!$I$8)</f>
        <v>0</v>
      </c>
      <c r="J473" s="3">
        <f>+IF(F473="Pasajero",'2.2 OPEX LAP 2023'!L474*'2.1 OPEX TUUA'!$J$7,'2.2 OPEX LAP 2023'!L474*'2.1 OPEX TUUA'!$J$8)</f>
        <v>0</v>
      </c>
      <c r="K473" s="3">
        <f>+IF(F473="Pasajero",'2.2 OPEX LAP 2023'!M474*'2.1 OPEX TUUA'!$K$7,'2.2 OPEX LAP 2023'!M474*'2.1 OPEX TUUA'!$K$8)</f>
        <v>0</v>
      </c>
      <c r="L473" s="3">
        <f>+IF(F473="Pasajero",'2.2 OPEX LAP 2023'!N474*'2.1 OPEX TUUA'!$L$7,'2.2 OPEX LAP 2023'!N474*'2.1 OPEX TUUA'!$L$8)</f>
        <v>0</v>
      </c>
      <c r="M473" s="3"/>
      <c r="N473" s="3">
        <f>+IF(F473="Pasajero",'2.2 OPEX LAP 2023'!I474*'2.1 OPEX TUUA'!$N$7,'2.2 OPEX LAP 2023'!I474*'2.1 OPEX TUUA'!$N$8)</f>
        <v>0</v>
      </c>
      <c r="O473" s="3">
        <f>+IF(F473="Pasajero",'2.2 OPEX LAP 2023'!J474*'2.1 OPEX TUUA'!$O$7,'2.2 OPEX LAP 2023'!J474*'2.1 OPEX TUUA'!$O$8)</f>
        <v>0</v>
      </c>
      <c r="P473" s="3">
        <f>+IF(F473="Pasajero",'2.2 OPEX LAP 2023'!K474*'2.1 OPEX TUUA'!$P$7,'2.2 OPEX LAP 2023'!K474*'2.1 OPEX TUUA'!$P$8)</f>
        <v>0</v>
      </c>
      <c r="Q473" s="3">
        <f>+IF(F473="Pasajero",'2.2 OPEX LAP 2023'!L474*'2.1 OPEX TUUA'!$Q$7,'2.2 OPEX LAP 2023'!L474*'2.1 OPEX TUUA'!$Q$8)</f>
        <v>0</v>
      </c>
      <c r="R473" s="3">
        <f>+IF(F473="Pasajero",'2.2 OPEX LAP 2023'!M474*'2.1 OPEX TUUA'!$R$7,'2.2 OPEX LAP 2023'!M474*'2.1 OPEX TUUA'!$R$8)</f>
        <v>0</v>
      </c>
      <c r="S473" s="3">
        <f>+IF(F473="Pasajero",'2.2 OPEX LAP 2023'!N474*'2.1 OPEX TUUA'!$S$7,'2.2 OPEX LAP 2023'!N474*'2.1 OPEX TUUA'!$S$8)</f>
        <v>0</v>
      </c>
      <c r="AA473" s="6"/>
      <c r="AB473" s="6"/>
      <c r="AC473" s="6"/>
      <c r="AD473" s="6"/>
      <c r="AE473" s="6"/>
      <c r="AF473" s="6"/>
    </row>
    <row r="474" spans="2:32" x14ac:dyDescent="0.25">
      <c r="B474" s="16">
        <v>6590000001</v>
      </c>
      <c r="C474" s="190" t="s">
        <v>177</v>
      </c>
      <c r="D474" s="190" t="s">
        <v>38</v>
      </c>
      <c r="E474" s="190" t="s">
        <v>165</v>
      </c>
      <c r="F474" s="162" t="s">
        <v>190</v>
      </c>
      <c r="G474" s="3">
        <f>+IF(F474="Pasajero",'2.2 OPEX LAP 2023'!I475*'2.1 OPEX TUUA'!$G$7,'2.2 OPEX LAP 2023'!I475*'2.1 OPEX TUUA'!$G$8)</f>
        <v>0</v>
      </c>
      <c r="H474" s="3">
        <f>+IF(F474="Pasajero",'2.2 OPEX LAP 2023'!J475*'2.1 OPEX TUUA'!$H$7,'2.2 OPEX LAP 2023'!J475*'2.1 OPEX TUUA'!$H$8)</f>
        <v>0</v>
      </c>
      <c r="I474" s="3">
        <f>+IF(F474="Pasajero",'2.2 OPEX LAP 2023'!K475*'2.1 OPEX TUUA'!$I$7,'2.2 OPEX LAP 2023'!K475*'2.1 OPEX TUUA'!$I$8)</f>
        <v>0</v>
      </c>
      <c r="J474" s="3">
        <f>+IF(F474="Pasajero",'2.2 OPEX LAP 2023'!L475*'2.1 OPEX TUUA'!$J$7,'2.2 OPEX LAP 2023'!L475*'2.1 OPEX TUUA'!$J$8)</f>
        <v>0</v>
      </c>
      <c r="K474" s="3">
        <f>+IF(F474="Pasajero",'2.2 OPEX LAP 2023'!M475*'2.1 OPEX TUUA'!$K$7,'2.2 OPEX LAP 2023'!M475*'2.1 OPEX TUUA'!$K$8)</f>
        <v>0</v>
      </c>
      <c r="L474" s="3">
        <f>+IF(F474="Pasajero",'2.2 OPEX LAP 2023'!N475*'2.1 OPEX TUUA'!$L$7,'2.2 OPEX LAP 2023'!N475*'2.1 OPEX TUUA'!$L$8)</f>
        <v>0</v>
      </c>
      <c r="M474" s="3"/>
      <c r="N474" s="3">
        <f>+IF(F474="Pasajero",'2.2 OPEX LAP 2023'!I475*'2.1 OPEX TUUA'!$N$7,'2.2 OPEX LAP 2023'!I475*'2.1 OPEX TUUA'!$N$8)</f>
        <v>0</v>
      </c>
      <c r="O474" s="3">
        <f>+IF(F474="Pasajero",'2.2 OPEX LAP 2023'!J475*'2.1 OPEX TUUA'!$O$7,'2.2 OPEX LAP 2023'!J475*'2.1 OPEX TUUA'!$O$8)</f>
        <v>0</v>
      </c>
      <c r="P474" s="3">
        <f>+IF(F474="Pasajero",'2.2 OPEX LAP 2023'!K475*'2.1 OPEX TUUA'!$P$7,'2.2 OPEX LAP 2023'!K475*'2.1 OPEX TUUA'!$P$8)</f>
        <v>0</v>
      </c>
      <c r="Q474" s="3">
        <f>+IF(F474="Pasajero",'2.2 OPEX LAP 2023'!L475*'2.1 OPEX TUUA'!$Q$7,'2.2 OPEX LAP 2023'!L475*'2.1 OPEX TUUA'!$Q$8)</f>
        <v>0</v>
      </c>
      <c r="R474" s="3">
        <f>+IF(F474="Pasajero",'2.2 OPEX LAP 2023'!M475*'2.1 OPEX TUUA'!$R$7,'2.2 OPEX LAP 2023'!M475*'2.1 OPEX TUUA'!$R$8)</f>
        <v>0</v>
      </c>
      <c r="S474" s="3">
        <f>+IF(F474="Pasajero",'2.2 OPEX LAP 2023'!N475*'2.1 OPEX TUUA'!$S$7,'2.2 OPEX LAP 2023'!N475*'2.1 OPEX TUUA'!$S$8)</f>
        <v>0</v>
      </c>
      <c r="AA474" s="6"/>
      <c r="AB474" s="6"/>
      <c r="AC474" s="6"/>
      <c r="AD474" s="6"/>
      <c r="AE474" s="6"/>
      <c r="AF474" s="6"/>
    </row>
    <row r="475" spans="2:32" x14ac:dyDescent="0.25">
      <c r="B475" s="16">
        <v>6590000002</v>
      </c>
      <c r="C475" s="190" t="s">
        <v>177</v>
      </c>
      <c r="D475" s="190" t="s">
        <v>38</v>
      </c>
      <c r="E475" s="190" t="s">
        <v>166</v>
      </c>
      <c r="F475" s="162" t="s">
        <v>190</v>
      </c>
      <c r="G475" s="3">
        <f>+IF(F475="Pasajero",'2.2 OPEX LAP 2023'!I476*'2.1 OPEX TUUA'!$G$7,'2.2 OPEX LAP 2023'!I476*'2.1 OPEX TUUA'!$G$8)</f>
        <v>1087.0726597201594</v>
      </c>
      <c r="H475" s="3">
        <f>+IF(F475="Pasajero",'2.2 OPEX LAP 2023'!J476*'2.1 OPEX TUUA'!$H$7,'2.2 OPEX LAP 2023'!J476*'2.1 OPEX TUUA'!$H$8)</f>
        <v>1247.0192396589764</v>
      </c>
      <c r="I475" s="3">
        <f>+IF(F475="Pasajero",'2.2 OPEX LAP 2023'!K476*'2.1 OPEX TUUA'!$I$7,'2.2 OPEX LAP 2023'!K476*'2.1 OPEX TUUA'!$I$8)</f>
        <v>1378.5980482437944</v>
      </c>
      <c r="J475" s="3">
        <f>+IF(F475="Pasajero",'2.2 OPEX LAP 2023'!L476*'2.1 OPEX TUUA'!$J$7,'2.2 OPEX LAP 2023'!L476*'2.1 OPEX TUUA'!$J$8)</f>
        <v>1436.662750883313</v>
      </c>
      <c r="K475" s="3">
        <f>+IF(F475="Pasajero",'2.2 OPEX LAP 2023'!M476*'2.1 OPEX TUUA'!$K$7,'2.2 OPEX LAP 2023'!M476*'2.1 OPEX TUUA'!$K$8)</f>
        <v>1468.8009301955051</v>
      </c>
      <c r="L475" s="3">
        <f>+IF(F475="Pasajero",'2.2 OPEX LAP 2023'!N476*'2.1 OPEX TUUA'!$L$7,'2.2 OPEX LAP 2023'!N476*'2.1 OPEX TUUA'!$L$8)</f>
        <v>1508.0276118672914</v>
      </c>
      <c r="M475" s="3"/>
      <c r="N475" s="3">
        <f>+IF(F475="Pasajero",'2.2 OPEX LAP 2023'!I476*'2.1 OPEX TUUA'!$N$7,'2.2 OPEX LAP 2023'!I476*'2.1 OPEX TUUA'!$N$8)</f>
        <v>536.16295943543696</v>
      </c>
      <c r="O475" s="3">
        <f>+IF(F475="Pasajero",'2.2 OPEX LAP 2023'!J476*'2.1 OPEX TUUA'!$O$7,'2.2 OPEX LAP 2023'!J476*'2.1 OPEX TUUA'!$O$8)</f>
        <v>516.46951096292253</v>
      </c>
      <c r="P475" s="3">
        <f>+IF(F475="Pasajero",'2.2 OPEX LAP 2023'!K476*'2.1 OPEX TUUA'!$P$7,'2.2 OPEX LAP 2023'!K476*'2.1 OPEX TUUA'!$P$8)</f>
        <v>504.74427857682718</v>
      </c>
      <c r="Q475" s="3">
        <f>+IF(F475="Pasajero",'2.2 OPEX LAP 2023'!L476*'2.1 OPEX TUUA'!$Q$7,'2.2 OPEX LAP 2023'!L476*'2.1 OPEX TUUA'!$Q$8)</f>
        <v>493.2219828270085</v>
      </c>
      <c r="R475" s="3">
        <f>+IF(F475="Pasajero",'2.2 OPEX LAP 2023'!M476*'2.1 OPEX TUUA'!$R$7,'2.2 OPEX LAP 2023'!M476*'2.1 OPEX TUUA'!$R$8)</f>
        <v>486.97443933439365</v>
      </c>
      <c r="S475" s="3">
        <f>+IF(F475="Pasajero",'2.2 OPEX LAP 2023'!N476*'2.1 OPEX TUUA'!$S$7,'2.2 OPEX LAP 2023'!N476*'2.1 OPEX TUUA'!$S$8)</f>
        <v>479.30492163643095</v>
      </c>
      <c r="AA475" s="6"/>
      <c r="AB475" s="6"/>
      <c r="AC475" s="6"/>
      <c r="AD475" s="6"/>
      <c r="AE475" s="6"/>
      <c r="AF475" s="6"/>
    </row>
    <row r="476" spans="2:32" x14ac:dyDescent="0.25">
      <c r="B476" s="16">
        <v>6590000003</v>
      </c>
      <c r="C476" s="190" t="s">
        <v>177</v>
      </c>
      <c r="D476" s="190" t="s">
        <v>38</v>
      </c>
      <c r="E476" s="190" t="s">
        <v>167</v>
      </c>
      <c r="F476" s="162" t="s">
        <v>190</v>
      </c>
      <c r="G476" s="3">
        <f>+IF(F476="Pasajero",'2.2 OPEX LAP 2023'!I477*'2.1 OPEX TUUA'!$G$7,'2.2 OPEX LAP 2023'!I477*'2.1 OPEX TUUA'!$G$8)</f>
        <v>0</v>
      </c>
      <c r="H476" s="3">
        <f>+IF(F476="Pasajero",'2.2 OPEX LAP 2023'!J477*'2.1 OPEX TUUA'!$H$7,'2.2 OPEX LAP 2023'!J477*'2.1 OPEX TUUA'!$H$8)</f>
        <v>0</v>
      </c>
      <c r="I476" s="3">
        <f>+IF(F476="Pasajero",'2.2 OPEX LAP 2023'!K477*'2.1 OPEX TUUA'!$I$7,'2.2 OPEX LAP 2023'!K477*'2.1 OPEX TUUA'!$I$8)</f>
        <v>0</v>
      </c>
      <c r="J476" s="3">
        <f>+IF(F476="Pasajero",'2.2 OPEX LAP 2023'!L477*'2.1 OPEX TUUA'!$J$7,'2.2 OPEX LAP 2023'!L477*'2.1 OPEX TUUA'!$J$8)</f>
        <v>0</v>
      </c>
      <c r="K476" s="3">
        <f>+IF(F476="Pasajero",'2.2 OPEX LAP 2023'!M477*'2.1 OPEX TUUA'!$K$7,'2.2 OPEX LAP 2023'!M477*'2.1 OPEX TUUA'!$K$8)</f>
        <v>0</v>
      </c>
      <c r="L476" s="3">
        <f>+IF(F476="Pasajero",'2.2 OPEX LAP 2023'!N477*'2.1 OPEX TUUA'!$L$7,'2.2 OPEX LAP 2023'!N477*'2.1 OPEX TUUA'!$L$8)</f>
        <v>0</v>
      </c>
      <c r="M476" s="3"/>
      <c r="N476" s="3">
        <f>+IF(F476="Pasajero",'2.2 OPEX LAP 2023'!I477*'2.1 OPEX TUUA'!$N$7,'2.2 OPEX LAP 2023'!I477*'2.1 OPEX TUUA'!$N$8)</f>
        <v>0</v>
      </c>
      <c r="O476" s="3">
        <f>+IF(F476="Pasajero",'2.2 OPEX LAP 2023'!J477*'2.1 OPEX TUUA'!$O$7,'2.2 OPEX LAP 2023'!J477*'2.1 OPEX TUUA'!$O$8)</f>
        <v>0</v>
      </c>
      <c r="P476" s="3">
        <f>+IF(F476="Pasajero",'2.2 OPEX LAP 2023'!K477*'2.1 OPEX TUUA'!$P$7,'2.2 OPEX LAP 2023'!K477*'2.1 OPEX TUUA'!$P$8)</f>
        <v>0</v>
      </c>
      <c r="Q476" s="3">
        <f>+IF(F476="Pasajero",'2.2 OPEX LAP 2023'!L477*'2.1 OPEX TUUA'!$Q$7,'2.2 OPEX LAP 2023'!L477*'2.1 OPEX TUUA'!$Q$8)</f>
        <v>0</v>
      </c>
      <c r="R476" s="3">
        <f>+IF(F476="Pasajero",'2.2 OPEX LAP 2023'!M477*'2.1 OPEX TUUA'!$R$7,'2.2 OPEX LAP 2023'!M477*'2.1 OPEX TUUA'!$R$8)</f>
        <v>0</v>
      </c>
      <c r="S476" s="3">
        <f>+IF(F476="Pasajero",'2.2 OPEX LAP 2023'!N477*'2.1 OPEX TUUA'!$S$7,'2.2 OPEX LAP 2023'!N477*'2.1 OPEX TUUA'!$S$8)</f>
        <v>0</v>
      </c>
      <c r="AA476" s="6"/>
      <c r="AB476" s="6"/>
      <c r="AC476" s="6"/>
      <c r="AD476" s="6"/>
      <c r="AE476" s="6"/>
      <c r="AF476" s="6"/>
    </row>
    <row r="477" spans="2:32" x14ac:dyDescent="0.25">
      <c r="B477" s="16">
        <v>6590000004</v>
      </c>
      <c r="C477" s="190" t="s">
        <v>177</v>
      </c>
      <c r="D477" s="190" t="s">
        <v>38</v>
      </c>
      <c r="E477" s="190" t="s">
        <v>168</v>
      </c>
      <c r="F477" s="162" t="s">
        <v>190</v>
      </c>
      <c r="G477" s="3">
        <f>+IF(F477="Pasajero",'2.2 OPEX LAP 2023'!I478*'2.1 OPEX TUUA'!$G$7,'2.2 OPEX LAP 2023'!I478*'2.1 OPEX TUUA'!$G$8)</f>
        <v>89.830538529873664</v>
      </c>
      <c r="H477" s="3">
        <f>+IF(F477="Pasajero",'2.2 OPEX LAP 2023'!J478*'2.1 OPEX TUUA'!$H$7,'2.2 OPEX LAP 2023'!J478*'2.1 OPEX TUUA'!$H$8)</f>
        <v>103.04776672841389</v>
      </c>
      <c r="I477" s="3">
        <f>+IF(F477="Pasajero",'2.2 OPEX LAP 2023'!K478*'2.1 OPEX TUUA'!$I$7,'2.2 OPEX LAP 2023'!K478*'2.1 OPEX TUUA'!$I$8)</f>
        <v>113.92081659182971</v>
      </c>
      <c r="J477" s="3">
        <f>+IF(F477="Pasajero",'2.2 OPEX LAP 2023'!L478*'2.1 OPEX TUUA'!$J$7,'2.2 OPEX LAP 2023'!L478*'2.1 OPEX TUUA'!$J$8)</f>
        <v>118.71900874673835</v>
      </c>
      <c r="K477" s="3">
        <f>+IF(F477="Pasajero",'2.2 OPEX LAP 2023'!M478*'2.1 OPEX TUUA'!$K$7,'2.2 OPEX LAP 2023'!M478*'2.1 OPEX TUUA'!$K$8)</f>
        <v>121.37475574687635</v>
      </c>
      <c r="L477" s="3">
        <f>+IF(F477="Pasajero",'2.2 OPEX LAP 2023'!N478*'2.1 OPEX TUUA'!$L$7,'2.2 OPEX LAP 2023'!N478*'2.1 OPEX TUUA'!$L$8)</f>
        <v>124.61626302590551</v>
      </c>
      <c r="M477" s="3"/>
      <c r="N477" s="3">
        <f>+IF(F477="Pasajero",'2.2 OPEX LAP 2023'!I478*'2.1 OPEX TUUA'!$N$7,'2.2 OPEX LAP 2023'!I478*'2.1 OPEX TUUA'!$N$8)</f>
        <v>44.305968837680744</v>
      </c>
      <c r="O477" s="3">
        <f>+IF(F477="Pasajero",'2.2 OPEX LAP 2023'!J478*'2.1 OPEX TUUA'!$O$7,'2.2 OPEX LAP 2023'!J478*'2.1 OPEX TUUA'!$O$8)</f>
        <v>42.678595482295556</v>
      </c>
      <c r="P477" s="3">
        <f>+IF(F477="Pasajero",'2.2 OPEX LAP 2023'!K478*'2.1 OPEX TUUA'!$P$7,'2.2 OPEX LAP 2023'!K478*'2.1 OPEX TUUA'!$P$8)</f>
        <v>41.709677783728843</v>
      </c>
      <c r="Q477" s="3">
        <f>+IF(F477="Pasajero",'2.2 OPEX LAP 2023'!L478*'2.1 OPEX TUUA'!$Q$7,'2.2 OPEX LAP 2023'!L478*'2.1 OPEX TUUA'!$Q$8)</f>
        <v>40.757529808106739</v>
      </c>
      <c r="R477" s="3">
        <f>+IF(F477="Pasajero",'2.2 OPEX LAP 2023'!M478*'2.1 OPEX TUUA'!$R$7,'2.2 OPEX LAP 2023'!M478*'2.1 OPEX TUUA'!$R$8)</f>
        <v>40.241262388986037</v>
      </c>
      <c r="S477" s="3">
        <f>+IF(F477="Pasajero",'2.2 OPEX LAP 2023'!N478*'2.1 OPEX TUUA'!$S$7,'2.2 OPEX LAP 2023'!N478*'2.1 OPEX TUUA'!$S$8)</f>
        <v>39.607489752987867</v>
      </c>
      <c r="AA477" s="6"/>
      <c r="AB477" s="6"/>
      <c r="AC477" s="6"/>
      <c r="AD477" s="6"/>
      <c r="AE477" s="6"/>
      <c r="AF477" s="6"/>
    </row>
    <row r="478" spans="2:32" x14ac:dyDescent="0.25">
      <c r="B478" s="16">
        <v>6590000005</v>
      </c>
      <c r="C478" s="190" t="s">
        <v>177</v>
      </c>
      <c r="D478" s="190" t="s">
        <v>38</v>
      </c>
      <c r="E478" s="190" t="s">
        <v>169</v>
      </c>
      <c r="F478" s="162" t="s">
        <v>190</v>
      </c>
      <c r="G478" s="3">
        <f>+IF(F478="Pasajero",'2.2 OPEX LAP 2023'!I479*'2.1 OPEX TUUA'!$G$7,'2.2 OPEX LAP 2023'!I479*'2.1 OPEX TUUA'!$G$8)</f>
        <v>0</v>
      </c>
      <c r="H478" s="3">
        <f>+IF(F478="Pasajero",'2.2 OPEX LAP 2023'!J479*'2.1 OPEX TUUA'!$H$7,'2.2 OPEX LAP 2023'!J479*'2.1 OPEX TUUA'!$H$8)</f>
        <v>0</v>
      </c>
      <c r="I478" s="3">
        <f>+IF(F478="Pasajero",'2.2 OPEX LAP 2023'!K479*'2.1 OPEX TUUA'!$I$7,'2.2 OPEX LAP 2023'!K479*'2.1 OPEX TUUA'!$I$8)</f>
        <v>0</v>
      </c>
      <c r="J478" s="3">
        <f>+IF(F478="Pasajero",'2.2 OPEX LAP 2023'!L479*'2.1 OPEX TUUA'!$J$7,'2.2 OPEX LAP 2023'!L479*'2.1 OPEX TUUA'!$J$8)</f>
        <v>0</v>
      </c>
      <c r="K478" s="3">
        <f>+IF(F478="Pasajero",'2.2 OPEX LAP 2023'!M479*'2.1 OPEX TUUA'!$K$7,'2.2 OPEX LAP 2023'!M479*'2.1 OPEX TUUA'!$K$8)</f>
        <v>0</v>
      </c>
      <c r="L478" s="3">
        <f>+IF(F478="Pasajero",'2.2 OPEX LAP 2023'!N479*'2.1 OPEX TUUA'!$L$7,'2.2 OPEX LAP 2023'!N479*'2.1 OPEX TUUA'!$L$8)</f>
        <v>0</v>
      </c>
      <c r="M478" s="3"/>
      <c r="N478" s="3">
        <f>+IF(F478="Pasajero",'2.2 OPEX LAP 2023'!I479*'2.1 OPEX TUUA'!$N$7,'2.2 OPEX LAP 2023'!I479*'2.1 OPEX TUUA'!$N$8)</f>
        <v>0</v>
      </c>
      <c r="O478" s="3">
        <f>+IF(F478="Pasajero",'2.2 OPEX LAP 2023'!J479*'2.1 OPEX TUUA'!$O$7,'2.2 OPEX LAP 2023'!J479*'2.1 OPEX TUUA'!$O$8)</f>
        <v>0</v>
      </c>
      <c r="P478" s="3">
        <f>+IF(F478="Pasajero",'2.2 OPEX LAP 2023'!K479*'2.1 OPEX TUUA'!$P$7,'2.2 OPEX LAP 2023'!K479*'2.1 OPEX TUUA'!$P$8)</f>
        <v>0</v>
      </c>
      <c r="Q478" s="3">
        <f>+IF(F478="Pasajero",'2.2 OPEX LAP 2023'!L479*'2.1 OPEX TUUA'!$Q$7,'2.2 OPEX LAP 2023'!L479*'2.1 OPEX TUUA'!$Q$8)</f>
        <v>0</v>
      </c>
      <c r="R478" s="3">
        <f>+IF(F478="Pasajero",'2.2 OPEX LAP 2023'!M479*'2.1 OPEX TUUA'!$R$7,'2.2 OPEX LAP 2023'!M479*'2.1 OPEX TUUA'!$R$8)</f>
        <v>0</v>
      </c>
      <c r="S478" s="3">
        <f>+IF(F478="Pasajero",'2.2 OPEX LAP 2023'!N479*'2.1 OPEX TUUA'!$S$7,'2.2 OPEX LAP 2023'!N479*'2.1 OPEX TUUA'!$S$8)</f>
        <v>0</v>
      </c>
      <c r="AA478" s="6"/>
      <c r="AB478" s="6"/>
      <c r="AC478" s="6"/>
      <c r="AD478" s="6"/>
      <c r="AE478" s="6"/>
      <c r="AF478" s="6"/>
    </row>
    <row r="479" spans="2:32" x14ac:dyDescent="0.25">
      <c r="B479" s="16">
        <v>6590000006</v>
      </c>
      <c r="C479" s="190" t="s">
        <v>177</v>
      </c>
      <c r="D479" s="190" t="s">
        <v>38</v>
      </c>
      <c r="E479" s="190" t="s">
        <v>170</v>
      </c>
      <c r="F479" s="162" t="s">
        <v>190</v>
      </c>
      <c r="G479" s="3">
        <f>+IF(F479="Pasajero",'2.2 OPEX LAP 2023'!I480*'2.1 OPEX TUUA'!$G$7,'2.2 OPEX LAP 2023'!I480*'2.1 OPEX TUUA'!$G$8)</f>
        <v>15774.255187792351</v>
      </c>
      <c r="H479" s="3">
        <f>+IF(F479="Pasajero",'2.2 OPEX LAP 2023'!J480*'2.1 OPEX TUUA'!$H$7,'2.2 OPEX LAP 2023'!J480*'2.1 OPEX TUUA'!$H$8)</f>
        <v>18095.202316587791</v>
      </c>
      <c r="I479" s="3">
        <f>+IF(F479="Pasajero",'2.2 OPEX LAP 2023'!K480*'2.1 OPEX TUUA'!$I$7,'2.2 OPEX LAP 2023'!K480*'2.1 OPEX TUUA'!$I$8)</f>
        <v>20004.511400358606</v>
      </c>
      <c r="J479" s="3">
        <f>+IF(F479="Pasajero",'2.2 OPEX LAP 2023'!L480*'2.1 OPEX TUUA'!$J$7,'2.2 OPEX LAP 2023'!L480*'2.1 OPEX TUUA'!$J$8)</f>
        <v>20847.074616946935</v>
      </c>
      <c r="K479" s="3">
        <f>+IF(F479="Pasajero",'2.2 OPEX LAP 2023'!M480*'2.1 OPEX TUUA'!$K$7,'2.2 OPEX LAP 2023'!M480*'2.1 OPEX TUUA'!$K$8)</f>
        <v>21313.42416332597</v>
      </c>
      <c r="L479" s="3">
        <f>+IF(F479="Pasajero",'2.2 OPEX LAP 2023'!N480*'2.1 OPEX TUUA'!$L$7,'2.2 OPEX LAP 2023'!N480*'2.1 OPEX TUUA'!$L$8)</f>
        <v>21882.633296982538</v>
      </c>
      <c r="M479" s="3"/>
      <c r="N479" s="3">
        <f>+IF(F479="Pasajero",'2.2 OPEX LAP 2023'!I480*'2.1 OPEX TUUA'!$N$7,'2.2 OPEX LAP 2023'!I480*'2.1 OPEX TUUA'!$N$8)</f>
        <v>7780.1343532581695</v>
      </c>
      <c r="O479" s="3">
        <f>+IF(F479="Pasajero",'2.2 OPEX LAP 2023'!J480*'2.1 OPEX TUUA'!$O$7,'2.2 OPEX LAP 2023'!J480*'2.1 OPEX TUUA'!$O$8)</f>
        <v>7494.3673633928811</v>
      </c>
      <c r="P479" s="3">
        <f>+IF(F479="Pasajero",'2.2 OPEX LAP 2023'!K480*'2.1 OPEX TUUA'!$P$7,'2.2 OPEX LAP 2023'!K480*'2.1 OPEX TUUA'!$P$8)</f>
        <v>7324.2252793834759</v>
      </c>
      <c r="Q479" s="3">
        <f>+IF(F479="Pasajero",'2.2 OPEX LAP 2023'!L480*'2.1 OPEX TUUA'!$Q$7,'2.2 OPEX LAP 2023'!L480*'2.1 OPEX TUUA'!$Q$8)</f>
        <v>7157.0279610794323</v>
      </c>
      <c r="R479" s="3">
        <f>+IF(F479="Pasajero",'2.2 OPEX LAP 2023'!M480*'2.1 OPEX TUUA'!$R$7,'2.2 OPEX LAP 2023'!M480*'2.1 OPEX TUUA'!$R$8)</f>
        <v>7066.3713297419208</v>
      </c>
      <c r="S479" s="3">
        <f>+IF(F479="Pasajero",'2.2 OPEX LAP 2023'!N480*'2.1 OPEX TUUA'!$S$7,'2.2 OPEX LAP 2023'!N480*'2.1 OPEX TUUA'!$S$8)</f>
        <v>6955.080765810254</v>
      </c>
      <c r="AA479" s="6"/>
      <c r="AB479" s="6"/>
      <c r="AC479" s="6"/>
      <c r="AD479" s="6"/>
      <c r="AE479" s="6"/>
      <c r="AF479" s="6"/>
    </row>
    <row r="480" spans="2:32" x14ac:dyDescent="0.25">
      <c r="B480" s="16">
        <v>6590000007</v>
      </c>
      <c r="C480" s="190" t="s">
        <v>177</v>
      </c>
      <c r="D480" s="190" t="s">
        <v>38</v>
      </c>
      <c r="E480" s="190" t="s">
        <v>171</v>
      </c>
      <c r="F480" s="162" t="s">
        <v>190</v>
      </c>
      <c r="G480" s="3">
        <f>+IF(F480="Pasajero",'2.2 OPEX LAP 2023'!I481*'2.1 OPEX TUUA'!$G$7,'2.2 OPEX LAP 2023'!I481*'2.1 OPEX TUUA'!$G$8)</f>
        <v>0</v>
      </c>
      <c r="H480" s="3">
        <f>+IF(F480="Pasajero",'2.2 OPEX LAP 2023'!J481*'2.1 OPEX TUUA'!$H$7,'2.2 OPEX LAP 2023'!J481*'2.1 OPEX TUUA'!$H$8)</f>
        <v>0</v>
      </c>
      <c r="I480" s="3">
        <f>+IF(F480="Pasajero",'2.2 OPEX LAP 2023'!K481*'2.1 OPEX TUUA'!$I$7,'2.2 OPEX LAP 2023'!K481*'2.1 OPEX TUUA'!$I$8)</f>
        <v>0</v>
      </c>
      <c r="J480" s="3">
        <f>+IF(F480="Pasajero",'2.2 OPEX LAP 2023'!L481*'2.1 OPEX TUUA'!$J$7,'2.2 OPEX LAP 2023'!L481*'2.1 OPEX TUUA'!$J$8)</f>
        <v>0</v>
      </c>
      <c r="K480" s="3">
        <f>+IF(F480="Pasajero",'2.2 OPEX LAP 2023'!M481*'2.1 OPEX TUUA'!$K$7,'2.2 OPEX LAP 2023'!M481*'2.1 OPEX TUUA'!$K$8)</f>
        <v>0</v>
      </c>
      <c r="L480" s="3">
        <f>+IF(F480="Pasajero",'2.2 OPEX LAP 2023'!N481*'2.1 OPEX TUUA'!$L$7,'2.2 OPEX LAP 2023'!N481*'2.1 OPEX TUUA'!$L$8)</f>
        <v>0</v>
      </c>
      <c r="M480" s="3"/>
      <c r="N480" s="3">
        <f>+IF(F480="Pasajero",'2.2 OPEX LAP 2023'!I481*'2.1 OPEX TUUA'!$N$7,'2.2 OPEX LAP 2023'!I481*'2.1 OPEX TUUA'!$N$8)</f>
        <v>0</v>
      </c>
      <c r="O480" s="3">
        <f>+IF(F480="Pasajero",'2.2 OPEX LAP 2023'!J481*'2.1 OPEX TUUA'!$O$7,'2.2 OPEX LAP 2023'!J481*'2.1 OPEX TUUA'!$O$8)</f>
        <v>0</v>
      </c>
      <c r="P480" s="3">
        <f>+IF(F480="Pasajero",'2.2 OPEX LAP 2023'!K481*'2.1 OPEX TUUA'!$P$7,'2.2 OPEX LAP 2023'!K481*'2.1 OPEX TUUA'!$P$8)</f>
        <v>0</v>
      </c>
      <c r="Q480" s="3">
        <f>+IF(F480="Pasajero",'2.2 OPEX LAP 2023'!L481*'2.1 OPEX TUUA'!$Q$7,'2.2 OPEX LAP 2023'!L481*'2.1 OPEX TUUA'!$Q$8)</f>
        <v>0</v>
      </c>
      <c r="R480" s="3">
        <f>+IF(F480="Pasajero",'2.2 OPEX LAP 2023'!M481*'2.1 OPEX TUUA'!$R$7,'2.2 OPEX LAP 2023'!M481*'2.1 OPEX TUUA'!$R$8)</f>
        <v>0</v>
      </c>
      <c r="S480" s="3">
        <f>+IF(F480="Pasajero",'2.2 OPEX LAP 2023'!N481*'2.1 OPEX TUUA'!$S$7,'2.2 OPEX LAP 2023'!N481*'2.1 OPEX TUUA'!$S$8)</f>
        <v>0</v>
      </c>
      <c r="AA480" s="6"/>
      <c r="AB480" s="6"/>
      <c r="AC480" s="6"/>
      <c r="AD480" s="6"/>
      <c r="AE480" s="6"/>
      <c r="AF480" s="6"/>
    </row>
    <row r="481" spans="2:32" x14ac:dyDescent="0.25">
      <c r="B481" s="16">
        <v>6590000010</v>
      </c>
      <c r="C481" s="190" t="s">
        <v>177</v>
      </c>
      <c r="D481" s="190" t="s">
        <v>38</v>
      </c>
      <c r="E481" s="190" t="s">
        <v>172</v>
      </c>
      <c r="F481" s="162" t="s">
        <v>190</v>
      </c>
      <c r="G481" s="3">
        <f>+IF(F481="Pasajero",'2.2 OPEX LAP 2023'!I482*'2.1 OPEX TUUA'!$G$7,'2.2 OPEX LAP 2023'!I482*'2.1 OPEX TUUA'!$G$8)</f>
        <v>0</v>
      </c>
      <c r="H481" s="3">
        <f>+IF(F481="Pasajero",'2.2 OPEX LAP 2023'!J482*'2.1 OPEX TUUA'!$H$7,'2.2 OPEX LAP 2023'!J482*'2.1 OPEX TUUA'!$H$8)</f>
        <v>0</v>
      </c>
      <c r="I481" s="3">
        <f>+IF(F481="Pasajero",'2.2 OPEX LAP 2023'!K482*'2.1 OPEX TUUA'!$I$7,'2.2 OPEX LAP 2023'!K482*'2.1 OPEX TUUA'!$I$8)</f>
        <v>0</v>
      </c>
      <c r="J481" s="3">
        <f>+IF(F481="Pasajero",'2.2 OPEX LAP 2023'!L482*'2.1 OPEX TUUA'!$J$7,'2.2 OPEX LAP 2023'!L482*'2.1 OPEX TUUA'!$J$8)</f>
        <v>0</v>
      </c>
      <c r="K481" s="3">
        <f>+IF(F481="Pasajero",'2.2 OPEX LAP 2023'!M482*'2.1 OPEX TUUA'!$K$7,'2.2 OPEX LAP 2023'!M482*'2.1 OPEX TUUA'!$K$8)</f>
        <v>0</v>
      </c>
      <c r="L481" s="3">
        <f>+IF(F481="Pasajero",'2.2 OPEX LAP 2023'!N482*'2.1 OPEX TUUA'!$L$7,'2.2 OPEX LAP 2023'!N482*'2.1 OPEX TUUA'!$L$8)</f>
        <v>0</v>
      </c>
      <c r="M481" s="3"/>
      <c r="N481" s="3">
        <f>+IF(F481="Pasajero",'2.2 OPEX LAP 2023'!I482*'2.1 OPEX TUUA'!$N$7,'2.2 OPEX LAP 2023'!I482*'2.1 OPEX TUUA'!$N$8)</f>
        <v>0</v>
      </c>
      <c r="O481" s="3">
        <f>+IF(F481="Pasajero",'2.2 OPEX LAP 2023'!J482*'2.1 OPEX TUUA'!$O$7,'2.2 OPEX LAP 2023'!J482*'2.1 OPEX TUUA'!$O$8)</f>
        <v>0</v>
      </c>
      <c r="P481" s="3">
        <f>+IF(F481="Pasajero",'2.2 OPEX LAP 2023'!K482*'2.1 OPEX TUUA'!$P$7,'2.2 OPEX LAP 2023'!K482*'2.1 OPEX TUUA'!$P$8)</f>
        <v>0</v>
      </c>
      <c r="Q481" s="3">
        <f>+IF(F481="Pasajero",'2.2 OPEX LAP 2023'!L482*'2.1 OPEX TUUA'!$Q$7,'2.2 OPEX LAP 2023'!L482*'2.1 OPEX TUUA'!$Q$8)</f>
        <v>0</v>
      </c>
      <c r="R481" s="3">
        <f>+IF(F481="Pasajero",'2.2 OPEX LAP 2023'!M482*'2.1 OPEX TUUA'!$R$7,'2.2 OPEX LAP 2023'!M482*'2.1 OPEX TUUA'!$R$8)</f>
        <v>0</v>
      </c>
      <c r="S481" s="3">
        <f>+IF(F481="Pasajero",'2.2 OPEX LAP 2023'!N482*'2.1 OPEX TUUA'!$S$7,'2.2 OPEX LAP 2023'!N482*'2.1 OPEX TUUA'!$S$8)</f>
        <v>0</v>
      </c>
      <c r="AA481" s="6"/>
      <c r="AB481" s="6"/>
      <c r="AC481" s="6"/>
      <c r="AD481" s="6"/>
      <c r="AE481" s="6"/>
      <c r="AF481" s="6"/>
    </row>
    <row r="482" spans="2:32" x14ac:dyDescent="0.25">
      <c r="B482" s="16">
        <v>6590000011</v>
      </c>
      <c r="C482" s="190" t="s">
        <v>177</v>
      </c>
      <c r="D482" s="190" t="s">
        <v>38</v>
      </c>
      <c r="E482" s="190" t="s">
        <v>173</v>
      </c>
      <c r="F482" s="162" t="s">
        <v>190</v>
      </c>
      <c r="G482" s="3">
        <f>+IF(F482="Pasajero",'2.2 OPEX LAP 2023'!I483*'2.1 OPEX TUUA'!$G$7,'2.2 OPEX LAP 2023'!I483*'2.1 OPEX TUUA'!$G$8)</f>
        <v>120.30986378968137</v>
      </c>
      <c r="H482" s="3">
        <f>+IF(F482="Pasajero",'2.2 OPEX LAP 2023'!J483*'2.1 OPEX TUUA'!$H$7,'2.2 OPEX LAP 2023'!J483*'2.1 OPEX TUUA'!$H$8)</f>
        <v>138.0116715520237</v>
      </c>
      <c r="I482" s="3">
        <f>+IF(F482="Pasajero",'2.2 OPEX LAP 2023'!K483*'2.1 OPEX TUUA'!$I$7,'2.2 OPEX LAP 2023'!K483*'2.1 OPEX TUUA'!$I$8)</f>
        <v>152.57392587504486</v>
      </c>
      <c r="J482" s="3">
        <f>+IF(F482="Pasajero",'2.2 OPEX LAP 2023'!L483*'2.1 OPEX TUUA'!$J$7,'2.2 OPEX LAP 2023'!L483*'2.1 OPEX TUUA'!$J$8)</f>
        <v>159.000135202531</v>
      </c>
      <c r="K482" s="3">
        <f>+IF(F482="Pasajero",'2.2 OPEX LAP 2023'!M483*'2.1 OPEX TUUA'!$K$7,'2.2 OPEX LAP 2023'!M483*'2.1 OPEX TUUA'!$K$8)</f>
        <v>162.55697194285847</v>
      </c>
      <c r="L482" s="3">
        <f>+IF(F482="Pasajero",'2.2 OPEX LAP 2023'!N483*'2.1 OPEX TUUA'!$L$7,'2.2 OPEX LAP 2023'!N483*'2.1 OPEX TUUA'!$L$8)</f>
        <v>166.89831627403564</v>
      </c>
      <c r="M482" s="3"/>
      <c r="N482" s="3">
        <f>+IF(F482="Pasajero",'2.2 OPEX LAP 2023'!I483*'2.1 OPEX TUUA'!$N$7,'2.2 OPEX LAP 2023'!I483*'2.1 OPEX TUUA'!$N$8)</f>
        <v>59.338897029528191</v>
      </c>
      <c r="O482" s="3">
        <f>+IF(F482="Pasajero",'2.2 OPEX LAP 2023'!J483*'2.1 OPEX TUUA'!$O$7,'2.2 OPEX LAP 2023'!J483*'2.1 OPEX TUUA'!$O$8)</f>
        <v>57.159359091477896</v>
      </c>
      <c r="P482" s="3">
        <f>+IF(F482="Pasajero",'2.2 OPEX LAP 2023'!K483*'2.1 OPEX TUUA'!$P$7,'2.2 OPEX LAP 2023'!K483*'2.1 OPEX TUUA'!$P$8)</f>
        <v>55.861689521132313</v>
      </c>
      <c r="Q482" s="3">
        <f>+IF(F482="Pasajero",'2.2 OPEX LAP 2023'!L483*'2.1 OPEX TUUA'!$Q$7,'2.2 OPEX LAP 2023'!L483*'2.1 OPEX TUUA'!$Q$8)</f>
        <v>54.586479607783957</v>
      </c>
      <c r="R482" s="3">
        <f>+IF(F482="Pasajero",'2.2 OPEX LAP 2023'!M483*'2.1 OPEX TUUA'!$R$7,'2.2 OPEX LAP 2023'!M483*'2.1 OPEX TUUA'!$R$8)</f>
        <v>53.895043667512873</v>
      </c>
      <c r="S482" s="3">
        <f>+IF(F482="Pasajero",'2.2 OPEX LAP 2023'!N483*'2.1 OPEX TUUA'!$S$7,'2.2 OPEX LAP 2023'!N483*'2.1 OPEX TUUA'!$S$8)</f>
        <v>53.046233221105382</v>
      </c>
      <c r="AA482" s="6"/>
      <c r="AB482" s="6"/>
      <c r="AC482" s="6"/>
      <c r="AD482" s="6"/>
      <c r="AE482" s="6"/>
      <c r="AF482" s="6"/>
    </row>
    <row r="483" spans="2:32" x14ac:dyDescent="0.25">
      <c r="B483" s="16">
        <v>6840000001</v>
      </c>
      <c r="C483" s="190" t="s">
        <v>177</v>
      </c>
      <c r="D483" s="190" t="s">
        <v>38</v>
      </c>
      <c r="E483" s="190" t="s">
        <v>174</v>
      </c>
      <c r="F483" s="162" t="s">
        <v>190</v>
      </c>
      <c r="G483" s="3">
        <f>+IF(F483="Pasajero",'2.2 OPEX LAP 2023'!I484*'2.1 OPEX TUUA'!$G$7,'2.2 OPEX LAP 2023'!I484*'2.1 OPEX TUUA'!$G$8)</f>
        <v>0</v>
      </c>
      <c r="H483" s="3">
        <f>+IF(F483="Pasajero",'2.2 OPEX LAP 2023'!J484*'2.1 OPEX TUUA'!$H$7,'2.2 OPEX LAP 2023'!J484*'2.1 OPEX TUUA'!$H$8)</f>
        <v>0</v>
      </c>
      <c r="I483" s="3">
        <f>+IF(F483="Pasajero",'2.2 OPEX LAP 2023'!K484*'2.1 OPEX TUUA'!$I$7,'2.2 OPEX LAP 2023'!K484*'2.1 OPEX TUUA'!$I$8)</f>
        <v>0</v>
      </c>
      <c r="J483" s="3">
        <f>+IF(F483="Pasajero",'2.2 OPEX LAP 2023'!L484*'2.1 OPEX TUUA'!$J$7,'2.2 OPEX LAP 2023'!L484*'2.1 OPEX TUUA'!$J$8)</f>
        <v>0</v>
      </c>
      <c r="K483" s="3">
        <f>+IF(F483="Pasajero",'2.2 OPEX LAP 2023'!M484*'2.1 OPEX TUUA'!$K$7,'2.2 OPEX LAP 2023'!M484*'2.1 OPEX TUUA'!$K$8)</f>
        <v>0</v>
      </c>
      <c r="L483" s="3">
        <f>+IF(F483="Pasajero",'2.2 OPEX LAP 2023'!N484*'2.1 OPEX TUUA'!$L$7,'2.2 OPEX LAP 2023'!N484*'2.1 OPEX TUUA'!$L$8)</f>
        <v>0</v>
      </c>
      <c r="M483" s="3"/>
      <c r="N483" s="3">
        <f>+IF(F483="Pasajero",'2.2 OPEX LAP 2023'!I484*'2.1 OPEX TUUA'!$N$7,'2.2 OPEX LAP 2023'!I484*'2.1 OPEX TUUA'!$N$8)</f>
        <v>0</v>
      </c>
      <c r="O483" s="3">
        <f>+IF(F483="Pasajero",'2.2 OPEX LAP 2023'!J484*'2.1 OPEX TUUA'!$O$7,'2.2 OPEX LAP 2023'!J484*'2.1 OPEX TUUA'!$O$8)</f>
        <v>0</v>
      </c>
      <c r="P483" s="3">
        <f>+IF(F483="Pasajero",'2.2 OPEX LAP 2023'!K484*'2.1 OPEX TUUA'!$P$7,'2.2 OPEX LAP 2023'!K484*'2.1 OPEX TUUA'!$P$8)</f>
        <v>0</v>
      </c>
      <c r="Q483" s="3">
        <f>+IF(F483="Pasajero",'2.2 OPEX LAP 2023'!L484*'2.1 OPEX TUUA'!$Q$7,'2.2 OPEX LAP 2023'!L484*'2.1 OPEX TUUA'!$Q$8)</f>
        <v>0</v>
      </c>
      <c r="R483" s="3">
        <f>+IF(F483="Pasajero",'2.2 OPEX LAP 2023'!M484*'2.1 OPEX TUUA'!$R$7,'2.2 OPEX LAP 2023'!M484*'2.1 OPEX TUUA'!$R$8)</f>
        <v>0</v>
      </c>
      <c r="S483" s="3">
        <f>+IF(F483="Pasajero",'2.2 OPEX LAP 2023'!N484*'2.1 OPEX TUUA'!$S$7,'2.2 OPEX LAP 2023'!N484*'2.1 OPEX TUUA'!$S$8)</f>
        <v>0</v>
      </c>
      <c r="AA483" s="6"/>
      <c r="AB483" s="6"/>
      <c r="AC483" s="6"/>
      <c r="AD483" s="6"/>
      <c r="AE483" s="6"/>
      <c r="AF483" s="6"/>
    </row>
    <row r="484" spans="2:32" x14ac:dyDescent="0.25">
      <c r="B484" s="189">
        <v>8710000001</v>
      </c>
      <c r="C484" s="191" t="s">
        <v>177</v>
      </c>
      <c r="D484" s="191" t="s">
        <v>14</v>
      </c>
      <c r="E484" s="191" t="s">
        <v>175</v>
      </c>
      <c r="F484" s="163" t="s">
        <v>190</v>
      </c>
      <c r="G484" s="150">
        <f>+IF(F484="Pasajero",'2.2 OPEX LAP 2023'!I485*'2.1 OPEX TUUA'!$G$7,'2.2 OPEX LAP 2023'!I485*'2.1 OPEX TUUA'!$G$8)</f>
        <v>0</v>
      </c>
      <c r="H484" s="150">
        <f>+IF(F484="Pasajero",'2.2 OPEX LAP 2023'!J485*'2.1 OPEX TUUA'!$H$7,'2.2 OPEX LAP 2023'!J485*'2.1 OPEX TUUA'!$H$8)</f>
        <v>0</v>
      </c>
      <c r="I484" s="150">
        <f>+IF(F484="Pasajero",'2.2 OPEX LAP 2023'!K485*'2.1 OPEX TUUA'!$I$7,'2.2 OPEX LAP 2023'!K485*'2.1 OPEX TUUA'!$I$8)</f>
        <v>0</v>
      </c>
      <c r="J484" s="150">
        <f>+IF(F484="Pasajero",'2.2 OPEX LAP 2023'!L485*'2.1 OPEX TUUA'!$J$7,'2.2 OPEX LAP 2023'!L485*'2.1 OPEX TUUA'!$J$8)</f>
        <v>0</v>
      </c>
      <c r="K484" s="150">
        <f>+IF(F484="Pasajero",'2.2 OPEX LAP 2023'!M485*'2.1 OPEX TUUA'!$K$7,'2.2 OPEX LAP 2023'!M485*'2.1 OPEX TUUA'!$K$8)</f>
        <v>0</v>
      </c>
      <c r="L484" s="150">
        <f>+IF(F484="Pasajero",'2.2 OPEX LAP 2023'!N485*'2.1 OPEX TUUA'!$L$7,'2.2 OPEX LAP 2023'!N485*'2.1 OPEX TUUA'!$L$8)</f>
        <v>0</v>
      </c>
      <c r="M484" s="150"/>
      <c r="N484" s="150">
        <f>+IF(F484="Pasajero",'2.2 OPEX LAP 2023'!I485*'2.1 OPEX TUUA'!$N$7,'2.2 OPEX LAP 2023'!I485*'2.1 OPEX TUUA'!$N$8)</f>
        <v>0</v>
      </c>
      <c r="O484" s="150">
        <f>+IF(F484="Pasajero",'2.2 OPEX LAP 2023'!J485*'2.1 OPEX TUUA'!$O$7,'2.2 OPEX LAP 2023'!J485*'2.1 OPEX TUUA'!$O$8)</f>
        <v>0</v>
      </c>
      <c r="P484" s="150">
        <f>+IF(F484="Pasajero",'2.2 OPEX LAP 2023'!K485*'2.1 OPEX TUUA'!$P$7,'2.2 OPEX LAP 2023'!K485*'2.1 OPEX TUUA'!$P$8)</f>
        <v>0</v>
      </c>
      <c r="Q484" s="150">
        <f>+IF(F484="Pasajero",'2.2 OPEX LAP 2023'!L485*'2.1 OPEX TUUA'!$Q$7,'2.2 OPEX LAP 2023'!L485*'2.1 OPEX TUUA'!$Q$8)</f>
        <v>0</v>
      </c>
      <c r="R484" s="150">
        <f>+IF(F484="Pasajero",'2.2 OPEX LAP 2023'!M485*'2.1 OPEX TUUA'!$R$7,'2.2 OPEX LAP 2023'!M485*'2.1 OPEX TUUA'!$R$8)</f>
        <v>0</v>
      </c>
      <c r="S484" s="150">
        <f>+IF(F484="Pasajero",'2.2 OPEX LAP 2023'!N485*'2.1 OPEX TUUA'!$S$7,'2.2 OPEX LAP 2023'!N485*'2.1 OPEX TUUA'!$S$8)</f>
        <v>0</v>
      </c>
      <c r="AA484" s="6"/>
      <c r="AB484" s="6"/>
      <c r="AC484" s="6"/>
      <c r="AD484" s="6"/>
      <c r="AE484" s="6"/>
      <c r="AF484" s="6"/>
    </row>
    <row r="485" spans="2:32" x14ac:dyDescent="0.25">
      <c r="G485" s="3"/>
      <c r="H485" s="3"/>
      <c r="I485" s="3"/>
      <c r="J485" s="3"/>
      <c r="K485" s="3"/>
      <c r="L485" s="3"/>
      <c r="M485" s="3"/>
    </row>
    <row r="486" spans="2:32" x14ac:dyDescent="0.25">
      <c r="G486" s="3"/>
      <c r="H486" s="3"/>
      <c r="I486" s="3"/>
      <c r="J486" s="3"/>
      <c r="K486" s="3"/>
      <c r="L486" s="3"/>
      <c r="M486" s="3"/>
    </row>
  </sheetData>
  <mergeCells count="9">
    <mergeCell ref="N6:S6"/>
    <mergeCell ref="G12:L12"/>
    <mergeCell ref="N12:S12"/>
    <mergeCell ref="F12:F13"/>
    <mergeCell ref="B12:B13"/>
    <mergeCell ref="C12:C13"/>
    <mergeCell ref="D12:D13"/>
    <mergeCell ref="E12:E13"/>
    <mergeCell ref="G6:L6"/>
  </mergeCells>
  <hyperlinks>
    <hyperlink ref="S1" location="Índice!A1" display="ÍNDICE" xr:uid="{F3A69065-80CD-4664-B01F-C86A77D5165C}"/>
  </hyperlink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962C0-7F9E-431C-9B44-58DE3A0DA35F}">
  <sheetPr codeName="Hoja8"/>
  <dimension ref="A1:P486"/>
  <sheetViews>
    <sheetView showGridLines="0" zoomScaleNormal="100" workbookViewId="0">
      <pane ySplit="13" topLeftCell="A14" activePane="bottomLeft" state="frozen"/>
      <selection pane="bottomLeft" activeCell="J15" sqref="J15:N485"/>
    </sheetView>
  </sheetViews>
  <sheetFormatPr baseColWidth="10" defaultColWidth="11.5546875" defaultRowHeight="13.2" x14ac:dyDescent="0.25"/>
  <cols>
    <col min="1" max="1" width="2.6640625" style="1" customWidth="1"/>
    <col min="2" max="2" width="13.109375" style="1" customWidth="1"/>
    <col min="3" max="3" width="13.33203125" style="1" customWidth="1"/>
    <col min="4" max="4" width="28.109375" style="1" bestFit="1" customWidth="1"/>
    <col min="5" max="5" width="25.44140625" style="1" customWidth="1"/>
    <col min="6" max="6" width="13" style="1" bestFit="1" customWidth="1"/>
    <col min="7" max="7" width="19" style="1" customWidth="1"/>
    <col min="8" max="8" width="17.5546875" style="1" customWidth="1"/>
    <col min="9" max="14" width="11.88671875" style="1" customWidth="1"/>
    <col min="15" max="18" width="11.5546875" style="1"/>
    <col min="19" max="19" width="12.33203125" style="1" bestFit="1" customWidth="1"/>
    <col min="20" max="16384" width="11.5546875" style="1"/>
  </cols>
  <sheetData>
    <row r="1" spans="2:16" ht="16.2" thickBot="1" x14ac:dyDescent="0.35">
      <c r="B1" s="129" t="s">
        <v>537</v>
      </c>
      <c r="N1" s="38" t="s">
        <v>389</v>
      </c>
    </row>
    <row r="2" spans="2:16" ht="5.0999999999999996" customHeight="1" x14ac:dyDescent="0.3">
      <c r="B2" s="129"/>
    </row>
    <row r="3" spans="2:16" x14ac:dyDescent="0.25">
      <c r="B3" s="7" t="s">
        <v>532</v>
      </c>
    </row>
    <row r="4" spans="2:16" ht="5.0999999999999996" customHeight="1" x14ac:dyDescent="0.25">
      <c r="B4" s="7"/>
    </row>
    <row r="5" spans="2:16" x14ac:dyDescent="0.25">
      <c r="B5" s="52"/>
      <c r="C5" s="52"/>
      <c r="D5" s="52"/>
      <c r="E5" s="52"/>
      <c r="F5" s="52"/>
      <c r="G5" s="52"/>
      <c r="H5" s="52"/>
      <c r="I5" s="52"/>
      <c r="J5" s="52">
        <v>2026</v>
      </c>
      <c r="K5" s="52">
        <v>2027</v>
      </c>
      <c r="L5" s="52">
        <v>2028</v>
      </c>
      <c r="M5" s="52">
        <v>2029</v>
      </c>
      <c r="N5" s="52">
        <v>2030</v>
      </c>
    </row>
    <row r="6" spans="2:16" ht="17.25" customHeight="1" x14ac:dyDescent="0.25">
      <c r="B6" s="177" t="s">
        <v>183</v>
      </c>
      <c r="C6" s="164"/>
      <c r="D6" s="147"/>
      <c r="E6" s="147"/>
      <c r="F6" s="147"/>
      <c r="G6" s="164"/>
      <c r="H6" s="147"/>
      <c r="I6" s="147"/>
      <c r="J6" s="165">
        <f>+'1. Demanda'!D14/'1. Demanda'!C14-1</f>
        <v>7.2398042515447125E-2</v>
      </c>
      <c r="K6" s="165">
        <f>+'1. Demanda'!E14/'1. Demanda'!D14-1</f>
        <v>5.3000027907694536E-2</v>
      </c>
      <c r="L6" s="165">
        <f>+'1. Demanda'!F14/'1. Demanda'!E14-1</f>
        <v>5.2796130781679551E-2</v>
      </c>
      <c r="M6" s="165">
        <f>+'1. Demanda'!G14/'1. Demanda'!F14-1</f>
        <v>5.5550843256113147E-2</v>
      </c>
      <c r="N6" s="165">
        <f>+'1. Demanda'!H14/'1. Demanda'!G14-1</f>
        <v>5.1364553368215216E-2</v>
      </c>
    </row>
    <row r="7" spans="2:16" ht="17.25" customHeight="1" x14ac:dyDescent="0.25">
      <c r="B7" s="167" t="s">
        <v>184</v>
      </c>
      <c r="C7" s="176"/>
      <c r="D7" s="166"/>
      <c r="E7" s="166"/>
      <c r="F7" s="166"/>
      <c r="G7" s="167"/>
      <c r="H7" s="166"/>
      <c r="I7" s="166"/>
      <c r="J7" s="168">
        <v>0.3448</v>
      </c>
      <c r="K7" s="168">
        <f>+J7</f>
        <v>0.3448</v>
      </c>
      <c r="L7" s="168">
        <f t="shared" ref="L7:N7" si="0">+K7</f>
        <v>0.3448</v>
      </c>
      <c r="M7" s="168">
        <f t="shared" si="0"/>
        <v>0.3448</v>
      </c>
      <c r="N7" s="168">
        <f t="shared" si="0"/>
        <v>0.3448</v>
      </c>
    </row>
    <row r="8" spans="2:16" ht="17.25" customHeight="1" x14ac:dyDescent="0.25">
      <c r="B8" s="182" t="s">
        <v>640</v>
      </c>
      <c r="C8" s="176"/>
      <c r="D8" s="166"/>
      <c r="E8" s="166"/>
      <c r="F8" s="166"/>
      <c r="G8" s="167"/>
      <c r="H8" s="166"/>
      <c r="I8" s="296">
        <f>1+'5.1 Var-Macro'!D140</f>
        <v>1.0188950515186759</v>
      </c>
      <c r="J8" s="296"/>
      <c r="K8" s="168"/>
      <c r="L8" s="168"/>
      <c r="M8" s="168"/>
      <c r="N8" s="168"/>
    </row>
    <row r="10" spans="2:16" x14ac:dyDescent="0.25">
      <c r="B10" s="7" t="s">
        <v>527</v>
      </c>
      <c r="E10" s="244"/>
      <c r="J10" s="2"/>
      <c r="K10" s="2"/>
      <c r="L10" s="2"/>
      <c r="M10" s="2"/>
      <c r="N10" s="2"/>
    </row>
    <row r="11" spans="2:16" ht="5.0999999999999996" customHeight="1" x14ac:dyDescent="0.25"/>
    <row r="12" spans="2:16" ht="15" customHeight="1" x14ac:dyDescent="0.25">
      <c r="B12" s="328" t="s">
        <v>9</v>
      </c>
      <c r="C12" s="329" t="s">
        <v>10</v>
      </c>
      <c r="D12" s="329" t="s">
        <v>11</v>
      </c>
      <c r="E12" s="329" t="s">
        <v>12</v>
      </c>
      <c r="F12" s="328" t="s">
        <v>181</v>
      </c>
      <c r="G12" s="327" t="s">
        <v>180</v>
      </c>
      <c r="H12" s="327" t="s">
        <v>193</v>
      </c>
      <c r="I12" s="326" t="s">
        <v>526</v>
      </c>
      <c r="J12" s="326"/>
      <c r="K12" s="326"/>
      <c r="L12" s="326"/>
      <c r="M12" s="326"/>
      <c r="N12" s="326"/>
    </row>
    <row r="13" spans="2:16" x14ac:dyDescent="0.25">
      <c r="B13" s="328"/>
      <c r="C13" s="329"/>
      <c r="D13" s="329"/>
      <c r="E13" s="329"/>
      <c r="F13" s="328"/>
      <c r="G13" s="327"/>
      <c r="H13" s="327"/>
      <c r="I13" s="39">
        <v>2025</v>
      </c>
      <c r="J13" s="39">
        <f>+I13+1</f>
        <v>2026</v>
      </c>
      <c r="K13" s="39">
        <f t="shared" ref="K13:N13" si="1">+J13+1</f>
        <v>2027</v>
      </c>
      <c r="L13" s="39">
        <f t="shared" si="1"/>
        <v>2028</v>
      </c>
      <c r="M13" s="39">
        <f t="shared" si="1"/>
        <v>2029</v>
      </c>
      <c r="N13" s="39">
        <f t="shared" si="1"/>
        <v>2030</v>
      </c>
    </row>
    <row r="14" spans="2:16" x14ac:dyDescent="0.25">
      <c r="B14" s="169" t="s">
        <v>9</v>
      </c>
      <c r="C14" s="169" t="s">
        <v>10</v>
      </c>
      <c r="D14" s="169" t="s">
        <v>11</v>
      </c>
      <c r="E14" s="169" t="s">
        <v>12</v>
      </c>
      <c r="F14" s="169" t="s">
        <v>181</v>
      </c>
      <c r="G14" s="169" t="s">
        <v>180</v>
      </c>
      <c r="H14" s="169" t="s">
        <v>193</v>
      </c>
      <c r="I14" s="169" t="s">
        <v>182</v>
      </c>
      <c r="J14" s="169" t="s">
        <v>185</v>
      </c>
      <c r="K14" s="169" t="s">
        <v>186</v>
      </c>
      <c r="L14" s="169" t="s">
        <v>187</v>
      </c>
      <c r="M14" s="169" t="s">
        <v>188</v>
      </c>
      <c r="N14" s="169" t="s">
        <v>189</v>
      </c>
    </row>
    <row r="15" spans="2:16" x14ac:dyDescent="0.25">
      <c r="B15" s="17">
        <v>6211000001</v>
      </c>
      <c r="C15" s="160" t="s">
        <v>13</v>
      </c>
      <c r="D15" s="160" t="s">
        <v>14</v>
      </c>
      <c r="E15" s="160" t="s">
        <v>15</v>
      </c>
      <c r="F15" s="154">
        <v>373681.5633588424</v>
      </c>
      <c r="G15" s="161">
        <f>+VLOOKUP(B15,'5.3 Var OPEX 2023-25'!$B$4:$D$160,3,0)</f>
        <v>0.39130162327539963</v>
      </c>
      <c r="H15" s="162" t="s">
        <v>190</v>
      </c>
      <c r="I15" s="297">
        <f t="shared" ref="I15:I78" si="2">+F15*(1+G15)/$I$8</f>
        <v>510262.3326262341</v>
      </c>
      <c r="J15" s="158">
        <f t="shared" ref="J15:N24" si="3">+IF(OR($C15="No Imputables",$H15="m2 fijo"),I15,I15*(1+J$6*J$7))</f>
        <v>522999.93217519316</v>
      </c>
      <c r="K15" s="158">
        <f t="shared" si="3"/>
        <v>532557.44716834056</v>
      </c>
      <c r="L15" s="158">
        <f t="shared" si="3"/>
        <v>542252.17933097738</v>
      </c>
      <c r="M15" s="158">
        <f t="shared" si="3"/>
        <v>552638.44002547232</v>
      </c>
      <c r="N15" s="158">
        <f t="shared" si="3"/>
        <v>562425.94201301853</v>
      </c>
      <c r="P15" s="2"/>
    </row>
    <row r="16" spans="2:16" x14ac:dyDescent="0.25">
      <c r="B16" s="17">
        <v>6212000001</v>
      </c>
      <c r="C16" s="160" t="s">
        <v>13</v>
      </c>
      <c r="D16" s="160" t="s">
        <v>14</v>
      </c>
      <c r="E16" s="160" t="s">
        <v>16</v>
      </c>
      <c r="F16" s="154">
        <v>79946.028028718283</v>
      </c>
      <c r="G16" s="161">
        <f>+VLOOKUP(B16,'5.3 Var OPEX 2023-25'!$B$4:$D$160,3,0)</f>
        <v>0.39130162327539963</v>
      </c>
      <c r="H16" s="162" t="s">
        <v>190</v>
      </c>
      <c r="I16" s="297">
        <f t="shared" si="2"/>
        <v>109166.33504597757</v>
      </c>
      <c r="J16" s="158">
        <f t="shared" si="3"/>
        <v>111891.4373534248</v>
      </c>
      <c r="K16" s="158">
        <f t="shared" si="3"/>
        <v>113936.18731287976</v>
      </c>
      <c r="L16" s="158">
        <f t="shared" si="3"/>
        <v>116010.29373182771</v>
      </c>
      <c r="M16" s="158">
        <f t="shared" si="3"/>
        <v>118232.34686480045</v>
      </c>
      <c r="N16" s="158">
        <f t="shared" si="3"/>
        <v>120326.30060764568</v>
      </c>
      <c r="P16" s="2"/>
    </row>
    <row r="17" spans="2:16" x14ac:dyDescent="0.25">
      <c r="B17" s="17">
        <v>6213000001</v>
      </c>
      <c r="C17" s="160" t="s">
        <v>13</v>
      </c>
      <c r="D17" s="160" t="s">
        <v>14</v>
      </c>
      <c r="E17" s="160" t="s">
        <v>17</v>
      </c>
      <c r="F17" s="154">
        <v>36801.862419904508</v>
      </c>
      <c r="G17" s="161">
        <f>+VLOOKUP(B17,'5.3 Var OPEX 2023-25'!$B$4:$D$160,3,0)</f>
        <v>0.39130162327539963</v>
      </c>
      <c r="H17" s="162" t="s">
        <v>190</v>
      </c>
      <c r="I17" s="297">
        <f t="shared" si="2"/>
        <v>50252.958681125318</v>
      </c>
      <c r="J17" s="158">
        <f t="shared" si="3"/>
        <v>51507.415502454969</v>
      </c>
      <c r="K17" s="158">
        <f t="shared" si="3"/>
        <v>52448.683111946906</v>
      </c>
      <c r="L17" s="158">
        <f t="shared" si="3"/>
        <v>53403.464493292631</v>
      </c>
      <c r="M17" s="158">
        <f t="shared" si="3"/>
        <v>54426.350754258652</v>
      </c>
      <c r="N17" s="158">
        <f t="shared" si="3"/>
        <v>55390.268530513305</v>
      </c>
      <c r="P17" s="2"/>
    </row>
    <row r="18" spans="2:16" x14ac:dyDescent="0.25">
      <c r="B18" s="17">
        <v>6214000001</v>
      </c>
      <c r="C18" s="160" t="s">
        <v>13</v>
      </c>
      <c r="D18" s="160" t="s">
        <v>14</v>
      </c>
      <c r="E18" s="160" t="s">
        <v>18</v>
      </c>
      <c r="F18" s="154">
        <v>5378.2155920651639</v>
      </c>
      <c r="G18" s="161">
        <f>+VLOOKUP(B18,'5.3 Var OPEX 2023-25'!$B$4:$D$160,3,0)</f>
        <v>0.39130162327539963</v>
      </c>
      <c r="H18" s="162" t="s">
        <v>190</v>
      </c>
      <c r="I18" s="297">
        <f t="shared" si="2"/>
        <v>7343.9556629627741</v>
      </c>
      <c r="J18" s="158">
        <f t="shared" si="3"/>
        <v>7527.2816902998757</v>
      </c>
      <c r="K18" s="158">
        <f t="shared" si="3"/>
        <v>7664.83831925291</v>
      </c>
      <c r="L18" s="158">
        <f t="shared" si="3"/>
        <v>7804.3698476733243</v>
      </c>
      <c r="M18" s="158">
        <f t="shared" si="3"/>
        <v>7953.8542073197877</v>
      </c>
      <c r="N18" s="158">
        <f t="shared" si="3"/>
        <v>8094.7209263616396</v>
      </c>
      <c r="P18" s="2"/>
    </row>
    <row r="19" spans="2:16" x14ac:dyDescent="0.25">
      <c r="B19" s="17">
        <v>6221000001</v>
      </c>
      <c r="C19" s="160" t="s">
        <v>13</v>
      </c>
      <c r="D19" s="160" t="s">
        <v>14</v>
      </c>
      <c r="E19" s="160" t="s">
        <v>19</v>
      </c>
      <c r="F19" s="154">
        <v>2224.8153566789711</v>
      </c>
      <c r="G19" s="161">
        <f>+VLOOKUP(B19,'5.3 Var OPEX 2023-25'!$B$4:$D$160,3,0)</f>
        <v>0.39130162327539963</v>
      </c>
      <c r="H19" s="162" t="s">
        <v>190</v>
      </c>
      <c r="I19" s="297">
        <f t="shared" si="2"/>
        <v>3037.9863094062266</v>
      </c>
      <c r="J19" s="158">
        <f t="shared" si="3"/>
        <v>3113.8230909402887</v>
      </c>
      <c r="K19" s="158">
        <f t="shared" si="3"/>
        <v>3170.7263695963584</v>
      </c>
      <c r="L19" s="158">
        <f t="shared" si="3"/>
        <v>3228.4466081878768</v>
      </c>
      <c r="M19" s="158">
        <f t="shared" si="3"/>
        <v>3290.2840509663783</v>
      </c>
      <c r="N19" s="158">
        <f t="shared" si="3"/>
        <v>3348.5566200749272</v>
      </c>
      <c r="P19" s="2"/>
    </row>
    <row r="20" spans="2:16" x14ac:dyDescent="0.25">
      <c r="B20" s="17">
        <v>6231000001</v>
      </c>
      <c r="C20" s="160" t="s">
        <v>13</v>
      </c>
      <c r="D20" s="160" t="s">
        <v>14</v>
      </c>
      <c r="E20" s="160" t="s">
        <v>20</v>
      </c>
      <c r="F20" s="154">
        <v>0</v>
      </c>
      <c r="G20" s="161">
        <f>+VLOOKUP(B20,'5.3 Var OPEX 2023-25'!$B$4:$D$160,3,0)</f>
        <v>0.39130162327539963</v>
      </c>
      <c r="H20" s="162" t="s">
        <v>190</v>
      </c>
      <c r="I20" s="297">
        <f t="shared" si="2"/>
        <v>0</v>
      </c>
      <c r="J20" s="158">
        <f t="shared" si="3"/>
        <v>0</v>
      </c>
      <c r="K20" s="158">
        <f t="shared" si="3"/>
        <v>0</v>
      </c>
      <c r="L20" s="158">
        <f t="shared" si="3"/>
        <v>0</v>
      </c>
      <c r="M20" s="158">
        <f t="shared" si="3"/>
        <v>0</v>
      </c>
      <c r="N20" s="158">
        <f t="shared" si="3"/>
        <v>0</v>
      </c>
      <c r="P20" s="2"/>
    </row>
    <row r="21" spans="2:16" x14ac:dyDescent="0.25">
      <c r="B21" s="17">
        <v>6240000001</v>
      </c>
      <c r="C21" s="160" t="s">
        <v>13</v>
      </c>
      <c r="D21" s="160" t="s">
        <v>14</v>
      </c>
      <c r="E21" s="160" t="s">
        <v>21</v>
      </c>
      <c r="F21" s="154">
        <v>4782.1442305436194</v>
      </c>
      <c r="G21" s="161">
        <f>+VLOOKUP(B21,'5.3 Var OPEX 2023-25'!$B$4:$D$160,3,0)</f>
        <v>0.39130162327539963</v>
      </c>
      <c r="H21" s="162" t="s">
        <v>190</v>
      </c>
      <c r="I21" s="297">
        <f t="shared" si="2"/>
        <v>6530.0199669980148</v>
      </c>
      <c r="J21" s="158">
        <f t="shared" si="3"/>
        <v>6693.027843668493</v>
      </c>
      <c r="K21" s="158">
        <f t="shared" si="3"/>
        <v>6815.3389760989785</v>
      </c>
      <c r="L21" s="158">
        <f t="shared" si="3"/>
        <v>6939.4061285201396</v>
      </c>
      <c r="M21" s="158">
        <f t="shared" si="3"/>
        <v>7072.3230329846092</v>
      </c>
      <c r="N21" s="158">
        <f t="shared" si="3"/>
        <v>7197.5773959252601</v>
      </c>
      <c r="P21" s="2"/>
    </row>
    <row r="22" spans="2:16" x14ac:dyDescent="0.25">
      <c r="B22" s="17">
        <v>6250000001</v>
      </c>
      <c r="C22" s="160" t="s">
        <v>13</v>
      </c>
      <c r="D22" s="160" t="s">
        <v>14</v>
      </c>
      <c r="E22" s="160" t="s">
        <v>22</v>
      </c>
      <c r="F22" s="154">
        <v>874.59969502647687</v>
      </c>
      <c r="G22" s="161">
        <f>+VLOOKUP(B22,'5.3 Var OPEX 2023-25'!$B$4:$D$160,3,0)</f>
        <v>0.39130162327539963</v>
      </c>
      <c r="H22" s="162" t="s">
        <v>190</v>
      </c>
      <c r="I22" s="297">
        <f t="shared" si="2"/>
        <v>1194.2662530285168</v>
      </c>
      <c r="J22" s="158">
        <f t="shared" si="3"/>
        <v>1224.0785364624496</v>
      </c>
      <c r="K22" s="158">
        <f t="shared" si="3"/>
        <v>1246.4478490479642</v>
      </c>
      <c r="L22" s="158">
        <f t="shared" si="3"/>
        <v>1269.1383176827874</v>
      </c>
      <c r="M22" s="158">
        <f t="shared" si="3"/>
        <v>1293.4473051378297</v>
      </c>
      <c r="N22" s="158">
        <f t="shared" si="3"/>
        <v>1316.3549010503386</v>
      </c>
      <c r="P22" s="2"/>
    </row>
    <row r="23" spans="2:16" x14ac:dyDescent="0.25">
      <c r="B23" s="17">
        <v>6250000003</v>
      </c>
      <c r="C23" s="160" t="s">
        <v>13</v>
      </c>
      <c r="D23" s="160" t="s">
        <v>14</v>
      </c>
      <c r="E23" s="160" t="s">
        <v>23</v>
      </c>
      <c r="F23" s="154">
        <v>6863.7478164677841</v>
      </c>
      <c r="G23" s="161">
        <f>+VLOOKUP(B23,'5.3 Var OPEX 2023-25'!$B$4:$D$160,3,0)</f>
        <v>0.39130162327539963</v>
      </c>
      <c r="H23" s="162" t="s">
        <v>190</v>
      </c>
      <c r="I23" s="297">
        <f t="shared" si="2"/>
        <v>9372.4505429395231</v>
      </c>
      <c r="J23" s="158">
        <f t="shared" si="3"/>
        <v>9606.4135736691205</v>
      </c>
      <c r="K23" s="158">
        <f t="shared" si="3"/>
        <v>9781.9651103181968</v>
      </c>
      <c r="L23" s="158">
        <f t="shared" si="3"/>
        <v>9960.0370390331791</v>
      </c>
      <c r="M23" s="158">
        <f t="shared" si="3"/>
        <v>10150.810898793145</v>
      </c>
      <c r="N23" s="158">
        <f t="shared" si="3"/>
        <v>10330.586814928411</v>
      </c>
      <c r="P23" s="2"/>
    </row>
    <row r="24" spans="2:16" x14ac:dyDescent="0.25">
      <c r="B24" s="17">
        <v>6250000004</v>
      </c>
      <c r="C24" s="160" t="s">
        <v>13</v>
      </c>
      <c r="D24" s="160" t="s">
        <v>14</v>
      </c>
      <c r="E24" s="160" t="s">
        <v>24</v>
      </c>
      <c r="F24" s="154">
        <v>3397.8274608768606</v>
      </c>
      <c r="G24" s="161">
        <f>+VLOOKUP(B24,'5.3 Var OPEX 2023-25'!$B$4:$D$160,3,0)</f>
        <v>0.39130162327539963</v>
      </c>
      <c r="H24" s="162" t="s">
        <v>190</v>
      </c>
      <c r="I24" s="297">
        <f t="shared" si="2"/>
        <v>4639.7348332210004</v>
      </c>
      <c r="J24" s="158">
        <f t="shared" si="3"/>
        <v>4755.555814979055</v>
      </c>
      <c r="K24" s="158">
        <f t="shared" si="3"/>
        <v>4842.4607899249913</v>
      </c>
      <c r="L24" s="158">
        <f t="shared" si="3"/>
        <v>4930.61345893002</v>
      </c>
      <c r="M24" s="158">
        <f t="shared" si="3"/>
        <v>5025.0540877005951</v>
      </c>
      <c r="N24" s="158">
        <f t="shared" si="3"/>
        <v>5114.0502980775464</v>
      </c>
      <c r="P24" s="2"/>
    </row>
    <row r="25" spans="2:16" x14ac:dyDescent="0.25">
      <c r="B25" s="17">
        <v>6250000005</v>
      </c>
      <c r="C25" s="160" t="s">
        <v>13</v>
      </c>
      <c r="D25" s="160" t="s">
        <v>14</v>
      </c>
      <c r="E25" s="160" t="s">
        <v>25</v>
      </c>
      <c r="F25" s="154">
        <v>7057.965299526235</v>
      </c>
      <c r="G25" s="161">
        <f>+VLOOKUP(B25,'5.3 Var OPEX 2023-25'!$B$4:$D$160,3,0)</f>
        <v>0.39130162327539963</v>
      </c>
      <c r="H25" s="162" t="s">
        <v>190</v>
      </c>
      <c r="I25" s="297">
        <f t="shared" si="2"/>
        <v>9637.6545981019535</v>
      </c>
      <c r="J25" s="158">
        <f t="shared" ref="J25:N34" si="4">+IF(OR($C25="No Imputables",$H25="m2 fijo"),I25,I25*(1+J$6*J$7))</f>
        <v>9878.2378765696758</v>
      </c>
      <c r="K25" s="158">
        <f t="shared" si="4"/>
        <v>10058.756841875327</v>
      </c>
      <c r="L25" s="158">
        <f t="shared" si="4"/>
        <v>10241.867516582026</v>
      </c>
      <c r="M25" s="158">
        <f t="shared" si="4"/>
        <v>10438.039537793529</v>
      </c>
      <c r="N25" s="158">
        <f t="shared" si="4"/>
        <v>10622.902416165745</v>
      </c>
      <c r="P25" s="2"/>
    </row>
    <row r="26" spans="2:16" x14ac:dyDescent="0.25">
      <c r="B26" s="17">
        <v>6250000006</v>
      </c>
      <c r="C26" s="160" t="s">
        <v>13</v>
      </c>
      <c r="D26" s="160" t="s">
        <v>14</v>
      </c>
      <c r="E26" s="160" t="s">
        <v>26</v>
      </c>
      <c r="F26" s="154">
        <v>2053.773557139149</v>
      </c>
      <c r="G26" s="161">
        <f>+VLOOKUP(B26,'5.3 Var OPEX 2023-25'!$B$4:$D$160,3,0)</f>
        <v>0.39130162327539963</v>
      </c>
      <c r="H26" s="162" t="s">
        <v>190</v>
      </c>
      <c r="I26" s="297">
        <f t="shared" si="2"/>
        <v>2804.4286598789267</v>
      </c>
      <c r="J26" s="158">
        <f t="shared" si="4"/>
        <v>2874.4351779954181</v>
      </c>
      <c r="K26" s="158">
        <f t="shared" si="4"/>
        <v>2926.9637838716403</v>
      </c>
      <c r="L26" s="158">
        <f t="shared" si="4"/>
        <v>2980.2465425397468</v>
      </c>
      <c r="M26" s="158">
        <f t="shared" si="4"/>
        <v>3037.3299784475103</v>
      </c>
      <c r="N26" s="158">
        <f t="shared" si="4"/>
        <v>3091.1226049602778</v>
      </c>
      <c r="P26" s="2"/>
    </row>
    <row r="27" spans="2:16" x14ac:dyDescent="0.25">
      <c r="B27" s="17">
        <v>6250000007</v>
      </c>
      <c r="C27" s="160" t="s">
        <v>13</v>
      </c>
      <c r="D27" s="160" t="s">
        <v>14</v>
      </c>
      <c r="E27" s="160" t="s">
        <v>27</v>
      </c>
      <c r="F27" s="154">
        <v>0</v>
      </c>
      <c r="G27" s="161">
        <f>+VLOOKUP(B27,'5.3 Var OPEX 2023-25'!$B$4:$D$160,3,0)</f>
        <v>0.39130162327539963</v>
      </c>
      <c r="H27" s="162" t="s">
        <v>190</v>
      </c>
      <c r="I27" s="297">
        <f t="shared" si="2"/>
        <v>0</v>
      </c>
      <c r="J27" s="158">
        <f t="shared" si="4"/>
        <v>0</v>
      </c>
      <c r="K27" s="158">
        <f t="shared" si="4"/>
        <v>0</v>
      </c>
      <c r="L27" s="158">
        <f t="shared" si="4"/>
        <v>0</v>
      </c>
      <c r="M27" s="158">
        <f t="shared" si="4"/>
        <v>0</v>
      </c>
      <c r="N27" s="158">
        <f t="shared" si="4"/>
        <v>0</v>
      </c>
      <c r="P27" s="2"/>
    </row>
    <row r="28" spans="2:16" x14ac:dyDescent="0.25">
      <c r="B28" s="17">
        <v>6250000008</v>
      </c>
      <c r="C28" s="160" t="s">
        <v>13</v>
      </c>
      <c r="D28" s="160" t="s">
        <v>14</v>
      </c>
      <c r="E28" s="160" t="s">
        <v>28</v>
      </c>
      <c r="F28" s="154">
        <v>3187.0455172413795</v>
      </c>
      <c r="G28" s="161">
        <f>+VLOOKUP(B28,'5.3 Var OPEX 2023-25'!$B$4:$D$160,3,0)</f>
        <v>0.39130162327539963</v>
      </c>
      <c r="H28" s="162" t="s">
        <v>190</v>
      </c>
      <c r="I28" s="297">
        <f t="shared" si="2"/>
        <v>4351.9120001430701</v>
      </c>
      <c r="J28" s="158">
        <f t="shared" si="4"/>
        <v>4460.5481051144643</v>
      </c>
      <c r="K28" s="158">
        <f t="shared" si="4"/>
        <v>4542.0619883285181</v>
      </c>
      <c r="L28" s="158">
        <f t="shared" si="4"/>
        <v>4624.7461657389968</v>
      </c>
      <c r="M28" s="158">
        <f t="shared" si="4"/>
        <v>4713.3282335556614</v>
      </c>
      <c r="N28" s="158">
        <f t="shared" si="4"/>
        <v>4796.8036238158056</v>
      </c>
      <c r="P28" s="2"/>
    </row>
    <row r="29" spans="2:16" x14ac:dyDescent="0.25">
      <c r="B29" s="17">
        <v>6250000009</v>
      </c>
      <c r="C29" s="160" t="s">
        <v>13</v>
      </c>
      <c r="D29" s="160" t="s">
        <v>14</v>
      </c>
      <c r="E29" s="160" t="s">
        <v>29</v>
      </c>
      <c r="F29" s="154">
        <v>0</v>
      </c>
      <c r="G29" s="161">
        <f>+VLOOKUP(B29,'5.3 Var OPEX 2023-25'!$B$4:$D$160,3,0)</f>
        <v>0.39130162327539963</v>
      </c>
      <c r="H29" s="162" t="s">
        <v>190</v>
      </c>
      <c r="I29" s="297">
        <f t="shared" si="2"/>
        <v>0</v>
      </c>
      <c r="J29" s="158">
        <f t="shared" si="4"/>
        <v>0</v>
      </c>
      <c r="K29" s="158">
        <f t="shared" si="4"/>
        <v>0</v>
      </c>
      <c r="L29" s="158">
        <f t="shared" si="4"/>
        <v>0</v>
      </c>
      <c r="M29" s="158">
        <f t="shared" si="4"/>
        <v>0</v>
      </c>
      <c r="N29" s="158">
        <f t="shared" si="4"/>
        <v>0</v>
      </c>
      <c r="P29" s="2"/>
    </row>
    <row r="30" spans="2:16" x14ac:dyDescent="0.25">
      <c r="B30" s="17">
        <v>6270000001</v>
      </c>
      <c r="C30" s="160" t="s">
        <v>13</v>
      </c>
      <c r="D30" s="160" t="s">
        <v>14</v>
      </c>
      <c r="E30" s="160" t="s">
        <v>30</v>
      </c>
      <c r="F30" s="154">
        <v>12950.965261780868</v>
      </c>
      <c r="G30" s="161">
        <f>+VLOOKUP(B30,'5.3 Var OPEX 2023-25'!$B$4:$D$160,3,0)</f>
        <v>0.39130162327539963</v>
      </c>
      <c r="H30" s="162" t="s">
        <v>190</v>
      </c>
      <c r="I30" s="297">
        <f t="shared" si="2"/>
        <v>17684.54853602629</v>
      </c>
      <c r="J30" s="158">
        <f t="shared" si="4"/>
        <v>18126.005181075248</v>
      </c>
      <c r="K30" s="158">
        <f t="shared" si="4"/>
        <v>18457.247224575101</v>
      </c>
      <c r="L30" s="158">
        <f t="shared" si="4"/>
        <v>18793.244907554203</v>
      </c>
      <c r="M30" s="158">
        <f t="shared" si="4"/>
        <v>19153.209419169758</v>
      </c>
      <c r="N30" s="158">
        <f t="shared" si="4"/>
        <v>19492.422296307606</v>
      </c>
      <c r="P30" s="2"/>
    </row>
    <row r="31" spans="2:16" x14ac:dyDescent="0.25">
      <c r="B31" s="17">
        <v>6270000002</v>
      </c>
      <c r="C31" s="160" t="s">
        <v>13</v>
      </c>
      <c r="D31" s="160" t="s">
        <v>14</v>
      </c>
      <c r="E31" s="160" t="s">
        <v>31</v>
      </c>
      <c r="F31" s="154">
        <v>33366.88714961888</v>
      </c>
      <c r="G31" s="161">
        <f>+VLOOKUP(B31,'5.3 Var OPEX 2023-25'!$B$4:$D$160,3,0)</f>
        <v>0.39130162327539963</v>
      </c>
      <c r="H31" s="162" t="s">
        <v>190</v>
      </c>
      <c r="I31" s="297">
        <f t="shared" si="2"/>
        <v>45562.498498463756</v>
      </c>
      <c r="J31" s="158">
        <f t="shared" si="4"/>
        <v>46699.868088996693</v>
      </c>
      <c r="K31" s="158">
        <f t="shared" si="4"/>
        <v>47553.280607775145</v>
      </c>
      <c r="L31" s="158">
        <f t="shared" si="4"/>
        <v>48418.945563543508</v>
      </c>
      <c r="M31" s="158">
        <f t="shared" si="4"/>
        <v>49346.358694083581</v>
      </c>
      <c r="N31" s="158">
        <f t="shared" si="4"/>
        <v>50220.307281109577</v>
      </c>
      <c r="P31" s="2"/>
    </row>
    <row r="32" spans="2:16" x14ac:dyDescent="0.25">
      <c r="B32" s="17">
        <v>6270000003</v>
      </c>
      <c r="C32" s="160" t="s">
        <v>13</v>
      </c>
      <c r="D32" s="160" t="s">
        <v>14</v>
      </c>
      <c r="E32" s="160" t="s">
        <v>32</v>
      </c>
      <c r="F32" s="154">
        <v>850.13152213777516</v>
      </c>
      <c r="G32" s="161">
        <f>+VLOOKUP(B32,'5.3 Var OPEX 2023-25'!$B$4:$D$160,3,0)</f>
        <v>0.39130162327539963</v>
      </c>
      <c r="H32" s="162" t="s">
        <v>190</v>
      </c>
      <c r="I32" s="297">
        <f t="shared" si="2"/>
        <v>1160.8549526125487</v>
      </c>
      <c r="J32" s="158">
        <f t="shared" si="4"/>
        <v>1189.8331949309672</v>
      </c>
      <c r="K32" s="158">
        <f t="shared" si="4"/>
        <v>1211.5766941176705</v>
      </c>
      <c r="L32" s="158">
        <f t="shared" si="4"/>
        <v>1233.6323645555133</v>
      </c>
      <c r="M32" s="158">
        <f t="shared" si="4"/>
        <v>1257.2612734429758</v>
      </c>
      <c r="N32" s="158">
        <f t="shared" si="4"/>
        <v>1279.5279967134759</v>
      </c>
      <c r="P32" s="2"/>
    </row>
    <row r="33" spans="2:16" x14ac:dyDescent="0.25">
      <c r="B33" s="17">
        <v>6270000004</v>
      </c>
      <c r="C33" s="160" t="s">
        <v>13</v>
      </c>
      <c r="D33" s="160" t="s">
        <v>14</v>
      </c>
      <c r="E33" s="160" t="s">
        <v>33</v>
      </c>
      <c r="F33" s="154">
        <v>1042.9680058637703</v>
      </c>
      <c r="G33" s="161">
        <f>+VLOOKUP(B33,'5.3 Var OPEX 2023-25'!$B$4:$D$160,3,0)</f>
        <v>0.39130162327539963</v>
      </c>
      <c r="H33" s="162" t="s">
        <v>190</v>
      </c>
      <c r="I33" s="297">
        <f t="shared" si="2"/>
        <v>1424.173252603114</v>
      </c>
      <c r="J33" s="158">
        <f t="shared" si="4"/>
        <v>1459.7246688454823</v>
      </c>
      <c r="K33" s="158">
        <f t="shared" si="4"/>
        <v>1486.4002753801394</v>
      </c>
      <c r="L33" s="158">
        <f t="shared" si="4"/>
        <v>1513.4588633933215</v>
      </c>
      <c r="M33" s="158">
        <f t="shared" si="4"/>
        <v>1542.4475496628559</v>
      </c>
      <c r="N33" s="158">
        <f t="shared" si="4"/>
        <v>1569.7650639083636</v>
      </c>
      <c r="P33" s="2"/>
    </row>
    <row r="34" spans="2:16" x14ac:dyDescent="0.25">
      <c r="B34" s="17">
        <v>6270000005</v>
      </c>
      <c r="C34" s="160" t="s">
        <v>13</v>
      </c>
      <c r="D34" s="160" t="s">
        <v>14</v>
      </c>
      <c r="E34" s="160" t="s">
        <v>34</v>
      </c>
      <c r="F34" s="154">
        <v>1923.0055777206956</v>
      </c>
      <c r="G34" s="161">
        <f>+VLOOKUP(B34,'5.3 Var OPEX 2023-25'!$B$4:$D$160,3,0)</f>
        <v>0.39130162327539963</v>
      </c>
      <c r="H34" s="162" t="s">
        <v>190</v>
      </c>
      <c r="I34" s="297">
        <f t="shared" si="2"/>
        <v>2625.8649287408098</v>
      </c>
      <c r="J34" s="158">
        <f t="shared" si="4"/>
        <v>2691.4139881036854</v>
      </c>
      <c r="K34" s="158">
        <f t="shared" si="4"/>
        <v>2740.5979897862153</v>
      </c>
      <c r="L34" s="158">
        <f t="shared" si="4"/>
        <v>2790.4881258038604</v>
      </c>
      <c r="M34" s="158">
        <f t="shared" si="4"/>
        <v>2843.9369421373417</v>
      </c>
      <c r="N34" s="158">
        <f t="shared" si="4"/>
        <v>2894.3044816670608</v>
      </c>
      <c r="P34" s="2"/>
    </row>
    <row r="35" spans="2:16" x14ac:dyDescent="0.25">
      <c r="B35" s="17">
        <v>6270000006</v>
      </c>
      <c r="C35" s="160" t="s">
        <v>13</v>
      </c>
      <c r="D35" s="160" t="s">
        <v>14</v>
      </c>
      <c r="E35" s="160" t="s">
        <v>35</v>
      </c>
      <c r="F35" s="154">
        <v>10116.258293828994</v>
      </c>
      <c r="G35" s="161">
        <f>+VLOOKUP(B35,'5.3 Var OPEX 2023-25'!$B$4:$D$160,3,0)</f>
        <v>0.39130162327539963</v>
      </c>
      <c r="H35" s="162" t="s">
        <v>190</v>
      </c>
      <c r="I35" s="297">
        <f t="shared" si="2"/>
        <v>13813.754973781537</v>
      </c>
      <c r="J35" s="158">
        <f t="shared" ref="J35:N44" si="5">+IF(OR($C35="No Imputables",$H35="m2 fijo"),I35,I35*(1+J$6*J$7))</f>
        <v>14158.585598879543</v>
      </c>
      <c r="K35" s="158">
        <f t="shared" si="5"/>
        <v>14417.325391789733</v>
      </c>
      <c r="L35" s="158">
        <f t="shared" si="5"/>
        <v>14679.779909923254</v>
      </c>
      <c r="M35" s="158">
        <f t="shared" si="5"/>
        <v>14960.955397812273</v>
      </c>
      <c r="N35" s="158">
        <f t="shared" si="5"/>
        <v>15225.921368483674</v>
      </c>
      <c r="P35" s="2"/>
    </row>
    <row r="36" spans="2:16" x14ac:dyDescent="0.25">
      <c r="B36" s="17">
        <v>6270000007</v>
      </c>
      <c r="C36" s="160" t="s">
        <v>13</v>
      </c>
      <c r="D36" s="160" t="s">
        <v>14</v>
      </c>
      <c r="E36" s="160" t="s">
        <v>36</v>
      </c>
      <c r="F36" s="154">
        <v>0.24696403834432315</v>
      </c>
      <c r="G36" s="161">
        <f>+VLOOKUP(B36,'5.3 Var OPEX 2023-25'!$B$4:$D$160,3,0)</f>
        <v>0.39130162327539963</v>
      </c>
      <c r="H36" s="162" t="s">
        <v>190</v>
      </c>
      <c r="I36" s="297">
        <f t="shared" si="2"/>
        <v>0.33722949868778196</v>
      </c>
      <c r="J36" s="158">
        <f t="shared" si="5"/>
        <v>0.34564770641295933</v>
      </c>
      <c r="K36" s="158">
        <f t="shared" si="5"/>
        <v>0.35196421418505264</v>
      </c>
      <c r="L36" s="158">
        <f t="shared" si="5"/>
        <v>0.35837140801080802</v>
      </c>
      <c r="M36" s="158">
        <f t="shared" si="5"/>
        <v>0.36523562914431418</v>
      </c>
      <c r="N36" s="158">
        <f t="shared" si="5"/>
        <v>0.37170413402430025</v>
      </c>
      <c r="P36" s="2"/>
    </row>
    <row r="37" spans="2:16" x14ac:dyDescent="0.25">
      <c r="B37" s="17">
        <v>6290000001</v>
      </c>
      <c r="C37" s="160" t="s">
        <v>13</v>
      </c>
      <c r="D37" s="160" t="s">
        <v>14</v>
      </c>
      <c r="E37" s="160" t="s">
        <v>37</v>
      </c>
      <c r="F37" s="154">
        <v>38677.573685149691</v>
      </c>
      <c r="G37" s="161">
        <f>+VLOOKUP(B37,'5.3 Var OPEX 2023-25'!$B$4:$D$160,3,0)</f>
        <v>0.39130162327539963</v>
      </c>
      <c r="H37" s="162" t="s">
        <v>190</v>
      </c>
      <c r="I37" s="297">
        <f t="shared" si="2"/>
        <v>52814.243206201587</v>
      </c>
      <c r="J37" s="158">
        <f t="shared" si="5"/>
        <v>54132.636976283567</v>
      </c>
      <c r="K37" s="158">
        <f t="shared" si="5"/>
        <v>55121.878958338217</v>
      </c>
      <c r="L37" s="158">
        <f t="shared" si="5"/>
        <v>56125.323479945771</v>
      </c>
      <c r="M37" s="158">
        <f t="shared" si="5"/>
        <v>57200.344039466225</v>
      </c>
      <c r="N37" s="158">
        <f t="shared" si="5"/>
        <v>58213.390618254336</v>
      </c>
      <c r="P37" s="2"/>
    </row>
    <row r="38" spans="2:16" x14ac:dyDescent="0.25">
      <c r="B38" s="17">
        <v>6310000001</v>
      </c>
      <c r="C38" s="160" t="s">
        <v>13</v>
      </c>
      <c r="D38" s="160" t="s">
        <v>38</v>
      </c>
      <c r="E38" s="160" t="s">
        <v>39</v>
      </c>
      <c r="F38" s="154">
        <v>0</v>
      </c>
      <c r="G38" s="161">
        <f>+VLOOKUP(B38,'5.3 Var OPEX 2023-25'!$B$4:$D$160,3,0)</f>
        <v>4.4009396000000096E-2</v>
      </c>
      <c r="H38" s="162" t="s">
        <v>190</v>
      </c>
      <c r="I38" s="297">
        <f t="shared" si="2"/>
        <v>0</v>
      </c>
      <c r="J38" s="158">
        <f t="shared" si="5"/>
        <v>0</v>
      </c>
      <c r="K38" s="158">
        <f t="shared" si="5"/>
        <v>0</v>
      </c>
      <c r="L38" s="158">
        <f t="shared" si="5"/>
        <v>0</v>
      </c>
      <c r="M38" s="158">
        <f t="shared" si="5"/>
        <v>0</v>
      </c>
      <c r="N38" s="158">
        <f t="shared" si="5"/>
        <v>0</v>
      </c>
      <c r="P38" s="2"/>
    </row>
    <row r="39" spans="2:16" x14ac:dyDescent="0.25">
      <c r="B39" s="17">
        <v>6311300001</v>
      </c>
      <c r="C39" s="160" t="s">
        <v>13</v>
      </c>
      <c r="D39" s="160" t="s">
        <v>40</v>
      </c>
      <c r="E39" s="160" t="s">
        <v>41</v>
      </c>
      <c r="F39" s="154">
        <v>0</v>
      </c>
      <c r="G39" s="161">
        <f>+VLOOKUP(B39,'5.3 Var OPEX 2023-25'!$B$4:$D$160,3,0)</f>
        <v>4.4009396000000096E-2</v>
      </c>
      <c r="H39" s="162" t="s">
        <v>190</v>
      </c>
      <c r="I39" s="297">
        <f t="shared" si="2"/>
        <v>0</v>
      </c>
      <c r="J39" s="158">
        <f t="shared" si="5"/>
        <v>0</v>
      </c>
      <c r="K39" s="158">
        <f t="shared" si="5"/>
        <v>0</v>
      </c>
      <c r="L39" s="158">
        <f t="shared" si="5"/>
        <v>0</v>
      </c>
      <c r="M39" s="158">
        <f t="shared" si="5"/>
        <v>0</v>
      </c>
      <c r="N39" s="158">
        <f t="shared" si="5"/>
        <v>0</v>
      </c>
      <c r="P39" s="2"/>
    </row>
    <row r="40" spans="2:16" x14ac:dyDescent="0.25">
      <c r="B40" s="17">
        <v>6311300002</v>
      </c>
      <c r="C40" s="160" t="s">
        <v>13</v>
      </c>
      <c r="D40" s="160" t="s">
        <v>40</v>
      </c>
      <c r="E40" s="160" t="s">
        <v>42</v>
      </c>
      <c r="F40" s="154">
        <v>0</v>
      </c>
      <c r="G40" s="161">
        <f>+VLOOKUP(B40,'5.3 Var OPEX 2023-25'!$B$4:$D$160,3,0)</f>
        <v>4.4009396000000096E-2</v>
      </c>
      <c r="H40" s="162" t="s">
        <v>190</v>
      </c>
      <c r="I40" s="297">
        <f t="shared" si="2"/>
        <v>0</v>
      </c>
      <c r="J40" s="158">
        <f t="shared" si="5"/>
        <v>0</v>
      </c>
      <c r="K40" s="158">
        <f t="shared" si="5"/>
        <v>0</v>
      </c>
      <c r="L40" s="158">
        <f t="shared" si="5"/>
        <v>0</v>
      </c>
      <c r="M40" s="158">
        <f t="shared" si="5"/>
        <v>0</v>
      </c>
      <c r="N40" s="158">
        <f t="shared" si="5"/>
        <v>0</v>
      </c>
      <c r="P40" s="2"/>
    </row>
    <row r="41" spans="2:16" x14ac:dyDescent="0.25">
      <c r="B41" s="17">
        <v>6320000001</v>
      </c>
      <c r="C41" s="160" t="s">
        <v>13</v>
      </c>
      <c r="D41" s="160" t="s">
        <v>40</v>
      </c>
      <c r="E41" s="160" t="s">
        <v>43</v>
      </c>
      <c r="F41" s="154">
        <v>273057.83502205327</v>
      </c>
      <c r="G41" s="161">
        <f>+VLOOKUP(B41,'5.3 Var OPEX 2023-25'!$B$4:$D$160,3,0)</f>
        <v>0.34886581637258263</v>
      </c>
      <c r="H41" s="162" t="s">
        <v>190</v>
      </c>
      <c r="I41" s="297">
        <f t="shared" si="2"/>
        <v>361488.04433289636</v>
      </c>
      <c r="J41" s="158">
        <f t="shared" si="5"/>
        <v>370511.81437437731</v>
      </c>
      <c r="K41" s="158">
        <f t="shared" si="5"/>
        <v>377282.69904025743</v>
      </c>
      <c r="L41" s="158">
        <f t="shared" si="5"/>
        <v>384150.79324538051</v>
      </c>
      <c r="M41" s="158">
        <f t="shared" si="5"/>
        <v>391508.79093856859</v>
      </c>
      <c r="N41" s="158">
        <f t="shared" si="5"/>
        <v>398442.60659800126</v>
      </c>
      <c r="P41" s="2"/>
    </row>
    <row r="42" spans="2:16" x14ac:dyDescent="0.25">
      <c r="B42" s="17">
        <v>6320000002</v>
      </c>
      <c r="C42" s="160" t="s">
        <v>13</v>
      </c>
      <c r="D42" s="160" t="s">
        <v>40</v>
      </c>
      <c r="E42" s="160" t="s">
        <v>44</v>
      </c>
      <c r="F42" s="154">
        <v>0</v>
      </c>
      <c r="G42" s="161">
        <f>+VLOOKUP(B42,'5.3 Var OPEX 2023-25'!$B$4:$D$160,3,0)</f>
        <v>4.4009396000000096E-2</v>
      </c>
      <c r="H42" s="162" t="s">
        <v>190</v>
      </c>
      <c r="I42" s="297">
        <f t="shared" si="2"/>
        <v>0</v>
      </c>
      <c r="J42" s="158">
        <f t="shared" si="5"/>
        <v>0</v>
      </c>
      <c r="K42" s="158">
        <f t="shared" si="5"/>
        <v>0</v>
      </c>
      <c r="L42" s="158">
        <f t="shared" si="5"/>
        <v>0</v>
      </c>
      <c r="M42" s="158">
        <f t="shared" si="5"/>
        <v>0</v>
      </c>
      <c r="N42" s="158">
        <f t="shared" si="5"/>
        <v>0</v>
      </c>
      <c r="P42" s="2"/>
    </row>
    <row r="43" spans="2:16" x14ac:dyDescent="0.25">
      <c r="B43" s="17">
        <v>6320000003</v>
      </c>
      <c r="C43" s="160" t="s">
        <v>13</v>
      </c>
      <c r="D43" s="160" t="s">
        <v>40</v>
      </c>
      <c r="E43" s="160" t="s">
        <v>45</v>
      </c>
      <c r="F43" s="154">
        <v>214650.01844690045</v>
      </c>
      <c r="G43" s="161">
        <f>+VLOOKUP(B43,'5.3 Var OPEX 2023-25'!$B$4:$D$160,3,0)</f>
        <v>4.4009396000000096E-2</v>
      </c>
      <c r="H43" s="162" t="s">
        <v>190</v>
      </c>
      <c r="I43" s="297">
        <f t="shared" si="2"/>
        <v>219940.84255892553</v>
      </c>
      <c r="J43" s="158">
        <f t="shared" si="5"/>
        <v>225431.19173394167</v>
      </c>
      <c r="K43" s="158">
        <f t="shared" si="5"/>
        <v>229550.81367339252</v>
      </c>
      <c r="L43" s="158">
        <f t="shared" si="5"/>
        <v>233729.58099344737</v>
      </c>
      <c r="M43" s="158">
        <f t="shared" si="5"/>
        <v>238206.42120312271</v>
      </c>
      <c r="N43" s="158">
        <f t="shared" si="5"/>
        <v>242425.1755497519</v>
      </c>
      <c r="P43" s="2"/>
    </row>
    <row r="44" spans="2:16" x14ac:dyDescent="0.25">
      <c r="B44" s="17">
        <v>6320000004</v>
      </c>
      <c r="C44" s="160" t="s">
        <v>13</v>
      </c>
      <c r="D44" s="160" t="s">
        <v>40</v>
      </c>
      <c r="E44" s="160" t="s">
        <v>46</v>
      </c>
      <c r="F44" s="154">
        <v>0</v>
      </c>
      <c r="G44" s="161">
        <f>+VLOOKUP(B44,'5.3 Var OPEX 2023-25'!$B$4:$D$160,3,0)</f>
        <v>4.4009396000000096E-2</v>
      </c>
      <c r="H44" s="162" t="s">
        <v>190</v>
      </c>
      <c r="I44" s="297">
        <f t="shared" si="2"/>
        <v>0</v>
      </c>
      <c r="J44" s="158">
        <f t="shared" si="5"/>
        <v>0</v>
      </c>
      <c r="K44" s="158">
        <f t="shared" si="5"/>
        <v>0</v>
      </c>
      <c r="L44" s="158">
        <f t="shared" si="5"/>
        <v>0</v>
      </c>
      <c r="M44" s="158">
        <f t="shared" si="5"/>
        <v>0</v>
      </c>
      <c r="N44" s="158">
        <f t="shared" si="5"/>
        <v>0</v>
      </c>
      <c r="P44" s="2"/>
    </row>
    <row r="45" spans="2:16" x14ac:dyDescent="0.25">
      <c r="B45" s="17">
        <v>6320000005</v>
      </c>
      <c r="C45" s="160" t="s">
        <v>13</v>
      </c>
      <c r="D45" s="160" t="s">
        <v>40</v>
      </c>
      <c r="E45" s="160" t="s">
        <v>47</v>
      </c>
      <c r="F45" s="154">
        <v>0</v>
      </c>
      <c r="G45" s="161">
        <f>+VLOOKUP(B45,'5.3 Var OPEX 2023-25'!$B$4:$D$160,3,0)</f>
        <v>4.4009396000000096E-2</v>
      </c>
      <c r="H45" s="162" t="s">
        <v>190</v>
      </c>
      <c r="I45" s="297">
        <f t="shared" si="2"/>
        <v>0</v>
      </c>
      <c r="J45" s="158">
        <f t="shared" ref="J45:N54" si="6">+IF(OR($C45="No Imputables",$H45="m2 fijo"),I45,I45*(1+J$6*J$7))</f>
        <v>0</v>
      </c>
      <c r="K45" s="158">
        <f t="shared" si="6"/>
        <v>0</v>
      </c>
      <c r="L45" s="158">
        <f t="shared" si="6"/>
        <v>0</v>
      </c>
      <c r="M45" s="158">
        <f t="shared" si="6"/>
        <v>0</v>
      </c>
      <c r="N45" s="158">
        <f t="shared" si="6"/>
        <v>0</v>
      </c>
      <c r="P45" s="2"/>
    </row>
    <row r="46" spans="2:16" x14ac:dyDescent="0.25">
      <c r="B46" s="17">
        <v>6320000006</v>
      </c>
      <c r="C46" s="160" t="s">
        <v>13</v>
      </c>
      <c r="D46" s="160" t="s">
        <v>40</v>
      </c>
      <c r="E46" s="160" t="s">
        <v>48</v>
      </c>
      <c r="F46" s="154">
        <v>0</v>
      </c>
      <c r="G46" s="161">
        <f>+VLOOKUP(B46,'5.3 Var OPEX 2023-25'!$B$4:$D$160,3,0)</f>
        <v>4.4009396000000096E-2</v>
      </c>
      <c r="H46" s="162" t="s">
        <v>190</v>
      </c>
      <c r="I46" s="297">
        <f t="shared" si="2"/>
        <v>0</v>
      </c>
      <c r="J46" s="158">
        <f t="shared" si="6"/>
        <v>0</v>
      </c>
      <c r="K46" s="158">
        <f t="shared" si="6"/>
        <v>0</v>
      </c>
      <c r="L46" s="158">
        <f t="shared" si="6"/>
        <v>0</v>
      </c>
      <c r="M46" s="158">
        <f t="shared" si="6"/>
        <v>0</v>
      </c>
      <c r="N46" s="158">
        <f t="shared" si="6"/>
        <v>0</v>
      </c>
      <c r="P46" s="2"/>
    </row>
    <row r="47" spans="2:16" x14ac:dyDescent="0.25">
      <c r="B47" s="17">
        <v>6320000007</v>
      </c>
      <c r="C47" s="160" t="s">
        <v>13</v>
      </c>
      <c r="D47" s="160" t="s">
        <v>49</v>
      </c>
      <c r="E47" s="160" t="s">
        <v>50</v>
      </c>
      <c r="F47" s="154">
        <v>726068.13</v>
      </c>
      <c r="G47" s="161">
        <f>+VLOOKUP(B47,'5.3 Var OPEX 2023-25'!$B$4:$D$160,3,0)</f>
        <v>1.0054865169395515</v>
      </c>
      <c r="H47" s="162" t="s">
        <v>190</v>
      </c>
      <c r="I47" s="297">
        <f t="shared" si="2"/>
        <v>1429116.6130644646</v>
      </c>
      <c r="J47" s="158">
        <f t="shared" si="6"/>
        <v>1464791.429648102</v>
      </c>
      <c r="K47" s="158">
        <f t="shared" si="6"/>
        <v>1491559.628245126</v>
      </c>
      <c r="L47" s="158">
        <f t="shared" si="6"/>
        <v>1518712.1376642042</v>
      </c>
      <c r="M47" s="158">
        <f t="shared" si="6"/>
        <v>1547801.4447853586</v>
      </c>
      <c r="N47" s="158">
        <f t="shared" si="6"/>
        <v>1575213.779179733</v>
      </c>
      <c r="P47" s="2"/>
    </row>
    <row r="48" spans="2:16" x14ac:dyDescent="0.25">
      <c r="B48" s="17">
        <v>6329000003</v>
      </c>
      <c r="C48" s="160" t="s">
        <v>13</v>
      </c>
      <c r="D48" s="160" t="s">
        <v>40</v>
      </c>
      <c r="E48" s="160" t="s">
        <v>51</v>
      </c>
      <c r="F48" s="154">
        <v>0</v>
      </c>
      <c r="G48" s="161">
        <f>+VLOOKUP(B48,'5.3 Var OPEX 2023-25'!$B$4:$D$160,3,0)</f>
        <v>4.4009396000000096E-2</v>
      </c>
      <c r="H48" s="162" t="s">
        <v>190</v>
      </c>
      <c r="I48" s="297">
        <f t="shared" si="2"/>
        <v>0</v>
      </c>
      <c r="J48" s="158">
        <f t="shared" si="6"/>
        <v>0</v>
      </c>
      <c r="K48" s="158">
        <f t="shared" si="6"/>
        <v>0</v>
      </c>
      <c r="L48" s="158">
        <f t="shared" si="6"/>
        <v>0</v>
      </c>
      <c r="M48" s="158">
        <f t="shared" si="6"/>
        <v>0</v>
      </c>
      <c r="N48" s="158">
        <f t="shared" si="6"/>
        <v>0</v>
      </c>
      <c r="P48" s="2"/>
    </row>
    <row r="49" spans="2:16" x14ac:dyDescent="0.25">
      <c r="B49" s="17">
        <v>6341100001</v>
      </c>
      <c r="C49" s="160" t="s">
        <v>13</v>
      </c>
      <c r="D49" s="160" t="s">
        <v>52</v>
      </c>
      <c r="E49" s="160" t="s">
        <v>53</v>
      </c>
      <c r="F49" s="154">
        <v>3574.182413793103</v>
      </c>
      <c r="G49" s="161">
        <f>+VLOOKUP(B49,'5.3 Var OPEX 2023-25'!$B$4:$D$160,3,0)</f>
        <v>4.4009396000000096E-2</v>
      </c>
      <c r="H49" s="162" t="s">
        <v>190</v>
      </c>
      <c r="I49" s="297">
        <f t="shared" si="2"/>
        <v>3662.2810342008652</v>
      </c>
      <c r="J49" s="158">
        <f t="shared" si="6"/>
        <v>3753.7019882213303</v>
      </c>
      <c r="K49" s="158">
        <f t="shared" si="6"/>
        <v>3822.2986759551541</v>
      </c>
      <c r="L49" s="158">
        <f t="shared" si="6"/>
        <v>3891.880205808915</v>
      </c>
      <c r="M49" s="158">
        <f t="shared" si="6"/>
        <v>3966.4250097765967</v>
      </c>
      <c r="N49" s="158">
        <f t="shared" si="6"/>
        <v>4036.6723719847923</v>
      </c>
      <c r="P49" s="2"/>
    </row>
    <row r="50" spans="2:16" x14ac:dyDescent="0.25">
      <c r="B50" s="17">
        <v>6341100002</v>
      </c>
      <c r="C50" s="160" t="s">
        <v>13</v>
      </c>
      <c r="D50" s="160" t="s">
        <v>52</v>
      </c>
      <c r="E50" s="160" t="s">
        <v>54</v>
      </c>
      <c r="F50" s="154">
        <v>8157.7441379310349</v>
      </c>
      <c r="G50" s="161">
        <f>+VLOOKUP(B50,'5.3 Var OPEX 2023-25'!$B$4:$D$160,3,0)</f>
        <v>4.4009396000000096E-2</v>
      </c>
      <c r="H50" s="162" t="s">
        <v>190</v>
      </c>
      <c r="I50" s="297">
        <f t="shared" si="2"/>
        <v>8358.82117345607</v>
      </c>
      <c r="J50" s="158">
        <f t="shared" si="6"/>
        <v>8567.48113128767</v>
      </c>
      <c r="K50" s="158">
        <f t="shared" si="6"/>
        <v>8724.0467909144863</v>
      </c>
      <c r="L50" s="158">
        <f t="shared" si="6"/>
        <v>8882.8602625163439</v>
      </c>
      <c r="M50" s="158">
        <f t="shared" si="6"/>
        <v>9053.0019528883277</v>
      </c>
      <c r="N50" s="158">
        <f t="shared" si="6"/>
        <v>9213.3351258812709</v>
      </c>
      <c r="P50" s="2"/>
    </row>
    <row r="51" spans="2:16" x14ac:dyDescent="0.25">
      <c r="B51" s="17">
        <v>6341100003</v>
      </c>
      <c r="C51" s="160" t="s">
        <v>13</v>
      </c>
      <c r="D51" s="160" t="s">
        <v>52</v>
      </c>
      <c r="E51" s="160" t="s">
        <v>55</v>
      </c>
      <c r="F51" s="154">
        <v>63374.213569551604</v>
      </c>
      <c r="G51" s="161">
        <f>+VLOOKUP(B51,'5.3 Var OPEX 2023-25'!$B$4:$D$160,3,0)</f>
        <v>0.13114375863339878</v>
      </c>
      <c r="H51" s="162" t="s">
        <v>190</v>
      </c>
      <c r="I51" s="297">
        <f t="shared" si="2"/>
        <v>70355.966525355514</v>
      </c>
      <c r="J51" s="158">
        <f t="shared" si="6"/>
        <v>72112.25161672711</v>
      </c>
      <c r="K51" s="158">
        <f t="shared" si="6"/>
        <v>73430.06044157724</v>
      </c>
      <c r="L51" s="158">
        <f t="shared" si="6"/>
        <v>74766.789037623515</v>
      </c>
      <c r="M51" s="158">
        <f t="shared" si="6"/>
        <v>76198.866937601997</v>
      </c>
      <c r="N51" s="158">
        <f t="shared" si="6"/>
        <v>77548.386818206345</v>
      </c>
      <c r="P51" s="2"/>
    </row>
    <row r="52" spans="2:16" x14ac:dyDescent="0.25">
      <c r="B52" s="17">
        <v>6341100004</v>
      </c>
      <c r="C52" s="160" t="s">
        <v>13</v>
      </c>
      <c r="D52" s="160" t="s">
        <v>52</v>
      </c>
      <c r="E52" s="160" t="s">
        <v>56</v>
      </c>
      <c r="F52" s="154">
        <v>2279.3620689655172</v>
      </c>
      <c r="G52" s="161">
        <f>+VLOOKUP(B52,'5.3 Var OPEX 2023-25'!$B$4:$D$160,3,0)</f>
        <v>4.4009396000000096E-2</v>
      </c>
      <c r="H52" s="162" t="s">
        <v>190</v>
      </c>
      <c r="I52" s="297">
        <f t="shared" si="2"/>
        <v>2335.5451705639989</v>
      </c>
      <c r="J52" s="158">
        <f t="shared" si="6"/>
        <v>2393.8470227858456</v>
      </c>
      <c r="K52" s="158">
        <f t="shared" si="6"/>
        <v>2437.5931638540114</v>
      </c>
      <c r="L52" s="158">
        <f t="shared" si="6"/>
        <v>2481.9673679341381</v>
      </c>
      <c r="M52" s="158">
        <f t="shared" si="6"/>
        <v>2529.5067990349926</v>
      </c>
      <c r="N52" s="158">
        <f t="shared" si="6"/>
        <v>2574.3056241437303</v>
      </c>
      <c r="P52" s="2"/>
    </row>
    <row r="53" spans="2:16" x14ac:dyDescent="0.25">
      <c r="B53" s="17">
        <v>6341100005</v>
      </c>
      <c r="C53" s="160" t="s">
        <v>13</v>
      </c>
      <c r="D53" s="160" t="s">
        <v>52</v>
      </c>
      <c r="E53" s="160" t="s">
        <v>57</v>
      </c>
      <c r="F53" s="154">
        <v>0</v>
      </c>
      <c r="G53" s="161">
        <f>+VLOOKUP(B53,'5.3 Var OPEX 2023-25'!$B$4:$D$160,3,0)</f>
        <v>4.4009396000000096E-2</v>
      </c>
      <c r="H53" s="162" t="s">
        <v>190</v>
      </c>
      <c r="I53" s="297">
        <f t="shared" si="2"/>
        <v>0</v>
      </c>
      <c r="J53" s="158">
        <f t="shared" si="6"/>
        <v>0</v>
      </c>
      <c r="K53" s="158">
        <f t="shared" si="6"/>
        <v>0</v>
      </c>
      <c r="L53" s="158">
        <f t="shared" si="6"/>
        <v>0</v>
      </c>
      <c r="M53" s="158">
        <f t="shared" si="6"/>
        <v>0</v>
      </c>
      <c r="N53" s="158">
        <f t="shared" si="6"/>
        <v>0</v>
      </c>
      <c r="P53" s="2"/>
    </row>
    <row r="54" spans="2:16" x14ac:dyDescent="0.25">
      <c r="B54" s="17">
        <v>6341100007</v>
      </c>
      <c r="C54" s="160" t="s">
        <v>13</v>
      </c>
      <c r="D54" s="160" t="s">
        <v>52</v>
      </c>
      <c r="E54" s="160" t="s">
        <v>58</v>
      </c>
      <c r="F54" s="154">
        <v>0</v>
      </c>
      <c r="G54" s="161">
        <f>+VLOOKUP(B54,'5.3 Var OPEX 2023-25'!$B$4:$D$160,3,0)</f>
        <v>4.4009396000000096E-2</v>
      </c>
      <c r="H54" s="162" t="s">
        <v>190</v>
      </c>
      <c r="I54" s="297">
        <f t="shared" si="2"/>
        <v>0</v>
      </c>
      <c r="J54" s="158">
        <f t="shared" si="6"/>
        <v>0</v>
      </c>
      <c r="K54" s="158">
        <f t="shared" si="6"/>
        <v>0</v>
      </c>
      <c r="L54" s="158">
        <f t="shared" si="6"/>
        <v>0</v>
      </c>
      <c r="M54" s="158">
        <f t="shared" si="6"/>
        <v>0</v>
      </c>
      <c r="N54" s="158">
        <f t="shared" si="6"/>
        <v>0</v>
      </c>
      <c r="P54" s="2"/>
    </row>
    <row r="55" spans="2:16" x14ac:dyDescent="0.25">
      <c r="B55" s="17">
        <v>6341100008</v>
      </c>
      <c r="C55" s="160" t="s">
        <v>13</v>
      </c>
      <c r="D55" s="160" t="s">
        <v>52</v>
      </c>
      <c r="E55" s="160" t="s">
        <v>59</v>
      </c>
      <c r="F55" s="154">
        <v>0</v>
      </c>
      <c r="G55" s="161">
        <f>+VLOOKUP(B55,'5.3 Var OPEX 2023-25'!$B$4:$D$160,3,0)</f>
        <v>4.4009396000000096E-2</v>
      </c>
      <c r="H55" s="162" t="s">
        <v>190</v>
      </c>
      <c r="I55" s="297">
        <f t="shared" si="2"/>
        <v>0</v>
      </c>
      <c r="J55" s="158">
        <f t="shared" ref="J55:N64" si="7">+IF(OR($C55="No Imputables",$H55="m2 fijo"),I55,I55*(1+J$6*J$7))</f>
        <v>0</v>
      </c>
      <c r="K55" s="158">
        <f t="shared" si="7"/>
        <v>0</v>
      </c>
      <c r="L55" s="158">
        <f t="shared" si="7"/>
        <v>0</v>
      </c>
      <c r="M55" s="158">
        <f t="shared" si="7"/>
        <v>0</v>
      </c>
      <c r="N55" s="158">
        <f t="shared" si="7"/>
        <v>0</v>
      </c>
      <c r="P55" s="2"/>
    </row>
    <row r="56" spans="2:16" x14ac:dyDescent="0.25">
      <c r="B56" s="17">
        <v>6341100009</v>
      </c>
      <c r="C56" s="160" t="s">
        <v>13</v>
      </c>
      <c r="D56" s="160" t="s">
        <v>52</v>
      </c>
      <c r="E56" s="160" t="s">
        <v>60</v>
      </c>
      <c r="F56" s="154">
        <v>0</v>
      </c>
      <c r="G56" s="161">
        <f>+VLOOKUP(B56,'5.3 Var OPEX 2023-25'!$B$4:$D$160,3,0)</f>
        <v>4.4009396000000096E-2</v>
      </c>
      <c r="H56" s="162" t="s">
        <v>190</v>
      </c>
      <c r="I56" s="297">
        <f t="shared" si="2"/>
        <v>0</v>
      </c>
      <c r="J56" s="158">
        <f t="shared" si="7"/>
        <v>0</v>
      </c>
      <c r="K56" s="158">
        <f t="shared" si="7"/>
        <v>0</v>
      </c>
      <c r="L56" s="158">
        <f t="shared" si="7"/>
        <v>0</v>
      </c>
      <c r="M56" s="158">
        <f t="shared" si="7"/>
        <v>0</v>
      </c>
      <c r="N56" s="158">
        <f t="shared" si="7"/>
        <v>0</v>
      </c>
      <c r="P56" s="2"/>
    </row>
    <row r="57" spans="2:16" x14ac:dyDescent="0.25">
      <c r="B57" s="17">
        <v>6341100010</v>
      </c>
      <c r="C57" s="160" t="s">
        <v>13</v>
      </c>
      <c r="D57" s="160" t="s">
        <v>52</v>
      </c>
      <c r="E57" s="160" t="s">
        <v>61</v>
      </c>
      <c r="F57" s="154">
        <v>56620.739495049769</v>
      </c>
      <c r="G57" s="161">
        <f>+VLOOKUP(B57,'5.3 Var OPEX 2023-25'!$B$4:$D$160,3,0)</f>
        <v>4.4009396000000096E-2</v>
      </c>
      <c r="H57" s="162" t="s">
        <v>190</v>
      </c>
      <c r="I57" s="297">
        <f t="shared" si="2"/>
        <v>58016.361894379806</v>
      </c>
      <c r="J57" s="158">
        <f t="shared" si="7"/>
        <v>59464.615347255007</v>
      </c>
      <c r="K57" s="158">
        <f t="shared" si="7"/>
        <v>60551.296086159491</v>
      </c>
      <c r="L57" s="158">
        <f t="shared" si="7"/>
        <v>61653.578292102015</v>
      </c>
      <c r="M57" s="158">
        <f t="shared" si="7"/>
        <v>62834.486661488889</v>
      </c>
      <c r="N57" s="158">
        <f t="shared" si="7"/>
        <v>63947.316711923711</v>
      </c>
      <c r="P57" s="2"/>
    </row>
    <row r="58" spans="2:16" x14ac:dyDescent="0.25">
      <c r="B58" s="17">
        <v>6342000001</v>
      </c>
      <c r="C58" s="160" t="s">
        <v>13</v>
      </c>
      <c r="D58" s="160" t="s">
        <v>52</v>
      </c>
      <c r="E58" s="160" t="s">
        <v>62</v>
      </c>
      <c r="F58" s="154">
        <v>0</v>
      </c>
      <c r="G58" s="161">
        <f>+VLOOKUP(B58,'5.3 Var OPEX 2023-25'!$B$4:$D$160,3,0)</f>
        <v>4.4009396000000096E-2</v>
      </c>
      <c r="H58" s="162" t="s">
        <v>190</v>
      </c>
      <c r="I58" s="297">
        <f t="shared" si="2"/>
        <v>0</v>
      </c>
      <c r="J58" s="158">
        <f t="shared" si="7"/>
        <v>0</v>
      </c>
      <c r="K58" s="158">
        <f t="shared" si="7"/>
        <v>0</v>
      </c>
      <c r="L58" s="158">
        <f t="shared" si="7"/>
        <v>0</v>
      </c>
      <c r="M58" s="158">
        <f t="shared" si="7"/>
        <v>0</v>
      </c>
      <c r="N58" s="158">
        <f t="shared" si="7"/>
        <v>0</v>
      </c>
      <c r="P58" s="2"/>
    </row>
    <row r="59" spans="2:16" x14ac:dyDescent="0.25">
      <c r="B59" s="17">
        <v>6342000002</v>
      </c>
      <c r="C59" s="160" t="s">
        <v>13</v>
      </c>
      <c r="D59" s="160" t="s">
        <v>52</v>
      </c>
      <c r="E59" s="160" t="s">
        <v>63</v>
      </c>
      <c r="F59" s="154">
        <v>0</v>
      </c>
      <c r="G59" s="161">
        <f>+VLOOKUP(B59,'5.3 Var OPEX 2023-25'!$B$4:$D$160,3,0)</f>
        <v>4.4009396000000096E-2</v>
      </c>
      <c r="H59" s="162" t="s">
        <v>190</v>
      </c>
      <c r="I59" s="297">
        <f t="shared" si="2"/>
        <v>0</v>
      </c>
      <c r="J59" s="158">
        <f t="shared" si="7"/>
        <v>0</v>
      </c>
      <c r="K59" s="158">
        <f t="shared" si="7"/>
        <v>0</v>
      </c>
      <c r="L59" s="158">
        <f t="shared" si="7"/>
        <v>0</v>
      </c>
      <c r="M59" s="158">
        <f t="shared" si="7"/>
        <v>0</v>
      </c>
      <c r="N59" s="158">
        <f t="shared" si="7"/>
        <v>0</v>
      </c>
      <c r="P59" s="2"/>
    </row>
    <row r="60" spans="2:16" x14ac:dyDescent="0.25">
      <c r="B60" s="17">
        <v>6343000001</v>
      </c>
      <c r="C60" s="160" t="s">
        <v>13</v>
      </c>
      <c r="D60" s="160" t="s">
        <v>52</v>
      </c>
      <c r="E60" s="160" t="s">
        <v>64</v>
      </c>
      <c r="F60" s="154">
        <v>455915.95000000042</v>
      </c>
      <c r="G60" s="161">
        <f>+VLOOKUP(B60,'5.3 Var OPEX 2023-25'!$B$4:$D$160,3,0)</f>
        <v>1.922702215525852</v>
      </c>
      <c r="H60" s="162" t="s">
        <v>190</v>
      </c>
      <c r="I60" s="297">
        <f t="shared" si="2"/>
        <v>1307795.6902160402</v>
      </c>
      <c r="J60" s="158">
        <f t="shared" si="7"/>
        <v>1340441.9914001578</v>
      </c>
      <c r="K60" s="158">
        <f t="shared" si="7"/>
        <v>1364937.777426302</v>
      </c>
      <c r="L60" s="158">
        <f t="shared" si="7"/>
        <v>1389785.2492646405</v>
      </c>
      <c r="M60" s="158">
        <f t="shared" si="7"/>
        <v>1416405.0996929696</v>
      </c>
      <c r="N60" s="158">
        <f t="shared" si="7"/>
        <v>1441490.3393801991</v>
      </c>
      <c r="P60" s="2"/>
    </row>
    <row r="61" spans="2:16" x14ac:dyDescent="0.25">
      <c r="B61" s="17">
        <v>6343000002</v>
      </c>
      <c r="C61" s="160" t="s">
        <v>13</v>
      </c>
      <c r="D61" s="160" t="s">
        <v>52</v>
      </c>
      <c r="E61" s="160" t="s">
        <v>65</v>
      </c>
      <c r="F61" s="154">
        <v>77756.2</v>
      </c>
      <c r="G61" s="161">
        <f>+VLOOKUP(B61,'5.3 Var OPEX 2023-25'!$B$4:$D$160,3,0)</f>
        <v>4.4009396000000096E-2</v>
      </c>
      <c r="H61" s="162" t="s">
        <v>190</v>
      </c>
      <c r="I61" s="297">
        <f t="shared" si="2"/>
        <v>79672.782075306051</v>
      </c>
      <c r="J61" s="158">
        <f t="shared" si="7"/>
        <v>81661.641389697383</v>
      </c>
      <c r="K61" s="158">
        <f t="shared" si="7"/>
        <v>83153.959674904385</v>
      </c>
      <c r="L61" s="158">
        <f t="shared" si="7"/>
        <v>84667.703162292106</v>
      </c>
      <c r="M61" s="158">
        <f t="shared" si="7"/>
        <v>86289.422485822797</v>
      </c>
      <c r="N61" s="158">
        <f t="shared" si="7"/>
        <v>87817.651130296537</v>
      </c>
      <c r="P61" s="2"/>
    </row>
    <row r="62" spans="2:16" x14ac:dyDescent="0.25">
      <c r="B62" s="17">
        <v>6343100001</v>
      </c>
      <c r="C62" s="160" t="s">
        <v>13</v>
      </c>
      <c r="D62" s="160" t="s">
        <v>52</v>
      </c>
      <c r="E62" s="160" t="s">
        <v>66</v>
      </c>
      <c r="F62" s="154">
        <v>9684.6427894368608</v>
      </c>
      <c r="G62" s="161">
        <f>+VLOOKUP(B62,'5.3 Var OPEX 2023-25'!$B$4:$D$160,3,0)</f>
        <v>4.4009396000000096E-2</v>
      </c>
      <c r="H62" s="162" t="s">
        <v>190</v>
      </c>
      <c r="I62" s="297">
        <f t="shared" si="2"/>
        <v>9923.3557509238781</v>
      </c>
      <c r="J62" s="158">
        <f t="shared" si="7"/>
        <v>10171.070943002765</v>
      </c>
      <c r="K62" s="158">
        <f t="shared" si="7"/>
        <v>10356.94125971545</v>
      </c>
      <c r="L62" s="158">
        <f t="shared" si="7"/>
        <v>10545.480115140308</v>
      </c>
      <c r="M62" s="158">
        <f t="shared" si="7"/>
        <v>10747.467511040853</v>
      </c>
      <c r="N62" s="158">
        <f t="shared" si="7"/>
        <v>10937.810512914832</v>
      </c>
      <c r="P62" s="2"/>
    </row>
    <row r="63" spans="2:16" x14ac:dyDescent="0.25">
      <c r="B63" s="17">
        <v>6343100002</v>
      </c>
      <c r="C63" s="160" t="s">
        <v>13</v>
      </c>
      <c r="D63" s="160" t="s">
        <v>52</v>
      </c>
      <c r="E63" s="160" t="s">
        <v>67</v>
      </c>
      <c r="F63" s="154">
        <v>16321.236054804693</v>
      </c>
      <c r="G63" s="161">
        <f>+VLOOKUP(B63,'5.3 Var OPEX 2023-25'!$B$4:$D$160,3,0)</f>
        <v>4.4009396000000096E-2</v>
      </c>
      <c r="H63" s="162" t="s">
        <v>190</v>
      </c>
      <c r="I63" s="297">
        <f t="shared" si="2"/>
        <v>16723.531800603454</v>
      </c>
      <c r="J63" s="158">
        <f t="shared" si="7"/>
        <v>17140.998733786633</v>
      </c>
      <c r="K63" s="158">
        <f t="shared" si="7"/>
        <v>17454.240365987858</v>
      </c>
      <c r="L63" s="158">
        <f t="shared" si="7"/>
        <v>17771.979205901309</v>
      </c>
      <c r="M63" s="158">
        <f t="shared" si="7"/>
        <v>18112.382464985247</v>
      </c>
      <c r="N63" s="158">
        <f t="shared" si="7"/>
        <v>18433.161778431248</v>
      </c>
      <c r="P63" s="2"/>
    </row>
    <row r="64" spans="2:16" x14ac:dyDescent="0.25">
      <c r="B64" s="17">
        <v>6343100003</v>
      </c>
      <c r="C64" s="160" t="s">
        <v>13</v>
      </c>
      <c r="D64" s="160" t="s">
        <v>52</v>
      </c>
      <c r="E64" s="160" t="s">
        <v>68</v>
      </c>
      <c r="F64" s="154">
        <v>0</v>
      </c>
      <c r="G64" s="161">
        <f>+VLOOKUP(B64,'5.3 Var OPEX 2023-25'!$B$4:$D$160,3,0)</f>
        <v>4.4009396000000096E-2</v>
      </c>
      <c r="H64" s="162" t="s">
        <v>190</v>
      </c>
      <c r="I64" s="297">
        <f t="shared" si="2"/>
        <v>0</v>
      </c>
      <c r="J64" s="158">
        <f t="shared" si="7"/>
        <v>0</v>
      </c>
      <c r="K64" s="158">
        <f t="shared" si="7"/>
        <v>0</v>
      </c>
      <c r="L64" s="158">
        <f t="shared" si="7"/>
        <v>0</v>
      </c>
      <c r="M64" s="158">
        <f t="shared" si="7"/>
        <v>0</v>
      </c>
      <c r="N64" s="158">
        <f t="shared" si="7"/>
        <v>0</v>
      </c>
      <c r="P64" s="2"/>
    </row>
    <row r="65" spans="2:16" x14ac:dyDescent="0.25">
      <c r="B65" s="17">
        <v>6343100004</v>
      </c>
      <c r="C65" s="160" t="s">
        <v>13</v>
      </c>
      <c r="D65" s="160" t="s">
        <v>52</v>
      </c>
      <c r="E65" s="160" t="s">
        <v>69</v>
      </c>
      <c r="F65" s="154">
        <v>0</v>
      </c>
      <c r="G65" s="161">
        <f>+VLOOKUP(B65,'5.3 Var OPEX 2023-25'!$B$4:$D$160,3,0)</f>
        <v>4.4009396000000096E-2</v>
      </c>
      <c r="H65" s="162" t="s">
        <v>190</v>
      </c>
      <c r="I65" s="297">
        <f t="shared" si="2"/>
        <v>0</v>
      </c>
      <c r="J65" s="158">
        <f t="shared" ref="J65:N74" si="8">+IF(OR($C65="No Imputables",$H65="m2 fijo"),I65,I65*(1+J$6*J$7))</f>
        <v>0</v>
      </c>
      <c r="K65" s="158">
        <f t="shared" si="8"/>
        <v>0</v>
      </c>
      <c r="L65" s="158">
        <f t="shared" si="8"/>
        <v>0</v>
      </c>
      <c r="M65" s="158">
        <f t="shared" si="8"/>
        <v>0</v>
      </c>
      <c r="N65" s="158">
        <f t="shared" si="8"/>
        <v>0</v>
      </c>
      <c r="P65" s="2"/>
    </row>
    <row r="66" spans="2:16" x14ac:dyDescent="0.25">
      <c r="B66" s="17">
        <v>6343100005</v>
      </c>
      <c r="C66" s="160" t="s">
        <v>13</v>
      </c>
      <c r="D66" s="160" t="s">
        <v>52</v>
      </c>
      <c r="E66" s="160" t="s">
        <v>70</v>
      </c>
      <c r="F66" s="154">
        <v>0</v>
      </c>
      <c r="G66" s="161">
        <f>+VLOOKUP(B66,'5.3 Var OPEX 2023-25'!$B$4:$D$160,3,0)</f>
        <v>4.4009396000000096E-2</v>
      </c>
      <c r="H66" s="162" t="s">
        <v>190</v>
      </c>
      <c r="I66" s="297">
        <f t="shared" si="2"/>
        <v>0</v>
      </c>
      <c r="J66" s="158">
        <f t="shared" si="8"/>
        <v>0</v>
      </c>
      <c r="K66" s="158">
        <f t="shared" si="8"/>
        <v>0</v>
      </c>
      <c r="L66" s="158">
        <f t="shared" si="8"/>
        <v>0</v>
      </c>
      <c r="M66" s="158">
        <f t="shared" si="8"/>
        <v>0</v>
      </c>
      <c r="N66" s="158">
        <f t="shared" si="8"/>
        <v>0</v>
      </c>
      <c r="P66" s="2"/>
    </row>
    <row r="67" spans="2:16" x14ac:dyDescent="0.25">
      <c r="B67" s="17">
        <v>6343100006</v>
      </c>
      <c r="C67" s="160" t="s">
        <v>13</v>
      </c>
      <c r="D67" s="160" t="s">
        <v>52</v>
      </c>
      <c r="E67" s="160" t="s">
        <v>71</v>
      </c>
      <c r="F67" s="154">
        <v>0</v>
      </c>
      <c r="G67" s="161">
        <f>+VLOOKUP(B67,'5.3 Var OPEX 2023-25'!$B$4:$D$160,3,0)</f>
        <v>4.4009396000000096E-2</v>
      </c>
      <c r="H67" s="162" t="s">
        <v>190</v>
      </c>
      <c r="I67" s="297">
        <f t="shared" si="2"/>
        <v>0</v>
      </c>
      <c r="J67" s="158">
        <f t="shared" si="8"/>
        <v>0</v>
      </c>
      <c r="K67" s="158">
        <f t="shared" si="8"/>
        <v>0</v>
      </c>
      <c r="L67" s="158">
        <f t="shared" si="8"/>
        <v>0</v>
      </c>
      <c r="M67" s="158">
        <f t="shared" si="8"/>
        <v>0</v>
      </c>
      <c r="N67" s="158">
        <f t="shared" si="8"/>
        <v>0</v>
      </c>
      <c r="P67" s="2"/>
    </row>
    <row r="68" spans="2:16" x14ac:dyDescent="0.25">
      <c r="B68" s="17">
        <v>6343100007</v>
      </c>
      <c r="C68" s="160" t="s">
        <v>13</v>
      </c>
      <c r="D68" s="160" t="s">
        <v>52</v>
      </c>
      <c r="E68" s="160" t="s">
        <v>72</v>
      </c>
      <c r="F68" s="154">
        <v>96360</v>
      </c>
      <c r="G68" s="161">
        <f>+VLOOKUP(B68,'5.3 Var OPEX 2023-25'!$B$4:$D$160,3,0)</f>
        <v>4.4009396000000096E-2</v>
      </c>
      <c r="H68" s="162" t="s">
        <v>190</v>
      </c>
      <c r="I68" s="297">
        <f t="shared" si="2"/>
        <v>98735.139844494624</v>
      </c>
      <c r="J68" s="158">
        <f t="shared" si="8"/>
        <v>101199.84984234365</v>
      </c>
      <c r="K68" s="158">
        <f t="shared" si="8"/>
        <v>103049.21735210554</v>
      </c>
      <c r="L68" s="158">
        <f t="shared" si="8"/>
        <v>104925.13621702795</v>
      </c>
      <c r="M68" s="158">
        <f t="shared" si="8"/>
        <v>106934.86501055717</v>
      </c>
      <c r="N68" s="158">
        <f t="shared" si="8"/>
        <v>108828.73472360242</v>
      </c>
      <c r="P68" s="2"/>
    </row>
    <row r="69" spans="2:16" x14ac:dyDescent="0.25">
      <c r="B69" s="17">
        <v>6343100008</v>
      </c>
      <c r="C69" s="160" t="s">
        <v>13</v>
      </c>
      <c r="D69" s="160" t="s">
        <v>52</v>
      </c>
      <c r="E69" s="160" t="s">
        <v>73</v>
      </c>
      <c r="F69" s="154">
        <v>18500</v>
      </c>
      <c r="G69" s="161">
        <f>+VLOOKUP(B69,'5.3 Var OPEX 2023-25'!$B$4:$D$160,3,0)</f>
        <v>4.4009396000000096E-2</v>
      </c>
      <c r="H69" s="162" t="s">
        <v>190</v>
      </c>
      <c r="I69" s="297">
        <f t="shared" si="2"/>
        <v>18955.999243702267</v>
      </c>
      <c r="J69" s="158">
        <f t="shared" si="8"/>
        <v>19429.194915767512</v>
      </c>
      <c r="K69" s="158">
        <f t="shared" si="8"/>
        <v>19784.251982295063</v>
      </c>
      <c r="L69" s="158">
        <f t="shared" si="8"/>
        <v>20144.406600404909</v>
      </c>
      <c r="M69" s="158">
        <f t="shared" si="8"/>
        <v>20530.251169523741</v>
      </c>
      <c r="N69" s="158">
        <f t="shared" si="8"/>
        <v>20893.852141829026</v>
      </c>
      <c r="P69" s="2"/>
    </row>
    <row r="70" spans="2:16" x14ac:dyDescent="0.25">
      <c r="B70" s="17">
        <v>6343100009</v>
      </c>
      <c r="C70" s="160" t="s">
        <v>13</v>
      </c>
      <c r="D70" s="160" t="s">
        <v>52</v>
      </c>
      <c r="E70" s="160" t="s">
        <v>74</v>
      </c>
      <c r="F70" s="154">
        <v>0</v>
      </c>
      <c r="G70" s="161">
        <f>+VLOOKUP(B70,'5.3 Var OPEX 2023-25'!$B$4:$D$160,3,0)</f>
        <v>4.4009396000000096E-2</v>
      </c>
      <c r="H70" s="162" t="s">
        <v>190</v>
      </c>
      <c r="I70" s="297">
        <f t="shared" si="2"/>
        <v>0</v>
      </c>
      <c r="J70" s="158">
        <f t="shared" si="8"/>
        <v>0</v>
      </c>
      <c r="K70" s="158">
        <f t="shared" si="8"/>
        <v>0</v>
      </c>
      <c r="L70" s="158">
        <f t="shared" si="8"/>
        <v>0</v>
      </c>
      <c r="M70" s="158">
        <f t="shared" si="8"/>
        <v>0</v>
      </c>
      <c r="N70" s="158">
        <f t="shared" si="8"/>
        <v>0</v>
      </c>
      <c r="P70" s="2"/>
    </row>
    <row r="71" spans="2:16" x14ac:dyDescent="0.25">
      <c r="B71" s="17">
        <v>6343100010</v>
      </c>
      <c r="C71" s="160" t="s">
        <v>13</v>
      </c>
      <c r="D71" s="160" t="s">
        <v>52</v>
      </c>
      <c r="E71" s="160" t="s">
        <v>75</v>
      </c>
      <c r="F71" s="154">
        <v>0</v>
      </c>
      <c r="G71" s="161">
        <f>+VLOOKUP(B71,'5.3 Var OPEX 2023-25'!$B$4:$D$160,3,0)</f>
        <v>4.4009396000000096E-2</v>
      </c>
      <c r="H71" s="162" t="s">
        <v>190</v>
      </c>
      <c r="I71" s="297">
        <f t="shared" si="2"/>
        <v>0</v>
      </c>
      <c r="J71" s="158">
        <f t="shared" si="8"/>
        <v>0</v>
      </c>
      <c r="K71" s="158">
        <f t="shared" si="8"/>
        <v>0</v>
      </c>
      <c r="L71" s="158">
        <f t="shared" si="8"/>
        <v>0</v>
      </c>
      <c r="M71" s="158">
        <f t="shared" si="8"/>
        <v>0</v>
      </c>
      <c r="N71" s="158">
        <f t="shared" si="8"/>
        <v>0</v>
      </c>
      <c r="P71" s="2"/>
    </row>
    <row r="72" spans="2:16" x14ac:dyDescent="0.25">
      <c r="B72" s="17">
        <v>6343100011</v>
      </c>
      <c r="C72" s="160" t="s">
        <v>13</v>
      </c>
      <c r="D72" s="160" t="s">
        <v>52</v>
      </c>
      <c r="E72" s="160" t="s">
        <v>76</v>
      </c>
      <c r="F72" s="154">
        <v>0</v>
      </c>
      <c r="G72" s="161">
        <f>+VLOOKUP(B72,'5.3 Var OPEX 2023-25'!$B$4:$D$160,3,0)</f>
        <v>4.4009396000000096E-2</v>
      </c>
      <c r="H72" s="162" t="s">
        <v>190</v>
      </c>
      <c r="I72" s="297">
        <f t="shared" si="2"/>
        <v>0</v>
      </c>
      <c r="J72" s="158">
        <f t="shared" si="8"/>
        <v>0</v>
      </c>
      <c r="K72" s="158">
        <f t="shared" si="8"/>
        <v>0</v>
      </c>
      <c r="L72" s="158">
        <f t="shared" si="8"/>
        <v>0</v>
      </c>
      <c r="M72" s="158">
        <f t="shared" si="8"/>
        <v>0</v>
      </c>
      <c r="N72" s="158">
        <f t="shared" si="8"/>
        <v>0</v>
      </c>
      <c r="P72" s="2"/>
    </row>
    <row r="73" spans="2:16" x14ac:dyDescent="0.25">
      <c r="B73" s="17">
        <v>6343100012</v>
      </c>
      <c r="C73" s="160" t="s">
        <v>13</v>
      </c>
      <c r="D73" s="160" t="s">
        <v>52</v>
      </c>
      <c r="E73" s="160" t="s">
        <v>77</v>
      </c>
      <c r="F73" s="154">
        <v>0</v>
      </c>
      <c r="G73" s="161">
        <f>+VLOOKUP(B73,'5.3 Var OPEX 2023-25'!$B$4:$D$160,3,0)</f>
        <v>4.4009396000000096E-2</v>
      </c>
      <c r="H73" s="162" t="s">
        <v>190</v>
      </c>
      <c r="I73" s="297">
        <f t="shared" si="2"/>
        <v>0</v>
      </c>
      <c r="J73" s="158">
        <f t="shared" si="8"/>
        <v>0</v>
      </c>
      <c r="K73" s="158">
        <f t="shared" si="8"/>
        <v>0</v>
      </c>
      <c r="L73" s="158">
        <f t="shared" si="8"/>
        <v>0</v>
      </c>
      <c r="M73" s="158">
        <f t="shared" si="8"/>
        <v>0</v>
      </c>
      <c r="N73" s="158">
        <f t="shared" si="8"/>
        <v>0</v>
      </c>
      <c r="P73" s="2"/>
    </row>
    <row r="74" spans="2:16" x14ac:dyDescent="0.25">
      <c r="B74" s="17">
        <v>6343100013</v>
      </c>
      <c r="C74" s="160" t="s">
        <v>13</v>
      </c>
      <c r="D74" s="160" t="s">
        <v>52</v>
      </c>
      <c r="E74" s="160" t="s">
        <v>78</v>
      </c>
      <c r="F74" s="154">
        <v>0</v>
      </c>
      <c r="G74" s="161">
        <f>+VLOOKUP(B74,'5.3 Var OPEX 2023-25'!$B$4:$D$160,3,0)</f>
        <v>4.4009396000000096E-2</v>
      </c>
      <c r="H74" s="162" t="s">
        <v>190</v>
      </c>
      <c r="I74" s="297">
        <f t="shared" si="2"/>
        <v>0</v>
      </c>
      <c r="J74" s="158">
        <f t="shared" si="8"/>
        <v>0</v>
      </c>
      <c r="K74" s="158">
        <f t="shared" si="8"/>
        <v>0</v>
      </c>
      <c r="L74" s="158">
        <f t="shared" si="8"/>
        <v>0</v>
      </c>
      <c r="M74" s="158">
        <f t="shared" si="8"/>
        <v>0</v>
      </c>
      <c r="N74" s="158">
        <f t="shared" si="8"/>
        <v>0</v>
      </c>
      <c r="P74" s="2"/>
    </row>
    <row r="75" spans="2:16" x14ac:dyDescent="0.25">
      <c r="B75" s="17">
        <v>6343100014</v>
      </c>
      <c r="C75" s="160" t="s">
        <v>13</v>
      </c>
      <c r="D75" s="160" t="s">
        <v>52</v>
      </c>
      <c r="E75" s="160" t="s">
        <v>79</v>
      </c>
      <c r="F75" s="154">
        <v>0</v>
      </c>
      <c r="G75" s="161">
        <f>+VLOOKUP(B75,'5.3 Var OPEX 2023-25'!$B$4:$D$160,3,0)</f>
        <v>4.4009396000000096E-2</v>
      </c>
      <c r="H75" s="162" t="s">
        <v>190</v>
      </c>
      <c r="I75" s="297">
        <f t="shared" si="2"/>
        <v>0</v>
      </c>
      <c r="J75" s="158">
        <f t="shared" ref="J75:N84" si="9">+IF(OR($C75="No Imputables",$H75="m2 fijo"),I75,I75*(1+J$6*J$7))</f>
        <v>0</v>
      </c>
      <c r="K75" s="158">
        <f t="shared" si="9"/>
        <v>0</v>
      </c>
      <c r="L75" s="158">
        <f t="shared" si="9"/>
        <v>0</v>
      </c>
      <c r="M75" s="158">
        <f t="shared" si="9"/>
        <v>0</v>
      </c>
      <c r="N75" s="158">
        <f t="shared" si="9"/>
        <v>0</v>
      </c>
      <c r="P75" s="2"/>
    </row>
    <row r="76" spans="2:16" x14ac:dyDescent="0.25">
      <c r="B76" s="17">
        <v>6343100015</v>
      </c>
      <c r="C76" s="160" t="s">
        <v>13</v>
      </c>
      <c r="D76" s="160" t="s">
        <v>52</v>
      </c>
      <c r="E76" s="160" t="s">
        <v>80</v>
      </c>
      <c r="F76" s="154">
        <v>2049.3580911571257</v>
      </c>
      <c r="G76" s="161">
        <f>+VLOOKUP(B76,'5.3 Var OPEX 2023-25'!$B$4:$D$160,3,0)</f>
        <v>4.4009396000000096E-2</v>
      </c>
      <c r="H76" s="162" t="s">
        <v>190</v>
      </c>
      <c r="I76" s="297">
        <f t="shared" si="2"/>
        <v>2099.8719149215999</v>
      </c>
      <c r="J76" s="158">
        <f t="shared" si="9"/>
        <v>2152.2906921782183</v>
      </c>
      <c r="K76" s="158">
        <f t="shared" si="9"/>
        <v>2191.6225339139346</v>
      </c>
      <c r="L76" s="158">
        <f t="shared" si="9"/>
        <v>2231.5190625999353</v>
      </c>
      <c r="M76" s="158">
        <f t="shared" si="9"/>
        <v>2274.2614242027848</v>
      </c>
      <c r="N76" s="158">
        <f t="shared" si="9"/>
        <v>2314.5397266107002</v>
      </c>
      <c r="P76" s="2"/>
    </row>
    <row r="77" spans="2:16" x14ac:dyDescent="0.25">
      <c r="B77" s="17">
        <v>6343100016</v>
      </c>
      <c r="C77" s="160" t="s">
        <v>13</v>
      </c>
      <c r="D77" s="160" t="s">
        <v>52</v>
      </c>
      <c r="E77" s="160" t="s">
        <v>81</v>
      </c>
      <c r="F77" s="154">
        <v>0</v>
      </c>
      <c r="G77" s="161">
        <f>+VLOOKUP(B77,'5.3 Var OPEX 2023-25'!$B$4:$D$160,3,0)</f>
        <v>4.4009396000000096E-2</v>
      </c>
      <c r="H77" s="162" t="s">
        <v>190</v>
      </c>
      <c r="I77" s="297">
        <f t="shared" si="2"/>
        <v>0</v>
      </c>
      <c r="J77" s="158">
        <f t="shared" si="9"/>
        <v>0</v>
      </c>
      <c r="K77" s="158">
        <f t="shared" si="9"/>
        <v>0</v>
      </c>
      <c r="L77" s="158">
        <f t="shared" si="9"/>
        <v>0</v>
      </c>
      <c r="M77" s="158">
        <f t="shared" si="9"/>
        <v>0</v>
      </c>
      <c r="N77" s="158">
        <f t="shared" si="9"/>
        <v>0</v>
      </c>
      <c r="P77" s="2"/>
    </row>
    <row r="78" spans="2:16" x14ac:dyDescent="0.25">
      <c r="B78" s="17">
        <v>6343100017</v>
      </c>
      <c r="C78" s="160" t="s">
        <v>13</v>
      </c>
      <c r="D78" s="160" t="s">
        <v>52</v>
      </c>
      <c r="E78" s="160" t="s">
        <v>82</v>
      </c>
      <c r="F78" s="154">
        <v>0</v>
      </c>
      <c r="G78" s="161">
        <f>+VLOOKUP(B78,'5.3 Var OPEX 2023-25'!$B$4:$D$160,3,0)</f>
        <v>4.4009396000000096E-2</v>
      </c>
      <c r="H78" s="162" t="s">
        <v>190</v>
      </c>
      <c r="I78" s="297">
        <f t="shared" si="2"/>
        <v>0</v>
      </c>
      <c r="J78" s="158">
        <f t="shared" si="9"/>
        <v>0</v>
      </c>
      <c r="K78" s="158">
        <f t="shared" si="9"/>
        <v>0</v>
      </c>
      <c r="L78" s="158">
        <f t="shared" si="9"/>
        <v>0</v>
      </c>
      <c r="M78" s="158">
        <f t="shared" si="9"/>
        <v>0</v>
      </c>
      <c r="N78" s="158">
        <f t="shared" si="9"/>
        <v>0</v>
      </c>
      <c r="P78" s="2"/>
    </row>
    <row r="79" spans="2:16" x14ac:dyDescent="0.25">
      <c r="B79" s="17">
        <v>6344000001</v>
      </c>
      <c r="C79" s="160" t="s">
        <v>13</v>
      </c>
      <c r="D79" s="160" t="s">
        <v>52</v>
      </c>
      <c r="E79" s="160" t="s">
        <v>83</v>
      </c>
      <c r="F79" s="154">
        <v>0</v>
      </c>
      <c r="G79" s="161">
        <f>+VLOOKUP(B79,'5.3 Var OPEX 2023-25'!$B$4:$D$160,3,0)</f>
        <v>4.4009396000000096E-2</v>
      </c>
      <c r="H79" s="162" t="s">
        <v>190</v>
      </c>
      <c r="I79" s="297">
        <f t="shared" ref="I79:I142" si="10">+F79*(1+G79)/$I$8</f>
        <v>0</v>
      </c>
      <c r="J79" s="158">
        <f t="shared" si="9"/>
        <v>0</v>
      </c>
      <c r="K79" s="158">
        <f t="shared" si="9"/>
        <v>0</v>
      </c>
      <c r="L79" s="158">
        <f t="shared" si="9"/>
        <v>0</v>
      </c>
      <c r="M79" s="158">
        <f t="shared" si="9"/>
        <v>0</v>
      </c>
      <c r="N79" s="158">
        <f t="shared" si="9"/>
        <v>0</v>
      </c>
      <c r="P79" s="2"/>
    </row>
    <row r="80" spans="2:16" x14ac:dyDescent="0.25">
      <c r="B80" s="17">
        <v>6344000002</v>
      </c>
      <c r="C80" s="160" t="s">
        <v>13</v>
      </c>
      <c r="D80" s="160" t="s">
        <v>52</v>
      </c>
      <c r="E80" s="160" t="s">
        <v>84</v>
      </c>
      <c r="F80" s="154">
        <v>0</v>
      </c>
      <c r="G80" s="161">
        <f>+VLOOKUP(B80,'5.3 Var OPEX 2023-25'!$B$4:$D$160,3,0)</f>
        <v>4.4009396000000096E-2</v>
      </c>
      <c r="H80" s="162" t="s">
        <v>190</v>
      </c>
      <c r="I80" s="297">
        <f t="shared" si="10"/>
        <v>0</v>
      </c>
      <c r="J80" s="158">
        <f t="shared" si="9"/>
        <v>0</v>
      </c>
      <c r="K80" s="158">
        <f t="shared" si="9"/>
        <v>0</v>
      </c>
      <c r="L80" s="158">
        <f t="shared" si="9"/>
        <v>0</v>
      </c>
      <c r="M80" s="158">
        <f t="shared" si="9"/>
        <v>0</v>
      </c>
      <c r="N80" s="158">
        <f t="shared" si="9"/>
        <v>0</v>
      </c>
      <c r="P80" s="2"/>
    </row>
    <row r="81" spans="2:16" x14ac:dyDescent="0.25">
      <c r="B81" s="17">
        <v>6344000003</v>
      </c>
      <c r="C81" s="160" t="s">
        <v>13</v>
      </c>
      <c r="D81" s="160" t="s">
        <v>52</v>
      </c>
      <c r="E81" s="160" t="s">
        <v>85</v>
      </c>
      <c r="F81" s="154">
        <v>0</v>
      </c>
      <c r="G81" s="161">
        <f>+VLOOKUP(B81,'5.3 Var OPEX 2023-25'!$B$4:$D$160,3,0)</f>
        <v>4.4009396000000096E-2</v>
      </c>
      <c r="H81" s="162" t="s">
        <v>190</v>
      </c>
      <c r="I81" s="297">
        <f t="shared" si="10"/>
        <v>0</v>
      </c>
      <c r="J81" s="158">
        <f t="shared" si="9"/>
        <v>0</v>
      </c>
      <c r="K81" s="158">
        <f t="shared" si="9"/>
        <v>0</v>
      </c>
      <c r="L81" s="158">
        <f t="shared" si="9"/>
        <v>0</v>
      </c>
      <c r="M81" s="158">
        <f t="shared" si="9"/>
        <v>0</v>
      </c>
      <c r="N81" s="158">
        <f t="shared" si="9"/>
        <v>0</v>
      </c>
      <c r="P81" s="2"/>
    </row>
    <row r="82" spans="2:16" x14ac:dyDescent="0.25">
      <c r="B82" s="17">
        <v>6345000001</v>
      </c>
      <c r="C82" s="160" t="s">
        <v>13</v>
      </c>
      <c r="D82" s="160" t="s">
        <v>52</v>
      </c>
      <c r="E82" s="160" t="s">
        <v>86</v>
      </c>
      <c r="F82" s="154">
        <v>0</v>
      </c>
      <c r="G82" s="161">
        <f>+VLOOKUP(B82,'5.3 Var OPEX 2023-25'!$B$4:$D$160,3,0)</f>
        <v>4.4009396000000096E-2</v>
      </c>
      <c r="H82" s="162" t="s">
        <v>190</v>
      </c>
      <c r="I82" s="297">
        <f t="shared" si="10"/>
        <v>0</v>
      </c>
      <c r="J82" s="158">
        <f t="shared" si="9"/>
        <v>0</v>
      </c>
      <c r="K82" s="158">
        <f t="shared" si="9"/>
        <v>0</v>
      </c>
      <c r="L82" s="158">
        <f t="shared" si="9"/>
        <v>0</v>
      </c>
      <c r="M82" s="158">
        <f t="shared" si="9"/>
        <v>0</v>
      </c>
      <c r="N82" s="158">
        <f t="shared" si="9"/>
        <v>0</v>
      </c>
      <c r="P82" s="2"/>
    </row>
    <row r="83" spans="2:16" x14ac:dyDescent="0.25">
      <c r="B83" s="17">
        <v>6346000001</v>
      </c>
      <c r="C83" s="160" t="s">
        <v>13</v>
      </c>
      <c r="D83" s="160" t="s">
        <v>52</v>
      </c>
      <c r="E83" s="160" t="s">
        <v>87</v>
      </c>
      <c r="F83" s="154">
        <v>0</v>
      </c>
      <c r="G83" s="161">
        <f>+VLOOKUP(B83,'5.3 Var OPEX 2023-25'!$B$4:$D$160,3,0)</f>
        <v>4.4009396000000096E-2</v>
      </c>
      <c r="H83" s="162" t="s">
        <v>190</v>
      </c>
      <c r="I83" s="297">
        <f t="shared" si="10"/>
        <v>0</v>
      </c>
      <c r="J83" s="158">
        <f t="shared" si="9"/>
        <v>0</v>
      </c>
      <c r="K83" s="158">
        <f t="shared" si="9"/>
        <v>0</v>
      </c>
      <c r="L83" s="158">
        <f t="shared" si="9"/>
        <v>0</v>
      </c>
      <c r="M83" s="158">
        <f t="shared" si="9"/>
        <v>0</v>
      </c>
      <c r="N83" s="158">
        <f t="shared" si="9"/>
        <v>0</v>
      </c>
      <c r="P83" s="2"/>
    </row>
    <row r="84" spans="2:16" x14ac:dyDescent="0.25">
      <c r="B84" s="17">
        <v>6347000001</v>
      </c>
      <c r="C84" s="160" t="s">
        <v>13</v>
      </c>
      <c r="D84" s="160" t="s">
        <v>52</v>
      </c>
      <c r="E84" s="160" t="s">
        <v>88</v>
      </c>
      <c r="F84" s="154">
        <v>26571.09</v>
      </c>
      <c r="G84" s="161">
        <f>+VLOOKUP(B84,'5.3 Var OPEX 2023-25'!$B$4:$D$160,3,0)</f>
        <v>1.0811688463956868</v>
      </c>
      <c r="H84" s="162" t="s">
        <v>190</v>
      </c>
      <c r="I84" s="297">
        <f t="shared" si="10"/>
        <v>54273.425550896754</v>
      </c>
      <c r="J84" s="158">
        <f t="shared" si="9"/>
        <v>55628.244663762664</v>
      </c>
      <c r="K84" s="158">
        <f t="shared" si="9"/>
        <v>56644.817993332981</v>
      </c>
      <c r="L84" s="158">
        <f t="shared" si="9"/>
        <v>57675.986258402962</v>
      </c>
      <c r="M84" s="158">
        <f t="shared" si="9"/>
        <v>58780.708105405887</v>
      </c>
      <c r="N84" s="158">
        <f t="shared" si="9"/>
        <v>59821.743718825244</v>
      </c>
      <c r="P84" s="2"/>
    </row>
    <row r="85" spans="2:16" x14ac:dyDescent="0.25">
      <c r="B85" s="17">
        <v>6348000001</v>
      </c>
      <c r="C85" s="160" t="s">
        <v>13</v>
      </c>
      <c r="D85" s="160" t="s">
        <v>52</v>
      </c>
      <c r="E85" s="160" t="s">
        <v>89</v>
      </c>
      <c r="F85" s="154">
        <v>858.05207552917261</v>
      </c>
      <c r="G85" s="161">
        <f>+VLOOKUP(B85,'5.3 Var OPEX 2023-25'!$B$4:$D$160,3,0)</f>
        <v>4.4009396000000096E-2</v>
      </c>
      <c r="H85" s="162" t="s">
        <v>190</v>
      </c>
      <c r="I85" s="297">
        <f t="shared" si="10"/>
        <v>879.20186458314356</v>
      </c>
      <c r="J85" s="158">
        <f t="shared" ref="J85:N94" si="11">+IF(OR($C85="No Imputables",$H85="m2 fijo"),I85,I85*(1+J$6*J$7))</f>
        <v>901.1492445046033</v>
      </c>
      <c r="K85" s="158">
        <f t="shared" si="11"/>
        <v>917.61721492975266</v>
      </c>
      <c r="L85" s="158">
        <f t="shared" si="11"/>
        <v>934.32161588005374</v>
      </c>
      <c r="M85" s="158">
        <f t="shared" si="11"/>
        <v>952.21754741324696</v>
      </c>
      <c r="N85" s="158">
        <f t="shared" si="11"/>
        <v>969.0817943835699</v>
      </c>
      <c r="P85" s="2"/>
    </row>
    <row r="86" spans="2:16" x14ac:dyDescent="0.25">
      <c r="B86" s="17">
        <v>6354000001</v>
      </c>
      <c r="C86" s="160" t="s">
        <v>13</v>
      </c>
      <c r="D86" s="160" t="s">
        <v>40</v>
      </c>
      <c r="E86" s="160" t="s">
        <v>90</v>
      </c>
      <c r="F86" s="154">
        <v>0</v>
      </c>
      <c r="G86" s="161">
        <f>+VLOOKUP(B86,'5.3 Var OPEX 2023-25'!$B$4:$D$160,3,0)</f>
        <v>1.1277145310168262</v>
      </c>
      <c r="H86" s="162" t="s">
        <v>190</v>
      </c>
      <c r="I86" s="297">
        <f t="shared" si="10"/>
        <v>0</v>
      </c>
      <c r="J86" s="158">
        <f t="shared" si="11"/>
        <v>0</v>
      </c>
      <c r="K86" s="158">
        <f t="shared" si="11"/>
        <v>0</v>
      </c>
      <c r="L86" s="158">
        <f t="shared" si="11"/>
        <v>0</v>
      </c>
      <c r="M86" s="158">
        <f t="shared" si="11"/>
        <v>0</v>
      </c>
      <c r="N86" s="158">
        <f t="shared" si="11"/>
        <v>0</v>
      </c>
      <c r="P86" s="2"/>
    </row>
    <row r="87" spans="2:16" x14ac:dyDescent="0.25">
      <c r="B87" s="17">
        <v>6356000001</v>
      </c>
      <c r="C87" s="160" t="s">
        <v>13</v>
      </c>
      <c r="D87" s="160" t="s">
        <v>40</v>
      </c>
      <c r="E87" s="160" t="s">
        <v>91</v>
      </c>
      <c r="F87" s="154">
        <v>0</v>
      </c>
      <c r="G87" s="161">
        <f>+VLOOKUP(B87,'5.3 Var OPEX 2023-25'!$B$4:$D$160,3,0)</f>
        <v>4.4009396000000096E-2</v>
      </c>
      <c r="H87" s="162" t="s">
        <v>190</v>
      </c>
      <c r="I87" s="297">
        <f t="shared" si="10"/>
        <v>0</v>
      </c>
      <c r="J87" s="158">
        <f t="shared" si="11"/>
        <v>0</v>
      </c>
      <c r="K87" s="158">
        <f t="shared" si="11"/>
        <v>0</v>
      </c>
      <c r="L87" s="158">
        <f t="shared" si="11"/>
        <v>0</v>
      </c>
      <c r="M87" s="158">
        <f t="shared" si="11"/>
        <v>0</v>
      </c>
      <c r="N87" s="158">
        <f t="shared" si="11"/>
        <v>0</v>
      </c>
      <c r="P87" s="2"/>
    </row>
    <row r="88" spans="2:16" x14ac:dyDescent="0.25">
      <c r="B88" s="17">
        <v>6356000002</v>
      </c>
      <c r="C88" s="160" t="s">
        <v>13</v>
      </c>
      <c r="D88" s="160" t="s">
        <v>40</v>
      </c>
      <c r="E88" s="160" t="s">
        <v>92</v>
      </c>
      <c r="F88" s="154">
        <v>0</v>
      </c>
      <c r="G88" s="161">
        <f>+VLOOKUP(B88,'5.3 Var OPEX 2023-25'!$B$4:$D$160,3,0)</f>
        <v>4.4009396000000096E-2</v>
      </c>
      <c r="H88" s="162" t="s">
        <v>190</v>
      </c>
      <c r="I88" s="297">
        <f t="shared" si="10"/>
        <v>0</v>
      </c>
      <c r="J88" s="158">
        <f t="shared" si="11"/>
        <v>0</v>
      </c>
      <c r="K88" s="158">
        <f t="shared" si="11"/>
        <v>0</v>
      </c>
      <c r="L88" s="158">
        <f t="shared" si="11"/>
        <v>0</v>
      </c>
      <c r="M88" s="158">
        <f t="shared" si="11"/>
        <v>0</v>
      </c>
      <c r="N88" s="158">
        <f t="shared" si="11"/>
        <v>0</v>
      </c>
      <c r="P88" s="2"/>
    </row>
    <row r="89" spans="2:16" x14ac:dyDescent="0.25">
      <c r="B89" s="17">
        <v>6357000001</v>
      </c>
      <c r="C89" s="160" t="s">
        <v>13</v>
      </c>
      <c r="D89" s="160" t="s">
        <v>40</v>
      </c>
      <c r="E89" s="160" t="s">
        <v>93</v>
      </c>
      <c r="F89" s="154">
        <v>0</v>
      </c>
      <c r="G89" s="161">
        <f>+VLOOKUP(B89,'5.3 Var OPEX 2023-25'!$B$4:$D$160,3,0)</f>
        <v>4.4009396000000096E-2</v>
      </c>
      <c r="H89" s="162" t="s">
        <v>190</v>
      </c>
      <c r="I89" s="297">
        <f t="shared" si="10"/>
        <v>0</v>
      </c>
      <c r="J89" s="158">
        <f t="shared" si="11"/>
        <v>0</v>
      </c>
      <c r="K89" s="158">
        <f t="shared" si="11"/>
        <v>0</v>
      </c>
      <c r="L89" s="158">
        <f t="shared" si="11"/>
        <v>0</v>
      </c>
      <c r="M89" s="158">
        <f t="shared" si="11"/>
        <v>0</v>
      </c>
      <c r="N89" s="158">
        <f t="shared" si="11"/>
        <v>0</v>
      </c>
      <c r="P89" s="2"/>
    </row>
    <row r="90" spans="2:16" x14ac:dyDescent="0.25">
      <c r="B90" s="17">
        <v>6358000001</v>
      </c>
      <c r="C90" s="160" t="s">
        <v>13</v>
      </c>
      <c r="D90" s="160" t="s">
        <v>40</v>
      </c>
      <c r="E90" s="160" t="s">
        <v>94</v>
      </c>
      <c r="F90" s="154">
        <v>0</v>
      </c>
      <c r="G90" s="161">
        <f>+VLOOKUP(B90,'5.3 Var OPEX 2023-25'!$B$4:$D$160,3,0)</f>
        <v>4.4009396000000096E-2</v>
      </c>
      <c r="H90" s="162" t="s">
        <v>190</v>
      </c>
      <c r="I90" s="297">
        <f t="shared" si="10"/>
        <v>0</v>
      </c>
      <c r="J90" s="158">
        <f t="shared" si="11"/>
        <v>0</v>
      </c>
      <c r="K90" s="158">
        <f t="shared" si="11"/>
        <v>0</v>
      </c>
      <c r="L90" s="158">
        <f t="shared" si="11"/>
        <v>0</v>
      </c>
      <c r="M90" s="158">
        <f t="shared" si="11"/>
        <v>0</v>
      </c>
      <c r="N90" s="158">
        <f t="shared" si="11"/>
        <v>0</v>
      </c>
      <c r="P90" s="2"/>
    </row>
    <row r="91" spans="2:16" x14ac:dyDescent="0.25">
      <c r="B91" s="17">
        <v>6360000001</v>
      </c>
      <c r="C91" s="160" t="s">
        <v>13</v>
      </c>
      <c r="D91" s="160" t="s">
        <v>40</v>
      </c>
      <c r="E91" s="160" t="s">
        <v>95</v>
      </c>
      <c r="F91" s="154">
        <v>7675.559850111099</v>
      </c>
      <c r="G91" s="161">
        <f>+VLOOKUP(B91,'5.3 Var OPEX 2023-25'!$B$4:$D$160,3,0)</f>
        <v>4.4009396000000096E-2</v>
      </c>
      <c r="H91" s="162" t="s">
        <v>190</v>
      </c>
      <c r="I91" s="297">
        <f t="shared" si="10"/>
        <v>7864.7517142539173</v>
      </c>
      <c r="J91" s="158">
        <f t="shared" si="11"/>
        <v>8061.0782927269083</v>
      </c>
      <c r="K91" s="158">
        <f t="shared" si="11"/>
        <v>8208.3897394478317</v>
      </c>
      <c r="L91" s="158">
        <f t="shared" si="11"/>
        <v>8357.8161354800486</v>
      </c>
      <c r="M91" s="158">
        <f t="shared" si="11"/>
        <v>8517.9011669996125</v>
      </c>
      <c r="N91" s="158">
        <f t="shared" si="11"/>
        <v>8668.7574385935477</v>
      </c>
      <c r="P91" s="2"/>
    </row>
    <row r="92" spans="2:16" x14ac:dyDescent="0.25">
      <c r="B92" s="17">
        <v>6360000002</v>
      </c>
      <c r="C92" s="160" t="s">
        <v>13</v>
      </c>
      <c r="D92" s="160" t="s">
        <v>40</v>
      </c>
      <c r="E92" s="160" t="s">
        <v>96</v>
      </c>
      <c r="F92" s="154">
        <v>1510411.4876295526</v>
      </c>
      <c r="G92" s="161">
        <f>+VLOOKUP(B92,'5.3 Var OPEX 2023-25'!$B$4:$D$160,3,0)</f>
        <v>0.77919024215254873</v>
      </c>
      <c r="H92" s="162" t="s">
        <v>191</v>
      </c>
      <c r="I92" s="297">
        <f t="shared" si="10"/>
        <v>2637474.1701023541</v>
      </c>
      <c r="J92" s="158">
        <f t="shared" si="11"/>
        <v>2703313.0291585941</v>
      </c>
      <c r="K92" s="158">
        <f t="shared" si="11"/>
        <v>2752714.4787914772</v>
      </c>
      <c r="L92" s="158">
        <f t="shared" si="11"/>
        <v>2802825.1846580314</v>
      </c>
      <c r="M92" s="158">
        <f t="shared" si="11"/>
        <v>2856510.3041625223</v>
      </c>
      <c r="N92" s="158">
        <f t="shared" si="11"/>
        <v>2907100.524195259</v>
      </c>
      <c r="P92" s="2"/>
    </row>
    <row r="93" spans="2:16" x14ac:dyDescent="0.25">
      <c r="B93" s="17">
        <v>6360000003</v>
      </c>
      <c r="C93" s="160" t="s">
        <v>13</v>
      </c>
      <c r="D93" s="160" t="s">
        <v>40</v>
      </c>
      <c r="E93" s="160" t="s">
        <v>97</v>
      </c>
      <c r="F93" s="154">
        <v>490272.48739221616</v>
      </c>
      <c r="G93" s="161">
        <f>+VLOOKUP(B93,'5.3 Var OPEX 2023-25'!$B$4:$D$160,3,0)</f>
        <v>0.33589966958431128</v>
      </c>
      <c r="H93" s="162" t="s">
        <v>191</v>
      </c>
      <c r="I93" s="297">
        <f t="shared" si="10"/>
        <v>642808.94576661417</v>
      </c>
      <c r="J93" s="158">
        <f t="shared" si="11"/>
        <v>658855.28588253504</v>
      </c>
      <c r="K93" s="158">
        <f t="shared" si="11"/>
        <v>670895.47725875</v>
      </c>
      <c r="L93" s="158">
        <f t="shared" si="11"/>
        <v>683108.52957025403</v>
      </c>
      <c r="M93" s="158">
        <f t="shared" si="11"/>
        <v>696192.7430435929</v>
      </c>
      <c r="N93" s="158">
        <f t="shared" si="11"/>
        <v>708522.66322782834</v>
      </c>
      <c r="P93" s="2"/>
    </row>
    <row r="94" spans="2:16" x14ac:dyDescent="0.25">
      <c r="B94" s="17">
        <v>6360000004</v>
      </c>
      <c r="C94" s="160" t="s">
        <v>13</v>
      </c>
      <c r="D94" s="160" t="s">
        <v>40</v>
      </c>
      <c r="E94" s="160" t="s">
        <v>98</v>
      </c>
      <c r="F94" s="154">
        <v>0</v>
      </c>
      <c r="G94" s="161">
        <f>+VLOOKUP(B94,'5.3 Var OPEX 2023-25'!$B$4:$D$160,3,0)</f>
        <v>4.4009396000000096E-2</v>
      </c>
      <c r="H94" s="162" t="s">
        <v>190</v>
      </c>
      <c r="I94" s="297">
        <f t="shared" si="10"/>
        <v>0</v>
      </c>
      <c r="J94" s="158">
        <f t="shared" si="11"/>
        <v>0</v>
      </c>
      <c r="K94" s="158">
        <f t="shared" si="11"/>
        <v>0</v>
      </c>
      <c r="L94" s="158">
        <f t="shared" si="11"/>
        <v>0</v>
      </c>
      <c r="M94" s="158">
        <f t="shared" si="11"/>
        <v>0</v>
      </c>
      <c r="N94" s="158">
        <f t="shared" si="11"/>
        <v>0</v>
      </c>
      <c r="P94" s="2"/>
    </row>
    <row r="95" spans="2:16" x14ac:dyDescent="0.25">
      <c r="B95" s="17">
        <v>6360000005</v>
      </c>
      <c r="C95" s="160" t="s">
        <v>13</v>
      </c>
      <c r="D95" s="160" t="s">
        <v>40</v>
      </c>
      <c r="E95" s="160" t="s">
        <v>99</v>
      </c>
      <c r="F95" s="154">
        <v>0</v>
      </c>
      <c r="G95" s="161">
        <f>+VLOOKUP(B95,'5.3 Var OPEX 2023-25'!$B$4:$D$160,3,0)</f>
        <v>4.4009396000000096E-2</v>
      </c>
      <c r="H95" s="162" t="s">
        <v>190</v>
      </c>
      <c r="I95" s="297">
        <f t="shared" si="10"/>
        <v>0</v>
      </c>
      <c r="J95" s="158">
        <f t="shared" ref="J95:N104" si="12">+IF(OR($C95="No Imputables",$H95="m2 fijo"),I95,I95*(1+J$6*J$7))</f>
        <v>0</v>
      </c>
      <c r="K95" s="158">
        <f t="shared" si="12"/>
        <v>0</v>
      </c>
      <c r="L95" s="158">
        <f t="shared" si="12"/>
        <v>0</v>
      </c>
      <c r="M95" s="158">
        <f t="shared" si="12"/>
        <v>0</v>
      </c>
      <c r="N95" s="158">
        <f t="shared" si="12"/>
        <v>0</v>
      </c>
      <c r="P95" s="2"/>
    </row>
    <row r="96" spans="2:16" x14ac:dyDescent="0.25">
      <c r="B96" s="17">
        <v>6370000001</v>
      </c>
      <c r="C96" s="160" t="s">
        <v>13</v>
      </c>
      <c r="D96" s="160" t="s">
        <v>40</v>
      </c>
      <c r="E96" s="160" t="s">
        <v>100</v>
      </c>
      <c r="F96" s="154">
        <v>0</v>
      </c>
      <c r="G96" s="161">
        <f>+VLOOKUP(B96,'5.3 Var OPEX 2023-25'!$B$4:$D$160,3,0)</f>
        <v>0.48851763260317993</v>
      </c>
      <c r="H96" s="162" t="s">
        <v>190</v>
      </c>
      <c r="I96" s="297">
        <f t="shared" si="10"/>
        <v>0</v>
      </c>
      <c r="J96" s="158">
        <f t="shared" si="12"/>
        <v>0</v>
      </c>
      <c r="K96" s="158">
        <f t="shared" si="12"/>
        <v>0</v>
      </c>
      <c r="L96" s="158">
        <f t="shared" si="12"/>
        <v>0</v>
      </c>
      <c r="M96" s="158">
        <f t="shared" si="12"/>
        <v>0</v>
      </c>
      <c r="N96" s="158">
        <f t="shared" si="12"/>
        <v>0</v>
      </c>
      <c r="P96" s="2"/>
    </row>
    <row r="97" spans="2:16" x14ac:dyDescent="0.25">
      <c r="B97" s="17">
        <v>6370000002</v>
      </c>
      <c r="C97" s="160" t="s">
        <v>13</v>
      </c>
      <c r="D97" s="160" t="s">
        <v>40</v>
      </c>
      <c r="E97" s="160" t="s">
        <v>101</v>
      </c>
      <c r="F97" s="154">
        <v>0</v>
      </c>
      <c r="G97" s="161">
        <f>+VLOOKUP(B97,'5.3 Var OPEX 2023-25'!$B$4:$D$160,3,0)</f>
        <v>4.4009396000000096E-2</v>
      </c>
      <c r="H97" s="162" t="s">
        <v>190</v>
      </c>
      <c r="I97" s="297">
        <f t="shared" si="10"/>
        <v>0</v>
      </c>
      <c r="J97" s="158">
        <f t="shared" si="12"/>
        <v>0</v>
      </c>
      <c r="K97" s="158">
        <f t="shared" si="12"/>
        <v>0</v>
      </c>
      <c r="L97" s="158">
        <f t="shared" si="12"/>
        <v>0</v>
      </c>
      <c r="M97" s="158">
        <f t="shared" si="12"/>
        <v>0</v>
      </c>
      <c r="N97" s="158">
        <f t="shared" si="12"/>
        <v>0</v>
      </c>
      <c r="P97" s="2"/>
    </row>
    <row r="98" spans="2:16" x14ac:dyDescent="0.25">
      <c r="B98" s="17">
        <v>6370000003</v>
      </c>
      <c r="C98" s="160" t="s">
        <v>13</v>
      </c>
      <c r="D98" s="160" t="s">
        <v>40</v>
      </c>
      <c r="E98" s="160" t="s">
        <v>102</v>
      </c>
      <c r="F98" s="154">
        <v>0</v>
      </c>
      <c r="G98" s="161">
        <f>+VLOOKUP(B98,'5.3 Var OPEX 2023-25'!$B$4:$D$160,3,0)</f>
        <v>4.4009396000000096E-2</v>
      </c>
      <c r="H98" s="162" t="s">
        <v>190</v>
      </c>
      <c r="I98" s="297">
        <f t="shared" si="10"/>
        <v>0</v>
      </c>
      <c r="J98" s="158">
        <f t="shared" si="12"/>
        <v>0</v>
      </c>
      <c r="K98" s="158">
        <f t="shared" si="12"/>
        <v>0</v>
      </c>
      <c r="L98" s="158">
        <f t="shared" si="12"/>
        <v>0</v>
      </c>
      <c r="M98" s="158">
        <f t="shared" si="12"/>
        <v>0</v>
      </c>
      <c r="N98" s="158">
        <f t="shared" si="12"/>
        <v>0</v>
      </c>
      <c r="P98" s="2"/>
    </row>
    <row r="99" spans="2:16" x14ac:dyDescent="0.25">
      <c r="B99" s="17">
        <v>6380000002</v>
      </c>
      <c r="C99" s="160" t="s">
        <v>13</v>
      </c>
      <c r="D99" s="160" t="s">
        <v>40</v>
      </c>
      <c r="E99" s="160" t="s">
        <v>103</v>
      </c>
      <c r="F99" s="154">
        <v>0</v>
      </c>
      <c r="G99" s="161">
        <f>+VLOOKUP(B99,'5.3 Var OPEX 2023-25'!$B$4:$D$160,3,0)</f>
        <v>4.4009396000000096E-2</v>
      </c>
      <c r="H99" s="162" t="s">
        <v>190</v>
      </c>
      <c r="I99" s="297">
        <f t="shared" si="10"/>
        <v>0</v>
      </c>
      <c r="J99" s="158">
        <f t="shared" si="12"/>
        <v>0</v>
      </c>
      <c r="K99" s="158">
        <f t="shared" si="12"/>
        <v>0</v>
      </c>
      <c r="L99" s="158">
        <f t="shared" si="12"/>
        <v>0</v>
      </c>
      <c r="M99" s="158">
        <f t="shared" si="12"/>
        <v>0</v>
      </c>
      <c r="N99" s="158">
        <f t="shared" si="12"/>
        <v>0</v>
      </c>
      <c r="P99" s="2"/>
    </row>
    <row r="100" spans="2:16" x14ac:dyDescent="0.25">
      <c r="B100" s="17">
        <v>6380000003</v>
      </c>
      <c r="C100" s="160" t="s">
        <v>13</v>
      </c>
      <c r="D100" s="160" t="s">
        <v>38</v>
      </c>
      <c r="E100" s="160" t="s">
        <v>104</v>
      </c>
      <c r="F100" s="154">
        <v>0</v>
      </c>
      <c r="G100" s="161">
        <f>+VLOOKUP(B100,'5.3 Var OPEX 2023-25'!$B$4:$D$160,3,0)</f>
        <v>4.4009396000000096E-2</v>
      </c>
      <c r="H100" s="162" t="s">
        <v>190</v>
      </c>
      <c r="I100" s="297">
        <f t="shared" si="10"/>
        <v>0</v>
      </c>
      <c r="J100" s="158">
        <f t="shared" si="12"/>
        <v>0</v>
      </c>
      <c r="K100" s="158">
        <f t="shared" si="12"/>
        <v>0</v>
      </c>
      <c r="L100" s="158">
        <f t="shared" si="12"/>
        <v>0</v>
      </c>
      <c r="M100" s="158">
        <f t="shared" si="12"/>
        <v>0</v>
      </c>
      <c r="N100" s="158">
        <f t="shared" si="12"/>
        <v>0</v>
      </c>
      <c r="P100" s="2"/>
    </row>
    <row r="101" spans="2:16" x14ac:dyDescent="0.25">
      <c r="B101" s="17">
        <v>6380000004</v>
      </c>
      <c r="C101" s="160" t="s">
        <v>13</v>
      </c>
      <c r="D101" s="160" t="s">
        <v>49</v>
      </c>
      <c r="E101" s="160" t="s">
        <v>105</v>
      </c>
      <c r="F101" s="154">
        <v>2004434.74517241</v>
      </c>
      <c r="G101" s="161">
        <f>+VLOOKUP(B101,'5.3 Var OPEX 2023-25'!$B$4:$D$160,3,0)</f>
        <v>1.1454126819228176</v>
      </c>
      <c r="H101" s="162" t="s">
        <v>191</v>
      </c>
      <c r="I101" s="297">
        <f t="shared" si="10"/>
        <v>4220591.42987289</v>
      </c>
      <c r="J101" s="158">
        <f t="shared" si="12"/>
        <v>4325949.3997955266</v>
      </c>
      <c r="K101" s="158">
        <f t="shared" si="12"/>
        <v>4405003.5711339144</v>
      </c>
      <c r="L101" s="158">
        <f t="shared" si="12"/>
        <v>4485192.7226041835</v>
      </c>
      <c r="M101" s="158">
        <f t="shared" si="12"/>
        <v>4571101.7934344634</v>
      </c>
      <c r="N101" s="158">
        <f t="shared" si="12"/>
        <v>4652058.2826111009</v>
      </c>
      <c r="P101" s="2"/>
    </row>
    <row r="102" spans="2:16" x14ac:dyDescent="0.25">
      <c r="B102" s="17">
        <v>6380000005</v>
      </c>
      <c r="C102" s="160" t="s">
        <v>13</v>
      </c>
      <c r="D102" s="160" t="s">
        <v>38</v>
      </c>
      <c r="E102" s="160" t="s">
        <v>106</v>
      </c>
      <c r="F102" s="154">
        <v>375999.96000000014</v>
      </c>
      <c r="G102" s="161">
        <f>+VLOOKUP(B102,'5.3 Var OPEX 2023-25'!$B$4:$D$160,3,0)</f>
        <v>4.4009396000000096E-2</v>
      </c>
      <c r="H102" s="162" t="s">
        <v>190</v>
      </c>
      <c r="I102" s="297">
        <f t="shared" si="10"/>
        <v>385267.83553470729</v>
      </c>
      <c r="J102" s="158">
        <f t="shared" si="12"/>
        <v>394885.21681950218</v>
      </c>
      <c r="K102" s="158">
        <f t="shared" si="12"/>
        <v>402101.51102556038</v>
      </c>
      <c r="L102" s="158">
        <f t="shared" si="12"/>
        <v>409421.40951221535</v>
      </c>
      <c r="M102" s="158">
        <f t="shared" si="12"/>
        <v>417263.43883950717</v>
      </c>
      <c r="N102" s="158">
        <f t="shared" si="12"/>
        <v>424653.38213911519</v>
      </c>
      <c r="P102" s="2"/>
    </row>
    <row r="103" spans="2:16" x14ac:dyDescent="0.25">
      <c r="B103" s="17">
        <v>6380000007</v>
      </c>
      <c r="C103" s="160" t="s">
        <v>13</v>
      </c>
      <c r="D103" s="160" t="s">
        <v>40</v>
      </c>
      <c r="E103" s="160" t="s">
        <v>107</v>
      </c>
      <c r="F103" s="154">
        <v>12121.169655172414</v>
      </c>
      <c r="G103" s="161">
        <f>+VLOOKUP(B103,'5.3 Var OPEX 2023-25'!$B$4:$D$160,3,0)</f>
        <v>4.4009396000000096E-2</v>
      </c>
      <c r="H103" s="162" t="s">
        <v>191</v>
      </c>
      <c r="I103" s="297">
        <f t="shared" si="10"/>
        <v>12419.939611688387</v>
      </c>
      <c r="J103" s="158">
        <f t="shared" si="12"/>
        <v>12729.976639861152</v>
      </c>
      <c r="K103" s="158">
        <f t="shared" si="12"/>
        <v>12962.609447463761</v>
      </c>
      <c r="L103" s="158">
        <f t="shared" si="12"/>
        <v>13198.582162501776</v>
      </c>
      <c r="M103" s="158">
        <f t="shared" si="12"/>
        <v>13451.386891302656</v>
      </c>
      <c r="N103" s="158">
        <f t="shared" si="12"/>
        <v>13689.617651956602</v>
      </c>
      <c r="P103" s="2"/>
    </row>
    <row r="104" spans="2:16" x14ac:dyDescent="0.25">
      <c r="B104" s="17">
        <v>6380000008</v>
      </c>
      <c r="C104" s="160" t="s">
        <v>13</v>
      </c>
      <c r="D104" s="160" t="s">
        <v>40</v>
      </c>
      <c r="E104" s="160" t="s">
        <v>108</v>
      </c>
      <c r="F104" s="154">
        <v>273487.03999999998</v>
      </c>
      <c r="G104" s="161">
        <f>+VLOOKUP(B104,'5.3 Var OPEX 2023-25'!$B$4:$D$160,3,0)</f>
        <v>1.7577982488676596</v>
      </c>
      <c r="H104" s="162" t="s">
        <v>190</v>
      </c>
      <c r="I104" s="297">
        <f t="shared" si="10"/>
        <v>740235.29594713612</v>
      </c>
      <c r="J104" s="158">
        <f t="shared" si="12"/>
        <v>758713.67494730896</v>
      </c>
      <c r="K104" s="158">
        <f t="shared" si="12"/>
        <v>772578.71942954382</v>
      </c>
      <c r="L104" s="158">
        <f t="shared" si="12"/>
        <v>786642.82424912171</v>
      </c>
      <c r="M104" s="158">
        <f t="shared" si="12"/>
        <v>801710.12643347715</v>
      </c>
      <c r="N104" s="158">
        <f t="shared" si="12"/>
        <v>815908.81202534784</v>
      </c>
      <c r="P104" s="2"/>
    </row>
    <row r="105" spans="2:16" x14ac:dyDescent="0.25">
      <c r="B105" s="17">
        <v>6380000009</v>
      </c>
      <c r="C105" s="160" t="s">
        <v>13</v>
      </c>
      <c r="D105" s="160" t="s">
        <v>40</v>
      </c>
      <c r="E105" s="160" t="s">
        <v>109</v>
      </c>
      <c r="F105" s="154">
        <v>1501398</v>
      </c>
      <c r="G105" s="161">
        <f>+VLOOKUP(B105,'5.3 Var OPEX 2023-25'!$B$4:$D$160,3,0)</f>
        <v>9.5138088966381096E-2</v>
      </c>
      <c r="H105" s="162" t="s">
        <v>190</v>
      </c>
      <c r="I105" s="297">
        <f t="shared" si="10"/>
        <v>1613746.3167057186</v>
      </c>
      <c r="J105" s="158">
        <f t="shared" ref="J105:N114" si="13">+IF(OR($C105="No Imputables",$H105="m2 fijo"),I105,I105*(1+J$6*J$7))</f>
        <v>1654030.0159747018</v>
      </c>
      <c r="K105" s="158">
        <f t="shared" si="13"/>
        <v>1684256.4380146547</v>
      </c>
      <c r="L105" s="158">
        <f t="shared" si="13"/>
        <v>1714916.8205641217</v>
      </c>
      <c r="M105" s="158">
        <f t="shared" si="13"/>
        <v>1747764.2185952903</v>
      </c>
      <c r="N105" s="158">
        <f t="shared" si="13"/>
        <v>1778717.993295572</v>
      </c>
      <c r="P105" s="2"/>
    </row>
    <row r="106" spans="2:16" x14ac:dyDescent="0.25">
      <c r="B106" s="17">
        <v>6380000010</v>
      </c>
      <c r="C106" s="160" t="s">
        <v>13</v>
      </c>
      <c r="D106" s="160" t="s">
        <v>40</v>
      </c>
      <c r="E106" s="160" t="s">
        <v>110</v>
      </c>
      <c r="F106" s="154">
        <v>16.023596418844964</v>
      </c>
      <c r="G106" s="161">
        <f>+VLOOKUP(B106,'5.3 Var OPEX 2023-25'!$B$4:$D$160,3,0)</f>
        <v>4.4009396000000096E-2</v>
      </c>
      <c r="H106" s="162" t="s">
        <v>190</v>
      </c>
      <c r="I106" s="297">
        <f t="shared" si="10"/>
        <v>16.418555762000835</v>
      </c>
      <c r="J106" s="158">
        <f t="shared" si="13"/>
        <v>16.828409625585572</v>
      </c>
      <c r="K106" s="158">
        <f t="shared" si="13"/>
        <v>17.135938876379974</v>
      </c>
      <c r="L106" s="158">
        <f t="shared" si="13"/>
        <v>17.447883322270535</v>
      </c>
      <c r="M106" s="158">
        <f t="shared" si="13"/>
        <v>17.782078871241524</v>
      </c>
      <c r="N106" s="158">
        <f t="shared" si="13"/>
        <v>18.097008343550684</v>
      </c>
      <c r="P106" s="2"/>
    </row>
    <row r="107" spans="2:16" x14ac:dyDescent="0.25">
      <c r="B107" s="17">
        <v>6380000012</v>
      </c>
      <c r="C107" s="160" t="s">
        <v>13</v>
      </c>
      <c r="D107" s="160" t="s">
        <v>40</v>
      </c>
      <c r="E107" s="160" t="s">
        <v>111</v>
      </c>
      <c r="F107" s="154">
        <v>0</v>
      </c>
      <c r="G107" s="161">
        <f>+VLOOKUP(B107,'5.3 Var OPEX 2023-25'!$B$4:$D$160,3,0)</f>
        <v>4.4009396000000096E-2</v>
      </c>
      <c r="H107" s="162" t="s">
        <v>190</v>
      </c>
      <c r="I107" s="297">
        <f t="shared" si="10"/>
        <v>0</v>
      </c>
      <c r="J107" s="158">
        <f t="shared" si="13"/>
        <v>0</v>
      </c>
      <c r="K107" s="158">
        <f t="shared" si="13"/>
        <v>0</v>
      </c>
      <c r="L107" s="158">
        <f t="shared" si="13"/>
        <v>0</v>
      </c>
      <c r="M107" s="158">
        <f t="shared" si="13"/>
        <v>0</v>
      </c>
      <c r="N107" s="158">
        <f t="shared" si="13"/>
        <v>0</v>
      </c>
      <c r="P107" s="2"/>
    </row>
    <row r="108" spans="2:16" x14ac:dyDescent="0.25">
      <c r="B108" s="17">
        <v>6380000014</v>
      </c>
      <c r="C108" s="160" t="s">
        <v>13</v>
      </c>
      <c r="D108" s="160" t="s">
        <v>49</v>
      </c>
      <c r="E108" s="160" t="s">
        <v>112</v>
      </c>
      <c r="F108" s="154">
        <v>0</v>
      </c>
      <c r="G108" s="161">
        <f>+VLOOKUP(B108,'5.3 Var OPEX 2023-25'!$B$4:$D$160,3,0)</f>
        <v>4.4009396000000096E-2</v>
      </c>
      <c r="H108" s="162" t="s">
        <v>190</v>
      </c>
      <c r="I108" s="297">
        <f t="shared" si="10"/>
        <v>0</v>
      </c>
      <c r="J108" s="158">
        <f t="shared" si="13"/>
        <v>0</v>
      </c>
      <c r="K108" s="158">
        <f t="shared" si="13"/>
        <v>0</v>
      </c>
      <c r="L108" s="158">
        <f t="shared" si="13"/>
        <v>0</v>
      </c>
      <c r="M108" s="158">
        <f t="shared" si="13"/>
        <v>0</v>
      </c>
      <c r="N108" s="158">
        <f t="shared" si="13"/>
        <v>0</v>
      </c>
      <c r="P108" s="2"/>
    </row>
    <row r="109" spans="2:16" x14ac:dyDescent="0.25">
      <c r="B109" s="17">
        <v>6380000015</v>
      </c>
      <c r="C109" s="160" t="s">
        <v>13</v>
      </c>
      <c r="D109" s="160" t="s">
        <v>40</v>
      </c>
      <c r="E109" s="160" t="s">
        <v>113</v>
      </c>
      <c r="F109" s="154">
        <v>56382.219999999994</v>
      </c>
      <c r="G109" s="161">
        <f>+VLOOKUP(B109,'5.3 Var OPEX 2023-25'!$B$4:$D$160,3,0)</f>
        <v>4.4009396000000096E-2</v>
      </c>
      <c r="H109" s="162" t="s">
        <v>190</v>
      </c>
      <c r="I109" s="297">
        <f t="shared" si="10"/>
        <v>57771.963225851607</v>
      </c>
      <c r="J109" s="158">
        <f t="shared" si="13"/>
        <v>59214.11579263163</v>
      </c>
      <c r="K109" s="158">
        <f t="shared" si="13"/>
        <v>60296.218800064657</v>
      </c>
      <c r="L109" s="158">
        <f t="shared" si="13"/>
        <v>61393.857552080073</v>
      </c>
      <c r="M109" s="158">
        <f t="shared" si="13"/>
        <v>62569.791248397007</v>
      </c>
      <c r="N109" s="158">
        <f t="shared" si="13"/>
        <v>63677.933411247301</v>
      </c>
      <c r="P109" s="2"/>
    </row>
    <row r="110" spans="2:16" x14ac:dyDescent="0.25">
      <c r="B110" s="17">
        <v>6380000016</v>
      </c>
      <c r="C110" s="160" t="s">
        <v>13</v>
      </c>
      <c r="D110" s="160" t="s">
        <v>49</v>
      </c>
      <c r="E110" s="160" t="s">
        <v>114</v>
      </c>
      <c r="F110" s="154">
        <v>0</v>
      </c>
      <c r="G110" s="161">
        <f>+VLOOKUP(B110,'5.3 Var OPEX 2023-25'!$B$4:$D$160,3,0)</f>
        <v>0</v>
      </c>
      <c r="H110" s="162" t="s">
        <v>190</v>
      </c>
      <c r="I110" s="297">
        <f t="shared" si="10"/>
        <v>0</v>
      </c>
      <c r="J110" s="158">
        <f t="shared" si="13"/>
        <v>0</v>
      </c>
      <c r="K110" s="158">
        <f t="shared" si="13"/>
        <v>0</v>
      </c>
      <c r="L110" s="158">
        <f t="shared" si="13"/>
        <v>0</v>
      </c>
      <c r="M110" s="158">
        <f t="shared" si="13"/>
        <v>0</v>
      </c>
      <c r="N110" s="158">
        <f t="shared" si="13"/>
        <v>0</v>
      </c>
      <c r="P110" s="2"/>
    </row>
    <row r="111" spans="2:16" x14ac:dyDescent="0.25">
      <c r="B111" s="17">
        <v>6380000017</v>
      </c>
      <c r="C111" s="160" t="s">
        <v>13</v>
      </c>
      <c r="D111" s="160" t="s">
        <v>49</v>
      </c>
      <c r="E111" s="160" t="s">
        <v>115</v>
      </c>
      <c r="F111" s="154">
        <v>0</v>
      </c>
      <c r="G111" s="161">
        <f>+VLOOKUP(B111,'5.3 Var OPEX 2023-25'!$B$4:$D$160,3,0)</f>
        <v>4.4009396000000096E-2</v>
      </c>
      <c r="H111" s="162" t="s">
        <v>190</v>
      </c>
      <c r="I111" s="297">
        <f t="shared" si="10"/>
        <v>0</v>
      </c>
      <c r="J111" s="158">
        <f t="shared" si="13"/>
        <v>0</v>
      </c>
      <c r="K111" s="158">
        <f t="shared" si="13"/>
        <v>0</v>
      </c>
      <c r="L111" s="158">
        <f t="shared" si="13"/>
        <v>0</v>
      </c>
      <c r="M111" s="158">
        <f t="shared" si="13"/>
        <v>0</v>
      </c>
      <c r="N111" s="158">
        <f t="shared" si="13"/>
        <v>0</v>
      </c>
      <c r="P111" s="2"/>
    </row>
    <row r="112" spans="2:16" x14ac:dyDescent="0.25">
      <c r="B112" s="17">
        <v>6380000018</v>
      </c>
      <c r="C112" s="160" t="s">
        <v>13</v>
      </c>
      <c r="D112" s="160" t="s">
        <v>49</v>
      </c>
      <c r="E112" s="160" t="s">
        <v>116</v>
      </c>
      <c r="F112" s="154">
        <v>0</v>
      </c>
      <c r="G112" s="161">
        <f>+VLOOKUP(B112,'5.3 Var OPEX 2023-25'!$B$4:$D$160,3,0)</f>
        <v>4.4009396000000096E-2</v>
      </c>
      <c r="H112" s="162" t="s">
        <v>190</v>
      </c>
      <c r="I112" s="297">
        <f t="shared" si="10"/>
        <v>0</v>
      </c>
      <c r="J112" s="158">
        <f t="shared" si="13"/>
        <v>0</v>
      </c>
      <c r="K112" s="158">
        <f t="shared" si="13"/>
        <v>0</v>
      </c>
      <c r="L112" s="158">
        <f t="shared" si="13"/>
        <v>0</v>
      </c>
      <c r="M112" s="158">
        <f t="shared" si="13"/>
        <v>0</v>
      </c>
      <c r="N112" s="158">
        <f t="shared" si="13"/>
        <v>0</v>
      </c>
      <c r="P112" s="2"/>
    </row>
    <row r="113" spans="2:16" x14ac:dyDescent="0.25">
      <c r="B113" s="17">
        <v>6380000019</v>
      </c>
      <c r="C113" s="160" t="s">
        <v>13</v>
      </c>
      <c r="D113" s="160" t="s">
        <v>40</v>
      </c>
      <c r="E113" s="160" t="s">
        <v>117</v>
      </c>
      <c r="F113" s="154">
        <v>0</v>
      </c>
      <c r="G113" s="161">
        <f>+VLOOKUP(B113,'5.3 Var OPEX 2023-25'!$B$4:$D$160,3,0)</f>
        <v>4.4009396000000096E-2</v>
      </c>
      <c r="H113" s="162" t="s">
        <v>190</v>
      </c>
      <c r="I113" s="297">
        <f t="shared" si="10"/>
        <v>0</v>
      </c>
      <c r="J113" s="158">
        <f t="shared" si="13"/>
        <v>0</v>
      </c>
      <c r="K113" s="158">
        <f t="shared" si="13"/>
        <v>0</v>
      </c>
      <c r="L113" s="158">
        <f t="shared" si="13"/>
        <v>0</v>
      </c>
      <c r="M113" s="158">
        <f t="shared" si="13"/>
        <v>0</v>
      </c>
      <c r="N113" s="158">
        <f t="shared" si="13"/>
        <v>0</v>
      </c>
      <c r="P113" s="2"/>
    </row>
    <row r="114" spans="2:16" x14ac:dyDescent="0.25">
      <c r="B114" s="17">
        <v>6380000020</v>
      </c>
      <c r="C114" s="160" t="s">
        <v>13</v>
      </c>
      <c r="D114" s="160" t="s">
        <v>49</v>
      </c>
      <c r="E114" s="160" t="s">
        <v>118</v>
      </c>
      <c r="F114" s="154">
        <v>29982.710000000003</v>
      </c>
      <c r="G114" s="161">
        <f>+VLOOKUP(B114,'5.3 Var OPEX 2023-25'!$B$4:$D$160,3,0)</f>
        <v>4.4009396000000096E-2</v>
      </c>
      <c r="H114" s="162" t="s">
        <v>190</v>
      </c>
      <c r="I114" s="297">
        <f t="shared" si="10"/>
        <v>30721.742058602402</v>
      </c>
      <c r="J114" s="158">
        <f t="shared" si="13"/>
        <v>31488.644145563878</v>
      </c>
      <c r="K114" s="158">
        <f t="shared" si="13"/>
        <v>32064.080527139351</v>
      </c>
      <c r="L114" s="158">
        <f t="shared" si="13"/>
        <v>32647.77844443385</v>
      </c>
      <c r="M114" s="158">
        <f t="shared" si="13"/>
        <v>33273.111732053578</v>
      </c>
      <c r="N114" s="158">
        <f t="shared" si="13"/>
        <v>33862.395110883161</v>
      </c>
      <c r="P114" s="2"/>
    </row>
    <row r="115" spans="2:16" x14ac:dyDescent="0.25">
      <c r="B115" s="17">
        <v>6380000021</v>
      </c>
      <c r="C115" s="160" t="s">
        <v>13</v>
      </c>
      <c r="D115" s="160" t="s">
        <v>40</v>
      </c>
      <c r="E115" s="160" t="s">
        <v>119</v>
      </c>
      <c r="F115" s="154">
        <v>10696.489344584652</v>
      </c>
      <c r="G115" s="161">
        <f>+VLOOKUP(B115,'5.3 Var OPEX 2023-25'!$B$4:$D$160,3,0)</f>
        <v>4.4009396000000096E-2</v>
      </c>
      <c r="H115" s="162" t="s">
        <v>190</v>
      </c>
      <c r="I115" s="297">
        <f t="shared" si="10"/>
        <v>10960.142914930595</v>
      </c>
      <c r="J115" s="158">
        <f t="shared" ref="J115:N124" si="14">+IF(OR($C115="No Imputables",$H115="m2 fijo"),I115,I115*(1+J$6*J$7))</f>
        <v>11233.73926434408</v>
      </c>
      <c r="K115" s="158">
        <f t="shared" si="14"/>
        <v>11439.029217253887</v>
      </c>
      <c r="L115" s="158">
        <f t="shared" si="14"/>
        <v>11647.266516443882</v>
      </c>
      <c r="M115" s="158">
        <f t="shared" si="14"/>
        <v>11870.357452781474</v>
      </c>
      <c r="N115" s="158">
        <f t="shared" si="14"/>
        <v>12080.587394724398</v>
      </c>
      <c r="P115" s="2"/>
    </row>
    <row r="116" spans="2:16" x14ac:dyDescent="0.25">
      <c r="B116" s="17">
        <v>6380000022</v>
      </c>
      <c r="C116" s="160" t="s">
        <v>13</v>
      </c>
      <c r="D116" s="160" t="s">
        <v>40</v>
      </c>
      <c r="E116" s="160" t="s">
        <v>120</v>
      </c>
      <c r="F116" s="154">
        <v>24000.606523173399</v>
      </c>
      <c r="G116" s="161">
        <f>+VLOOKUP(B116,'5.3 Var OPEX 2023-25'!$B$4:$D$160,3,0)</f>
        <v>4.4009396000000096E-2</v>
      </c>
      <c r="H116" s="162" t="s">
        <v>190</v>
      </c>
      <c r="I116" s="297">
        <f t="shared" si="10"/>
        <v>24592.188059549764</v>
      </c>
      <c r="J116" s="158">
        <f t="shared" si="14"/>
        <v>25206.079039750119</v>
      </c>
      <c r="K116" s="158">
        <f t="shared" si="14"/>
        <v>25666.705253101467</v>
      </c>
      <c r="L116" s="158">
        <f t="shared" si="14"/>
        <v>26133.944673466773</v>
      </c>
      <c r="M116" s="158">
        <f t="shared" si="14"/>
        <v>26634.512440089718</v>
      </c>
      <c r="N116" s="158">
        <f t="shared" si="14"/>
        <v>27106.222919427146</v>
      </c>
      <c r="P116" s="2"/>
    </row>
    <row r="117" spans="2:16" x14ac:dyDescent="0.25">
      <c r="B117" s="17">
        <v>6380000023</v>
      </c>
      <c r="C117" s="160" t="s">
        <v>13</v>
      </c>
      <c r="D117" s="160" t="s">
        <v>49</v>
      </c>
      <c r="E117" s="160" t="s">
        <v>121</v>
      </c>
      <c r="F117" s="154">
        <v>45240.369999999995</v>
      </c>
      <c r="G117" s="161">
        <f>+VLOOKUP(B117,'5.3 Var OPEX 2023-25'!$B$4:$D$160,3,0)</f>
        <v>4.4009396000000096E-2</v>
      </c>
      <c r="H117" s="162" t="s">
        <v>190</v>
      </c>
      <c r="I117" s="297">
        <f t="shared" si="10"/>
        <v>46355.482135395163</v>
      </c>
      <c r="J117" s="158">
        <f t="shared" si="14"/>
        <v>47512.646853591395</v>
      </c>
      <c r="K117" s="158">
        <f t="shared" si="14"/>
        <v>48380.912424446586</v>
      </c>
      <c r="L117" s="158">
        <f t="shared" si="14"/>
        <v>49261.643677446482</v>
      </c>
      <c r="M117" s="158">
        <f t="shared" si="14"/>
        <v>50205.197789307378</v>
      </c>
      <c r="N117" s="158">
        <f t="shared" si="14"/>
        <v>51094.356844412825</v>
      </c>
      <c r="P117" s="2"/>
    </row>
    <row r="118" spans="2:16" x14ac:dyDescent="0.25">
      <c r="B118" s="17">
        <v>6380000024</v>
      </c>
      <c r="C118" s="160" t="s">
        <v>13</v>
      </c>
      <c r="D118" s="160" t="s">
        <v>49</v>
      </c>
      <c r="E118" s="160" t="s">
        <v>122</v>
      </c>
      <c r="F118" s="154">
        <v>73683.37</v>
      </c>
      <c r="G118" s="161">
        <f>+VLOOKUP(B118,'5.3 Var OPEX 2023-25'!$B$4:$D$160,3,0)</f>
        <v>4.4009396000000096E-2</v>
      </c>
      <c r="H118" s="162" t="s">
        <v>190</v>
      </c>
      <c r="I118" s="297">
        <f t="shared" si="10"/>
        <v>75499.562486131588</v>
      </c>
      <c r="J118" s="158">
        <f t="shared" si="14"/>
        <v>77384.246366519816</v>
      </c>
      <c r="K118" s="158">
        <f t="shared" si="14"/>
        <v>78798.397782955712</v>
      </c>
      <c r="L118" s="158">
        <f t="shared" si="14"/>
        <v>80232.852160436596</v>
      </c>
      <c r="M118" s="158">
        <f t="shared" si="14"/>
        <v>81769.6266549703</v>
      </c>
      <c r="N118" s="158">
        <f t="shared" si="14"/>
        <v>83217.807464415164</v>
      </c>
      <c r="P118" s="2"/>
    </row>
    <row r="119" spans="2:16" x14ac:dyDescent="0.25">
      <c r="B119" s="17">
        <v>6380000025</v>
      </c>
      <c r="C119" s="160" t="s">
        <v>13</v>
      </c>
      <c r="D119" s="160" t="s">
        <v>49</v>
      </c>
      <c r="E119" s="160" t="s">
        <v>123</v>
      </c>
      <c r="F119" s="154">
        <v>0</v>
      </c>
      <c r="G119" s="161">
        <f>+VLOOKUP(B119,'5.3 Var OPEX 2023-25'!$B$4:$D$160,3,0)</f>
        <v>4.4009396000000096E-2</v>
      </c>
      <c r="H119" s="162" t="s">
        <v>190</v>
      </c>
      <c r="I119" s="297">
        <f t="shared" si="10"/>
        <v>0</v>
      </c>
      <c r="J119" s="158">
        <f t="shared" si="14"/>
        <v>0</v>
      </c>
      <c r="K119" s="158">
        <f t="shared" si="14"/>
        <v>0</v>
      </c>
      <c r="L119" s="158">
        <f t="shared" si="14"/>
        <v>0</v>
      </c>
      <c r="M119" s="158">
        <f t="shared" si="14"/>
        <v>0</v>
      </c>
      <c r="N119" s="158">
        <f t="shared" si="14"/>
        <v>0</v>
      </c>
      <c r="P119" s="2"/>
    </row>
    <row r="120" spans="2:16" x14ac:dyDescent="0.25">
      <c r="B120" s="17">
        <v>6380000026</v>
      </c>
      <c r="C120" s="160" t="s">
        <v>13</v>
      </c>
      <c r="D120" s="160" t="s">
        <v>49</v>
      </c>
      <c r="E120" s="160" t="s">
        <v>124</v>
      </c>
      <c r="F120" s="154">
        <v>0</v>
      </c>
      <c r="G120" s="161">
        <f>+VLOOKUP(B120,'5.3 Var OPEX 2023-25'!$B$4:$D$160,3,0)</f>
        <v>4.4009396000000096E-2</v>
      </c>
      <c r="H120" s="162" t="s">
        <v>190</v>
      </c>
      <c r="I120" s="297">
        <f t="shared" si="10"/>
        <v>0</v>
      </c>
      <c r="J120" s="158">
        <f t="shared" si="14"/>
        <v>0</v>
      </c>
      <c r="K120" s="158">
        <f t="shared" si="14"/>
        <v>0</v>
      </c>
      <c r="L120" s="158">
        <f t="shared" si="14"/>
        <v>0</v>
      </c>
      <c r="M120" s="158">
        <f t="shared" si="14"/>
        <v>0</v>
      </c>
      <c r="N120" s="158">
        <f t="shared" si="14"/>
        <v>0</v>
      </c>
      <c r="P120" s="2"/>
    </row>
    <row r="121" spans="2:16" x14ac:dyDescent="0.25">
      <c r="B121" s="17">
        <v>6380000027</v>
      </c>
      <c r="C121" s="160" t="s">
        <v>13</v>
      </c>
      <c r="D121" s="160" t="s">
        <v>49</v>
      </c>
      <c r="E121" s="160" t="s">
        <v>125</v>
      </c>
      <c r="F121" s="154">
        <v>0</v>
      </c>
      <c r="G121" s="161">
        <f>+VLOOKUP(B121,'5.3 Var OPEX 2023-25'!$B$4:$D$160,3,0)</f>
        <v>4.4009396000000096E-2</v>
      </c>
      <c r="H121" s="162" t="s">
        <v>190</v>
      </c>
      <c r="I121" s="297">
        <f t="shared" si="10"/>
        <v>0</v>
      </c>
      <c r="J121" s="158">
        <f t="shared" si="14"/>
        <v>0</v>
      </c>
      <c r="K121" s="158">
        <f t="shared" si="14"/>
        <v>0</v>
      </c>
      <c r="L121" s="158">
        <f t="shared" si="14"/>
        <v>0</v>
      </c>
      <c r="M121" s="158">
        <f t="shared" si="14"/>
        <v>0</v>
      </c>
      <c r="N121" s="158">
        <f t="shared" si="14"/>
        <v>0</v>
      </c>
      <c r="P121" s="2"/>
    </row>
    <row r="122" spans="2:16" x14ac:dyDescent="0.25">
      <c r="B122" s="17">
        <v>6380000028</v>
      </c>
      <c r="C122" s="160" t="s">
        <v>13</v>
      </c>
      <c r="D122" s="160" t="s">
        <v>49</v>
      </c>
      <c r="E122" s="160" t="s">
        <v>126</v>
      </c>
      <c r="F122" s="154">
        <v>146711.59999999998</v>
      </c>
      <c r="G122" s="161">
        <f>+VLOOKUP(B122,'5.3 Var OPEX 2023-25'!$B$4:$D$160,3,0)</f>
        <v>4.4009396000000096E-2</v>
      </c>
      <c r="H122" s="162" t="s">
        <v>190</v>
      </c>
      <c r="I122" s="297">
        <f t="shared" si="10"/>
        <v>150327.83668337023</v>
      </c>
      <c r="J122" s="158">
        <f t="shared" si="14"/>
        <v>154080.44717860091</v>
      </c>
      <c r="K122" s="158">
        <f t="shared" si="14"/>
        <v>156896.17638517189</v>
      </c>
      <c r="L122" s="158">
        <f t="shared" si="14"/>
        <v>159752.33099437645</v>
      </c>
      <c r="M122" s="158">
        <f t="shared" si="14"/>
        <v>162812.21608014588</v>
      </c>
      <c r="N122" s="158">
        <f t="shared" si="14"/>
        <v>165695.70150763041</v>
      </c>
      <c r="P122" s="2"/>
    </row>
    <row r="123" spans="2:16" x14ac:dyDescent="0.25">
      <c r="B123" s="17">
        <v>6380000029</v>
      </c>
      <c r="C123" s="160" t="s">
        <v>13</v>
      </c>
      <c r="D123" s="160" t="s">
        <v>40</v>
      </c>
      <c r="E123" s="160" t="s">
        <v>127</v>
      </c>
      <c r="F123" s="154">
        <v>0</v>
      </c>
      <c r="G123" s="161">
        <f>+VLOOKUP(B123,'5.3 Var OPEX 2023-25'!$B$4:$D$160,3,0)</f>
        <v>4.4009396000000096E-2</v>
      </c>
      <c r="H123" s="162" t="s">
        <v>190</v>
      </c>
      <c r="I123" s="297">
        <f t="shared" si="10"/>
        <v>0</v>
      </c>
      <c r="J123" s="158">
        <f t="shared" si="14"/>
        <v>0</v>
      </c>
      <c r="K123" s="158">
        <f t="shared" si="14"/>
        <v>0</v>
      </c>
      <c r="L123" s="158">
        <f t="shared" si="14"/>
        <v>0</v>
      </c>
      <c r="M123" s="158">
        <f t="shared" si="14"/>
        <v>0</v>
      </c>
      <c r="N123" s="158">
        <f t="shared" si="14"/>
        <v>0</v>
      </c>
      <c r="P123" s="2"/>
    </row>
    <row r="124" spans="2:16" x14ac:dyDescent="0.25">
      <c r="B124" s="17">
        <v>6380000030</v>
      </c>
      <c r="C124" s="160" t="s">
        <v>13</v>
      </c>
      <c r="D124" s="160" t="s">
        <v>40</v>
      </c>
      <c r="E124" s="160" t="s">
        <v>128</v>
      </c>
      <c r="F124" s="154">
        <v>98927.204846608147</v>
      </c>
      <c r="G124" s="161">
        <f>+VLOOKUP(B124,'5.3 Var OPEX 2023-25'!$B$4:$D$160,3,0)</f>
        <v>3.290536457674488</v>
      </c>
      <c r="H124" s="162" t="s">
        <v>190</v>
      </c>
      <c r="I124" s="297">
        <f t="shared" si="10"/>
        <v>416579.48815980146</v>
      </c>
      <c r="J124" s="158">
        <f t="shared" si="14"/>
        <v>426978.49737762799</v>
      </c>
      <c r="K124" s="158">
        <f t="shared" si="14"/>
        <v>434781.27733873751</v>
      </c>
      <c r="L124" s="158">
        <f t="shared" si="14"/>
        <v>442696.08175193315</v>
      </c>
      <c r="M124" s="158">
        <f t="shared" si="14"/>
        <v>451175.4518471901</v>
      </c>
      <c r="N124" s="158">
        <f t="shared" si="14"/>
        <v>459165.99378539278</v>
      </c>
      <c r="P124" s="2"/>
    </row>
    <row r="125" spans="2:16" x14ac:dyDescent="0.25">
      <c r="B125" s="17">
        <v>6380000031</v>
      </c>
      <c r="C125" s="160" t="s">
        <v>13</v>
      </c>
      <c r="D125" s="160" t="s">
        <v>49</v>
      </c>
      <c r="E125" s="160" t="s">
        <v>129</v>
      </c>
      <c r="F125" s="154">
        <v>0</v>
      </c>
      <c r="G125" s="161">
        <f>+VLOOKUP(B125,'5.3 Var OPEX 2023-25'!$B$4:$D$160,3,0)</f>
        <v>4.4009396000000096E-2</v>
      </c>
      <c r="H125" s="162" t="s">
        <v>190</v>
      </c>
      <c r="I125" s="297">
        <f t="shared" si="10"/>
        <v>0</v>
      </c>
      <c r="J125" s="158">
        <f t="shared" ref="J125:N134" si="15">+IF(OR($C125="No Imputables",$H125="m2 fijo"),I125,I125*(1+J$6*J$7))</f>
        <v>0</v>
      </c>
      <c r="K125" s="158">
        <f t="shared" si="15"/>
        <v>0</v>
      </c>
      <c r="L125" s="158">
        <f t="shared" si="15"/>
        <v>0</v>
      </c>
      <c r="M125" s="158">
        <f t="shared" si="15"/>
        <v>0</v>
      </c>
      <c r="N125" s="158">
        <f t="shared" si="15"/>
        <v>0</v>
      </c>
      <c r="P125" s="2"/>
    </row>
    <row r="126" spans="2:16" x14ac:dyDescent="0.25">
      <c r="B126" s="17">
        <v>6381000001</v>
      </c>
      <c r="C126" s="160" t="s">
        <v>13</v>
      </c>
      <c r="D126" s="160" t="s">
        <v>49</v>
      </c>
      <c r="E126" s="160" t="s">
        <v>130</v>
      </c>
      <c r="F126" s="154">
        <v>0</v>
      </c>
      <c r="G126" s="161">
        <f>+VLOOKUP(B126,'5.3 Var OPEX 2023-25'!$B$4:$D$160,3,0)</f>
        <v>4.4009396000000096E-2</v>
      </c>
      <c r="H126" s="162" t="s">
        <v>190</v>
      </c>
      <c r="I126" s="297">
        <f t="shared" si="10"/>
        <v>0</v>
      </c>
      <c r="J126" s="158">
        <f t="shared" si="15"/>
        <v>0</v>
      </c>
      <c r="K126" s="158">
        <f t="shared" si="15"/>
        <v>0</v>
      </c>
      <c r="L126" s="158">
        <f t="shared" si="15"/>
        <v>0</v>
      </c>
      <c r="M126" s="158">
        <f t="shared" si="15"/>
        <v>0</v>
      </c>
      <c r="N126" s="158">
        <f t="shared" si="15"/>
        <v>0</v>
      </c>
      <c r="P126" s="2"/>
    </row>
    <row r="127" spans="2:16" x14ac:dyDescent="0.25">
      <c r="B127" s="17">
        <v>6381000002</v>
      </c>
      <c r="C127" s="160" t="s">
        <v>13</v>
      </c>
      <c r="D127" s="160" t="s">
        <v>49</v>
      </c>
      <c r="E127" s="160" t="s">
        <v>131</v>
      </c>
      <c r="F127" s="154">
        <v>1449265.2713381464</v>
      </c>
      <c r="G127" s="161">
        <f>+VLOOKUP(B127,'5.3 Var OPEX 2023-25'!$B$4:$D$160,3,0)</f>
        <v>4.4009396000000096E-2</v>
      </c>
      <c r="H127" s="162" t="s">
        <v>190</v>
      </c>
      <c r="I127" s="297">
        <f t="shared" si="10"/>
        <v>1484987.6425626953</v>
      </c>
      <c r="J127" s="158">
        <f t="shared" si="15"/>
        <v>1522057.1589990021</v>
      </c>
      <c r="K127" s="158">
        <f t="shared" si="15"/>
        <v>1549871.8549915196</v>
      </c>
      <c r="L127" s="158">
        <f t="shared" si="15"/>
        <v>1578085.8863611764</v>
      </c>
      <c r="M127" s="158">
        <f t="shared" si="15"/>
        <v>1608312.4341535198</v>
      </c>
      <c r="N127" s="158">
        <f t="shared" si="15"/>
        <v>1636796.4483041593</v>
      </c>
      <c r="P127" s="2"/>
    </row>
    <row r="128" spans="2:16" x14ac:dyDescent="0.25">
      <c r="B128" s="17">
        <v>6381000003</v>
      </c>
      <c r="C128" s="160" t="s">
        <v>13</v>
      </c>
      <c r="D128" s="160" t="s">
        <v>49</v>
      </c>
      <c r="E128" s="160" t="s">
        <v>132</v>
      </c>
      <c r="F128" s="154">
        <v>0</v>
      </c>
      <c r="G128" s="161">
        <f>+VLOOKUP(B128,'5.3 Var OPEX 2023-25'!$B$4:$D$160,3,0)</f>
        <v>4.4009396000000096E-2</v>
      </c>
      <c r="H128" s="162" t="s">
        <v>190</v>
      </c>
      <c r="I128" s="297">
        <f t="shared" si="10"/>
        <v>0</v>
      </c>
      <c r="J128" s="158">
        <f t="shared" si="15"/>
        <v>0</v>
      </c>
      <c r="K128" s="158">
        <f t="shared" si="15"/>
        <v>0</v>
      </c>
      <c r="L128" s="158">
        <f t="shared" si="15"/>
        <v>0</v>
      </c>
      <c r="M128" s="158">
        <f t="shared" si="15"/>
        <v>0</v>
      </c>
      <c r="N128" s="158">
        <f t="shared" si="15"/>
        <v>0</v>
      </c>
      <c r="P128" s="2"/>
    </row>
    <row r="129" spans="1:16" x14ac:dyDescent="0.25">
      <c r="B129" s="17">
        <v>6381000004</v>
      </c>
      <c r="C129" s="160" t="s">
        <v>13</v>
      </c>
      <c r="D129" s="160" t="s">
        <v>40</v>
      </c>
      <c r="E129" s="160" t="s">
        <v>133</v>
      </c>
      <c r="F129" s="154">
        <v>0</v>
      </c>
      <c r="G129" s="161">
        <f>+VLOOKUP(B129,'5.3 Var OPEX 2023-25'!$B$4:$D$160,3,0)</f>
        <v>4.4009396000000096E-2</v>
      </c>
      <c r="H129" s="162" t="s">
        <v>190</v>
      </c>
      <c r="I129" s="297">
        <f t="shared" si="10"/>
        <v>0</v>
      </c>
      <c r="J129" s="158">
        <f t="shared" si="15"/>
        <v>0</v>
      </c>
      <c r="K129" s="158">
        <f t="shared" si="15"/>
        <v>0</v>
      </c>
      <c r="L129" s="158">
        <f t="shared" si="15"/>
        <v>0</v>
      </c>
      <c r="M129" s="158">
        <f t="shared" si="15"/>
        <v>0</v>
      </c>
      <c r="N129" s="158">
        <f t="shared" si="15"/>
        <v>0</v>
      </c>
      <c r="P129" s="2"/>
    </row>
    <row r="130" spans="1:16" x14ac:dyDescent="0.25">
      <c r="B130" s="17">
        <v>6381000005</v>
      </c>
      <c r="C130" s="160" t="s">
        <v>13</v>
      </c>
      <c r="D130" s="160" t="s">
        <v>49</v>
      </c>
      <c r="E130" s="160" t="s">
        <v>134</v>
      </c>
      <c r="F130" s="154">
        <v>0</v>
      </c>
      <c r="G130" s="161">
        <f>+VLOOKUP(B130,'5.3 Var OPEX 2023-25'!$B$4:$D$160,3,0)</f>
        <v>4.4009396000000096E-2</v>
      </c>
      <c r="H130" s="162" t="s">
        <v>190</v>
      </c>
      <c r="I130" s="297">
        <f t="shared" si="10"/>
        <v>0</v>
      </c>
      <c r="J130" s="158">
        <f t="shared" si="15"/>
        <v>0</v>
      </c>
      <c r="K130" s="158">
        <f t="shared" si="15"/>
        <v>0</v>
      </c>
      <c r="L130" s="158">
        <f t="shared" si="15"/>
        <v>0</v>
      </c>
      <c r="M130" s="158">
        <f t="shared" si="15"/>
        <v>0</v>
      </c>
      <c r="N130" s="158">
        <f t="shared" si="15"/>
        <v>0</v>
      </c>
      <c r="P130" s="2"/>
    </row>
    <row r="131" spans="1:16" x14ac:dyDescent="0.25">
      <c r="B131" s="17">
        <v>6381000006</v>
      </c>
      <c r="C131" s="160" t="s">
        <v>13</v>
      </c>
      <c r="D131" s="160" t="s">
        <v>49</v>
      </c>
      <c r="E131" s="160" t="s">
        <v>135</v>
      </c>
      <c r="F131" s="154">
        <v>0</v>
      </c>
      <c r="G131" s="161">
        <f>+VLOOKUP(B131,'5.3 Var OPEX 2023-25'!$B$4:$D$160,3,0)</f>
        <v>4.4009396000000096E-2</v>
      </c>
      <c r="H131" s="162" t="s">
        <v>190</v>
      </c>
      <c r="I131" s="297">
        <f t="shared" si="10"/>
        <v>0</v>
      </c>
      <c r="J131" s="158">
        <f t="shared" si="15"/>
        <v>0</v>
      </c>
      <c r="K131" s="158">
        <f t="shared" si="15"/>
        <v>0</v>
      </c>
      <c r="L131" s="158">
        <f t="shared" si="15"/>
        <v>0</v>
      </c>
      <c r="M131" s="158">
        <f t="shared" si="15"/>
        <v>0</v>
      </c>
      <c r="N131" s="158">
        <f t="shared" si="15"/>
        <v>0</v>
      </c>
      <c r="P131" s="2"/>
    </row>
    <row r="132" spans="1:16" x14ac:dyDescent="0.25">
      <c r="B132" s="17">
        <v>6382000001</v>
      </c>
      <c r="C132" s="160" t="s">
        <v>13</v>
      </c>
      <c r="D132" s="160" t="s">
        <v>40</v>
      </c>
      <c r="E132" s="160" t="s">
        <v>136</v>
      </c>
      <c r="F132" s="154">
        <v>0</v>
      </c>
      <c r="G132" s="161">
        <f>+VLOOKUP(B132,'5.3 Var OPEX 2023-25'!$B$4:$D$160,3,0)</f>
        <v>1.0528702981147076</v>
      </c>
      <c r="H132" s="162" t="s">
        <v>190</v>
      </c>
      <c r="I132" s="297">
        <f t="shared" si="10"/>
        <v>0</v>
      </c>
      <c r="J132" s="158">
        <f t="shared" si="15"/>
        <v>0</v>
      </c>
      <c r="K132" s="158">
        <f t="shared" si="15"/>
        <v>0</v>
      </c>
      <c r="L132" s="158">
        <f t="shared" si="15"/>
        <v>0</v>
      </c>
      <c r="M132" s="158">
        <f t="shared" si="15"/>
        <v>0</v>
      </c>
      <c r="N132" s="158">
        <f t="shared" si="15"/>
        <v>0</v>
      </c>
      <c r="P132" s="2"/>
    </row>
    <row r="133" spans="1:16" x14ac:dyDescent="0.25">
      <c r="B133" s="17">
        <v>6382000002</v>
      </c>
      <c r="C133" s="160" t="s">
        <v>13</v>
      </c>
      <c r="D133" s="160" t="s">
        <v>40</v>
      </c>
      <c r="E133" s="160" t="s">
        <v>137</v>
      </c>
      <c r="F133" s="154">
        <v>0</v>
      </c>
      <c r="G133" s="161">
        <f>+VLOOKUP(B133,'5.3 Var OPEX 2023-25'!$B$4:$D$160,3,0)</f>
        <v>4.4009396000000096E-2</v>
      </c>
      <c r="H133" s="162" t="s">
        <v>190</v>
      </c>
      <c r="I133" s="297">
        <f t="shared" si="10"/>
        <v>0</v>
      </c>
      <c r="J133" s="158">
        <f t="shared" si="15"/>
        <v>0</v>
      </c>
      <c r="K133" s="158">
        <f t="shared" si="15"/>
        <v>0</v>
      </c>
      <c r="L133" s="158">
        <f t="shared" si="15"/>
        <v>0</v>
      </c>
      <c r="M133" s="158">
        <f t="shared" si="15"/>
        <v>0</v>
      </c>
      <c r="N133" s="158">
        <f t="shared" si="15"/>
        <v>0</v>
      </c>
      <c r="P133" s="2"/>
    </row>
    <row r="134" spans="1:16" x14ac:dyDescent="0.25">
      <c r="B134" s="17">
        <v>6390000001</v>
      </c>
      <c r="C134" s="160" t="s">
        <v>13</v>
      </c>
      <c r="D134" s="160" t="s">
        <v>38</v>
      </c>
      <c r="E134" s="160" t="s">
        <v>138</v>
      </c>
      <c r="F134" s="154">
        <v>0</v>
      </c>
      <c r="G134" s="161">
        <f>+VLOOKUP(B134,'5.3 Var OPEX 2023-25'!$B$4:$D$160,3,0)</f>
        <v>4.4009396000000096E-2</v>
      </c>
      <c r="H134" s="162" t="s">
        <v>190</v>
      </c>
      <c r="I134" s="297">
        <f t="shared" si="10"/>
        <v>0</v>
      </c>
      <c r="J134" s="158">
        <f t="shared" si="15"/>
        <v>0</v>
      </c>
      <c r="K134" s="158">
        <f t="shared" si="15"/>
        <v>0</v>
      </c>
      <c r="L134" s="158">
        <f t="shared" si="15"/>
        <v>0</v>
      </c>
      <c r="M134" s="158">
        <f t="shared" si="15"/>
        <v>0</v>
      </c>
      <c r="N134" s="158">
        <f t="shared" si="15"/>
        <v>0</v>
      </c>
      <c r="P134" s="2"/>
    </row>
    <row r="135" spans="1:16" x14ac:dyDescent="0.25">
      <c r="B135" s="17">
        <v>6391000001</v>
      </c>
      <c r="C135" s="160" t="s">
        <v>13</v>
      </c>
      <c r="D135" s="160" t="s">
        <v>38</v>
      </c>
      <c r="E135" s="160" t="s">
        <v>139</v>
      </c>
      <c r="F135" s="154">
        <v>749.9899999999999</v>
      </c>
      <c r="G135" s="161">
        <f>+VLOOKUP(B135,'5.3 Var OPEX 2023-25'!$B$4:$D$160,3,0)</f>
        <v>4.4009396000000096E-2</v>
      </c>
      <c r="H135" s="162" t="s">
        <v>190</v>
      </c>
      <c r="I135" s="297">
        <f t="shared" si="10"/>
        <v>768.47620933968972</v>
      </c>
      <c r="J135" s="158">
        <f t="shared" ref="J135:N144" si="16">+IF(OR($C135="No Imputables",$H135="m2 fijo"),I135,I135*(1+J$6*J$7))</f>
        <v>787.65956188521477</v>
      </c>
      <c r="K135" s="158">
        <f t="shared" si="16"/>
        <v>802.05357536224165</v>
      </c>
      <c r="L135" s="158">
        <f t="shared" si="16"/>
        <v>816.6542435804148</v>
      </c>
      <c r="M135" s="158">
        <f t="shared" si="16"/>
        <v>832.29638241249233</v>
      </c>
      <c r="N135" s="158">
        <f t="shared" si="16"/>
        <v>847.03676582974856</v>
      </c>
      <c r="P135" s="2"/>
    </row>
    <row r="136" spans="1:16" x14ac:dyDescent="0.25">
      <c r="B136" s="17">
        <v>6391000003</v>
      </c>
      <c r="C136" s="160" t="s">
        <v>13</v>
      </c>
      <c r="D136" s="160" t="s">
        <v>38</v>
      </c>
      <c r="E136" s="160" t="s">
        <v>140</v>
      </c>
      <c r="F136" s="154">
        <v>0</v>
      </c>
      <c r="G136" s="161">
        <f>+VLOOKUP(B136,'5.3 Var OPEX 2023-25'!$B$4:$D$160,3,0)</f>
        <v>4.4009396000000096E-2</v>
      </c>
      <c r="H136" s="162" t="s">
        <v>190</v>
      </c>
      <c r="I136" s="297">
        <f t="shared" si="10"/>
        <v>0</v>
      </c>
      <c r="J136" s="158">
        <f t="shared" si="16"/>
        <v>0</v>
      </c>
      <c r="K136" s="158">
        <f t="shared" si="16"/>
        <v>0</v>
      </c>
      <c r="L136" s="158">
        <f t="shared" si="16"/>
        <v>0</v>
      </c>
      <c r="M136" s="158">
        <f t="shared" si="16"/>
        <v>0</v>
      </c>
      <c r="N136" s="158">
        <f t="shared" si="16"/>
        <v>0</v>
      </c>
      <c r="P136" s="2"/>
    </row>
    <row r="137" spans="1:16" x14ac:dyDescent="0.25">
      <c r="A137" s="37"/>
      <c r="B137" s="17">
        <v>6410000001</v>
      </c>
      <c r="C137" s="160" t="s">
        <v>13</v>
      </c>
      <c r="D137" s="160" t="s">
        <v>38</v>
      </c>
      <c r="E137" s="160" t="s">
        <v>141</v>
      </c>
      <c r="F137" s="154">
        <v>0</v>
      </c>
      <c r="G137" s="161">
        <f>+VLOOKUP(B137,'5.3 Var OPEX 2023-25'!$B$4:$D$160,3,0)</f>
        <v>4.4009396000000096E-2</v>
      </c>
      <c r="H137" s="162" t="s">
        <v>190</v>
      </c>
      <c r="I137" s="297">
        <f t="shared" si="10"/>
        <v>0</v>
      </c>
      <c r="J137" s="158">
        <f t="shared" si="16"/>
        <v>0</v>
      </c>
      <c r="K137" s="158">
        <f t="shared" si="16"/>
        <v>0</v>
      </c>
      <c r="L137" s="158">
        <f t="shared" si="16"/>
        <v>0</v>
      </c>
      <c r="M137" s="158">
        <f t="shared" si="16"/>
        <v>0</v>
      </c>
      <c r="N137" s="158">
        <f t="shared" si="16"/>
        <v>0</v>
      </c>
      <c r="P137" s="2"/>
    </row>
    <row r="138" spans="1:16" x14ac:dyDescent="0.25">
      <c r="B138" s="17">
        <v>6410000002</v>
      </c>
      <c r="C138" s="160" t="s">
        <v>13</v>
      </c>
      <c r="D138" s="160" t="s">
        <v>38</v>
      </c>
      <c r="E138" s="160" t="s">
        <v>142</v>
      </c>
      <c r="F138" s="154">
        <v>45115.373151887812</v>
      </c>
      <c r="G138" s="161">
        <f>+VLOOKUP(B138,'5.3 Var OPEX 2023-25'!$B$4:$D$160,3,0)</f>
        <v>4.4009396000000096E-2</v>
      </c>
      <c r="H138" s="162" t="s">
        <v>190</v>
      </c>
      <c r="I138" s="297">
        <f t="shared" si="10"/>
        <v>46227.404289001672</v>
      </c>
      <c r="J138" s="158">
        <f t="shared" si="16"/>
        <v>47381.371819762855</v>
      </c>
      <c r="K138" s="158">
        <f t="shared" si="16"/>
        <v>48247.238416876644</v>
      </c>
      <c r="L138" s="158">
        <f t="shared" si="16"/>
        <v>49125.536254087529</v>
      </c>
      <c r="M138" s="158">
        <f t="shared" si="16"/>
        <v>50066.483373786206</v>
      </c>
      <c r="N138" s="158">
        <f t="shared" si="16"/>
        <v>50953.185727512806</v>
      </c>
      <c r="P138" s="2"/>
    </row>
    <row r="139" spans="1:16" x14ac:dyDescent="0.25">
      <c r="B139" s="17">
        <v>6430000001</v>
      </c>
      <c r="C139" s="160" t="s">
        <v>13</v>
      </c>
      <c r="D139" s="160" t="s">
        <v>38</v>
      </c>
      <c r="E139" s="160" t="s">
        <v>143</v>
      </c>
      <c r="F139" s="154">
        <v>373856.48022623092</v>
      </c>
      <c r="G139" s="161">
        <f>+VLOOKUP(B139,'5.3 Var OPEX 2023-25'!$B$4:$D$160,3,0)</f>
        <v>4.4009396000000096E-2</v>
      </c>
      <c r="H139" s="162" t="s">
        <v>192</v>
      </c>
      <c r="I139" s="297">
        <f t="shared" si="10"/>
        <v>383071.52196873649</v>
      </c>
      <c r="J139" s="158">
        <f t="shared" si="16"/>
        <v>383071.52196873649</v>
      </c>
      <c r="K139" s="158">
        <f t="shared" si="16"/>
        <v>383071.52196873649</v>
      </c>
      <c r="L139" s="158">
        <f t="shared" si="16"/>
        <v>383071.52196873649</v>
      </c>
      <c r="M139" s="158">
        <f t="shared" si="16"/>
        <v>383071.52196873649</v>
      </c>
      <c r="N139" s="158">
        <f t="shared" si="16"/>
        <v>383071.52196873649</v>
      </c>
      <c r="P139" s="2"/>
    </row>
    <row r="140" spans="1:16" x14ac:dyDescent="0.25">
      <c r="B140" s="17">
        <v>6430000002</v>
      </c>
      <c r="C140" s="160" t="s">
        <v>13</v>
      </c>
      <c r="D140" s="160" t="s">
        <v>38</v>
      </c>
      <c r="E140" s="160" t="s">
        <v>144</v>
      </c>
      <c r="F140" s="154">
        <v>1700.2259566660457</v>
      </c>
      <c r="G140" s="161">
        <f>+VLOOKUP(B140,'5.3 Var OPEX 2023-25'!$B$4:$D$160,3,0)</f>
        <v>4.4009396000000096E-2</v>
      </c>
      <c r="H140" s="162" t="s">
        <v>192</v>
      </c>
      <c r="I140" s="297">
        <f t="shared" si="10"/>
        <v>1742.1341593883526</v>
      </c>
      <c r="J140" s="158">
        <f t="shared" si="16"/>
        <v>1742.1341593883526</v>
      </c>
      <c r="K140" s="158">
        <f t="shared" si="16"/>
        <v>1742.1341593883526</v>
      </c>
      <c r="L140" s="158">
        <f t="shared" si="16"/>
        <v>1742.1341593883526</v>
      </c>
      <c r="M140" s="158">
        <f t="shared" si="16"/>
        <v>1742.1341593883526</v>
      </c>
      <c r="N140" s="158">
        <f t="shared" si="16"/>
        <v>1742.1341593883526</v>
      </c>
      <c r="P140" s="2"/>
    </row>
    <row r="141" spans="1:16" x14ac:dyDescent="0.25">
      <c r="B141" s="17">
        <v>6430000003</v>
      </c>
      <c r="C141" s="160" t="s">
        <v>13</v>
      </c>
      <c r="D141" s="160" t="s">
        <v>38</v>
      </c>
      <c r="E141" s="160" t="s">
        <v>145</v>
      </c>
      <c r="F141" s="154">
        <v>0</v>
      </c>
      <c r="G141" s="161">
        <f>+VLOOKUP(B141,'5.3 Var OPEX 2023-25'!$B$4:$D$160,3,0)</f>
        <v>4.4009396000000096E-2</v>
      </c>
      <c r="H141" s="162" t="s">
        <v>190</v>
      </c>
      <c r="I141" s="297">
        <f t="shared" si="10"/>
        <v>0</v>
      </c>
      <c r="J141" s="158">
        <f t="shared" si="16"/>
        <v>0</v>
      </c>
      <c r="K141" s="158">
        <f t="shared" si="16"/>
        <v>0</v>
      </c>
      <c r="L141" s="158">
        <f t="shared" si="16"/>
        <v>0</v>
      </c>
      <c r="M141" s="158">
        <f t="shared" si="16"/>
        <v>0</v>
      </c>
      <c r="N141" s="158">
        <f t="shared" si="16"/>
        <v>0</v>
      </c>
      <c r="P141" s="2"/>
    </row>
    <row r="142" spans="1:16" x14ac:dyDescent="0.25">
      <c r="B142" s="17">
        <v>6510000001</v>
      </c>
      <c r="C142" s="160" t="s">
        <v>13</v>
      </c>
      <c r="D142" s="160" t="s">
        <v>38</v>
      </c>
      <c r="E142" s="160" t="s">
        <v>146</v>
      </c>
      <c r="F142" s="154">
        <v>1215931.769269841</v>
      </c>
      <c r="G142" s="161">
        <f>+VLOOKUP(B142,'5.3 Var OPEX 2023-25'!$B$4:$D$160,3,0)</f>
        <v>0.2404668693070342</v>
      </c>
      <c r="H142" s="162" t="s">
        <v>192</v>
      </c>
      <c r="I142" s="297">
        <f t="shared" si="10"/>
        <v>1480351.7524880981</v>
      </c>
      <c r="J142" s="158">
        <f t="shared" si="16"/>
        <v>1480351.7524880981</v>
      </c>
      <c r="K142" s="158">
        <f t="shared" si="16"/>
        <v>1480351.7524880981</v>
      </c>
      <c r="L142" s="158">
        <f t="shared" si="16"/>
        <v>1480351.7524880981</v>
      </c>
      <c r="M142" s="158">
        <f t="shared" si="16"/>
        <v>1480351.7524880981</v>
      </c>
      <c r="N142" s="158">
        <f t="shared" si="16"/>
        <v>1480351.7524880981</v>
      </c>
      <c r="P142" s="2"/>
    </row>
    <row r="143" spans="1:16" x14ac:dyDescent="0.25">
      <c r="B143" s="17">
        <v>6530000001</v>
      </c>
      <c r="C143" s="160" t="s">
        <v>13</v>
      </c>
      <c r="D143" s="160" t="s">
        <v>38</v>
      </c>
      <c r="E143" s="160" t="s">
        <v>147</v>
      </c>
      <c r="F143" s="154">
        <v>113.24</v>
      </c>
      <c r="G143" s="161">
        <f>+VLOOKUP(B143,'5.3 Var OPEX 2023-25'!$B$4:$D$160,3,0)</f>
        <v>4.4009396000000096E-2</v>
      </c>
      <c r="H143" s="162" t="s">
        <v>190</v>
      </c>
      <c r="I143" s="297">
        <f t="shared" ref="I143:I206" si="17">+F143*(1+G143)/$I$8</f>
        <v>116.03120834361322</v>
      </c>
      <c r="J143" s="158">
        <f t="shared" si="16"/>
        <v>118.92767741954123</v>
      </c>
      <c r="K143" s="158">
        <f t="shared" si="16"/>
        <v>121.10101051216716</v>
      </c>
      <c r="L143" s="158">
        <f t="shared" si="16"/>
        <v>123.30554613134332</v>
      </c>
      <c r="M143" s="158">
        <f t="shared" si="16"/>
        <v>125.66733202361449</v>
      </c>
      <c r="N143" s="158">
        <f t="shared" si="16"/>
        <v>127.89296305625506</v>
      </c>
      <c r="P143" s="2"/>
    </row>
    <row r="144" spans="1:16" x14ac:dyDescent="0.25">
      <c r="B144" s="17">
        <v>6530000002</v>
      </c>
      <c r="C144" s="160" t="s">
        <v>13</v>
      </c>
      <c r="D144" s="160" t="s">
        <v>38</v>
      </c>
      <c r="E144" s="160" t="s">
        <v>148</v>
      </c>
      <c r="F144" s="154">
        <v>701.42172413793105</v>
      </c>
      <c r="G144" s="161">
        <f>+VLOOKUP(B144,'5.3 Var OPEX 2023-25'!$B$4:$D$160,3,0)</f>
        <v>0.17007525835504156</v>
      </c>
      <c r="H144" s="162" t="s">
        <v>190</v>
      </c>
      <c r="I144" s="297">
        <f t="shared" si="17"/>
        <v>805.49631079593576</v>
      </c>
      <c r="J144" s="158">
        <f t="shared" si="16"/>
        <v>825.60379039819361</v>
      </c>
      <c r="K144" s="158">
        <f t="shared" si="16"/>
        <v>840.69121224987919</v>
      </c>
      <c r="L144" s="158">
        <f t="shared" si="16"/>
        <v>855.99524410143033</v>
      </c>
      <c r="M144" s="158">
        <f t="shared" si="16"/>
        <v>872.39091773330824</v>
      </c>
      <c r="N144" s="158">
        <f t="shared" si="16"/>
        <v>887.84139533822918</v>
      </c>
      <c r="P144" s="2"/>
    </row>
    <row r="145" spans="2:16" x14ac:dyDescent="0.25">
      <c r="B145" s="17">
        <v>6540000001</v>
      </c>
      <c r="C145" s="160" t="s">
        <v>13</v>
      </c>
      <c r="D145" s="160" t="s">
        <v>38</v>
      </c>
      <c r="E145" s="160" t="s">
        <v>149</v>
      </c>
      <c r="F145" s="154">
        <v>20.513183845468063</v>
      </c>
      <c r="G145" s="161">
        <f>+VLOOKUP(B145,'5.3 Var OPEX 2023-25'!$B$4:$D$160,3,0)</f>
        <v>4.4009396000000096E-2</v>
      </c>
      <c r="H145" s="162" t="s">
        <v>190</v>
      </c>
      <c r="I145" s="297">
        <f t="shared" si="17"/>
        <v>21.018805268141524</v>
      </c>
      <c r="J145" s="158">
        <f t="shared" ref="J145:N154" si="18">+IF(OR($C145="No Imputables",$H145="m2 fijo"),I145,I145*(1+J$6*J$7))</f>
        <v>21.54349444738229</v>
      </c>
      <c r="K145" s="158">
        <f t="shared" si="18"/>
        <v>21.937189089615384</v>
      </c>
      <c r="L145" s="158">
        <f t="shared" si="18"/>
        <v>22.336536002808984</v>
      </c>
      <c r="M145" s="158">
        <f t="shared" si="18"/>
        <v>22.764368466706824</v>
      </c>
      <c r="N145" s="158">
        <f t="shared" si="18"/>
        <v>23.167536768938675</v>
      </c>
      <c r="P145" s="2"/>
    </row>
    <row r="146" spans="2:16" x14ac:dyDescent="0.25">
      <c r="B146" s="17">
        <v>6561000001</v>
      </c>
      <c r="C146" s="160" t="s">
        <v>13</v>
      </c>
      <c r="D146" s="160" t="s">
        <v>38</v>
      </c>
      <c r="E146" s="160" t="s">
        <v>150</v>
      </c>
      <c r="F146" s="154">
        <v>17166.354893468459</v>
      </c>
      <c r="G146" s="161">
        <f>+VLOOKUP(B146,'5.3 Var OPEX 2023-25'!$B$4:$D$160,3,0)</f>
        <v>4.4009396000000096E-2</v>
      </c>
      <c r="H146" s="162" t="s">
        <v>190</v>
      </c>
      <c r="I146" s="297">
        <f t="shared" si="17"/>
        <v>17589.481642038532</v>
      </c>
      <c r="J146" s="158">
        <f t="shared" si="18"/>
        <v>18028.565146942605</v>
      </c>
      <c r="K146" s="158">
        <f t="shared" si="18"/>
        <v>18358.02653134508</v>
      </c>
      <c r="L146" s="158">
        <f t="shared" si="18"/>
        <v>18692.217990317793</v>
      </c>
      <c r="M146" s="158">
        <f t="shared" si="18"/>
        <v>19050.247439356241</v>
      </c>
      <c r="N146" s="158">
        <f t="shared" si="18"/>
        <v>19387.636808556384</v>
      </c>
      <c r="P146" s="2"/>
    </row>
    <row r="147" spans="2:16" x14ac:dyDescent="0.25">
      <c r="B147" s="17">
        <v>6561000002</v>
      </c>
      <c r="C147" s="160" t="s">
        <v>13</v>
      </c>
      <c r="D147" s="160" t="s">
        <v>38</v>
      </c>
      <c r="E147" s="160" t="s">
        <v>151</v>
      </c>
      <c r="F147" s="154">
        <v>232443.04223818105</v>
      </c>
      <c r="G147" s="161">
        <f>+VLOOKUP(B147,'5.3 Var OPEX 2023-25'!$B$4:$D$160,3,0)</f>
        <v>4.4009396000000096E-2</v>
      </c>
      <c r="H147" s="162" t="s">
        <v>190</v>
      </c>
      <c r="I147" s="297">
        <f t="shared" si="17"/>
        <v>238172.43961463857</v>
      </c>
      <c r="J147" s="158">
        <f t="shared" si="18"/>
        <v>244117.90132214053</v>
      </c>
      <c r="K147" s="158">
        <f t="shared" si="18"/>
        <v>248579.01184710421</v>
      </c>
      <c r="L147" s="158">
        <f t="shared" si="18"/>
        <v>253104.17050167624</v>
      </c>
      <c r="M147" s="158">
        <f t="shared" si="18"/>
        <v>257952.1102571931</v>
      </c>
      <c r="N147" s="158">
        <f t="shared" si="18"/>
        <v>262520.5705903499</v>
      </c>
      <c r="P147" s="2"/>
    </row>
    <row r="148" spans="2:16" x14ac:dyDescent="0.25">
      <c r="B148" s="17">
        <v>6561000003</v>
      </c>
      <c r="C148" s="160" t="s">
        <v>13</v>
      </c>
      <c r="D148" s="160" t="s">
        <v>38</v>
      </c>
      <c r="E148" s="160" t="s">
        <v>152</v>
      </c>
      <c r="F148" s="154">
        <v>24175.541579498898</v>
      </c>
      <c r="G148" s="161">
        <f>+VLOOKUP(B148,'5.3 Var OPEX 2023-25'!$B$4:$D$160,3,0)</f>
        <v>9.8026320203328909E-2</v>
      </c>
      <c r="H148" s="162" t="s">
        <v>190</v>
      </c>
      <c r="I148" s="297">
        <f t="shared" si="17"/>
        <v>26053.106176041903</v>
      </c>
      <c r="J148" s="158">
        <f t="shared" si="18"/>
        <v>26703.465828828612</v>
      </c>
      <c r="K148" s="158">
        <f t="shared" si="18"/>
        <v>27191.455901727008</v>
      </c>
      <c r="L148" s="158">
        <f t="shared" si="18"/>
        <v>27686.452044361111</v>
      </c>
      <c r="M148" s="158">
        <f t="shared" si="18"/>
        <v>28216.756429662339</v>
      </c>
      <c r="N148" s="158">
        <f t="shared" si="18"/>
        <v>28716.489238014754</v>
      </c>
      <c r="P148" s="2"/>
    </row>
    <row r="149" spans="2:16" x14ac:dyDescent="0.25">
      <c r="B149" s="17">
        <v>6561000004</v>
      </c>
      <c r="C149" s="160" t="s">
        <v>13</v>
      </c>
      <c r="D149" s="160" t="s">
        <v>38</v>
      </c>
      <c r="E149" s="160" t="s">
        <v>153</v>
      </c>
      <c r="F149" s="154">
        <v>5595.5635427922289</v>
      </c>
      <c r="G149" s="161">
        <f>+VLOOKUP(B149,'5.3 Var OPEX 2023-25'!$B$4:$D$160,3,0)</f>
        <v>4.4009396000000096E-2</v>
      </c>
      <c r="H149" s="162" t="s">
        <v>190</v>
      </c>
      <c r="I149" s="297">
        <f t="shared" si="17"/>
        <v>5733.4863937977007</v>
      </c>
      <c r="J149" s="158">
        <f t="shared" si="18"/>
        <v>5876.6105262958281</v>
      </c>
      <c r="K149" s="158">
        <f t="shared" si="18"/>
        <v>5984.0021142456826</v>
      </c>
      <c r="L149" s="158">
        <f t="shared" si="18"/>
        <v>6092.9355224004776</v>
      </c>
      <c r="M149" s="158">
        <f t="shared" si="18"/>
        <v>6209.6391874894352</v>
      </c>
      <c r="N149" s="158">
        <f t="shared" si="18"/>
        <v>6319.6149899086377</v>
      </c>
      <c r="P149" s="2"/>
    </row>
    <row r="150" spans="2:16" x14ac:dyDescent="0.25">
      <c r="B150" s="17">
        <v>6561000005</v>
      </c>
      <c r="C150" s="160" t="s">
        <v>13</v>
      </c>
      <c r="D150" s="160" t="s">
        <v>38</v>
      </c>
      <c r="E150" s="160" t="s">
        <v>154</v>
      </c>
      <c r="F150" s="154">
        <v>38.890394948961386</v>
      </c>
      <c r="G150" s="161">
        <f>+VLOOKUP(B150,'5.3 Var OPEX 2023-25'!$B$4:$D$160,3,0)</f>
        <v>4.4009396000000096E-2</v>
      </c>
      <c r="H150" s="162" t="s">
        <v>190</v>
      </c>
      <c r="I150" s="297">
        <f t="shared" si="17"/>
        <v>39.848989039988894</v>
      </c>
      <c r="J150" s="158">
        <f t="shared" si="18"/>
        <v>40.843733179164929</v>
      </c>
      <c r="K150" s="158">
        <f t="shared" si="18"/>
        <v>41.59012828979607</v>
      </c>
      <c r="L150" s="158">
        <f t="shared" si="18"/>
        <v>42.347239389308733</v>
      </c>
      <c r="M150" s="158">
        <f t="shared" si="18"/>
        <v>43.158355480224586</v>
      </c>
      <c r="N150" s="158">
        <f t="shared" si="18"/>
        <v>43.922711448699118</v>
      </c>
      <c r="P150" s="2"/>
    </row>
    <row r="151" spans="2:16" x14ac:dyDescent="0.25">
      <c r="B151" s="17">
        <v>6562000001</v>
      </c>
      <c r="C151" s="160" t="s">
        <v>13</v>
      </c>
      <c r="D151" s="160" t="s">
        <v>38</v>
      </c>
      <c r="E151" s="160" t="s">
        <v>155</v>
      </c>
      <c r="F151" s="154">
        <v>0</v>
      </c>
      <c r="G151" s="161">
        <f>+VLOOKUP(B151,'5.3 Var OPEX 2023-25'!$B$4:$D$160,3,0)</f>
        <v>4.4009396000000096E-2</v>
      </c>
      <c r="H151" s="162" t="s">
        <v>190</v>
      </c>
      <c r="I151" s="297">
        <f t="shared" si="17"/>
        <v>0</v>
      </c>
      <c r="J151" s="158">
        <f t="shared" si="18"/>
        <v>0</v>
      </c>
      <c r="K151" s="158">
        <f t="shared" si="18"/>
        <v>0</v>
      </c>
      <c r="L151" s="158">
        <f t="shared" si="18"/>
        <v>0</v>
      </c>
      <c r="M151" s="158">
        <f t="shared" si="18"/>
        <v>0</v>
      </c>
      <c r="N151" s="158">
        <f t="shared" si="18"/>
        <v>0</v>
      </c>
      <c r="P151" s="2"/>
    </row>
    <row r="152" spans="2:16" x14ac:dyDescent="0.25">
      <c r="B152" s="17">
        <v>6562000002</v>
      </c>
      <c r="C152" s="160" t="s">
        <v>13</v>
      </c>
      <c r="D152" s="160" t="s">
        <v>38</v>
      </c>
      <c r="E152" s="160" t="s">
        <v>156</v>
      </c>
      <c r="F152" s="154">
        <v>0</v>
      </c>
      <c r="G152" s="161">
        <f>+VLOOKUP(B152,'5.3 Var OPEX 2023-25'!$B$4:$D$160,3,0)</f>
        <v>4.4009396000000096E-2</v>
      </c>
      <c r="H152" s="162" t="s">
        <v>190</v>
      </c>
      <c r="I152" s="297">
        <f t="shared" si="17"/>
        <v>0</v>
      </c>
      <c r="J152" s="158">
        <f t="shared" si="18"/>
        <v>0</v>
      </c>
      <c r="K152" s="158">
        <f t="shared" si="18"/>
        <v>0</v>
      </c>
      <c r="L152" s="158">
        <f t="shared" si="18"/>
        <v>0</v>
      </c>
      <c r="M152" s="158">
        <f t="shared" si="18"/>
        <v>0</v>
      </c>
      <c r="N152" s="158">
        <f t="shared" si="18"/>
        <v>0</v>
      </c>
      <c r="P152" s="2"/>
    </row>
    <row r="153" spans="2:16" x14ac:dyDescent="0.25">
      <c r="B153" s="17">
        <v>6562000003</v>
      </c>
      <c r="C153" s="160" t="s">
        <v>13</v>
      </c>
      <c r="D153" s="160" t="s">
        <v>38</v>
      </c>
      <c r="E153" s="160" t="s">
        <v>157</v>
      </c>
      <c r="F153" s="154">
        <v>16.043381754902278</v>
      </c>
      <c r="G153" s="161">
        <f>+VLOOKUP(B153,'5.3 Var OPEX 2023-25'!$B$4:$D$160,3,0)</f>
        <v>4.4009396000000096E-2</v>
      </c>
      <c r="H153" s="162" t="s">
        <v>190</v>
      </c>
      <c r="I153" s="297">
        <f t="shared" si="17"/>
        <v>16.43882877904618</v>
      </c>
      <c r="J153" s="158">
        <f t="shared" si="18"/>
        <v>16.849188714814304</v>
      </c>
      <c r="K153" s="158">
        <f t="shared" si="18"/>
        <v>17.157097691196856</v>
      </c>
      <c r="L153" s="158">
        <f t="shared" si="18"/>
        <v>17.469427314392927</v>
      </c>
      <c r="M153" s="158">
        <f t="shared" si="18"/>
        <v>17.804035515497208</v>
      </c>
      <c r="N153" s="158">
        <f t="shared" si="18"/>
        <v>18.119353850910578</v>
      </c>
      <c r="P153" s="2"/>
    </row>
    <row r="154" spans="2:16" x14ac:dyDescent="0.25">
      <c r="B154" s="17">
        <v>6562000004</v>
      </c>
      <c r="C154" s="160" t="s">
        <v>13</v>
      </c>
      <c r="D154" s="160" t="s">
        <v>38</v>
      </c>
      <c r="E154" s="160" t="s">
        <v>158</v>
      </c>
      <c r="F154" s="154">
        <v>0</v>
      </c>
      <c r="G154" s="161">
        <f>+VLOOKUP(B154,'5.3 Var OPEX 2023-25'!$B$4:$D$160,3,0)</f>
        <v>4.4009396000000096E-2</v>
      </c>
      <c r="H154" s="162" t="s">
        <v>190</v>
      </c>
      <c r="I154" s="297">
        <f t="shared" si="17"/>
        <v>0</v>
      </c>
      <c r="J154" s="158">
        <f t="shared" si="18"/>
        <v>0</v>
      </c>
      <c r="K154" s="158">
        <f t="shared" si="18"/>
        <v>0</v>
      </c>
      <c r="L154" s="158">
        <f t="shared" si="18"/>
        <v>0</v>
      </c>
      <c r="M154" s="158">
        <f t="shared" si="18"/>
        <v>0</v>
      </c>
      <c r="N154" s="158">
        <f t="shared" si="18"/>
        <v>0</v>
      </c>
      <c r="P154" s="2"/>
    </row>
    <row r="155" spans="2:16" x14ac:dyDescent="0.25">
      <c r="B155" s="17">
        <v>6562000005</v>
      </c>
      <c r="C155" s="160" t="s">
        <v>13</v>
      </c>
      <c r="D155" s="160" t="s">
        <v>38</v>
      </c>
      <c r="E155" s="160" t="s">
        <v>159</v>
      </c>
      <c r="F155" s="154">
        <v>1.3470867102854108E-2</v>
      </c>
      <c r="G155" s="161">
        <f>+VLOOKUP(B155,'5.3 Var OPEX 2023-25'!$B$4:$D$160,3,0)</f>
        <v>4.4009396000000096E-2</v>
      </c>
      <c r="H155" s="162" t="s">
        <v>190</v>
      </c>
      <c r="I155" s="297">
        <f t="shared" si="17"/>
        <v>1.3802905222363038E-2</v>
      </c>
      <c r="J155" s="158">
        <f t="shared" ref="J155:N164" si="19">+IF(OR($C155="No Imputables",$H155="m2 fijo"),I155,I155*(1+J$6*J$7))</f>
        <v>1.4147465006797451E-2</v>
      </c>
      <c r="K155" s="158">
        <f t="shared" si="19"/>
        <v>1.4406001577452686E-2</v>
      </c>
      <c r="L155" s="158">
        <f t="shared" si="19"/>
        <v>1.4668249955670896E-2</v>
      </c>
      <c r="M155" s="158">
        <f t="shared" si="19"/>
        <v>1.4949204599614562E-2</v>
      </c>
      <c r="N155" s="158">
        <f t="shared" si="19"/>
        <v>1.5213962457797967E-2</v>
      </c>
      <c r="P155" s="2"/>
    </row>
    <row r="156" spans="2:16" x14ac:dyDescent="0.25">
      <c r="B156" s="17">
        <v>6563000001</v>
      </c>
      <c r="C156" s="160" t="s">
        <v>13</v>
      </c>
      <c r="D156" s="160" t="s">
        <v>38</v>
      </c>
      <c r="E156" s="160" t="s">
        <v>160</v>
      </c>
      <c r="F156" s="154">
        <v>0</v>
      </c>
      <c r="G156" s="161">
        <f>+VLOOKUP(B156,'5.3 Var OPEX 2023-25'!$B$4:$D$160,3,0)</f>
        <v>4.4009396000000096E-2</v>
      </c>
      <c r="H156" s="162" t="s">
        <v>190</v>
      </c>
      <c r="I156" s="297">
        <f t="shared" si="17"/>
        <v>0</v>
      </c>
      <c r="J156" s="158">
        <f t="shared" si="19"/>
        <v>0</v>
      </c>
      <c r="K156" s="158">
        <f t="shared" si="19"/>
        <v>0</v>
      </c>
      <c r="L156" s="158">
        <f t="shared" si="19"/>
        <v>0</v>
      </c>
      <c r="M156" s="158">
        <f t="shared" si="19"/>
        <v>0</v>
      </c>
      <c r="N156" s="158">
        <f t="shared" si="19"/>
        <v>0</v>
      </c>
      <c r="P156" s="2"/>
    </row>
    <row r="157" spans="2:16" x14ac:dyDescent="0.25">
      <c r="B157" s="17">
        <v>6563000002</v>
      </c>
      <c r="C157" s="160" t="s">
        <v>13</v>
      </c>
      <c r="D157" s="160" t="s">
        <v>38</v>
      </c>
      <c r="E157" s="160" t="s">
        <v>161</v>
      </c>
      <c r="F157" s="154">
        <v>0</v>
      </c>
      <c r="G157" s="161">
        <f>+VLOOKUP(B157,'5.3 Var OPEX 2023-25'!$B$4:$D$160,3,0)</f>
        <v>4.4009396000000096E-2</v>
      </c>
      <c r="H157" s="162" t="s">
        <v>190</v>
      </c>
      <c r="I157" s="297">
        <f t="shared" si="17"/>
        <v>0</v>
      </c>
      <c r="J157" s="158">
        <f t="shared" si="19"/>
        <v>0</v>
      </c>
      <c r="K157" s="158">
        <f t="shared" si="19"/>
        <v>0</v>
      </c>
      <c r="L157" s="158">
        <f t="shared" si="19"/>
        <v>0</v>
      </c>
      <c r="M157" s="158">
        <f t="shared" si="19"/>
        <v>0</v>
      </c>
      <c r="N157" s="158">
        <f t="shared" si="19"/>
        <v>0</v>
      </c>
      <c r="P157" s="2"/>
    </row>
    <row r="158" spans="2:16" x14ac:dyDescent="0.25">
      <c r="B158" s="17">
        <v>6563000003</v>
      </c>
      <c r="C158" s="160" t="s">
        <v>13</v>
      </c>
      <c r="D158" s="160" t="s">
        <v>38</v>
      </c>
      <c r="E158" s="160" t="s">
        <v>162</v>
      </c>
      <c r="F158" s="154">
        <v>0</v>
      </c>
      <c r="G158" s="161">
        <f>+VLOOKUP(B158,'5.3 Var OPEX 2023-25'!$B$4:$D$160,3,0)</f>
        <v>4.4009396000000096E-2</v>
      </c>
      <c r="H158" s="162" t="s">
        <v>190</v>
      </c>
      <c r="I158" s="297">
        <f t="shared" si="17"/>
        <v>0</v>
      </c>
      <c r="J158" s="158">
        <f t="shared" si="19"/>
        <v>0</v>
      </c>
      <c r="K158" s="158">
        <f t="shared" si="19"/>
        <v>0</v>
      </c>
      <c r="L158" s="158">
        <f t="shared" si="19"/>
        <v>0</v>
      </c>
      <c r="M158" s="158">
        <f t="shared" si="19"/>
        <v>0</v>
      </c>
      <c r="N158" s="158">
        <f t="shared" si="19"/>
        <v>0</v>
      </c>
      <c r="P158" s="2"/>
    </row>
    <row r="159" spans="2:16" x14ac:dyDescent="0.25">
      <c r="B159" s="17">
        <v>6563000004</v>
      </c>
      <c r="C159" s="160" t="s">
        <v>13</v>
      </c>
      <c r="D159" s="160" t="s">
        <v>38</v>
      </c>
      <c r="E159" s="160" t="s">
        <v>163</v>
      </c>
      <c r="F159" s="154">
        <v>0</v>
      </c>
      <c r="G159" s="161">
        <f>+VLOOKUP(B159,'5.3 Var OPEX 2023-25'!$B$4:$D$160,3,0)</f>
        <v>4.4009396000000096E-2</v>
      </c>
      <c r="H159" s="162" t="s">
        <v>190</v>
      </c>
      <c r="I159" s="297">
        <f t="shared" si="17"/>
        <v>0</v>
      </c>
      <c r="J159" s="158">
        <f t="shared" si="19"/>
        <v>0</v>
      </c>
      <c r="K159" s="158">
        <f t="shared" si="19"/>
        <v>0</v>
      </c>
      <c r="L159" s="158">
        <f t="shared" si="19"/>
        <v>0</v>
      </c>
      <c r="M159" s="158">
        <f t="shared" si="19"/>
        <v>0</v>
      </c>
      <c r="N159" s="158">
        <f t="shared" si="19"/>
        <v>0</v>
      </c>
      <c r="P159" s="2"/>
    </row>
    <row r="160" spans="2:16" x14ac:dyDescent="0.25">
      <c r="B160" s="17">
        <v>6563000005</v>
      </c>
      <c r="C160" s="160" t="s">
        <v>13</v>
      </c>
      <c r="D160" s="160" t="s">
        <v>38</v>
      </c>
      <c r="E160" s="160" t="s">
        <v>164</v>
      </c>
      <c r="F160" s="154">
        <v>0</v>
      </c>
      <c r="G160" s="161">
        <f>+VLOOKUP(B160,'5.3 Var OPEX 2023-25'!$B$4:$D$160,3,0)</f>
        <v>4.4009396000000096E-2</v>
      </c>
      <c r="H160" s="162" t="s">
        <v>190</v>
      </c>
      <c r="I160" s="297">
        <f t="shared" si="17"/>
        <v>0</v>
      </c>
      <c r="J160" s="158">
        <f t="shared" si="19"/>
        <v>0</v>
      </c>
      <c r="K160" s="158">
        <f t="shared" si="19"/>
        <v>0</v>
      </c>
      <c r="L160" s="158">
        <f t="shared" si="19"/>
        <v>0</v>
      </c>
      <c r="M160" s="158">
        <f t="shared" si="19"/>
        <v>0</v>
      </c>
      <c r="N160" s="158">
        <f t="shared" si="19"/>
        <v>0</v>
      </c>
      <c r="P160" s="2"/>
    </row>
    <row r="161" spans="1:16" x14ac:dyDescent="0.25">
      <c r="B161" s="17">
        <v>6590000001</v>
      </c>
      <c r="C161" s="160" t="s">
        <v>13</v>
      </c>
      <c r="D161" s="160" t="s">
        <v>38</v>
      </c>
      <c r="E161" s="160" t="s">
        <v>165</v>
      </c>
      <c r="F161" s="154">
        <v>0</v>
      </c>
      <c r="G161" s="161">
        <f>+VLOOKUP(B161,'5.3 Var OPEX 2023-25'!$B$4:$D$160,3,0)</f>
        <v>4.4009396000000096E-2</v>
      </c>
      <c r="H161" s="162" t="s">
        <v>190</v>
      </c>
      <c r="I161" s="297">
        <f t="shared" si="17"/>
        <v>0</v>
      </c>
      <c r="J161" s="158">
        <f t="shared" si="19"/>
        <v>0</v>
      </c>
      <c r="K161" s="158">
        <f t="shared" si="19"/>
        <v>0</v>
      </c>
      <c r="L161" s="158">
        <f t="shared" si="19"/>
        <v>0</v>
      </c>
      <c r="M161" s="158">
        <f t="shared" si="19"/>
        <v>0</v>
      </c>
      <c r="N161" s="158">
        <f t="shared" si="19"/>
        <v>0</v>
      </c>
      <c r="P161" s="2"/>
    </row>
    <row r="162" spans="1:16" x14ac:dyDescent="0.25">
      <c r="B162" s="17">
        <v>6590000002</v>
      </c>
      <c r="C162" s="160" t="s">
        <v>13</v>
      </c>
      <c r="D162" s="160" t="s">
        <v>38</v>
      </c>
      <c r="E162" s="160" t="s">
        <v>166</v>
      </c>
      <c r="F162" s="154">
        <v>1925.3600000000001</v>
      </c>
      <c r="G162" s="161">
        <f>+VLOOKUP(B162,'5.3 Var OPEX 2023-25'!$B$4:$D$160,3,0)</f>
        <v>4.4009396000000096E-2</v>
      </c>
      <c r="H162" s="162" t="s">
        <v>190</v>
      </c>
      <c r="I162" s="297">
        <f t="shared" si="17"/>
        <v>1972.8174434516</v>
      </c>
      <c r="J162" s="158">
        <f t="shared" si="19"/>
        <v>2022.0645796228184</v>
      </c>
      <c r="K162" s="158">
        <f t="shared" si="19"/>
        <v>2059.0166160341419</v>
      </c>
      <c r="L162" s="158">
        <f t="shared" si="19"/>
        <v>2096.4991725489513</v>
      </c>
      <c r="M162" s="158">
        <f t="shared" si="19"/>
        <v>2136.6553725272561</v>
      </c>
      <c r="N162" s="158">
        <f t="shared" si="19"/>
        <v>2174.4966032319967</v>
      </c>
      <c r="P162" s="2"/>
    </row>
    <row r="163" spans="1:16" x14ac:dyDescent="0.25">
      <c r="A163" s="37"/>
      <c r="B163" s="17">
        <v>6590000003</v>
      </c>
      <c r="C163" s="160" t="s">
        <v>13</v>
      </c>
      <c r="D163" s="160" t="s">
        <v>38</v>
      </c>
      <c r="E163" s="160" t="s">
        <v>167</v>
      </c>
      <c r="F163" s="154">
        <v>0</v>
      </c>
      <c r="G163" s="161">
        <f>+VLOOKUP(B163,'5.3 Var OPEX 2023-25'!$B$4:$D$160,3,0)</f>
        <v>4.4009396000000096E-2</v>
      </c>
      <c r="H163" s="162" t="s">
        <v>190</v>
      </c>
      <c r="I163" s="297">
        <f t="shared" si="17"/>
        <v>0</v>
      </c>
      <c r="J163" s="158">
        <f t="shared" si="19"/>
        <v>0</v>
      </c>
      <c r="K163" s="158">
        <f t="shared" si="19"/>
        <v>0</v>
      </c>
      <c r="L163" s="158">
        <f t="shared" si="19"/>
        <v>0</v>
      </c>
      <c r="M163" s="158">
        <f t="shared" si="19"/>
        <v>0</v>
      </c>
      <c r="N163" s="158">
        <f t="shared" si="19"/>
        <v>0</v>
      </c>
      <c r="P163" s="2"/>
    </row>
    <row r="164" spans="1:16" x14ac:dyDescent="0.25">
      <c r="B164" s="17">
        <v>6590000004</v>
      </c>
      <c r="C164" s="160" t="s">
        <v>13</v>
      </c>
      <c r="D164" s="160" t="s">
        <v>38</v>
      </c>
      <c r="E164" s="160" t="s">
        <v>168</v>
      </c>
      <c r="F164" s="154">
        <v>0</v>
      </c>
      <c r="G164" s="161">
        <f>+VLOOKUP(B164,'5.3 Var OPEX 2023-25'!$B$4:$D$160,3,0)</f>
        <v>4.4009396000000096E-2</v>
      </c>
      <c r="H164" s="162" t="s">
        <v>190</v>
      </c>
      <c r="I164" s="297">
        <f t="shared" si="17"/>
        <v>0</v>
      </c>
      <c r="J164" s="158">
        <f t="shared" si="19"/>
        <v>0</v>
      </c>
      <c r="K164" s="158">
        <f t="shared" si="19"/>
        <v>0</v>
      </c>
      <c r="L164" s="158">
        <f t="shared" si="19"/>
        <v>0</v>
      </c>
      <c r="M164" s="158">
        <f t="shared" si="19"/>
        <v>0</v>
      </c>
      <c r="N164" s="158">
        <f t="shared" si="19"/>
        <v>0</v>
      </c>
      <c r="P164" s="2"/>
    </row>
    <row r="165" spans="1:16" x14ac:dyDescent="0.25">
      <c r="A165" s="37"/>
      <c r="B165" s="17">
        <v>6590000005</v>
      </c>
      <c r="C165" s="160" t="s">
        <v>13</v>
      </c>
      <c r="D165" s="160" t="s">
        <v>38</v>
      </c>
      <c r="E165" s="160" t="s">
        <v>169</v>
      </c>
      <c r="F165" s="154">
        <v>0</v>
      </c>
      <c r="G165" s="161">
        <f>+VLOOKUP(B165,'5.3 Var OPEX 2023-25'!$B$4:$D$160,3,0)</f>
        <v>4.4009396000000096E-2</v>
      </c>
      <c r="H165" s="162" t="s">
        <v>190</v>
      </c>
      <c r="I165" s="297">
        <f t="shared" si="17"/>
        <v>0</v>
      </c>
      <c r="J165" s="158">
        <f t="shared" ref="J165:N174" si="20">+IF(OR($C165="No Imputables",$H165="m2 fijo"),I165,I165*(1+J$6*J$7))</f>
        <v>0</v>
      </c>
      <c r="K165" s="158">
        <f t="shared" si="20"/>
        <v>0</v>
      </c>
      <c r="L165" s="158">
        <f t="shared" si="20"/>
        <v>0</v>
      </c>
      <c r="M165" s="158">
        <f t="shared" si="20"/>
        <v>0</v>
      </c>
      <c r="N165" s="158">
        <f t="shared" si="20"/>
        <v>0</v>
      </c>
      <c r="P165" s="2"/>
    </row>
    <row r="166" spans="1:16" x14ac:dyDescent="0.25">
      <c r="A166" s="37"/>
      <c r="B166" s="17">
        <v>6590000006</v>
      </c>
      <c r="C166" s="160" t="s">
        <v>13</v>
      </c>
      <c r="D166" s="160" t="s">
        <v>38</v>
      </c>
      <c r="E166" s="160" t="s">
        <v>170</v>
      </c>
      <c r="F166" s="154">
        <v>0</v>
      </c>
      <c r="G166" s="161">
        <f>+VLOOKUP(B166,'5.3 Var OPEX 2023-25'!$B$4:$D$160,3,0)</f>
        <v>0.55350740986062807</v>
      </c>
      <c r="H166" s="162" t="s">
        <v>190</v>
      </c>
      <c r="I166" s="297">
        <f t="shared" si="17"/>
        <v>0</v>
      </c>
      <c r="J166" s="158">
        <f t="shared" si="20"/>
        <v>0</v>
      </c>
      <c r="K166" s="158">
        <f t="shared" si="20"/>
        <v>0</v>
      </c>
      <c r="L166" s="158">
        <f t="shared" si="20"/>
        <v>0</v>
      </c>
      <c r="M166" s="158">
        <f t="shared" si="20"/>
        <v>0</v>
      </c>
      <c r="N166" s="158">
        <f t="shared" si="20"/>
        <v>0</v>
      </c>
      <c r="P166" s="2"/>
    </row>
    <row r="167" spans="1:16" x14ac:dyDescent="0.25">
      <c r="B167" s="17">
        <v>6590000007</v>
      </c>
      <c r="C167" s="160" t="s">
        <v>13</v>
      </c>
      <c r="D167" s="160" t="s">
        <v>38</v>
      </c>
      <c r="E167" s="160" t="s">
        <v>171</v>
      </c>
      <c r="F167" s="154">
        <v>0</v>
      </c>
      <c r="G167" s="161">
        <f>+VLOOKUP(B167,'5.3 Var OPEX 2023-25'!$B$4:$D$160,3,0)</f>
        <v>4.4009396000000096E-2</v>
      </c>
      <c r="H167" s="162" t="s">
        <v>190</v>
      </c>
      <c r="I167" s="297">
        <f t="shared" si="17"/>
        <v>0</v>
      </c>
      <c r="J167" s="158">
        <f t="shared" si="20"/>
        <v>0</v>
      </c>
      <c r="K167" s="158">
        <f t="shared" si="20"/>
        <v>0</v>
      </c>
      <c r="L167" s="158">
        <f t="shared" si="20"/>
        <v>0</v>
      </c>
      <c r="M167" s="158">
        <f t="shared" si="20"/>
        <v>0</v>
      </c>
      <c r="N167" s="158">
        <f t="shared" si="20"/>
        <v>0</v>
      </c>
      <c r="P167" s="2"/>
    </row>
    <row r="168" spans="1:16" x14ac:dyDescent="0.25">
      <c r="B168" s="17">
        <v>6590000010</v>
      </c>
      <c r="C168" s="160" t="s">
        <v>13</v>
      </c>
      <c r="D168" s="160" t="s">
        <v>38</v>
      </c>
      <c r="E168" s="160" t="s">
        <v>172</v>
      </c>
      <c r="F168" s="154">
        <v>0</v>
      </c>
      <c r="G168" s="161">
        <f>+VLOOKUP(B168,'5.3 Var OPEX 2023-25'!$B$4:$D$160,3,0)</f>
        <v>4.4009396000000096E-2</v>
      </c>
      <c r="H168" s="162" t="s">
        <v>190</v>
      </c>
      <c r="I168" s="297">
        <f t="shared" si="17"/>
        <v>0</v>
      </c>
      <c r="J168" s="158">
        <f t="shared" si="20"/>
        <v>0</v>
      </c>
      <c r="K168" s="158">
        <f t="shared" si="20"/>
        <v>0</v>
      </c>
      <c r="L168" s="158">
        <f t="shared" si="20"/>
        <v>0</v>
      </c>
      <c r="M168" s="158">
        <f t="shared" si="20"/>
        <v>0</v>
      </c>
      <c r="N168" s="158">
        <f t="shared" si="20"/>
        <v>0</v>
      </c>
      <c r="P168" s="2"/>
    </row>
    <row r="169" spans="1:16" x14ac:dyDescent="0.25">
      <c r="B169" s="17">
        <v>6590000011</v>
      </c>
      <c r="C169" s="160" t="s">
        <v>13</v>
      </c>
      <c r="D169" s="160" t="s">
        <v>38</v>
      </c>
      <c r="E169" s="160" t="s">
        <v>173</v>
      </c>
      <c r="F169" s="154">
        <v>0</v>
      </c>
      <c r="G169" s="161">
        <f>+VLOOKUP(B169,'5.3 Var OPEX 2023-25'!$B$4:$D$160,3,0)</f>
        <v>4.4009396000000096E-2</v>
      </c>
      <c r="H169" s="162" t="s">
        <v>190</v>
      </c>
      <c r="I169" s="297">
        <f t="shared" si="17"/>
        <v>0</v>
      </c>
      <c r="J169" s="158">
        <f t="shared" si="20"/>
        <v>0</v>
      </c>
      <c r="K169" s="158">
        <f t="shared" si="20"/>
        <v>0</v>
      </c>
      <c r="L169" s="158">
        <f t="shared" si="20"/>
        <v>0</v>
      </c>
      <c r="M169" s="158">
        <f t="shared" si="20"/>
        <v>0</v>
      </c>
      <c r="N169" s="158">
        <f t="shared" si="20"/>
        <v>0</v>
      </c>
      <c r="P169" s="2"/>
    </row>
    <row r="170" spans="1:16" x14ac:dyDescent="0.25">
      <c r="A170" s="37"/>
      <c r="B170" s="17">
        <v>6840000001</v>
      </c>
      <c r="C170" s="160" t="s">
        <v>13</v>
      </c>
      <c r="D170" s="160" t="s">
        <v>38</v>
      </c>
      <c r="E170" s="160" t="s">
        <v>174</v>
      </c>
      <c r="F170" s="154">
        <v>0</v>
      </c>
      <c r="G170" s="161">
        <f>+VLOOKUP(B170,'5.3 Var OPEX 2023-25'!$B$4:$D$160,3,0)</f>
        <v>4.4009396000000096E-2</v>
      </c>
      <c r="H170" s="162" t="s">
        <v>190</v>
      </c>
      <c r="I170" s="297">
        <f t="shared" si="17"/>
        <v>0</v>
      </c>
      <c r="J170" s="158">
        <f t="shared" si="20"/>
        <v>0</v>
      </c>
      <c r="K170" s="158">
        <f t="shared" si="20"/>
        <v>0</v>
      </c>
      <c r="L170" s="158">
        <f t="shared" si="20"/>
        <v>0</v>
      </c>
      <c r="M170" s="158">
        <f t="shared" si="20"/>
        <v>0</v>
      </c>
      <c r="N170" s="158">
        <f t="shared" si="20"/>
        <v>0</v>
      </c>
      <c r="P170" s="2"/>
    </row>
    <row r="171" spans="1:16" x14ac:dyDescent="0.25">
      <c r="A171" s="37"/>
      <c r="B171" s="17">
        <v>8710000001</v>
      </c>
      <c r="C171" s="160" t="s">
        <v>13</v>
      </c>
      <c r="D171" s="160" t="s">
        <v>14</v>
      </c>
      <c r="E171" s="160" t="s">
        <v>175</v>
      </c>
      <c r="F171" s="154">
        <v>0</v>
      </c>
      <c r="G171" s="161">
        <f>+VLOOKUP(B171,'5.3 Var OPEX 2023-25'!$B$4:$D$160,3,0)</f>
        <v>0</v>
      </c>
      <c r="H171" s="162" t="s">
        <v>190</v>
      </c>
      <c r="I171" s="297">
        <f t="shared" si="17"/>
        <v>0</v>
      </c>
      <c r="J171" s="158">
        <f t="shared" si="20"/>
        <v>0</v>
      </c>
      <c r="K171" s="158">
        <f t="shared" si="20"/>
        <v>0</v>
      </c>
      <c r="L171" s="158">
        <f t="shared" si="20"/>
        <v>0</v>
      </c>
      <c r="M171" s="158">
        <f t="shared" si="20"/>
        <v>0</v>
      </c>
      <c r="N171" s="158">
        <f t="shared" si="20"/>
        <v>0</v>
      </c>
      <c r="P171" s="2"/>
    </row>
    <row r="172" spans="1:16" x14ac:dyDescent="0.25">
      <c r="B172" s="17">
        <v>6211000001</v>
      </c>
      <c r="C172" s="160" t="s">
        <v>176</v>
      </c>
      <c r="D172" s="160" t="s">
        <v>14</v>
      </c>
      <c r="E172" s="160" t="s">
        <v>15</v>
      </c>
      <c r="F172" s="154">
        <v>5610675.7894375483</v>
      </c>
      <c r="G172" s="161">
        <f>+VLOOKUP(B172,'5.3 Var OPEX 2023-25'!$B$4:$D$160,3,0)</f>
        <v>0.39130162327539963</v>
      </c>
      <c r="H172" s="162" t="s">
        <v>190</v>
      </c>
      <c r="I172" s="297">
        <f t="shared" si="17"/>
        <v>7661380.1606763052</v>
      </c>
      <c r="J172" s="158">
        <f t="shared" si="20"/>
        <v>7852630.0065678637</v>
      </c>
      <c r="K172" s="158">
        <f t="shared" si="20"/>
        <v>7996132.1839223942</v>
      </c>
      <c r="L172" s="158">
        <f t="shared" si="20"/>
        <v>8141694.6209371258</v>
      </c>
      <c r="M172" s="158">
        <f t="shared" si="20"/>
        <v>8297640.0759325316</v>
      </c>
      <c r="N172" s="158">
        <f t="shared" si="20"/>
        <v>8444595.413913345</v>
      </c>
      <c r="P172" s="2"/>
    </row>
    <row r="173" spans="1:16" x14ac:dyDescent="0.25">
      <c r="B173" s="17">
        <v>6212000001</v>
      </c>
      <c r="C173" s="160" t="s">
        <v>176</v>
      </c>
      <c r="D173" s="160" t="s">
        <v>14</v>
      </c>
      <c r="E173" s="160" t="s">
        <v>16</v>
      </c>
      <c r="F173" s="154">
        <v>1067617.7738845646</v>
      </c>
      <c r="G173" s="161">
        <f>+VLOOKUP(B173,'5.3 Var OPEX 2023-25'!$B$4:$D$160,3,0)</f>
        <v>0.39130162327539963</v>
      </c>
      <c r="H173" s="162" t="s">
        <v>190</v>
      </c>
      <c r="I173" s="297">
        <f t="shared" si="17"/>
        <v>1457832.5212486684</v>
      </c>
      <c r="J173" s="158">
        <f t="shared" si="20"/>
        <v>1494224.1685990458</v>
      </c>
      <c r="K173" s="158">
        <f t="shared" si="20"/>
        <v>1521530.2331239735</v>
      </c>
      <c r="L173" s="158">
        <f t="shared" si="20"/>
        <v>1549228.3306079593</v>
      </c>
      <c r="M173" s="158">
        <f t="shared" si="20"/>
        <v>1578902.1427756555</v>
      </c>
      <c r="N173" s="158">
        <f t="shared" si="20"/>
        <v>1606865.2860196279</v>
      </c>
      <c r="P173" s="2"/>
    </row>
    <row r="174" spans="1:16" x14ac:dyDescent="0.25">
      <c r="B174" s="17">
        <v>6213000001</v>
      </c>
      <c r="C174" s="160" t="s">
        <v>176</v>
      </c>
      <c r="D174" s="160" t="s">
        <v>14</v>
      </c>
      <c r="E174" s="160" t="s">
        <v>17</v>
      </c>
      <c r="F174" s="154">
        <v>566810.7486170067</v>
      </c>
      <c r="G174" s="161">
        <f>+VLOOKUP(B174,'5.3 Var OPEX 2023-25'!$B$4:$D$160,3,0)</f>
        <v>0.39130162327539963</v>
      </c>
      <c r="H174" s="162" t="s">
        <v>190</v>
      </c>
      <c r="I174" s="297">
        <f t="shared" si="17"/>
        <v>773980.31668262661</v>
      </c>
      <c r="J174" s="158">
        <f t="shared" si="20"/>
        <v>793301.0674069433</v>
      </c>
      <c r="K174" s="158">
        <f t="shared" si="20"/>
        <v>807798.1760667623</v>
      </c>
      <c r="L174" s="158">
        <f t="shared" si="20"/>
        <v>822503.41960447654</v>
      </c>
      <c r="M174" s="158">
        <f t="shared" si="20"/>
        <v>838257.593149091</v>
      </c>
      <c r="N174" s="158">
        <f t="shared" si="20"/>
        <v>853103.55257718347</v>
      </c>
      <c r="P174" s="2"/>
    </row>
    <row r="175" spans="1:16" x14ac:dyDescent="0.25">
      <c r="B175" s="17">
        <v>6214000001</v>
      </c>
      <c r="C175" s="160" t="s">
        <v>176</v>
      </c>
      <c r="D175" s="160" t="s">
        <v>14</v>
      </c>
      <c r="E175" s="160" t="s">
        <v>18</v>
      </c>
      <c r="F175" s="154">
        <v>160278.06132253038</v>
      </c>
      <c r="G175" s="161">
        <f>+VLOOKUP(B175,'5.3 Var OPEX 2023-25'!$B$4:$D$160,3,0)</f>
        <v>0.39130162327539963</v>
      </c>
      <c r="H175" s="162" t="s">
        <v>190</v>
      </c>
      <c r="I175" s="297">
        <f t="shared" si="17"/>
        <v>218859.76044450654</v>
      </c>
      <c r="J175" s="158">
        <f t="shared" ref="J175:N184" si="21">+IF(OR($C175="No Imputables",$H175="m2 fijo"),I175,I175*(1+J$6*J$7))</f>
        <v>224323.12273420402</v>
      </c>
      <c r="K175" s="158">
        <f t="shared" si="21"/>
        <v>228422.49536686362</v>
      </c>
      <c r="L175" s="158">
        <f t="shared" si="21"/>
        <v>232580.72266098481</v>
      </c>
      <c r="M175" s="158">
        <f t="shared" si="21"/>
        <v>237035.55771771321</v>
      </c>
      <c r="N175" s="158">
        <f t="shared" si="21"/>
        <v>241233.57548892419</v>
      </c>
      <c r="P175" s="2"/>
    </row>
    <row r="176" spans="1:16" x14ac:dyDescent="0.25">
      <c r="B176" s="17">
        <v>6221000001</v>
      </c>
      <c r="C176" s="160" t="s">
        <v>176</v>
      </c>
      <c r="D176" s="160" t="s">
        <v>14</v>
      </c>
      <c r="E176" s="160" t="s">
        <v>19</v>
      </c>
      <c r="F176" s="154">
        <v>59421.733144107522</v>
      </c>
      <c r="G176" s="161">
        <f>+VLOOKUP(B176,'5.3 Var OPEX 2023-25'!$B$4:$D$160,3,0)</f>
        <v>0.39130162327539963</v>
      </c>
      <c r="H176" s="162" t="s">
        <v>190</v>
      </c>
      <c r="I176" s="297">
        <f t="shared" si="17"/>
        <v>81140.401710665334</v>
      </c>
      <c r="J176" s="158">
        <f t="shared" si="21"/>
        <v>83165.896986620166</v>
      </c>
      <c r="K176" s="158">
        <f t="shared" si="21"/>
        <v>84685.704654782385</v>
      </c>
      <c r="L176" s="158">
        <f t="shared" si="21"/>
        <v>86227.332189985667</v>
      </c>
      <c r="M176" s="158">
        <f t="shared" si="21"/>
        <v>87878.924539915839</v>
      </c>
      <c r="N176" s="158">
        <f t="shared" si="21"/>
        <v>89435.304057341753</v>
      </c>
      <c r="P176" s="2"/>
    </row>
    <row r="177" spans="2:16" x14ac:dyDescent="0.25">
      <c r="B177" s="17">
        <v>6231000001</v>
      </c>
      <c r="C177" s="160" t="s">
        <v>176</v>
      </c>
      <c r="D177" s="160" t="s">
        <v>14</v>
      </c>
      <c r="E177" s="160" t="s">
        <v>20</v>
      </c>
      <c r="F177" s="154">
        <v>0</v>
      </c>
      <c r="G177" s="161">
        <f>+VLOOKUP(B177,'5.3 Var OPEX 2023-25'!$B$4:$D$160,3,0)</f>
        <v>0.39130162327539963</v>
      </c>
      <c r="H177" s="162" t="s">
        <v>190</v>
      </c>
      <c r="I177" s="297">
        <f t="shared" si="17"/>
        <v>0</v>
      </c>
      <c r="J177" s="158">
        <f t="shared" si="21"/>
        <v>0</v>
      </c>
      <c r="K177" s="158">
        <f t="shared" si="21"/>
        <v>0</v>
      </c>
      <c r="L177" s="158">
        <f t="shared" si="21"/>
        <v>0</v>
      </c>
      <c r="M177" s="158">
        <f t="shared" si="21"/>
        <v>0</v>
      </c>
      <c r="N177" s="158">
        <f t="shared" si="21"/>
        <v>0</v>
      </c>
      <c r="P177" s="2"/>
    </row>
    <row r="178" spans="2:16" x14ac:dyDescent="0.25">
      <c r="B178" s="17">
        <v>6240000001</v>
      </c>
      <c r="C178" s="160" t="s">
        <v>176</v>
      </c>
      <c r="D178" s="160" t="s">
        <v>14</v>
      </c>
      <c r="E178" s="160" t="s">
        <v>21</v>
      </c>
      <c r="F178" s="154">
        <v>46638.24177122589</v>
      </c>
      <c r="G178" s="161">
        <f>+VLOOKUP(B178,'5.3 Var OPEX 2023-25'!$B$4:$D$160,3,0)</f>
        <v>0.39130162327539963</v>
      </c>
      <c r="H178" s="162" t="s">
        <v>190</v>
      </c>
      <c r="I178" s="297">
        <f t="shared" si="17"/>
        <v>63684.538840679379</v>
      </c>
      <c r="J178" s="158">
        <f t="shared" si="21"/>
        <v>65274.286116433905</v>
      </c>
      <c r="K178" s="158">
        <f t="shared" si="21"/>
        <v>66467.135158746649</v>
      </c>
      <c r="L178" s="158">
        <f t="shared" si="21"/>
        <v>67677.109925615587</v>
      </c>
      <c r="M178" s="158">
        <f t="shared" si="21"/>
        <v>68973.392602809574</v>
      </c>
      <c r="N178" s="158">
        <f t="shared" si="21"/>
        <v>70194.945734648703</v>
      </c>
      <c r="P178" s="2"/>
    </row>
    <row r="179" spans="2:16" x14ac:dyDescent="0.25">
      <c r="B179" s="17">
        <v>6250000001</v>
      </c>
      <c r="C179" s="160" t="s">
        <v>176</v>
      </c>
      <c r="D179" s="160" t="s">
        <v>14</v>
      </c>
      <c r="E179" s="160" t="s">
        <v>22</v>
      </c>
      <c r="F179" s="154">
        <v>25474.186583074217</v>
      </c>
      <c r="G179" s="161">
        <f>+VLOOKUP(B179,'5.3 Var OPEX 2023-25'!$B$4:$D$160,3,0)</f>
        <v>0.39130162327539963</v>
      </c>
      <c r="H179" s="162" t="s">
        <v>190</v>
      </c>
      <c r="I179" s="297">
        <f t="shared" si="17"/>
        <v>34785.01254061878</v>
      </c>
      <c r="J179" s="158">
        <f t="shared" si="21"/>
        <v>35653.345419056968</v>
      </c>
      <c r="K179" s="158">
        <f t="shared" si="21"/>
        <v>36304.889257659903</v>
      </c>
      <c r="L179" s="158">
        <f t="shared" si="21"/>
        <v>36965.787306158978</v>
      </c>
      <c r="M179" s="158">
        <f t="shared" si="21"/>
        <v>37673.827436514403</v>
      </c>
      <c r="N179" s="158">
        <f t="shared" si="21"/>
        <v>38341.049682032397</v>
      </c>
      <c r="P179" s="2"/>
    </row>
    <row r="180" spans="2:16" x14ac:dyDescent="0.25">
      <c r="B180" s="17">
        <v>6250000003</v>
      </c>
      <c r="C180" s="160" t="s">
        <v>176</v>
      </c>
      <c r="D180" s="160" t="s">
        <v>14</v>
      </c>
      <c r="E180" s="160" t="s">
        <v>23</v>
      </c>
      <c r="F180" s="154">
        <v>67465.884224211186</v>
      </c>
      <c r="G180" s="161">
        <f>+VLOOKUP(B180,'5.3 Var OPEX 2023-25'!$B$4:$D$160,3,0)</f>
        <v>0.39130162327539963</v>
      </c>
      <c r="H180" s="162" t="s">
        <v>190</v>
      </c>
      <c r="I180" s="297">
        <f t="shared" si="17"/>
        <v>92124.693408754552</v>
      </c>
      <c r="J180" s="158">
        <f t="shared" si="21"/>
        <v>94424.387856455229</v>
      </c>
      <c r="K180" s="158">
        <f t="shared" si="21"/>
        <v>96149.937798504805</v>
      </c>
      <c r="L180" s="158">
        <f t="shared" si="21"/>
        <v>97900.261447844459</v>
      </c>
      <c r="M180" s="158">
        <f t="shared" si="21"/>
        <v>99775.436276484252</v>
      </c>
      <c r="N180" s="158">
        <f t="shared" si="21"/>
        <v>101542.50894124382</v>
      </c>
      <c r="P180" s="2"/>
    </row>
    <row r="181" spans="2:16" x14ac:dyDescent="0.25">
      <c r="B181" s="17">
        <v>6250000004</v>
      </c>
      <c r="C181" s="160" t="s">
        <v>176</v>
      </c>
      <c r="D181" s="160" t="s">
        <v>14</v>
      </c>
      <c r="E181" s="160" t="s">
        <v>24</v>
      </c>
      <c r="F181" s="154">
        <v>41174.207858167567</v>
      </c>
      <c r="G181" s="161">
        <f>+VLOOKUP(B181,'5.3 Var OPEX 2023-25'!$B$4:$D$160,3,0)</f>
        <v>0.39130162327539963</v>
      </c>
      <c r="H181" s="162" t="s">
        <v>190</v>
      </c>
      <c r="I181" s="297">
        <f t="shared" si="17"/>
        <v>56223.398224146971</v>
      </c>
      <c r="J181" s="158">
        <f t="shared" si="21"/>
        <v>57626.894202725147</v>
      </c>
      <c r="K181" s="158">
        <f t="shared" si="21"/>
        <v>58679.991672662429</v>
      </c>
      <c r="L181" s="158">
        <f t="shared" si="21"/>
        <v>59748.208454902633</v>
      </c>
      <c r="M181" s="158">
        <f t="shared" si="21"/>
        <v>60892.621502365684</v>
      </c>
      <c r="N181" s="158">
        <f t="shared" si="21"/>
        <v>61971.060153780949</v>
      </c>
      <c r="P181" s="2"/>
    </row>
    <row r="182" spans="2:16" x14ac:dyDescent="0.25">
      <c r="B182" s="17">
        <v>6250000005</v>
      </c>
      <c r="C182" s="160" t="s">
        <v>176</v>
      </c>
      <c r="D182" s="160" t="s">
        <v>14</v>
      </c>
      <c r="E182" s="160" t="s">
        <v>25</v>
      </c>
      <c r="F182" s="154">
        <v>16242.997594558161</v>
      </c>
      <c r="G182" s="161">
        <f>+VLOOKUP(B182,'5.3 Var OPEX 2023-25'!$B$4:$D$160,3,0)</f>
        <v>0.39130162327539963</v>
      </c>
      <c r="H182" s="162" t="s">
        <v>190</v>
      </c>
      <c r="I182" s="297">
        <f t="shared" si="17"/>
        <v>22179.820077134758</v>
      </c>
      <c r="J182" s="158">
        <f t="shared" si="21"/>
        <v>22733.491489164007</v>
      </c>
      <c r="K182" s="158">
        <f t="shared" si="21"/>
        <v>23148.932624788271</v>
      </c>
      <c r="L182" s="158">
        <f t="shared" si="21"/>
        <v>23570.338245611951</v>
      </c>
      <c r="M182" s="158">
        <f t="shared" si="21"/>
        <v>24021.802872233442</v>
      </c>
      <c r="N182" s="158">
        <f t="shared" si="21"/>
        <v>24447.240963991215</v>
      </c>
      <c r="P182" s="2"/>
    </row>
    <row r="183" spans="2:16" x14ac:dyDescent="0.25">
      <c r="B183" s="17">
        <v>6250000006</v>
      </c>
      <c r="C183" s="160" t="s">
        <v>176</v>
      </c>
      <c r="D183" s="160" t="s">
        <v>14</v>
      </c>
      <c r="E183" s="160" t="s">
        <v>26</v>
      </c>
      <c r="F183" s="154">
        <v>20187.15725321525</v>
      </c>
      <c r="G183" s="161">
        <f>+VLOOKUP(B183,'5.3 Var OPEX 2023-25'!$B$4:$D$160,3,0)</f>
        <v>0.39130162327539963</v>
      </c>
      <c r="H183" s="162" t="s">
        <v>190</v>
      </c>
      <c r="I183" s="297">
        <f t="shared" si="17"/>
        <v>27565.57175721971</v>
      </c>
      <c r="J183" s="158">
        <f t="shared" si="21"/>
        <v>28253.686853966923</v>
      </c>
      <c r="K183" s="158">
        <f t="shared" si="21"/>
        <v>28770.006300884223</v>
      </c>
      <c r="L183" s="158">
        <f t="shared" si="21"/>
        <v>29293.738542142848</v>
      </c>
      <c r="M183" s="158">
        <f t="shared" si="21"/>
        <v>29854.828781725566</v>
      </c>
      <c r="N183" s="158">
        <f t="shared" si="21"/>
        <v>30383.572667195283</v>
      </c>
      <c r="P183" s="2"/>
    </row>
    <row r="184" spans="2:16" x14ac:dyDescent="0.25">
      <c r="B184" s="17">
        <v>6250000007</v>
      </c>
      <c r="C184" s="160" t="s">
        <v>176</v>
      </c>
      <c r="D184" s="160" t="s">
        <v>14</v>
      </c>
      <c r="E184" s="160" t="s">
        <v>27</v>
      </c>
      <c r="F184" s="154">
        <v>0</v>
      </c>
      <c r="G184" s="161">
        <f>+VLOOKUP(B184,'5.3 Var OPEX 2023-25'!$B$4:$D$160,3,0)</f>
        <v>0.39130162327539963</v>
      </c>
      <c r="H184" s="162" t="s">
        <v>190</v>
      </c>
      <c r="I184" s="297">
        <f t="shared" si="17"/>
        <v>0</v>
      </c>
      <c r="J184" s="158">
        <f t="shared" si="21"/>
        <v>0</v>
      </c>
      <c r="K184" s="158">
        <f t="shared" si="21"/>
        <v>0</v>
      </c>
      <c r="L184" s="158">
        <f t="shared" si="21"/>
        <v>0</v>
      </c>
      <c r="M184" s="158">
        <f t="shared" si="21"/>
        <v>0</v>
      </c>
      <c r="N184" s="158">
        <f t="shared" si="21"/>
        <v>0</v>
      </c>
      <c r="P184" s="2"/>
    </row>
    <row r="185" spans="2:16" x14ac:dyDescent="0.25">
      <c r="B185" s="17">
        <v>6250000008</v>
      </c>
      <c r="C185" s="160" t="s">
        <v>176</v>
      </c>
      <c r="D185" s="160" t="s">
        <v>14</v>
      </c>
      <c r="E185" s="160" t="s">
        <v>28</v>
      </c>
      <c r="F185" s="154">
        <v>27708.164989595643</v>
      </c>
      <c r="G185" s="161">
        <f>+VLOOKUP(B185,'5.3 Var OPEX 2023-25'!$B$4:$D$160,3,0)</f>
        <v>0.39130162327539963</v>
      </c>
      <c r="H185" s="162" t="s">
        <v>190</v>
      </c>
      <c r="I185" s="297">
        <f t="shared" si="17"/>
        <v>37835.510998455764</v>
      </c>
      <c r="J185" s="158">
        <f t="shared" ref="J185:N194" si="22">+IF(OR($C185="No Imputables",$H185="m2 fijo"),I185,I185*(1+J$6*J$7))</f>
        <v>38779.992997250651</v>
      </c>
      <c r="K185" s="158">
        <f t="shared" si="22"/>
        <v>39488.674474442923</v>
      </c>
      <c r="L185" s="158">
        <f t="shared" si="22"/>
        <v>40207.530486170544</v>
      </c>
      <c r="M185" s="158">
        <f t="shared" si="22"/>
        <v>40977.662740920452</v>
      </c>
      <c r="N185" s="158">
        <f t="shared" si="22"/>
        <v>41703.397554993957</v>
      </c>
      <c r="P185" s="2"/>
    </row>
    <row r="186" spans="2:16" x14ac:dyDescent="0.25">
      <c r="B186" s="17">
        <v>6250000009</v>
      </c>
      <c r="C186" s="160" t="s">
        <v>176</v>
      </c>
      <c r="D186" s="160" t="s">
        <v>14</v>
      </c>
      <c r="E186" s="160" t="s">
        <v>29</v>
      </c>
      <c r="F186" s="154">
        <v>0</v>
      </c>
      <c r="G186" s="161">
        <f>+VLOOKUP(B186,'5.3 Var OPEX 2023-25'!$B$4:$D$160,3,0)</f>
        <v>0.39130162327539963</v>
      </c>
      <c r="H186" s="162" t="s">
        <v>190</v>
      </c>
      <c r="I186" s="297">
        <f t="shared" si="17"/>
        <v>0</v>
      </c>
      <c r="J186" s="158">
        <f t="shared" si="22"/>
        <v>0</v>
      </c>
      <c r="K186" s="158">
        <f t="shared" si="22"/>
        <v>0</v>
      </c>
      <c r="L186" s="158">
        <f t="shared" si="22"/>
        <v>0</v>
      </c>
      <c r="M186" s="158">
        <f t="shared" si="22"/>
        <v>0</v>
      </c>
      <c r="N186" s="158">
        <f t="shared" si="22"/>
        <v>0</v>
      </c>
      <c r="P186" s="2"/>
    </row>
    <row r="187" spans="2:16" x14ac:dyDescent="0.25">
      <c r="B187" s="17">
        <v>6270000001</v>
      </c>
      <c r="C187" s="160" t="s">
        <v>176</v>
      </c>
      <c r="D187" s="160" t="s">
        <v>14</v>
      </c>
      <c r="E187" s="160" t="s">
        <v>30</v>
      </c>
      <c r="F187" s="154">
        <v>247905.62686987402</v>
      </c>
      <c r="G187" s="161">
        <f>+VLOOKUP(B187,'5.3 Var OPEX 2023-25'!$B$4:$D$160,3,0)</f>
        <v>0.39130162327539963</v>
      </c>
      <c r="H187" s="162" t="s">
        <v>190</v>
      </c>
      <c r="I187" s="297">
        <f t="shared" si="17"/>
        <v>338515.23821719061</v>
      </c>
      <c r="J187" s="158">
        <f t="shared" si="22"/>
        <v>346965.54165902722</v>
      </c>
      <c r="K187" s="158">
        <f t="shared" si="22"/>
        <v>353306.13209222222</v>
      </c>
      <c r="L187" s="158">
        <f t="shared" si="22"/>
        <v>359737.75433366012</v>
      </c>
      <c r="M187" s="158">
        <f t="shared" si="22"/>
        <v>366628.1463700211</v>
      </c>
      <c r="N187" s="158">
        <f t="shared" si="22"/>
        <v>373121.31342354993</v>
      </c>
      <c r="P187" s="2"/>
    </row>
    <row r="188" spans="2:16" x14ac:dyDescent="0.25">
      <c r="B188" s="17">
        <v>6270000002</v>
      </c>
      <c r="C188" s="160" t="s">
        <v>176</v>
      </c>
      <c r="D188" s="160" t="s">
        <v>14</v>
      </c>
      <c r="E188" s="160" t="s">
        <v>31</v>
      </c>
      <c r="F188" s="154">
        <v>503996.0508754875</v>
      </c>
      <c r="G188" s="161">
        <f>+VLOOKUP(B188,'5.3 Var OPEX 2023-25'!$B$4:$D$160,3,0)</f>
        <v>0.39130162327539963</v>
      </c>
      <c r="H188" s="162" t="s">
        <v>190</v>
      </c>
      <c r="I188" s="297">
        <f t="shared" si="17"/>
        <v>688206.82038085628</v>
      </c>
      <c r="J188" s="158">
        <f t="shared" si="22"/>
        <v>705386.42060679512</v>
      </c>
      <c r="K188" s="158">
        <f t="shared" si="22"/>
        <v>718276.94099916436</v>
      </c>
      <c r="L188" s="158">
        <f t="shared" si="22"/>
        <v>731352.530493989</v>
      </c>
      <c r="M188" s="158">
        <f t="shared" si="22"/>
        <v>745360.80622035114</v>
      </c>
      <c r="N188" s="158">
        <f t="shared" si="22"/>
        <v>758561.5172892093</v>
      </c>
      <c r="P188" s="2"/>
    </row>
    <row r="189" spans="2:16" x14ac:dyDescent="0.25">
      <c r="B189" s="17">
        <v>6270000003</v>
      </c>
      <c r="C189" s="160" t="s">
        <v>176</v>
      </c>
      <c r="D189" s="160" t="s">
        <v>14</v>
      </c>
      <c r="E189" s="160" t="s">
        <v>32</v>
      </c>
      <c r="F189" s="154">
        <v>12764.390821994753</v>
      </c>
      <c r="G189" s="161">
        <f>+VLOOKUP(B189,'5.3 Var OPEX 2023-25'!$B$4:$D$160,3,0)</f>
        <v>0.39130162327539963</v>
      </c>
      <c r="H189" s="162" t="s">
        <v>190</v>
      </c>
      <c r="I189" s="297">
        <f t="shared" si="17"/>
        <v>17429.781059680998</v>
      </c>
      <c r="J189" s="158">
        <f t="shared" si="22"/>
        <v>17864.877983691793</v>
      </c>
      <c r="K189" s="158">
        <f t="shared" si="22"/>
        <v>18191.348081823064</v>
      </c>
      <c r="L189" s="158">
        <f t="shared" si="22"/>
        <v>18522.50530865051</v>
      </c>
      <c r="M189" s="158">
        <f t="shared" si="22"/>
        <v>18877.28409273611</v>
      </c>
      <c r="N189" s="158">
        <f t="shared" si="22"/>
        <v>19211.610194931633</v>
      </c>
      <c r="P189" s="2"/>
    </row>
    <row r="190" spans="2:16" x14ac:dyDescent="0.25">
      <c r="B190" s="17">
        <v>6270000004</v>
      </c>
      <c r="C190" s="160" t="s">
        <v>176</v>
      </c>
      <c r="D190" s="160" t="s">
        <v>14</v>
      </c>
      <c r="E190" s="160" t="s">
        <v>33</v>
      </c>
      <c r="F190" s="154">
        <v>15659.687656879058</v>
      </c>
      <c r="G190" s="161">
        <f>+VLOOKUP(B190,'5.3 Var OPEX 2023-25'!$B$4:$D$160,3,0)</f>
        <v>0.39130162327539963</v>
      </c>
      <c r="H190" s="162" t="s">
        <v>190</v>
      </c>
      <c r="I190" s="297">
        <f t="shared" si="17"/>
        <v>21383.310110817845</v>
      </c>
      <c r="J190" s="158">
        <f t="shared" si="22"/>
        <v>21917.098367969716</v>
      </c>
      <c r="K190" s="158">
        <f t="shared" si="22"/>
        <v>22317.620401284224</v>
      </c>
      <c r="L190" s="158">
        <f t="shared" si="22"/>
        <v>22723.892726360657</v>
      </c>
      <c r="M190" s="158">
        <f t="shared" si="22"/>
        <v>23159.144594118774</v>
      </c>
      <c r="N190" s="158">
        <f t="shared" si="22"/>
        <v>23569.304578166139</v>
      </c>
      <c r="P190" s="2"/>
    </row>
    <row r="191" spans="2:16" x14ac:dyDescent="0.25">
      <c r="B191" s="17">
        <v>6270000005</v>
      </c>
      <c r="C191" s="160" t="s">
        <v>176</v>
      </c>
      <c r="D191" s="160" t="s">
        <v>14</v>
      </c>
      <c r="E191" s="160" t="s">
        <v>34</v>
      </c>
      <c r="F191" s="154">
        <v>28873.135403427073</v>
      </c>
      <c r="G191" s="161">
        <f>+VLOOKUP(B191,'5.3 Var OPEX 2023-25'!$B$4:$D$160,3,0)</f>
        <v>0.39130162327539963</v>
      </c>
      <c r="H191" s="162" t="s">
        <v>190</v>
      </c>
      <c r="I191" s="297">
        <f t="shared" si="17"/>
        <v>39426.278590677968</v>
      </c>
      <c r="J191" s="158">
        <f t="shared" si="22"/>
        <v>40410.470674402895</v>
      </c>
      <c r="K191" s="158">
        <f t="shared" si="22"/>
        <v>41148.948168547911</v>
      </c>
      <c r="L191" s="158">
        <f t="shared" si="22"/>
        <v>41898.027978415252</v>
      </c>
      <c r="M191" s="158">
        <f t="shared" si="22"/>
        <v>42700.539905072626</v>
      </c>
      <c r="N191" s="158">
        <f t="shared" si="22"/>
        <v>43456.787731718439</v>
      </c>
      <c r="P191" s="2"/>
    </row>
    <row r="192" spans="2:16" x14ac:dyDescent="0.25">
      <c r="B192" s="17">
        <v>6270000006</v>
      </c>
      <c r="C192" s="160" t="s">
        <v>176</v>
      </c>
      <c r="D192" s="160" t="s">
        <v>14</v>
      </c>
      <c r="E192" s="160" t="s">
        <v>35</v>
      </c>
      <c r="F192" s="154">
        <v>142967.63661312277</v>
      </c>
      <c r="G192" s="161">
        <f>+VLOOKUP(B192,'5.3 Var OPEX 2023-25'!$B$4:$D$160,3,0)</f>
        <v>0.39130162327539963</v>
      </c>
      <c r="H192" s="162" t="s">
        <v>190</v>
      </c>
      <c r="I192" s="297">
        <f t="shared" si="17"/>
        <v>195222.36819111611</v>
      </c>
      <c r="J192" s="158">
        <f t="shared" si="22"/>
        <v>200095.67392038569</v>
      </c>
      <c r="K192" s="158">
        <f t="shared" si="22"/>
        <v>203752.30422931162</v>
      </c>
      <c r="L192" s="158">
        <f t="shared" si="22"/>
        <v>207461.43275155136</v>
      </c>
      <c r="M192" s="158">
        <f t="shared" si="22"/>
        <v>211435.13466874702</v>
      </c>
      <c r="N192" s="158">
        <f t="shared" si="22"/>
        <v>215179.7561987153</v>
      </c>
      <c r="P192" s="2"/>
    </row>
    <row r="193" spans="2:16" x14ac:dyDescent="0.25">
      <c r="B193" s="17">
        <v>6270000007</v>
      </c>
      <c r="C193" s="160" t="s">
        <v>176</v>
      </c>
      <c r="D193" s="160" t="s">
        <v>14</v>
      </c>
      <c r="E193" s="160" t="s">
        <v>36</v>
      </c>
      <c r="F193" s="154">
        <v>12628.609560177694</v>
      </c>
      <c r="G193" s="161">
        <f>+VLOOKUP(B193,'5.3 Var OPEX 2023-25'!$B$4:$D$160,3,0)</f>
        <v>0.39130162327539963</v>
      </c>
      <c r="H193" s="162" t="s">
        <v>190</v>
      </c>
      <c r="I193" s="297">
        <f t="shared" si="17"/>
        <v>17244.371689309752</v>
      </c>
      <c r="J193" s="158">
        <f t="shared" si="22"/>
        <v>17674.840267935422</v>
      </c>
      <c r="K193" s="158">
        <f t="shared" si="22"/>
        <v>17997.837539005224</v>
      </c>
      <c r="L193" s="158">
        <f t="shared" si="22"/>
        <v>18325.472079419702</v>
      </c>
      <c r="M193" s="158">
        <f t="shared" si="22"/>
        <v>18676.476902676237</v>
      </c>
      <c r="N193" s="158">
        <f t="shared" si="22"/>
        <v>19007.246609533544</v>
      </c>
      <c r="P193" s="2"/>
    </row>
    <row r="194" spans="2:16" x14ac:dyDescent="0.25">
      <c r="B194" s="17">
        <v>6290000001</v>
      </c>
      <c r="C194" s="160" t="s">
        <v>176</v>
      </c>
      <c r="D194" s="160" t="s">
        <v>14</v>
      </c>
      <c r="E194" s="160" t="s">
        <v>37</v>
      </c>
      <c r="F194" s="154">
        <v>575906.2731901143</v>
      </c>
      <c r="G194" s="161">
        <f>+VLOOKUP(B194,'5.3 Var OPEX 2023-25'!$B$4:$D$160,3,0)</f>
        <v>0.39130162327539963</v>
      </c>
      <c r="H194" s="162" t="s">
        <v>190</v>
      </c>
      <c r="I194" s="297">
        <f t="shared" si="17"/>
        <v>786400.25932955963</v>
      </c>
      <c r="J194" s="158">
        <f t="shared" si="22"/>
        <v>806031.0471578174</v>
      </c>
      <c r="K194" s="158">
        <f t="shared" si="22"/>
        <v>820760.78868209093</v>
      </c>
      <c r="L194" s="158">
        <f t="shared" si="22"/>
        <v>835702.00499251136</v>
      </c>
      <c r="M194" s="158">
        <f t="shared" si="22"/>
        <v>851708.98332770832</v>
      </c>
      <c r="N194" s="158">
        <f t="shared" si="22"/>
        <v>866793.17357467464</v>
      </c>
      <c r="P194" s="2"/>
    </row>
    <row r="195" spans="2:16" x14ac:dyDescent="0.25">
      <c r="B195" s="17">
        <v>6310000001</v>
      </c>
      <c r="C195" s="160" t="s">
        <v>176</v>
      </c>
      <c r="D195" s="160" t="s">
        <v>38</v>
      </c>
      <c r="E195" s="160" t="s">
        <v>39</v>
      </c>
      <c r="F195" s="154">
        <v>58511.95</v>
      </c>
      <c r="G195" s="161">
        <f>+VLOOKUP(B195,'5.3 Var OPEX 2023-25'!$B$4:$D$160,3,0)</f>
        <v>4.4009396000000096E-2</v>
      </c>
      <c r="H195" s="162" t="s">
        <v>190</v>
      </c>
      <c r="I195" s="297">
        <f t="shared" si="17"/>
        <v>59954.188105272689</v>
      </c>
      <c r="J195" s="158">
        <f t="shared" ref="J195:N204" si="23">+IF(OR($C195="No Imputables",$H195="m2 fijo"),I195,I195*(1+J$6*J$7))</f>
        <v>61450.815213602313</v>
      </c>
      <c r="K195" s="158">
        <f t="shared" si="23"/>
        <v>62573.792582456728</v>
      </c>
      <c r="L195" s="158">
        <f t="shared" si="23"/>
        <v>63712.892528787124</v>
      </c>
      <c r="M195" s="158">
        <f t="shared" si="23"/>
        <v>64933.244860465646</v>
      </c>
      <c r="N195" s="158">
        <f t="shared" si="23"/>
        <v>66083.244963788791</v>
      </c>
      <c r="P195" s="2"/>
    </row>
    <row r="196" spans="2:16" x14ac:dyDescent="0.25">
      <c r="B196" s="17">
        <v>6311300001</v>
      </c>
      <c r="C196" s="160" t="s">
        <v>176</v>
      </c>
      <c r="D196" s="160" t="s">
        <v>40</v>
      </c>
      <c r="E196" s="160" t="s">
        <v>41</v>
      </c>
      <c r="F196" s="154">
        <v>0</v>
      </c>
      <c r="G196" s="161">
        <f>+VLOOKUP(B196,'5.3 Var OPEX 2023-25'!$B$4:$D$160,3,0)</f>
        <v>4.4009396000000096E-2</v>
      </c>
      <c r="H196" s="162" t="s">
        <v>190</v>
      </c>
      <c r="I196" s="297">
        <f t="shared" si="17"/>
        <v>0</v>
      </c>
      <c r="J196" s="158">
        <f t="shared" si="23"/>
        <v>0</v>
      </c>
      <c r="K196" s="158">
        <f t="shared" si="23"/>
        <v>0</v>
      </c>
      <c r="L196" s="158">
        <f t="shared" si="23"/>
        <v>0</v>
      </c>
      <c r="M196" s="158">
        <f t="shared" si="23"/>
        <v>0</v>
      </c>
      <c r="N196" s="158">
        <f t="shared" si="23"/>
        <v>0</v>
      </c>
      <c r="P196" s="2"/>
    </row>
    <row r="197" spans="2:16" x14ac:dyDescent="0.25">
      <c r="B197" s="17">
        <v>6311300002</v>
      </c>
      <c r="C197" s="160" t="s">
        <v>176</v>
      </c>
      <c r="D197" s="160" t="s">
        <v>40</v>
      </c>
      <c r="E197" s="160" t="s">
        <v>42</v>
      </c>
      <c r="F197" s="154">
        <v>193.92000000000002</v>
      </c>
      <c r="G197" s="161">
        <f>+VLOOKUP(B197,'5.3 Var OPEX 2023-25'!$B$4:$D$160,3,0)</f>
        <v>4.4009396000000096E-2</v>
      </c>
      <c r="H197" s="162" t="s">
        <v>190</v>
      </c>
      <c r="I197" s="297">
        <f t="shared" si="17"/>
        <v>198.69985801831049</v>
      </c>
      <c r="J197" s="158">
        <f t="shared" si="23"/>
        <v>203.6599717873317</v>
      </c>
      <c r="K197" s="158">
        <f t="shared" si="23"/>
        <v>207.38173753549509</v>
      </c>
      <c r="L197" s="158">
        <f t="shared" si="23"/>
        <v>211.15693664597407</v>
      </c>
      <c r="M197" s="158">
        <f t="shared" si="23"/>
        <v>215.20142198886725</v>
      </c>
      <c r="N197" s="158">
        <f t="shared" si="23"/>
        <v>219.01274634289106</v>
      </c>
      <c r="P197" s="2"/>
    </row>
    <row r="198" spans="2:16" x14ac:dyDescent="0.25">
      <c r="B198" s="17">
        <v>6320000001</v>
      </c>
      <c r="C198" s="160" t="s">
        <v>176</v>
      </c>
      <c r="D198" s="160" t="s">
        <v>40</v>
      </c>
      <c r="E198" s="160" t="s">
        <v>43</v>
      </c>
      <c r="F198" s="154">
        <v>155472.39184712523</v>
      </c>
      <c r="G198" s="161">
        <f>+VLOOKUP(B198,'5.3 Var OPEX 2023-25'!$B$4:$D$160,3,0)</f>
        <v>0.34886581637258263</v>
      </c>
      <c r="H198" s="162" t="s">
        <v>190</v>
      </c>
      <c r="I198" s="297">
        <f t="shared" si="17"/>
        <v>205822.37045875643</v>
      </c>
      <c r="J198" s="158">
        <f t="shared" si="23"/>
        <v>210960.2824022616</v>
      </c>
      <c r="K198" s="158">
        <f t="shared" si="23"/>
        <v>214815.45701697422</v>
      </c>
      <c r="L198" s="158">
        <f t="shared" si="23"/>
        <v>218725.98034407679</v>
      </c>
      <c r="M198" s="158">
        <f t="shared" si="23"/>
        <v>222915.44262584278</v>
      </c>
      <c r="N198" s="158">
        <f t="shared" si="23"/>
        <v>226863.3861269402</v>
      </c>
      <c r="P198" s="2"/>
    </row>
    <row r="199" spans="2:16" x14ac:dyDescent="0.25">
      <c r="B199" s="17">
        <v>6320000002</v>
      </c>
      <c r="C199" s="160" t="s">
        <v>176</v>
      </c>
      <c r="D199" s="160" t="s">
        <v>40</v>
      </c>
      <c r="E199" s="160" t="s">
        <v>44</v>
      </c>
      <c r="F199" s="154">
        <v>20996.050000000003</v>
      </c>
      <c r="G199" s="161">
        <f>+VLOOKUP(B199,'5.3 Var OPEX 2023-25'!$B$4:$D$160,3,0)</f>
        <v>4.4009396000000096E-2</v>
      </c>
      <c r="H199" s="162" t="s">
        <v>190</v>
      </c>
      <c r="I199" s="297">
        <f t="shared" si="17"/>
        <v>21513.573401120815</v>
      </c>
      <c r="J199" s="158">
        <f t="shared" si="23"/>
        <v>22050.613400605434</v>
      </c>
      <c r="K199" s="158">
        <f t="shared" si="23"/>
        <v>22453.575342317097</v>
      </c>
      <c r="L199" s="158">
        <f t="shared" si="23"/>
        <v>22862.32260553684</v>
      </c>
      <c r="M199" s="158">
        <f t="shared" si="23"/>
        <v>23300.22594961508</v>
      </c>
      <c r="N199" s="158">
        <f t="shared" si="23"/>
        <v>23712.884554726992</v>
      </c>
      <c r="P199" s="2"/>
    </row>
    <row r="200" spans="2:16" x14ac:dyDescent="0.25">
      <c r="B200" s="17">
        <v>6320000003</v>
      </c>
      <c r="C200" s="160" t="s">
        <v>176</v>
      </c>
      <c r="D200" s="160" t="s">
        <v>40</v>
      </c>
      <c r="E200" s="160" t="s">
        <v>45</v>
      </c>
      <c r="F200" s="154">
        <v>0</v>
      </c>
      <c r="G200" s="161">
        <f>+VLOOKUP(B200,'5.3 Var OPEX 2023-25'!$B$4:$D$160,3,0)</f>
        <v>4.4009396000000096E-2</v>
      </c>
      <c r="H200" s="162" t="s">
        <v>190</v>
      </c>
      <c r="I200" s="297">
        <f t="shared" si="17"/>
        <v>0</v>
      </c>
      <c r="J200" s="158">
        <f t="shared" si="23"/>
        <v>0</v>
      </c>
      <c r="K200" s="158">
        <f t="shared" si="23"/>
        <v>0</v>
      </c>
      <c r="L200" s="158">
        <f t="shared" si="23"/>
        <v>0</v>
      </c>
      <c r="M200" s="158">
        <f t="shared" si="23"/>
        <v>0</v>
      </c>
      <c r="N200" s="158">
        <f t="shared" si="23"/>
        <v>0</v>
      </c>
      <c r="P200" s="2"/>
    </row>
    <row r="201" spans="2:16" x14ac:dyDescent="0.25">
      <c r="B201" s="17">
        <v>6320000004</v>
      </c>
      <c r="C201" s="160" t="s">
        <v>176</v>
      </c>
      <c r="D201" s="160" t="s">
        <v>40</v>
      </c>
      <c r="E201" s="160" t="s">
        <v>46</v>
      </c>
      <c r="F201" s="154">
        <v>578586.58375994535</v>
      </c>
      <c r="G201" s="161">
        <f>+VLOOKUP(B201,'5.3 Var OPEX 2023-25'!$B$4:$D$160,3,0)</f>
        <v>4.4009396000000096E-2</v>
      </c>
      <c r="H201" s="162" t="s">
        <v>190</v>
      </c>
      <c r="I201" s="297">
        <f t="shared" si="17"/>
        <v>592847.93752269202</v>
      </c>
      <c r="J201" s="158">
        <f t="shared" si="23"/>
        <v>607647.10873081209</v>
      </c>
      <c r="K201" s="158">
        <f t="shared" si="23"/>
        <v>618751.5009017312</v>
      </c>
      <c r="L201" s="158">
        <f t="shared" si="23"/>
        <v>630015.31874592276</v>
      </c>
      <c r="M201" s="158">
        <f t="shared" si="23"/>
        <v>642082.5885355873</v>
      </c>
      <c r="N201" s="158">
        <f t="shared" si="23"/>
        <v>653454.19093655539</v>
      </c>
      <c r="P201" s="2"/>
    </row>
    <row r="202" spans="2:16" x14ac:dyDescent="0.25">
      <c r="B202" s="17">
        <v>6320000005</v>
      </c>
      <c r="C202" s="160" t="s">
        <v>176</v>
      </c>
      <c r="D202" s="160" t="s">
        <v>40</v>
      </c>
      <c r="E202" s="160" t="s">
        <v>47</v>
      </c>
      <c r="F202" s="154">
        <v>0</v>
      </c>
      <c r="G202" s="161">
        <f>+VLOOKUP(B202,'5.3 Var OPEX 2023-25'!$B$4:$D$160,3,0)</f>
        <v>4.4009396000000096E-2</v>
      </c>
      <c r="H202" s="162" t="s">
        <v>190</v>
      </c>
      <c r="I202" s="297">
        <f t="shared" si="17"/>
        <v>0</v>
      </c>
      <c r="J202" s="158">
        <f t="shared" si="23"/>
        <v>0</v>
      </c>
      <c r="K202" s="158">
        <f t="shared" si="23"/>
        <v>0</v>
      </c>
      <c r="L202" s="158">
        <f t="shared" si="23"/>
        <v>0</v>
      </c>
      <c r="M202" s="158">
        <f t="shared" si="23"/>
        <v>0</v>
      </c>
      <c r="N202" s="158">
        <f t="shared" si="23"/>
        <v>0</v>
      </c>
      <c r="P202" s="2"/>
    </row>
    <row r="203" spans="2:16" x14ac:dyDescent="0.25">
      <c r="B203" s="17">
        <v>6320000006</v>
      </c>
      <c r="C203" s="160" t="s">
        <v>176</v>
      </c>
      <c r="D203" s="160" t="s">
        <v>40</v>
      </c>
      <c r="E203" s="160" t="s">
        <v>48</v>
      </c>
      <c r="F203" s="154">
        <v>0</v>
      </c>
      <c r="G203" s="161">
        <f>+VLOOKUP(B203,'5.3 Var OPEX 2023-25'!$B$4:$D$160,3,0)</f>
        <v>4.4009396000000096E-2</v>
      </c>
      <c r="H203" s="162" t="s">
        <v>190</v>
      </c>
      <c r="I203" s="297">
        <f t="shared" si="17"/>
        <v>0</v>
      </c>
      <c r="J203" s="158">
        <f t="shared" si="23"/>
        <v>0</v>
      </c>
      <c r="K203" s="158">
        <f t="shared" si="23"/>
        <v>0</v>
      </c>
      <c r="L203" s="158">
        <f t="shared" si="23"/>
        <v>0</v>
      </c>
      <c r="M203" s="158">
        <f t="shared" si="23"/>
        <v>0</v>
      </c>
      <c r="N203" s="158">
        <f t="shared" si="23"/>
        <v>0</v>
      </c>
      <c r="P203" s="2"/>
    </row>
    <row r="204" spans="2:16" x14ac:dyDescent="0.25">
      <c r="B204" s="17">
        <v>6320000007</v>
      </c>
      <c r="C204" s="160" t="s">
        <v>176</v>
      </c>
      <c r="D204" s="160" t="s">
        <v>49</v>
      </c>
      <c r="E204" s="160" t="s">
        <v>50</v>
      </c>
      <c r="F204" s="154">
        <v>0</v>
      </c>
      <c r="G204" s="161">
        <f>+VLOOKUP(B204,'5.3 Var OPEX 2023-25'!$B$4:$D$160,3,0)</f>
        <v>1.0054865169395515</v>
      </c>
      <c r="H204" s="162" t="s">
        <v>190</v>
      </c>
      <c r="I204" s="297">
        <f t="shared" si="17"/>
        <v>0</v>
      </c>
      <c r="J204" s="158">
        <f t="shared" si="23"/>
        <v>0</v>
      </c>
      <c r="K204" s="158">
        <f t="shared" si="23"/>
        <v>0</v>
      </c>
      <c r="L204" s="158">
        <f t="shared" si="23"/>
        <v>0</v>
      </c>
      <c r="M204" s="158">
        <f t="shared" si="23"/>
        <v>0</v>
      </c>
      <c r="N204" s="158">
        <f t="shared" si="23"/>
        <v>0</v>
      </c>
      <c r="P204" s="2"/>
    </row>
    <row r="205" spans="2:16" x14ac:dyDescent="0.25">
      <c r="B205" s="17">
        <v>6329000003</v>
      </c>
      <c r="C205" s="160" t="s">
        <v>176</v>
      </c>
      <c r="D205" s="160" t="s">
        <v>40</v>
      </c>
      <c r="E205" s="160" t="s">
        <v>51</v>
      </c>
      <c r="F205" s="154">
        <v>0</v>
      </c>
      <c r="G205" s="161">
        <f>+VLOOKUP(B205,'5.3 Var OPEX 2023-25'!$B$4:$D$160,3,0)</f>
        <v>4.4009396000000096E-2</v>
      </c>
      <c r="H205" s="162" t="s">
        <v>190</v>
      </c>
      <c r="I205" s="297">
        <f t="shared" si="17"/>
        <v>0</v>
      </c>
      <c r="J205" s="158">
        <f t="shared" ref="J205:N214" si="24">+IF(OR($C205="No Imputables",$H205="m2 fijo"),I205,I205*(1+J$6*J$7))</f>
        <v>0</v>
      </c>
      <c r="K205" s="158">
        <f t="shared" si="24"/>
        <v>0</v>
      </c>
      <c r="L205" s="158">
        <f t="shared" si="24"/>
        <v>0</v>
      </c>
      <c r="M205" s="158">
        <f t="shared" si="24"/>
        <v>0</v>
      </c>
      <c r="N205" s="158">
        <f t="shared" si="24"/>
        <v>0</v>
      </c>
      <c r="P205" s="2"/>
    </row>
    <row r="206" spans="2:16" x14ac:dyDescent="0.25">
      <c r="B206" s="17">
        <v>6341100001</v>
      </c>
      <c r="C206" s="160" t="s">
        <v>176</v>
      </c>
      <c r="D206" s="160" t="s">
        <v>52</v>
      </c>
      <c r="E206" s="160" t="s">
        <v>53</v>
      </c>
      <c r="F206" s="154">
        <v>31073.933714005409</v>
      </c>
      <c r="G206" s="161">
        <f>+VLOOKUP(B206,'5.3 Var OPEX 2023-25'!$B$4:$D$160,3,0)</f>
        <v>4.4009396000000096E-2</v>
      </c>
      <c r="H206" s="162" t="s">
        <v>190</v>
      </c>
      <c r="I206" s="297">
        <f t="shared" si="17"/>
        <v>31839.862917921128</v>
      </c>
      <c r="J206" s="158">
        <f t="shared" si="24"/>
        <v>32634.676482651379</v>
      </c>
      <c r="K206" s="158">
        <f t="shared" si="24"/>
        <v>33231.055928595502</v>
      </c>
      <c r="L206" s="158">
        <f t="shared" si="24"/>
        <v>33835.997589673243</v>
      </c>
      <c r="M206" s="158">
        <f t="shared" si="24"/>
        <v>34484.089944522304</v>
      </c>
      <c r="N206" s="158">
        <f t="shared" si="24"/>
        <v>35094.82035056351</v>
      </c>
      <c r="P206" s="2"/>
    </row>
    <row r="207" spans="2:16" x14ac:dyDescent="0.25">
      <c r="B207" s="17">
        <v>6341100002</v>
      </c>
      <c r="C207" s="160" t="s">
        <v>176</v>
      </c>
      <c r="D207" s="160" t="s">
        <v>52</v>
      </c>
      <c r="E207" s="160" t="s">
        <v>54</v>
      </c>
      <c r="F207" s="154">
        <v>70923.41983119912</v>
      </c>
      <c r="G207" s="161">
        <f>+VLOOKUP(B207,'5.3 Var OPEX 2023-25'!$B$4:$D$160,3,0)</f>
        <v>4.4009396000000096E-2</v>
      </c>
      <c r="H207" s="162" t="s">
        <v>190</v>
      </c>
      <c r="I207" s="297">
        <f t="shared" ref="I207:I270" si="25">+F207*(1+G207)/$I$8</f>
        <v>72671.583388161569</v>
      </c>
      <c r="J207" s="158">
        <f t="shared" si="24"/>
        <v>74485.672864496155</v>
      </c>
      <c r="K207" s="158">
        <f t="shared" si="24"/>
        <v>75846.854561434942</v>
      </c>
      <c r="L207" s="158">
        <f t="shared" si="24"/>
        <v>77227.578733561953</v>
      </c>
      <c r="M207" s="158">
        <f t="shared" si="24"/>
        <v>78706.790428978333</v>
      </c>
      <c r="N207" s="158">
        <f t="shared" si="24"/>
        <v>80100.726883564275</v>
      </c>
      <c r="P207" s="2"/>
    </row>
    <row r="208" spans="2:16" x14ac:dyDescent="0.25">
      <c r="B208" s="17">
        <v>6341100003</v>
      </c>
      <c r="C208" s="160" t="s">
        <v>176</v>
      </c>
      <c r="D208" s="160" t="s">
        <v>52</v>
      </c>
      <c r="E208" s="160" t="s">
        <v>55</v>
      </c>
      <c r="F208" s="154">
        <v>34658.168464408525</v>
      </c>
      <c r="G208" s="161">
        <f>+VLOOKUP(B208,'5.3 Var OPEX 2023-25'!$B$4:$D$160,3,0)</f>
        <v>0.13114375863339878</v>
      </c>
      <c r="H208" s="162" t="s">
        <v>190</v>
      </c>
      <c r="I208" s="297">
        <f t="shared" si="25"/>
        <v>38476.358174227535</v>
      </c>
      <c r="J208" s="158">
        <f t="shared" si="24"/>
        <v>39436.837541777917</v>
      </c>
      <c r="K208" s="158">
        <f t="shared" si="24"/>
        <v>40157.522465235234</v>
      </c>
      <c r="L208" s="158">
        <f t="shared" si="24"/>
        <v>40888.554256613912</v>
      </c>
      <c r="M208" s="158">
        <f t="shared" si="24"/>
        <v>41671.730793505201</v>
      </c>
      <c r="N208" s="158">
        <f t="shared" si="24"/>
        <v>42409.757898436816</v>
      </c>
      <c r="P208" s="2"/>
    </row>
    <row r="209" spans="2:16" x14ac:dyDescent="0.25">
      <c r="B209" s="17">
        <v>6341100004</v>
      </c>
      <c r="C209" s="160" t="s">
        <v>176</v>
      </c>
      <c r="D209" s="160" t="s">
        <v>52</v>
      </c>
      <c r="E209" s="160" t="s">
        <v>56</v>
      </c>
      <c r="F209" s="154">
        <v>19816.764904152456</v>
      </c>
      <c r="G209" s="161">
        <f>+VLOOKUP(B209,'5.3 Var OPEX 2023-25'!$B$4:$D$160,3,0)</f>
        <v>4.4009396000000096E-2</v>
      </c>
      <c r="H209" s="162" t="s">
        <v>190</v>
      </c>
      <c r="I209" s="297">
        <f t="shared" si="25"/>
        <v>20305.220569499437</v>
      </c>
      <c r="J209" s="158">
        <f t="shared" si="24"/>
        <v>20812.096644471294</v>
      </c>
      <c r="K209" s="158">
        <f t="shared" si="24"/>
        <v>21192.425423656943</v>
      </c>
      <c r="L209" s="158">
        <f t="shared" si="24"/>
        <v>21578.214580209788</v>
      </c>
      <c r="M209" s="158">
        <f t="shared" si="24"/>
        <v>21991.522208089351</v>
      </c>
      <c r="N209" s="158">
        <f t="shared" si="24"/>
        <v>22381.003018202598</v>
      </c>
      <c r="P209" s="2"/>
    </row>
    <row r="210" spans="2:16" x14ac:dyDescent="0.25">
      <c r="B210" s="17">
        <v>6341100005</v>
      </c>
      <c r="C210" s="160" t="s">
        <v>176</v>
      </c>
      <c r="D210" s="160" t="s">
        <v>52</v>
      </c>
      <c r="E210" s="160" t="s">
        <v>57</v>
      </c>
      <c r="F210" s="154">
        <v>30857.56</v>
      </c>
      <c r="G210" s="161">
        <f>+VLOOKUP(B210,'5.3 Var OPEX 2023-25'!$B$4:$D$160,3,0)</f>
        <v>4.4009396000000096E-2</v>
      </c>
      <c r="H210" s="162" t="s">
        <v>190</v>
      </c>
      <c r="I210" s="297">
        <f t="shared" si="25"/>
        <v>31618.155893107963</v>
      </c>
      <c r="J210" s="158">
        <f t="shared" si="24"/>
        <v>32407.435019729241</v>
      </c>
      <c r="K210" s="158">
        <f t="shared" si="24"/>
        <v>32999.661762096694</v>
      </c>
      <c r="L210" s="158">
        <f t="shared" si="24"/>
        <v>33600.39109926435</v>
      </c>
      <c r="M210" s="158">
        <f t="shared" si="24"/>
        <v>34243.970663710759</v>
      </c>
      <c r="N210" s="158">
        <f t="shared" si="24"/>
        <v>34850.448437709063</v>
      </c>
      <c r="P210" s="2"/>
    </row>
    <row r="211" spans="2:16" x14ac:dyDescent="0.25">
      <c r="B211" s="17">
        <v>6341100007</v>
      </c>
      <c r="C211" s="160" t="s">
        <v>176</v>
      </c>
      <c r="D211" s="160" t="s">
        <v>52</v>
      </c>
      <c r="E211" s="160" t="s">
        <v>58</v>
      </c>
      <c r="F211" s="154">
        <v>19921.36</v>
      </c>
      <c r="G211" s="161">
        <f>+VLOOKUP(B211,'5.3 Var OPEX 2023-25'!$B$4:$D$160,3,0)</f>
        <v>4.4009396000000096E-2</v>
      </c>
      <c r="H211" s="162" t="s">
        <v>190</v>
      </c>
      <c r="I211" s="297">
        <f t="shared" si="25"/>
        <v>20412.393788838952</v>
      </c>
      <c r="J211" s="158">
        <f t="shared" si="24"/>
        <v>20921.94521227969</v>
      </c>
      <c r="K211" s="158">
        <f t="shared" si="24"/>
        <v>21304.28140918992</v>
      </c>
      <c r="L211" s="158">
        <f t="shared" si="24"/>
        <v>21692.106803948231</v>
      </c>
      <c r="M211" s="158">
        <f t="shared" si="24"/>
        <v>22107.595915594778</v>
      </c>
      <c r="N211" s="158">
        <f t="shared" si="24"/>
        <v>22499.13244887281</v>
      </c>
      <c r="P211" s="2"/>
    </row>
    <row r="212" spans="2:16" x14ac:dyDescent="0.25">
      <c r="B212" s="17">
        <v>6341100008</v>
      </c>
      <c r="C212" s="160" t="s">
        <v>176</v>
      </c>
      <c r="D212" s="160" t="s">
        <v>52</v>
      </c>
      <c r="E212" s="160" t="s">
        <v>59</v>
      </c>
      <c r="F212" s="154">
        <v>106223.8</v>
      </c>
      <c r="G212" s="161">
        <f>+VLOOKUP(B212,'5.3 Var OPEX 2023-25'!$B$4:$D$160,3,0)</f>
        <v>4.4009396000000096E-2</v>
      </c>
      <c r="H212" s="162" t="s">
        <v>190</v>
      </c>
      <c r="I212" s="297">
        <f t="shared" si="25"/>
        <v>108842.06878179355</v>
      </c>
      <c r="J212" s="158">
        <f t="shared" si="24"/>
        <v>111559.07648073</v>
      </c>
      <c r="K212" s="158">
        <f t="shared" si="24"/>
        <v>113597.75274145482</v>
      </c>
      <c r="L212" s="158">
        <f t="shared" si="24"/>
        <v>115665.69826162653</v>
      </c>
      <c r="M212" s="158">
        <f t="shared" si="24"/>
        <v>117881.15103682464</v>
      </c>
      <c r="N212" s="158">
        <f t="shared" si="24"/>
        <v>119968.88492666042</v>
      </c>
      <c r="P212" s="2"/>
    </row>
    <row r="213" spans="2:16" x14ac:dyDescent="0.25">
      <c r="B213" s="17">
        <v>6341100009</v>
      </c>
      <c r="C213" s="160" t="s">
        <v>176</v>
      </c>
      <c r="D213" s="160" t="s">
        <v>52</v>
      </c>
      <c r="E213" s="160" t="s">
        <v>60</v>
      </c>
      <c r="F213" s="154">
        <v>0</v>
      </c>
      <c r="G213" s="161">
        <f>+VLOOKUP(B213,'5.3 Var OPEX 2023-25'!$B$4:$D$160,3,0)</f>
        <v>4.4009396000000096E-2</v>
      </c>
      <c r="H213" s="162" t="s">
        <v>190</v>
      </c>
      <c r="I213" s="297">
        <f t="shared" si="25"/>
        <v>0</v>
      </c>
      <c r="J213" s="158">
        <f t="shared" si="24"/>
        <v>0</v>
      </c>
      <c r="K213" s="158">
        <f t="shared" si="24"/>
        <v>0</v>
      </c>
      <c r="L213" s="158">
        <f t="shared" si="24"/>
        <v>0</v>
      </c>
      <c r="M213" s="158">
        <f t="shared" si="24"/>
        <v>0</v>
      </c>
      <c r="N213" s="158">
        <f t="shared" si="24"/>
        <v>0</v>
      </c>
      <c r="P213" s="2"/>
    </row>
    <row r="214" spans="2:16" x14ac:dyDescent="0.25">
      <c r="B214" s="17">
        <v>6341100010</v>
      </c>
      <c r="C214" s="160" t="s">
        <v>176</v>
      </c>
      <c r="D214" s="160" t="s">
        <v>52</v>
      </c>
      <c r="E214" s="160" t="s">
        <v>61</v>
      </c>
      <c r="F214" s="154">
        <v>100181.49706417829</v>
      </c>
      <c r="G214" s="161">
        <f>+VLOOKUP(B214,'5.3 Var OPEX 2023-25'!$B$4:$D$160,3,0)</f>
        <v>4.4009396000000096E-2</v>
      </c>
      <c r="H214" s="162" t="s">
        <v>190</v>
      </c>
      <c r="I214" s="297">
        <f t="shared" si="25"/>
        <v>102650.83149089321</v>
      </c>
      <c r="J214" s="158">
        <f t="shared" si="24"/>
        <v>105213.28829261138</v>
      </c>
      <c r="K214" s="158">
        <f t="shared" si="24"/>
        <v>107135.99902060843</v>
      </c>
      <c r="L214" s="158">
        <f t="shared" si="24"/>
        <v>109086.31409178798</v>
      </c>
      <c r="M214" s="158">
        <f t="shared" si="24"/>
        <v>111175.74579818838</v>
      </c>
      <c r="N214" s="158">
        <f t="shared" si="24"/>
        <v>113144.72362194698</v>
      </c>
      <c r="P214" s="2"/>
    </row>
    <row r="215" spans="2:16" x14ac:dyDescent="0.25">
      <c r="B215" s="17">
        <v>6342000001</v>
      </c>
      <c r="C215" s="160" t="s">
        <v>176</v>
      </c>
      <c r="D215" s="160" t="s">
        <v>52</v>
      </c>
      <c r="E215" s="160" t="s">
        <v>62</v>
      </c>
      <c r="F215" s="154">
        <v>2222.5387148119062</v>
      </c>
      <c r="G215" s="161">
        <f>+VLOOKUP(B215,'5.3 Var OPEX 2023-25'!$B$4:$D$160,3,0)</f>
        <v>4.4009396000000096E-2</v>
      </c>
      <c r="H215" s="162" t="s">
        <v>190</v>
      </c>
      <c r="I215" s="297">
        <f t="shared" si="25"/>
        <v>2277.321199841811</v>
      </c>
      <c r="J215" s="158">
        <f t="shared" ref="J215:N224" si="26">+IF(OR($C215="No Imputables",$H215="m2 fijo"),I215,I215*(1+J$6*J$7))</f>
        <v>2334.1696161037812</v>
      </c>
      <c r="K215" s="158">
        <f t="shared" si="26"/>
        <v>2376.825187797026</v>
      </c>
      <c r="L215" s="158">
        <f t="shared" si="26"/>
        <v>2420.0931652060763</v>
      </c>
      <c r="M215" s="158">
        <f t="shared" si="26"/>
        <v>2466.447462112375</v>
      </c>
      <c r="N215" s="158">
        <f t="shared" si="26"/>
        <v>2510.1294749605772</v>
      </c>
      <c r="P215" s="2"/>
    </row>
    <row r="216" spans="2:16" x14ac:dyDescent="0.25">
      <c r="B216" s="17">
        <v>6342000002</v>
      </c>
      <c r="C216" s="160" t="s">
        <v>176</v>
      </c>
      <c r="D216" s="160" t="s">
        <v>52</v>
      </c>
      <c r="E216" s="160" t="s">
        <v>63</v>
      </c>
      <c r="F216" s="154">
        <v>18859.948201001687</v>
      </c>
      <c r="G216" s="161">
        <f>+VLOOKUP(B216,'5.3 Var OPEX 2023-25'!$B$4:$D$160,3,0)</f>
        <v>4.4009396000000096E-2</v>
      </c>
      <c r="H216" s="162" t="s">
        <v>190</v>
      </c>
      <c r="I216" s="297">
        <f t="shared" si="25"/>
        <v>19324.81966672713</v>
      </c>
      <c r="J216" s="158">
        <f t="shared" si="26"/>
        <v>19807.222145867057</v>
      </c>
      <c r="K216" s="158">
        <f t="shared" si="26"/>
        <v>20169.187436845932</v>
      </c>
      <c r="L216" s="158">
        <f t="shared" si="26"/>
        <v>20536.349460732592</v>
      </c>
      <c r="M216" s="158">
        <f t="shared" si="26"/>
        <v>20929.701276257943</v>
      </c>
      <c r="N216" s="158">
        <f t="shared" si="26"/>
        <v>21300.376708880187</v>
      </c>
      <c r="P216" s="2"/>
    </row>
    <row r="217" spans="2:16" x14ac:dyDescent="0.25">
      <c r="B217" s="17">
        <v>6343000001</v>
      </c>
      <c r="C217" s="160" t="s">
        <v>176</v>
      </c>
      <c r="D217" s="160" t="s">
        <v>52</v>
      </c>
      <c r="E217" s="160" t="s">
        <v>64</v>
      </c>
      <c r="F217" s="154">
        <v>560059.74992484774</v>
      </c>
      <c r="G217" s="161">
        <f>+VLOOKUP(B217,'5.3 Var OPEX 2023-25'!$B$4:$D$160,3,0)</f>
        <v>1.922702215525852</v>
      </c>
      <c r="H217" s="162" t="s">
        <v>190</v>
      </c>
      <c r="I217" s="297">
        <f t="shared" si="25"/>
        <v>1606532.3602194409</v>
      </c>
      <c r="J217" s="158">
        <f t="shared" si="26"/>
        <v>1646635.9786103924</v>
      </c>
      <c r="K217" s="158">
        <f t="shared" si="26"/>
        <v>1676727.2789827853</v>
      </c>
      <c r="L217" s="158">
        <f t="shared" si="26"/>
        <v>1707250.5999239469</v>
      </c>
      <c r="M217" s="158">
        <f t="shared" si="26"/>
        <v>1739951.1596958234</v>
      </c>
      <c r="N217" s="158">
        <f t="shared" si="26"/>
        <v>1770766.5612320816</v>
      </c>
      <c r="P217" s="2"/>
    </row>
    <row r="218" spans="2:16" x14ac:dyDescent="0.25">
      <c r="B218" s="17">
        <v>6343000002</v>
      </c>
      <c r="C218" s="160" t="s">
        <v>176</v>
      </c>
      <c r="D218" s="160" t="s">
        <v>52</v>
      </c>
      <c r="E218" s="160" t="s">
        <v>65</v>
      </c>
      <c r="F218" s="154">
        <v>57282.21</v>
      </c>
      <c r="G218" s="161">
        <f>+VLOOKUP(B218,'5.3 Var OPEX 2023-25'!$B$4:$D$160,3,0)</f>
        <v>4.4009396000000096E-2</v>
      </c>
      <c r="H218" s="162" t="s">
        <v>190</v>
      </c>
      <c r="I218" s="297">
        <f t="shared" si="25"/>
        <v>58694.136726356453</v>
      </c>
      <c r="J218" s="158">
        <f t="shared" si="26"/>
        <v>60159.3093673474</v>
      </c>
      <c r="K218" s="158">
        <f t="shared" si="26"/>
        <v>61258.685229337403</v>
      </c>
      <c r="L218" s="158">
        <f t="shared" si="26"/>
        <v>62373.844822150262</v>
      </c>
      <c r="M218" s="158">
        <f t="shared" si="26"/>
        <v>63568.549126778613</v>
      </c>
      <c r="N218" s="158">
        <f t="shared" si="26"/>
        <v>64694.379789037826</v>
      </c>
      <c r="P218" s="2"/>
    </row>
    <row r="219" spans="2:16" x14ac:dyDescent="0.25">
      <c r="B219" s="17">
        <v>6343100001</v>
      </c>
      <c r="C219" s="160" t="s">
        <v>176</v>
      </c>
      <c r="D219" s="160" t="s">
        <v>52</v>
      </c>
      <c r="E219" s="160" t="s">
        <v>66</v>
      </c>
      <c r="F219" s="154">
        <v>5296.3531494183526</v>
      </c>
      <c r="G219" s="161">
        <f>+VLOOKUP(B219,'5.3 Var OPEX 2023-25'!$B$4:$D$160,3,0)</f>
        <v>4.4009396000000096E-2</v>
      </c>
      <c r="H219" s="162" t="s">
        <v>190</v>
      </c>
      <c r="I219" s="297">
        <f t="shared" si="25"/>
        <v>5426.9008807975351</v>
      </c>
      <c r="J219" s="158">
        <f t="shared" si="26"/>
        <v>5562.3717666372049</v>
      </c>
      <c r="K219" s="158">
        <f t="shared" si="26"/>
        <v>5664.0208267737689</v>
      </c>
      <c r="L219" s="158">
        <f t="shared" si="26"/>
        <v>5767.1292616874789</v>
      </c>
      <c r="M219" s="158">
        <f t="shared" si="26"/>
        <v>5877.5924562192895</v>
      </c>
      <c r="N219" s="158">
        <f t="shared" si="26"/>
        <v>5981.6875456679736</v>
      </c>
      <c r="P219" s="2"/>
    </row>
    <row r="220" spans="2:16" x14ac:dyDescent="0.25">
      <c r="B220" s="17">
        <v>6343100002</v>
      </c>
      <c r="C220" s="160" t="s">
        <v>176</v>
      </c>
      <c r="D220" s="160" t="s">
        <v>52</v>
      </c>
      <c r="E220" s="160" t="s">
        <v>67</v>
      </c>
      <c r="F220" s="154">
        <v>8925.762126960828</v>
      </c>
      <c r="G220" s="161">
        <f>+VLOOKUP(B220,'5.3 Var OPEX 2023-25'!$B$4:$D$160,3,0)</f>
        <v>4.4009396000000096E-2</v>
      </c>
      <c r="H220" s="162" t="s">
        <v>190</v>
      </c>
      <c r="I220" s="297">
        <f t="shared" si="25"/>
        <v>9145.7697366559896</v>
      </c>
      <c r="J220" s="158">
        <f t="shared" si="26"/>
        <v>9374.0741695404085</v>
      </c>
      <c r="K220" s="158">
        <f t="shared" si="26"/>
        <v>9545.3798407469712</v>
      </c>
      <c r="L220" s="158">
        <f t="shared" si="26"/>
        <v>9719.1449461618304</v>
      </c>
      <c r="M220" s="158">
        <f t="shared" si="26"/>
        <v>9905.304775455581</v>
      </c>
      <c r="N220" s="158">
        <f t="shared" si="26"/>
        <v>10080.732655884156</v>
      </c>
      <c r="P220" s="2"/>
    </row>
    <row r="221" spans="2:16" x14ac:dyDescent="0.25">
      <c r="B221" s="17">
        <v>6343100003</v>
      </c>
      <c r="C221" s="160" t="s">
        <v>176</v>
      </c>
      <c r="D221" s="160" t="s">
        <v>52</v>
      </c>
      <c r="E221" s="160" t="s">
        <v>68</v>
      </c>
      <c r="F221" s="154">
        <v>20111.009999999998</v>
      </c>
      <c r="G221" s="161">
        <f>+VLOOKUP(B221,'5.3 Var OPEX 2023-25'!$B$4:$D$160,3,0)</f>
        <v>4.4009396000000096E-2</v>
      </c>
      <c r="H221" s="162" t="s">
        <v>190</v>
      </c>
      <c r="I221" s="297">
        <f t="shared" si="25"/>
        <v>20606.718397302091</v>
      </c>
      <c r="J221" s="158">
        <f t="shared" si="26"/>
        <v>21121.12071583511</v>
      </c>
      <c r="K221" s="158">
        <f t="shared" si="26"/>
        <v>21507.096727484095</v>
      </c>
      <c r="L221" s="158">
        <f t="shared" si="26"/>
        <v>21898.614193773461</v>
      </c>
      <c r="M221" s="158">
        <f t="shared" si="26"/>
        <v>22318.058733665057</v>
      </c>
      <c r="N221" s="158">
        <f t="shared" si="26"/>
        <v>22713.322668261884</v>
      </c>
      <c r="P221" s="2"/>
    </row>
    <row r="222" spans="2:16" x14ac:dyDescent="0.25">
      <c r="B222" s="17">
        <v>6343100004</v>
      </c>
      <c r="C222" s="160" t="s">
        <v>176</v>
      </c>
      <c r="D222" s="160" t="s">
        <v>52</v>
      </c>
      <c r="E222" s="160" t="s">
        <v>69</v>
      </c>
      <c r="F222" s="154">
        <v>0</v>
      </c>
      <c r="G222" s="161">
        <f>+VLOOKUP(B222,'5.3 Var OPEX 2023-25'!$B$4:$D$160,3,0)</f>
        <v>4.4009396000000096E-2</v>
      </c>
      <c r="H222" s="162" t="s">
        <v>190</v>
      </c>
      <c r="I222" s="297">
        <f t="shared" si="25"/>
        <v>0</v>
      </c>
      <c r="J222" s="158">
        <f t="shared" si="26"/>
        <v>0</v>
      </c>
      <c r="K222" s="158">
        <f t="shared" si="26"/>
        <v>0</v>
      </c>
      <c r="L222" s="158">
        <f t="shared" si="26"/>
        <v>0</v>
      </c>
      <c r="M222" s="158">
        <f t="shared" si="26"/>
        <v>0</v>
      </c>
      <c r="N222" s="158">
        <f t="shared" si="26"/>
        <v>0</v>
      </c>
      <c r="P222" s="2"/>
    </row>
    <row r="223" spans="2:16" x14ac:dyDescent="0.25">
      <c r="B223" s="17">
        <v>6343100005</v>
      </c>
      <c r="C223" s="160" t="s">
        <v>176</v>
      </c>
      <c r="D223" s="160" t="s">
        <v>52</v>
      </c>
      <c r="E223" s="160" t="s">
        <v>70</v>
      </c>
      <c r="F223" s="154">
        <v>25381.8</v>
      </c>
      <c r="G223" s="161">
        <f>+VLOOKUP(B223,'5.3 Var OPEX 2023-25'!$B$4:$D$160,3,0)</f>
        <v>4.4009396000000096E-2</v>
      </c>
      <c r="H223" s="162" t="s">
        <v>190</v>
      </c>
      <c r="I223" s="297">
        <f t="shared" si="25"/>
        <v>26007.426032637955</v>
      </c>
      <c r="J223" s="158">
        <f t="shared" si="26"/>
        <v>26656.645379082584</v>
      </c>
      <c r="K223" s="158">
        <f t="shared" si="26"/>
        <v>27143.77983590361</v>
      </c>
      <c r="L223" s="158">
        <f t="shared" si="26"/>
        <v>27637.908078386878</v>
      </c>
      <c r="M223" s="158">
        <f t="shared" si="26"/>
        <v>28167.282655925279</v>
      </c>
      <c r="N223" s="158">
        <f t="shared" si="26"/>
        <v>28666.139259106807</v>
      </c>
      <c r="P223" s="2"/>
    </row>
    <row r="224" spans="2:16" x14ac:dyDescent="0.25">
      <c r="B224" s="17">
        <v>6343100006</v>
      </c>
      <c r="C224" s="160" t="s">
        <v>176</v>
      </c>
      <c r="D224" s="160" t="s">
        <v>52</v>
      </c>
      <c r="E224" s="160" t="s">
        <v>71</v>
      </c>
      <c r="F224" s="154">
        <v>36675.040000000001</v>
      </c>
      <c r="G224" s="161">
        <f>+VLOOKUP(B224,'5.3 Var OPEX 2023-25'!$B$4:$D$160,3,0)</f>
        <v>4.4009396000000096E-2</v>
      </c>
      <c r="H224" s="162" t="s">
        <v>190</v>
      </c>
      <c r="I224" s="297">
        <f t="shared" si="25"/>
        <v>37579.028675824346</v>
      </c>
      <c r="J224" s="158">
        <f t="shared" si="26"/>
        <v>38517.108146138926</v>
      </c>
      <c r="K224" s="158">
        <f t="shared" si="26"/>
        <v>39220.985557878419</v>
      </c>
      <c r="L224" s="158">
        <f t="shared" si="26"/>
        <v>39934.968532222381</v>
      </c>
      <c r="M224" s="158">
        <f t="shared" si="26"/>
        <v>40699.880154179998</v>
      </c>
      <c r="N224" s="158">
        <f t="shared" si="26"/>
        <v>41420.695300306223</v>
      </c>
      <c r="P224" s="2"/>
    </row>
    <row r="225" spans="2:16" x14ac:dyDescent="0.25">
      <c r="B225" s="17">
        <v>6343100007</v>
      </c>
      <c r="C225" s="160" t="s">
        <v>176</v>
      </c>
      <c r="D225" s="160" t="s">
        <v>52</v>
      </c>
      <c r="E225" s="160" t="s">
        <v>72</v>
      </c>
      <c r="F225" s="154">
        <v>0</v>
      </c>
      <c r="G225" s="161">
        <f>+VLOOKUP(B225,'5.3 Var OPEX 2023-25'!$B$4:$D$160,3,0)</f>
        <v>4.4009396000000096E-2</v>
      </c>
      <c r="H225" s="162" t="s">
        <v>190</v>
      </c>
      <c r="I225" s="297">
        <f t="shared" si="25"/>
        <v>0</v>
      </c>
      <c r="J225" s="158">
        <f t="shared" ref="J225:N234" si="27">+IF(OR($C225="No Imputables",$H225="m2 fijo"),I225,I225*(1+J$6*J$7))</f>
        <v>0</v>
      </c>
      <c r="K225" s="158">
        <f t="shared" si="27"/>
        <v>0</v>
      </c>
      <c r="L225" s="158">
        <f t="shared" si="27"/>
        <v>0</v>
      </c>
      <c r="M225" s="158">
        <f t="shared" si="27"/>
        <v>0</v>
      </c>
      <c r="N225" s="158">
        <f t="shared" si="27"/>
        <v>0</v>
      </c>
      <c r="P225" s="2"/>
    </row>
    <row r="226" spans="2:16" x14ac:dyDescent="0.25">
      <c r="B226" s="17">
        <v>6343100008</v>
      </c>
      <c r="C226" s="160" t="s">
        <v>176</v>
      </c>
      <c r="D226" s="160" t="s">
        <v>52</v>
      </c>
      <c r="E226" s="160" t="s">
        <v>73</v>
      </c>
      <c r="F226" s="154">
        <v>0</v>
      </c>
      <c r="G226" s="161">
        <f>+VLOOKUP(B226,'5.3 Var OPEX 2023-25'!$B$4:$D$160,3,0)</f>
        <v>4.4009396000000096E-2</v>
      </c>
      <c r="H226" s="162" t="s">
        <v>190</v>
      </c>
      <c r="I226" s="297">
        <f t="shared" si="25"/>
        <v>0</v>
      </c>
      <c r="J226" s="158">
        <f t="shared" si="27"/>
        <v>0</v>
      </c>
      <c r="K226" s="158">
        <f t="shared" si="27"/>
        <v>0</v>
      </c>
      <c r="L226" s="158">
        <f t="shared" si="27"/>
        <v>0</v>
      </c>
      <c r="M226" s="158">
        <f t="shared" si="27"/>
        <v>0</v>
      </c>
      <c r="N226" s="158">
        <f t="shared" si="27"/>
        <v>0</v>
      </c>
      <c r="P226" s="2"/>
    </row>
    <row r="227" spans="2:16" x14ac:dyDescent="0.25">
      <c r="B227" s="17">
        <v>6343100009</v>
      </c>
      <c r="C227" s="160" t="s">
        <v>176</v>
      </c>
      <c r="D227" s="160" t="s">
        <v>52</v>
      </c>
      <c r="E227" s="160" t="s">
        <v>74</v>
      </c>
      <c r="F227" s="154">
        <v>0</v>
      </c>
      <c r="G227" s="161">
        <f>+VLOOKUP(B227,'5.3 Var OPEX 2023-25'!$B$4:$D$160,3,0)</f>
        <v>4.4009396000000096E-2</v>
      </c>
      <c r="H227" s="162" t="s">
        <v>190</v>
      </c>
      <c r="I227" s="297">
        <f t="shared" si="25"/>
        <v>0</v>
      </c>
      <c r="J227" s="158">
        <f t="shared" si="27"/>
        <v>0</v>
      </c>
      <c r="K227" s="158">
        <f t="shared" si="27"/>
        <v>0</v>
      </c>
      <c r="L227" s="158">
        <f t="shared" si="27"/>
        <v>0</v>
      </c>
      <c r="M227" s="158">
        <f t="shared" si="27"/>
        <v>0</v>
      </c>
      <c r="N227" s="158">
        <f t="shared" si="27"/>
        <v>0</v>
      </c>
      <c r="P227" s="2"/>
    </row>
    <row r="228" spans="2:16" x14ac:dyDescent="0.25">
      <c r="B228" s="17">
        <v>6343100010</v>
      </c>
      <c r="C228" s="160" t="s">
        <v>176</v>
      </c>
      <c r="D228" s="160" t="s">
        <v>52</v>
      </c>
      <c r="E228" s="160" t="s">
        <v>75</v>
      </c>
      <c r="F228" s="154">
        <v>78492.88</v>
      </c>
      <c r="G228" s="161">
        <f>+VLOOKUP(B228,'5.3 Var OPEX 2023-25'!$B$4:$D$160,3,0)</f>
        <v>4.4009396000000096E-2</v>
      </c>
      <c r="H228" s="162" t="s">
        <v>190</v>
      </c>
      <c r="I228" s="297">
        <f t="shared" si="25"/>
        <v>80427.62021167636</v>
      </c>
      <c r="J228" s="158">
        <f t="shared" si="27"/>
        <v>82435.322433510766</v>
      </c>
      <c r="K228" s="158">
        <f t="shared" si="27"/>
        <v>83941.779283029624</v>
      </c>
      <c r="L228" s="158">
        <f t="shared" si="27"/>
        <v>85469.864321988643</v>
      </c>
      <c r="M228" s="158">
        <f t="shared" si="27"/>
        <v>87106.94818482628</v>
      </c>
      <c r="N228" s="158">
        <f t="shared" si="27"/>
        <v>88649.655616558273</v>
      </c>
      <c r="P228" s="2"/>
    </row>
    <row r="229" spans="2:16" x14ac:dyDescent="0.25">
      <c r="B229" s="17">
        <v>6343100011</v>
      </c>
      <c r="C229" s="160" t="s">
        <v>176</v>
      </c>
      <c r="D229" s="160" t="s">
        <v>52</v>
      </c>
      <c r="E229" s="160" t="s">
        <v>76</v>
      </c>
      <c r="F229" s="154">
        <v>0</v>
      </c>
      <c r="G229" s="161">
        <f>+VLOOKUP(B229,'5.3 Var OPEX 2023-25'!$B$4:$D$160,3,0)</f>
        <v>4.4009396000000096E-2</v>
      </c>
      <c r="H229" s="162" t="s">
        <v>190</v>
      </c>
      <c r="I229" s="297">
        <f t="shared" si="25"/>
        <v>0</v>
      </c>
      <c r="J229" s="158">
        <f t="shared" si="27"/>
        <v>0</v>
      </c>
      <c r="K229" s="158">
        <f t="shared" si="27"/>
        <v>0</v>
      </c>
      <c r="L229" s="158">
        <f t="shared" si="27"/>
        <v>0</v>
      </c>
      <c r="M229" s="158">
        <f t="shared" si="27"/>
        <v>0</v>
      </c>
      <c r="N229" s="158">
        <f t="shared" si="27"/>
        <v>0</v>
      </c>
      <c r="P229" s="2"/>
    </row>
    <row r="230" spans="2:16" x14ac:dyDescent="0.25">
      <c r="B230" s="17">
        <v>6343100012</v>
      </c>
      <c r="C230" s="160" t="s">
        <v>176</v>
      </c>
      <c r="D230" s="160" t="s">
        <v>52</v>
      </c>
      <c r="E230" s="160" t="s">
        <v>77</v>
      </c>
      <c r="F230" s="154">
        <v>47340.560734568695</v>
      </c>
      <c r="G230" s="161">
        <f>+VLOOKUP(B230,'5.3 Var OPEX 2023-25'!$B$4:$D$160,3,0)</f>
        <v>4.4009396000000096E-2</v>
      </c>
      <c r="H230" s="162" t="s">
        <v>190</v>
      </c>
      <c r="I230" s="297">
        <f t="shared" si="25"/>
        <v>48507.43964761759</v>
      </c>
      <c r="J230" s="158">
        <f t="shared" si="27"/>
        <v>49718.323347765683</v>
      </c>
      <c r="K230" s="158">
        <f t="shared" si="27"/>
        <v>50626.896354370292</v>
      </c>
      <c r="L230" s="158">
        <f t="shared" si="27"/>
        <v>51548.513736665671</v>
      </c>
      <c r="M230" s="158">
        <f t="shared" si="27"/>
        <v>52535.870399285865</v>
      </c>
      <c r="N230" s="158">
        <f t="shared" si="27"/>
        <v>53466.306826992164</v>
      </c>
      <c r="P230" s="2"/>
    </row>
    <row r="231" spans="2:16" x14ac:dyDescent="0.25">
      <c r="B231" s="17">
        <v>6343100013</v>
      </c>
      <c r="C231" s="160" t="s">
        <v>176</v>
      </c>
      <c r="D231" s="160" t="s">
        <v>52</v>
      </c>
      <c r="E231" s="160" t="s">
        <v>78</v>
      </c>
      <c r="F231" s="154">
        <v>149477.67805028841</v>
      </c>
      <c r="G231" s="161">
        <f>+VLOOKUP(B231,'5.3 Var OPEX 2023-25'!$B$4:$D$160,3,0)</f>
        <v>4.4009396000000096E-2</v>
      </c>
      <c r="H231" s="162" t="s">
        <v>190</v>
      </c>
      <c r="I231" s="297">
        <f t="shared" si="25"/>
        <v>153162.09470657504</v>
      </c>
      <c r="J231" s="158">
        <f t="shared" si="27"/>
        <v>156985.45634569711</v>
      </c>
      <c r="K231" s="158">
        <f t="shared" si="27"/>
        <v>159854.27287974494</v>
      </c>
      <c r="L231" s="158">
        <f t="shared" si="27"/>
        <v>162764.27699077997</v>
      </c>
      <c r="M231" s="158">
        <f t="shared" si="27"/>
        <v>165881.85268160142</v>
      </c>
      <c r="N231" s="158">
        <f t="shared" si="27"/>
        <v>168819.70290198093</v>
      </c>
      <c r="P231" s="2"/>
    </row>
    <row r="232" spans="2:16" x14ac:dyDescent="0.25">
      <c r="B232" s="17">
        <v>6343100014</v>
      </c>
      <c r="C232" s="160" t="s">
        <v>176</v>
      </c>
      <c r="D232" s="160" t="s">
        <v>52</v>
      </c>
      <c r="E232" s="160" t="s">
        <v>79</v>
      </c>
      <c r="F232" s="154">
        <v>50814.937967986516</v>
      </c>
      <c r="G232" s="161">
        <f>+VLOOKUP(B232,'5.3 Var OPEX 2023-25'!$B$4:$D$160,3,0)</f>
        <v>4.4009396000000096E-2</v>
      </c>
      <c r="H232" s="162" t="s">
        <v>190</v>
      </c>
      <c r="I232" s="297">
        <f t="shared" si="25"/>
        <v>52067.45544269892</v>
      </c>
      <c r="J232" s="158">
        <f t="shared" si="27"/>
        <v>53367.207265548386</v>
      </c>
      <c r="K232" s="158">
        <f t="shared" si="27"/>
        <v>54342.461471531773</v>
      </c>
      <c r="L232" s="158">
        <f t="shared" si="27"/>
        <v>55331.71739467424</v>
      </c>
      <c r="M232" s="158">
        <f t="shared" si="27"/>
        <v>56391.537278190888</v>
      </c>
      <c r="N232" s="158">
        <f t="shared" si="27"/>
        <v>57390.259486449948</v>
      </c>
      <c r="P232" s="2"/>
    </row>
    <row r="233" spans="2:16" x14ac:dyDescent="0.25">
      <c r="B233" s="17">
        <v>6343100015</v>
      </c>
      <c r="C233" s="160" t="s">
        <v>176</v>
      </c>
      <c r="D233" s="160" t="s">
        <v>52</v>
      </c>
      <c r="E233" s="160" t="s">
        <v>80</v>
      </c>
      <c r="F233" s="154">
        <v>3626.0236482894215</v>
      </c>
      <c r="G233" s="161">
        <f>+VLOOKUP(B233,'5.3 Var OPEX 2023-25'!$B$4:$D$160,3,0)</f>
        <v>4.4009396000000096E-2</v>
      </c>
      <c r="H233" s="162" t="s">
        <v>190</v>
      </c>
      <c r="I233" s="297">
        <f t="shared" si="25"/>
        <v>3715.4000829524762</v>
      </c>
      <c r="J233" s="158">
        <f t="shared" si="27"/>
        <v>3808.1470395566266</v>
      </c>
      <c r="K233" s="158">
        <f t="shared" si="27"/>
        <v>3877.7386784604737</v>
      </c>
      <c r="L233" s="158">
        <f t="shared" si="27"/>
        <v>3948.329443990579</v>
      </c>
      <c r="M233" s="158">
        <f t="shared" si="27"/>
        <v>4023.9554727575483</v>
      </c>
      <c r="N233" s="158">
        <f t="shared" si="27"/>
        <v>4095.2217281153853</v>
      </c>
      <c r="P233" s="2"/>
    </row>
    <row r="234" spans="2:16" x14ac:dyDescent="0.25">
      <c r="B234" s="17">
        <v>6343100016</v>
      </c>
      <c r="C234" s="160" t="s">
        <v>176</v>
      </c>
      <c r="D234" s="160" t="s">
        <v>52</v>
      </c>
      <c r="E234" s="160" t="s">
        <v>81</v>
      </c>
      <c r="F234" s="154">
        <v>333440.81492784055</v>
      </c>
      <c r="G234" s="161">
        <f>+VLOOKUP(B234,'5.3 Var OPEX 2023-25'!$B$4:$D$160,3,0)</f>
        <v>4.4009396000000096E-2</v>
      </c>
      <c r="H234" s="162" t="s">
        <v>190</v>
      </c>
      <c r="I234" s="297">
        <f t="shared" si="25"/>
        <v>341659.66678873583</v>
      </c>
      <c r="J234" s="158">
        <f t="shared" si="27"/>
        <v>350188.46411380405</v>
      </c>
      <c r="K234" s="158">
        <f t="shared" si="27"/>
        <v>356587.95155211946</v>
      </c>
      <c r="L234" s="158">
        <f t="shared" si="27"/>
        <v>363079.31638252875</v>
      </c>
      <c r="M234" s="158">
        <f t="shared" si="27"/>
        <v>370033.71246698633</v>
      </c>
      <c r="N234" s="158">
        <f t="shared" si="27"/>
        <v>376587.19379206898</v>
      </c>
      <c r="P234" s="2"/>
    </row>
    <row r="235" spans="2:16" x14ac:dyDescent="0.25">
      <c r="B235" s="17">
        <v>6343100017</v>
      </c>
      <c r="C235" s="160" t="s">
        <v>176</v>
      </c>
      <c r="D235" s="160" t="s">
        <v>52</v>
      </c>
      <c r="E235" s="160" t="s">
        <v>82</v>
      </c>
      <c r="F235" s="154">
        <v>66.33</v>
      </c>
      <c r="G235" s="161">
        <f>+VLOOKUP(B235,'5.3 Var OPEX 2023-25'!$B$4:$D$160,3,0)</f>
        <v>4.4009396000000096E-2</v>
      </c>
      <c r="H235" s="162" t="s">
        <v>190</v>
      </c>
      <c r="I235" s="297">
        <f t="shared" si="25"/>
        <v>67.964942153230879</v>
      </c>
      <c r="J235" s="158">
        <f t="shared" ref="J235:N244" si="28">+IF(OR($C235="No Imputables",$H235="m2 fijo"),I235,I235*(1+J$6*J$7))</f>
        <v>69.661540473668055</v>
      </c>
      <c r="K235" s="158">
        <f t="shared" si="28"/>
        <v>70.934563999223315</v>
      </c>
      <c r="L235" s="158">
        <f t="shared" si="28"/>
        <v>72.225864313776071</v>
      </c>
      <c r="M235" s="158">
        <f t="shared" si="28"/>
        <v>73.609273517541055</v>
      </c>
      <c r="N235" s="158">
        <f t="shared" si="28"/>
        <v>74.912930409055079</v>
      </c>
      <c r="P235" s="2"/>
    </row>
    <row r="236" spans="2:16" x14ac:dyDescent="0.25">
      <c r="B236" s="17">
        <v>6344000001</v>
      </c>
      <c r="C236" s="160" t="s">
        <v>176</v>
      </c>
      <c r="D236" s="160" t="s">
        <v>52</v>
      </c>
      <c r="E236" s="160" t="s">
        <v>83</v>
      </c>
      <c r="F236" s="154">
        <v>0</v>
      </c>
      <c r="G236" s="161">
        <f>+VLOOKUP(B236,'5.3 Var OPEX 2023-25'!$B$4:$D$160,3,0)</f>
        <v>4.4009396000000096E-2</v>
      </c>
      <c r="H236" s="162" t="s">
        <v>190</v>
      </c>
      <c r="I236" s="297">
        <f t="shared" si="25"/>
        <v>0</v>
      </c>
      <c r="J236" s="158">
        <f t="shared" si="28"/>
        <v>0</v>
      </c>
      <c r="K236" s="158">
        <f t="shared" si="28"/>
        <v>0</v>
      </c>
      <c r="L236" s="158">
        <f t="shared" si="28"/>
        <v>0</v>
      </c>
      <c r="M236" s="158">
        <f t="shared" si="28"/>
        <v>0</v>
      </c>
      <c r="N236" s="158">
        <f t="shared" si="28"/>
        <v>0</v>
      </c>
      <c r="P236" s="2"/>
    </row>
    <row r="237" spans="2:16" x14ac:dyDescent="0.25">
      <c r="B237" s="17">
        <v>6344000002</v>
      </c>
      <c r="C237" s="160" t="s">
        <v>176</v>
      </c>
      <c r="D237" s="160" t="s">
        <v>52</v>
      </c>
      <c r="E237" s="160" t="s">
        <v>84</v>
      </c>
      <c r="F237" s="154">
        <v>4744.18</v>
      </c>
      <c r="G237" s="161">
        <f>+VLOOKUP(B237,'5.3 Var OPEX 2023-25'!$B$4:$D$160,3,0)</f>
        <v>4.4009396000000096E-2</v>
      </c>
      <c r="H237" s="162" t="s">
        <v>190</v>
      </c>
      <c r="I237" s="297">
        <f t="shared" si="25"/>
        <v>4861.1174319993197</v>
      </c>
      <c r="J237" s="158">
        <f t="shared" si="28"/>
        <v>4982.4647532695089</v>
      </c>
      <c r="K237" s="158">
        <f t="shared" si="28"/>
        <v>5073.5163551007881</v>
      </c>
      <c r="L237" s="158">
        <f t="shared" si="28"/>
        <v>5165.8751840815648</v>
      </c>
      <c r="M237" s="158">
        <f t="shared" si="28"/>
        <v>5264.8219996449261</v>
      </c>
      <c r="N237" s="158">
        <f t="shared" si="28"/>
        <v>5358.0646191471578</v>
      </c>
      <c r="P237" s="2"/>
    </row>
    <row r="238" spans="2:16" x14ac:dyDescent="0.25">
      <c r="B238" s="17">
        <v>6344000003</v>
      </c>
      <c r="C238" s="160" t="s">
        <v>176</v>
      </c>
      <c r="D238" s="160" t="s">
        <v>52</v>
      </c>
      <c r="E238" s="160" t="s">
        <v>85</v>
      </c>
      <c r="F238" s="154">
        <v>12706.69</v>
      </c>
      <c r="G238" s="161">
        <f>+VLOOKUP(B238,'5.3 Var OPEX 2023-25'!$B$4:$D$160,3,0)</f>
        <v>4.4009396000000096E-2</v>
      </c>
      <c r="H238" s="162" t="s">
        <v>190</v>
      </c>
      <c r="I238" s="297">
        <f t="shared" si="25"/>
        <v>13019.89221783563</v>
      </c>
      <c r="J238" s="158">
        <f t="shared" si="28"/>
        <v>13344.905769958588</v>
      </c>
      <c r="K238" s="158">
        <f t="shared" si="28"/>
        <v>13588.776044373451</v>
      </c>
      <c r="L238" s="158">
        <f t="shared" si="28"/>
        <v>13836.147562448597</v>
      </c>
      <c r="M238" s="158">
        <f t="shared" si="28"/>
        <v>14101.164174771657</v>
      </c>
      <c r="N238" s="158">
        <f t="shared" si="28"/>
        <v>14350.902814705809</v>
      </c>
      <c r="P238" s="2"/>
    </row>
    <row r="239" spans="2:16" x14ac:dyDescent="0.25">
      <c r="B239" s="17">
        <v>6345000001</v>
      </c>
      <c r="C239" s="160" t="s">
        <v>176</v>
      </c>
      <c r="D239" s="160" t="s">
        <v>52</v>
      </c>
      <c r="E239" s="160" t="s">
        <v>86</v>
      </c>
      <c r="F239" s="154">
        <v>2909.32484012126</v>
      </c>
      <c r="G239" s="161">
        <f>+VLOOKUP(B239,'5.3 Var OPEX 2023-25'!$B$4:$D$160,3,0)</f>
        <v>4.4009396000000096E-2</v>
      </c>
      <c r="H239" s="162" t="s">
        <v>190</v>
      </c>
      <c r="I239" s="297">
        <f t="shared" si="25"/>
        <v>2981.0356469742064</v>
      </c>
      <c r="J239" s="158">
        <f t="shared" si="28"/>
        <v>3055.4507779459518</v>
      </c>
      <c r="K239" s="158">
        <f t="shared" si="28"/>
        <v>3111.287337043746</v>
      </c>
      <c r="L239" s="158">
        <f t="shared" si="28"/>
        <v>3167.9255411924682</v>
      </c>
      <c r="M239" s="158">
        <f t="shared" si="28"/>
        <v>3228.6037676445389</v>
      </c>
      <c r="N239" s="158">
        <f t="shared" si="28"/>
        <v>3285.7839482185932</v>
      </c>
      <c r="P239" s="2"/>
    </row>
    <row r="240" spans="2:16" x14ac:dyDescent="0.25">
      <c r="B240" s="17">
        <v>6346000001</v>
      </c>
      <c r="C240" s="160" t="s">
        <v>176</v>
      </c>
      <c r="D240" s="160" t="s">
        <v>52</v>
      </c>
      <c r="E240" s="160" t="s">
        <v>87</v>
      </c>
      <c r="F240" s="154">
        <v>0</v>
      </c>
      <c r="G240" s="161">
        <f>+VLOOKUP(B240,'5.3 Var OPEX 2023-25'!$B$4:$D$160,3,0)</f>
        <v>4.4009396000000096E-2</v>
      </c>
      <c r="H240" s="162" t="s">
        <v>190</v>
      </c>
      <c r="I240" s="297">
        <f t="shared" si="25"/>
        <v>0</v>
      </c>
      <c r="J240" s="158">
        <f t="shared" si="28"/>
        <v>0</v>
      </c>
      <c r="K240" s="158">
        <f t="shared" si="28"/>
        <v>0</v>
      </c>
      <c r="L240" s="158">
        <f t="shared" si="28"/>
        <v>0</v>
      </c>
      <c r="M240" s="158">
        <f t="shared" si="28"/>
        <v>0</v>
      </c>
      <c r="N240" s="158">
        <f t="shared" si="28"/>
        <v>0</v>
      </c>
      <c r="P240" s="2"/>
    </row>
    <row r="241" spans="2:16" x14ac:dyDescent="0.25">
      <c r="B241" s="17">
        <v>6347000001</v>
      </c>
      <c r="C241" s="160" t="s">
        <v>176</v>
      </c>
      <c r="D241" s="160" t="s">
        <v>52</v>
      </c>
      <c r="E241" s="160" t="s">
        <v>88</v>
      </c>
      <c r="F241" s="154">
        <v>0</v>
      </c>
      <c r="G241" s="161">
        <f>+VLOOKUP(B241,'5.3 Var OPEX 2023-25'!$B$4:$D$160,3,0)</f>
        <v>1.0811688463956868</v>
      </c>
      <c r="H241" s="162" t="s">
        <v>190</v>
      </c>
      <c r="I241" s="297">
        <f t="shared" si="25"/>
        <v>0</v>
      </c>
      <c r="J241" s="158">
        <f t="shared" si="28"/>
        <v>0</v>
      </c>
      <c r="K241" s="158">
        <f t="shared" si="28"/>
        <v>0</v>
      </c>
      <c r="L241" s="158">
        <f t="shared" si="28"/>
        <v>0</v>
      </c>
      <c r="M241" s="158">
        <f t="shared" si="28"/>
        <v>0</v>
      </c>
      <c r="N241" s="158">
        <f t="shared" si="28"/>
        <v>0</v>
      </c>
      <c r="P241" s="2"/>
    </row>
    <row r="242" spans="2:16" x14ac:dyDescent="0.25">
      <c r="B242" s="17">
        <v>6348000001</v>
      </c>
      <c r="C242" s="160" t="s">
        <v>176</v>
      </c>
      <c r="D242" s="160" t="s">
        <v>52</v>
      </c>
      <c r="E242" s="160" t="s">
        <v>89</v>
      </c>
      <c r="F242" s="154">
        <v>2296.3806518356878</v>
      </c>
      <c r="G242" s="161">
        <f>+VLOOKUP(B242,'5.3 Var OPEX 2023-25'!$B$4:$D$160,3,0)</f>
        <v>4.4009396000000096E-2</v>
      </c>
      <c r="H242" s="162" t="s">
        <v>190</v>
      </c>
      <c r="I242" s="297">
        <f t="shared" si="25"/>
        <v>2352.9832378080982</v>
      </c>
      <c r="J242" s="158">
        <f t="shared" si="28"/>
        <v>2411.7203938006937</v>
      </c>
      <c r="K242" s="158">
        <f t="shared" si="28"/>
        <v>2455.7931601721207</v>
      </c>
      <c r="L242" s="158">
        <f t="shared" si="28"/>
        <v>2500.4986789124837</v>
      </c>
      <c r="M242" s="158">
        <f t="shared" si="28"/>
        <v>2548.3930574606115</v>
      </c>
      <c r="N242" s="158">
        <f t="shared" si="28"/>
        <v>2593.5263676114491</v>
      </c>
      <c r="P242" s="2"/>
    </row>
    <row r="243" spans="2:16" x14ac:dyDescent="0.25">
      <c r="B243" s="17">
        <v>6354000001</v>
      </c>
      <c r="C243" s="160" t="s">
        <v>176</v>
      </c>
      <c r="D243" s="160" t="s">
        <v>40</v>
      </c>
      <c r="E243" s="160" t="s">
        <v>90</v>
      </c>
      <c r="F243" s="154">
        <v>0</v>
      </c>
      <c r="G243" s="161">
        <f>+VLOOKUP(B243,'5.3 Var OPEX 2023-25'!$B$4:$D$160,3,0)</f>
        <v>1.1277145310168262</v>
      </c>
      <c r="H243" s="162" t="s">
        <v>190</v>
      </c>
      <c r="I243" s="297">
        <f t="shared" si="25"/>
        <v>0</v>
      </c>
      <c r="J243" s="158">
        <f t="shared" si="28"/>
        <v>0</v>
      </c>
      <c r="K243" s="158">
        <f t="shared" si="28"/>
        <v>0</v>
      </c>
      <c r="L243" s="158">
        <f t="shared" si="28"/>
        <v>0</v>
      </c>
      <c r="M243" s="158">
        <f t="shared" si="28"/>
        <v>0</v>
      </c>
      <c r="N243" s="158">
        <f t="shared" si="28"/>
        <v>0</v>
      </c>
      <c r="P243" s="2"/>
    </row>
    <row r="244" spans="2:16" x14ac:dyDescent="0.25">
      <c r="B244" s="17">
        <v>6356000001</v>
      </c>
      <c r="C244" s="160" t="s">
        <v>176</v>
      </c>
      <c r="D244" s="160" t="s">
        <v>40</v>
      </c>
      <c r="E244" s="160" t="s">
        <v>91</v>
      </c>
      <c r="F244" s="154">
        <v>0</v>
      </c>
      <c r="G244" s="161">
        <f>+VLOOKUP(B244,'5.3 Var OPEX 2023-25'!$B$4:$D$160,3,0)</f>
        <v>4.4009396000000096E-2</v>
      </c>
      <c r="H244" s="162" t="s">
        <v>190</v>
      </c>
      <c r="I244" s="297">
        <f t="shared" si="25"/>
        <v>0</v>
      </c>
      <c r="J244" s="158">
        <f t="shared" si="28"/>
        <v>0</v>
      </c>
      <c r="K244" s="158">
        <f t="shared" si="28"/>
        <v>0</v>
      </c>
      <c r="L244" s="158">
        <f t="shared" si="28"/>
        <v>0</v>
      </c>
      <c r="M244" s="158">
        <f t="shared" si="28"/>
        <v>0</v>
      </c>
      <c r="N244" s="158">
        <f t="shared" si="28"/>
        <v>0</v>
      </c>
      <c r="P244" s="2"/>
    </row>
    <row r="245" spans="2:16" x14ac:dyDescent="0.25">
      <c r="B245" s="17">
        <v>6356000002</v>
      </c>
      <c r="C245" s="160" t="s">
        <v>176</v>
      </c>
      <c r="D245" s="160" t="s">
        <v>40</v>
      </c>
      <c r="E245" s="160" t="s">
        <v>92</v>
      </c>
      <c r="F245" s="154">
        <v>39890.86</v>
      </c>
      <c r="G245" s="161">
        <f>+VLOOKUP(B245,'5.3 Var OPEX 2023-25'!$B$4:$D$160,3,0)</f>
        <v>4.4009396000000096E-2</v>
      </c>
      <c r="H245" s="162" t="s">
        <v>190</v>
      </c>
      <c r="I245" s="297">
        <f t="shared" si="25"/>
        <v>40874.114161655838</v>
      </c>
      <c r="J245" s="158">
        <f t="shared" ref="J245:N254" si="29">+IF(OR($C245="No Imputables",$H245="m2 fijo"),I245,I245*(1+J$6*J$7))</f>
        <v>41894.448340410461</v>
      </c>
      <c r="K245" s="158">
        <f t="shared" si="29"/>
        <v>42660.044650294847</v>
      </c>
      <c r="L245" s="158">
        <f t="shared" si="29"/>
        <v>43436.632620531243</v>
      </c>
      <c r="M245" s="158">
        <f t="shared" si="29"/>
        <v>44268.614873962579</v>
      </c>
      <c r="N245" s="158">
        <f t="shared" si="29"/>
        <v>45052.6340892109</v>
      </c>
      <c r="P245" s="2"/>
    </row>
    <row r="246" spans="2:16" x14ac:dyDescent="0.25">
      <c r="B246" s="17">
        <v>6357000001</v>
      </c>
      <c r="C246" s="160" t="s">
        <v>176</v>
      </c>
      <c r="D246" s="160" t="s">
        <v>40</v>
      </c>
      <c r="E246" s="160" t="s">
        <v>93</v>
      </c>
      <c r="F246" s="154">
        <v>0</v>
      </c>
      <c r="G246" s="161">
        <f>+VLOOKUP(B246,'5.3 Var OPEX 2023-25'!$B$4:$D$160,3,0)</f>
        <v>4.4009396000000096E-2</v>
      </c>
      <c r="H246" s="162" t="s">
        <v>190</v>
      </c>
      <c r="I246" s="297">
        <f t="shared" si="25"/>
        <v>0</v>
      </c>
      <c r="J246" s="158">
        <f t="shared" si="29"/>
        <v>0</v>
      </c>
      <c r="K246" s="158">
        <f t="shared" si="29"/>
        <v>0</v>
      </c>
      <c r="L246" s="158">
        <f t="shared" si="29"/>
        <v>0</v>
      </c>
      <c r="M246" s="158">
        <f t="shared" si="29"/>
        <v>0</v>
      </c>
      <c r="N246" s="158">
        <f t="shared" si="29"/>
        <v>0</v>
      </c>
      <c r="P246" s="2"/>
    </row>
    <row r="247" spans="2:16" x14ac:dyDescent="0.25">
      <c r="B247" s="17">
        <v>6358000001</v>
      </c>
      <c r="C247" s="160" t="s">
        <v>176</v>
      </c>
      <c r="D247" s="160" t="s">
        <v>40</v>
      </c>
      <c r="E247" s="160" t="s">
        <v>94</v>
      </c>
      <c r="F247" s="154">
        <v>0</v>
      </c>
      <c r="G247" s="161">
        <f>+VLOOKUP(B247,'5.3 Var OPEX 2023-25'!$B$4:$D$160,3,0)</f>
        <v>4.4009396000000096E-2</v>
      </c>
      <c r="H247" s="162" t="s">
        <v>190</v>
      </c>
      <c r="I247" s="297">
        <f t="shared" si="25"/>
        <v>0</v>
      </c>
      <c r="J247" s="158">
        <f t="shared" si="29"/>
        <v>0</v>
      </c>
      <c r="K247" s="158">
        <f t="shared" si="29"/>
        <v>0</v>
      </c>
      <c r="L247" s="158">
        <f t="shared" si="29"/>
        <v>0</v>
      </c>
      <c r="M247" s="158">
        <f t="shared" si="29"/>
        <v>0</v>
      </c>
      <c r="N247" s="158">
        <f t="shared" si="29"/>
        <v>0</v>
      </c>
      <c r="P247" s="2"/>
    </row>
    <row r="248" spans="2:16" x14ac:dyDescent="0.25">
      <c r="B248" s="17">
        <v>6360000001</v>
      </c>
      <c r="C248" s="160" t="s">
        <v>176</v>
      </c>
      <c r="D248" s="160" t="s">
        <v>40</v>
      </c>
      <c r="E248" s="160" t="s">
        <v>95</v>
      </c>
      <c r="F248" s="154">
        <v>72508.813992069627</v>
      </c>
      <c r="G248" s="161">
        <f>+VLOOKUP(B248,'5.3 Var OPEX 2023-25'!$B$4:$D$160,3,0)</f>
        <v>4.4009396000000096E-2</v>
      </c>
      <c r="H248" s="162" t="s">
        <v>190</v>
      </c>
      <c r="I248" s="297">
        <f t="shared" si="25"/>
        <v>74296.055307860559</v>
      </c>
      <c r="J248" s="158">
        <f t="shared" si="29"/>
        <v>76150.696225029809</v>
      </c>
      <c r="K248" s="158">
        <f t="shared" si="29"/>
        <v>77542.305240890128</v>
      </c>
      <c r="L248" s="158">
        <f t="shared" si="29"/>
        <v>78953.893576723189</v>
      </c>
      <c r="M248" s="158">
        <f t="shared" si="29"/>
        <v>80466.170987106307</v>
      </c>
      <c r="N248" s="158">
        <f t="shared" si="29"/>
        <v>81891.266947550597</v>
      </c>
      <c r="P248" s="2"/>
    </row>
    <row r="249" spans="2:16" x14ac:dyDescent="0.25">
      <c r="B249" s="17">
        <v>6360000002</v>
      </c>
      <c r="C249" s="160" t="s">
        <v>176</v>
      </c>
      <c r="D249" s="160" t="s">
        <v>40</v>
      </c>
      <c r="E249" s="160" t="s">
        <v>96</v>
      </c>
      <c r="F249" s="154">
        <v>28535.382054739715</v>
      </c>
      <c r="G249" s="161">
        <f>+VLOOKUP(B249,'5.3 Var OPEX 2023-25'!$B$4:$D$160,3,0)</f>
        <v>0.77919024215254873</v>
      </c>
      <c r="H249" s="162" t="s">
        <v>191</v>
      </c>
      <c r="I249" s="297">
        <f t="shared" si="25"/>
        <v>49828.363806669506</v>
      </c>
      <c r="J249" s="158">
        <f t="shared" si="29"/>
        <v>51072.221531935138</v>
      </c>
      <c r="K249" s="158">
        <f t="shared" si="29"/>
        <v>52005.536228544515</v>
      </c>
      <c r="L249" s="158">
        <f t="shared" si="29"/>
        <v>52952.250517098393</v>
      </c>
      <c r="M249" s="158">
        <f t="shared" si="29"/>
        <v>53966.49425680883</v>
      </c>
      <c r="N249" s="158">
        <f t="shared" si="29"/>
        <v>54922.267745484489</v>
      </c>
      <c r="P249" s="2"/>
    </row>
    <row r="250" spans="2:16" x14ac:dyDescent="0.25">
      <c r="B250" s="17">
        <v>6360000003</v>
      </c>
      <c r="C250" s="160" t="s">
        <v>176</v>
      </c>
      <c r="D250" s="160" t="s">
        <v>40</v>
      </c>
      <c r="E250" s="160" t="s">
        <v>97</v>
      </c>
      <c r="F250" s="154">
        <v>6230.3009380050153</v>
      </c>
      <c r="G250" s="161">
        <f>+VLOOKUP(B250,'5.3 Var OPEX 2023-25'!$B$4:$D$160,3,0)</f>
        <v>0.33589966958431128</v>
      </c>
      <c r="H250" s="162" t="s">
        <v>191</v>
      </c>
      <c r="I250" s="297">
        <f t="shared" si="25"/>
        <v>8168.7087910438904</v>
      </c>
      <c r="J250" s="158">
        <f t="shared" si="29"/>
        <v>8372.6230029294748</v>
      </c>
      <c r="K250" s="158">
        <f t="shared" si="29"/>
        <v>8525.6277453003859</v>
      </c>
      <c r="L250" s="158">
        <f t="shared" si="29"/>
        <v>8680.829175584593</v>
      </c>
      <c r="M250" s="158">
        <f t="shared" si="29"/>
        <v>8847.1011765071871</v>
      </c>
      <c r="N250" s="158">
        <f t="shared" si="29"/>
        <v>9003.7877442115532</v>
      </c>
      <c r="P250" s="2"/>
    </row>
    <row r="251" spans="2:16" x14ac:dyDescent="0.25">
      <c r="B251" s="17">
        <v>6360000004</v>
      </c>
      <c r="C251" s="160" t="s">
        <v>176</v>
      </c>
      <c r="D251" s="160" t="s">
        <v>40</v>
      </c>
      <c r="E251" s="160" t="s">
        <v>98</v>
      </c>
      <c r="F251" s="154">
        <v>117423.09</v>
      </c>
      <c r="G251" s="161">
        <f>+VLOOKUP(B251,'5.3 Var OPEX 2023-25'!$B$4:$D$160,3,0)</f>
        <v>4.4009396000000096E-2</v>
      </c>
      <c r="H251" s="162" t="s">
        <v>190</v>
      </c>
      <c r="I251" s="297">
        <f t="shared" si="25"/>
        <v>120317.40568828017</v>
      </c>
      <c r="J251" s="158">
        <f t="shared" si="29"/>
        <v>123320.8704444168</v>
      </c>
      <c r="K251" s="158">
        <f t="shared" si="29"/>
        <v>125574.48654593034</v>
      </c>
      <c r="L251" s="158">
        <f t="shared" si="29"/>
        <v>127860.45779653726</v>
      </c>
      <c r="M251" s="158">
        <f t="shared" si="29"/>
        <v>130309.48815143737</v>
      </c>
      <c r="N251" s="158">
        <f t="shared" si="29"/>
        <v>132617.33408090172</v>
      </c>
      <c r="P251" s="2"/>
    </row>
    <row r="252" spans="2:16" x14ac:dyDescent="0.25">
      <c r="B252" s="17">
        <v>6360000005</v>
      </c>
      <c r="C252" s="160" t="s">
        <v>176</v>
      </c>
      <c r="D252" s="160" t="s">
        <v>40</v>
      </c>
      <c r="E252" s="160" t="s">
        <v>99</v>
      </c>
      <c r="F252" s="154">
        <v>7723.44</v>
      </c>
      <c r="G252" s="161">
        <f>+VLOOKUP(B252,'5.3 Var OPEX 2023-25'!$B$4:$D$160,3,0)</f>
        <v>4.4009396000000096E-2</v>
      </c>
      <c r="H252" s="162" t="s">
        <v>190</v>
      </c>
      <c r="I252" s="297">
        <f t="shared" si="25"/>
        <v>7913.8120431772877</v>
      </c>
      <c r="J252" s="158">
        <f t="shared" si="29"/>
        <v>8111.3633070397518</v>
      </c>
      <c r="K252" s="158">
        <f t="shared" si="29"/>
        <v>8259.593682710105</v>
      </c>
      <c r="L252" s="158">
        <f t="shared" si="29"/>
        <v>8409.9522007476353</v>
      </c>
      <c r="M252" s="158">
        <f t="shared" si="29"/>
        <v>8571.0358428511572</v>
      </c>
      <c r="N252" s="158">
        <f t="shared" si="29"/>
        <v>8722.8331560155639</v>
      </c>
      <c r="P252" s="2"/>
    </row>
    <row r="253" spans="2:16" x14ac:dyDescent="0.25">
      <c r="B253" s="17">
        <v>6370000001</v>
      </c>
      <c r="C253" s="160" t="s">
        <v>176</v>
      </c>
      <c r="D253" s="160" t="s">
        <v>40</v>
      </c>
      <c r="E253" s="160" t="s">
        <v>100</v>
      </c>
      <c r="F253" s="154">
        <v>0</v>
      </c>
      <c r="G253" s="161">
        <f>+VLOOKUP(B253,'5.3 Var OPEX 2023-25'!$B$4:$D$160,3,0)</f>
        <v>0.48851763260317993</v>
      </c>
      <c r="H253" s="162" t="s">
        <v>190</v>
      </c>
      <c r="I253" s="297">
        <f t="shared" si="25"/>
        <v>0</v>
      </c>
      <c r="J253" s="158">
        <f t="shared" si="29"/>
        <v>0</v>
      </c>
      <c r="K253" s="158">
        <f t="shared" si="29"/>
        <v>0</v>
      </c>
      <c r="L253" s="158">
        <f t="shared" si="29"/>
        <v>0</v>
      </c>
      <c r="M253" s="158">
        <f t="shared" si="29"/>
        <v>0</v>
      </c>
      <c r="N253" s="158">
        <f t="shared" si="29"/>
        <v>0</v>
      </c>
      <c r="P253" s="2"/>
    </row>
    <row r="254" spans="2:16" x14ac:dyDescent="0.25">
      <c r="B254" s="17">
        <v>6370000002</v>
      </c>
      <c r="C254" s="160" t="s">
        <v>176</v>
      </c>
      <c r="D254" s="160" t="s">
        <v>40</v>
      </c>
      <c r="E254" s="160" t="s">
        <v>101</v>
      </c>
      <c r="F254" s="154">
        <v>0</v>
      </c>
      <c r="G254" s="161">
        <f>+VLOOKUP(B254,'5.3 Var OPEX 2023-25'!$B$4:$D$160,3,0)</f>
        <v>4.4009396000000096E-2</v>
      </c>
      <c r="H254" s="162" t="s">
        <v>190</v>
      </c>
      <c r="I254" s="297">
        <f t="shared" si="25"/>
        <v>0</v>
      </c>
      <c r="J254" s="158">
        <f t="shared" si="29"/>
        <v>0</v>
      </c>
      <c r="K254" s="158">
        <f t="shared" si="29"/>
        <v>0</v>
      </c>
      <c r="L254" s="158">
        <f t="shared" si="29"/>
        <v>0</v>
      </c>
      <c r="M254" s="158">
        <f t="shared" si="29"/>
        <v>0</v>
      </c>
      <c r="N254" s="158">
        <f t="shared" si="29"/>
        <v>0</v>
      </c>
      <c r="P254" s="2"/>
    </row>
    <row r="255" spans="2:16" x14ac:dyDescent="0.25">
      <c r="B255" s="17">
        <v>6370000003</v>
      </c>
      <c r="C255" s="160" t="s">
        <v>176</v>
      </c>
      <c r="D255" s="160" t="s">
        <v>40</v>
      </c>
      <c r="E255" s="160" t="s">
        <v>102</v>
      </c>
      <c r="F255" s="154">
        <v>536.29</v>
      </c>
      <c r="G255" s="161">
        <f>+VLOOKUP(B255,'5.3 Var OPEX 2023-25'!$B$4:$D$160,3,0)</f>
        <v>4.4009396000000096E-2</v>
      </c>
      <c r="H255" s="162" t="s">
        <v>190</v>
      </c>
      <c r="I255" s="297">
        <f t="shared" si="25"/>
        <v>549.50880185973449</v>
      </c>
      <c r="J255" s="158">
        <f t="shared" ref="J255:N264" si="30">+IF(OR($C255="No Imputables",$H255="m2 fijo"),I255,I255*(1+J$6*J$7))</f>
        <v>563.22610493929506</v>
      </c>
      <c r="K255" s="158">
        <f t="shared" si="30"/>
        <v>573.51872949108213</v>
      </c>
      <c r="L255" s="158">
        <f t="shared" si="30"/>
        <v>583.95912517465661</v>
      </c>
      <c r="M255" s="158">
        <f t="shared" si="30"/>
        <v>595.14423782183167</v>
      </c>
      <c r="N255" s="158">
        <f t="shared" si="30"/>
        <v>605.68453865629658</v>
      </c>
      <c r="P255" s="2"/>
    </row>
    <row r="256" spans="2:16" x14ac:dyDescent="0.25">
      <c r="B256" s="17">
        <v>6380000002</v>
      </c>
      <c r="C256" s="160" t="s">
        <v>176</v>
      </c>
      <c r="D256" s="160" t="s">
        <v>40</v>
      </c>
      <c r="E256" s="160" t="s">
        <v>103</v>
      </c>
      <c r="F256" s="154">
        <v>0</v>
      </c>
      <c r="G256" s="161">
        <f>+VLOOKUP(B256,'5.3 Var OPEX 2023-25'!$B$4:$D$160,3,0)</f>
        <v>4.4009396000000096E-2</v>
      </c>
      <c r="H256" s="162" t="s">
        <v>190</v>
      </c>
      <c r="I256" s="297">
        <f t="shared" si="25"/>
        <v>0</v>
      </c>
      <c r="J256" s="158">
        <f t="shared" si="30"/>
        <v>0</v>
      </c>
      <c r="K256" s="158">
        <f t="shared" si="30"/>
        <v>0</v>
      </c>
      <c r="L256" s="158">
        <f t="shared" si="30"/>
        <v>0</v>
      </c>
      <c r="M256" s="158">
        <f t="shared" si="30"/>
        <v>0</v>
      </c>
      <c r="N256" s="158">
        <f t="shared" si="30"/>
        <v>0</v>
      </c>
      <c r="P256" s="2"/>
    </row>
    <row r="257" spans="2:16" x14ac:dyDescent="0.25">
      <c r="B257" s="17">
        <v>6380000003</v>
      </c>
      <c r="C257" s="160" t="s">
        <v>176</v>
      </c>
      <c r="D257" s="160" t="s">
        <v>38</v>
      </c>
      <c r="E257" s="160" t="s">
        <v>104</v>
      </c>
      <c r="F257" s="154">
        <v>0</v>
      </c>
      <c r="G257" s="161">
        <f>+VLOOKUP(B257,'5.3 Var OPEX 2023-25'!$B$4:$D$160,3,0)</f>
        <v>4.4009396000000096E-2</v>
      </c>
      <c r="H257" s="162" t="s">
        <v>190</v>
      </c>
      <c r="I257" s="297">
        <f t="shared" si="25"/>
        <v>0</v>
      </c>
      <c r="J257" s="158">
        <f t="shared" si="30"/>
        <v>0</v>
      </c>
      <c r="K257" s="158">
        <f t="shared" si="30"/>
        <v>0</v>
      </c>
      <c r="L257" s="158">
        <f t="shared" si="30"/>
        <v>0</v>
      </c>
      <c r="M257" s="158">
        <f t="shared" si="30"/>
        <v>0</v>
      </c>
      <c r="N257" s="158">
        <f t="shared" si="30"/>
        <v>0</v>
      </c>
      <c r="P257" s="2"/>
    </row>
    <row r="258" spans="2:16" x14ac:dyDescent="0.25">
      <c r="B258" s="17">
        <v>6380000004</v>
      </c>
      <c r="C258" s="160" t="s">
        <v>176</v>
      </c>
      <c r="D258" s="160" t="s">
        <v>49</v>
      </c>
      <c r="E258" s="160" t="s">
        <v>105</v>
      </c>
      <c r="F258" s="154">
        <v>38070.017237622349</v>
      </c>
      <c r="G258" s="161">
        <f>+VLOOKUP(B258,'5.3 Var OPEX 2023-25'!$B$4:$D$160,3,0)</f>
        <v>1.1454126819228176</v>
      </c>
      <c r="H258" s="162" t="s">
        <v>191</v>
      </c>
      <c r="I258" s="297">
        <f t="shared" si="25"/>
        <v>80161.246892774972</v>
      </c>
      <c r="J258" s="158">
        <f t="shared" si="30"/>
        <v>82162.299678721713</v>
      </c>
      <c r="K258" s="158">
        <f t="shared" si="30"/>
        <v>83663.767198583286</v>
      </c>
      <c r="L258" s="158">
        <f t="shared" si="30"/>
        <v>85186.791276117365</v>
      </c>
      <c r="M258" s="158">
        <f t="shared" si="30"/>
        <v>86818.453177435862</v>
      </c>
      <c r="N258" s="158">
        <f t="shared" si="30"/>
        <v>88356.051218916065</v>
      </c>
      <c r="P258" s="2"/>
    </row>
    <row r="259" spans="2:16" x14ac:dyDescent="0.25">
      <c r="B259" s="17">
        <v>6380000005</v>
      </c>
      <c r="C259" s="160" t="s">
        <v>176</v>
      </c>
      <c r="D259" s="160" t="s">
        <v>38</v>
      </c>
      <c r="E259" s="160" t="s">
        <v>106</v>
      </c>
      <c r="F259" s="154">
        <v>0</v>
      </c>
      <c r="G259" s="161">
        <f>+VLOOKUP(B259,'5.3 Var OPEX 2023-25'!$B$4:$D$160,3,0)</f>
        <v>4.4009396000000096E-2</v>
      </c>
      <c r="H259" s="162" t="s">
        <v>190</v>
      </c>
      <c r="I259" s="297">
        <f t="shared" si="25"/>
        <v>0</v>
      </c>
      <c r="J259" s="158">
        <f t="shared" si="30"/>
        <v>0</v>
      </c>
      <c r="K259" s="158">
        <f t="shared" si="30"/>
        <v>0</v>
      </c>
      <c r="L259" s="158">
        <f t="shared" si="30"/>
        <v>0</v>
      </c>
      <c r="M259" s="158">
        <f t="shared" si="30"/>
        <v>0</v>
      </c>
      <c r="N259" s="158">
        <f t="shared" si="30"/>
        <v>0</v>
      </c>
      <c r="P259" s="2"/>
    </row>
    <row r="260" spans="2:16" x14ac:dyDescent="0.25">
      <c r="B260" s="17">
        <v>6380000007</v>
      </c>
      <c r="C260" s="160" t="s">
        <v>176</v>
      </c>
      <c r="D260" s="160" t="s">
        <v>40</v>
      </c>
      <c r="E260" s="160" t="s">
        <v>107</v>
      </c>
      <c r="F260" s="154">
        <v>442816.80247732491</v>
      </c>
      <c r="G260" s="161">
        <f>+VLOOKUP(B260,'5.3 Var OPEX 2023-25'!$B$4:$D$160,3,0)</f>
        <v>4.4009396000000096E-2</v>
      </c>
      <c r="H260" s="162" t="s">
        <v>191</v>
      </c>
      <c r="I260" s="297">
        <f t="shared" si="25"/>
        <v>453731.62015453115</v>
      </c>
      <c r="J260" s="158">
        <f t="shared" si="30"/>
        <v>465058.05228696577</v>
      </c>
      <c r="K260" s="158">
        <f t="shared" si="30"/>
        <v>473556.71363273379</v>
      </c>
      <c r="L260" s="158">
        <f t="shared" si="30"/>
        <v>482177.39019429288</v>
      </c>
      <c r="M260" s="158">
        <f t="shared" si="30"/>
        <v>491412.98253756005</v>
      </c>
      <c r="N260" s="158">
        <f t="shared" si="30"/>
        <v>500116.15118263423</v>
      </c>
      <c r="P260" s="2"/>
    </row>
    <row r="261" spans="2:16" x14ac:dyDescent="0.25">
      <c r="B261" s="17">
        <v>6380000008</v>
      </c>
      <c r="C261" s="160" t="s">
        <v>176</v>
      </c>
      <c r="D261" s="160" t="s">
        <v>40</v>
      </c>
      <c r="E261" s="160" t="s">
        <v>108</v>
      </c>
      <c r="F261" s="154">
        <v>0</v>
      </c>
      <c r="G261" s="161">
        <f>+VLOOKUP(B261,'5.3 Var OPEX 2023-25'!$B$4:$D$160,3,0)</f>
        <v>1.7577982488676596</v>
      </c>
      <c r="H261" s="162" t="s">
        <v>190</v>
      </c>
      <c r="I261" s="297">
        <f t="shared" si="25"/>
        <v>0</v>
      </c>
      <c r="J261" s="158">
        <f t="shared" si="30"/>
        <v>0</v>
      </c>
      <c r="K261" s="158">
        <f t="shared" si="30"/>
        <v>0</v>
      </c>
      <c r="L261" s="158">
        <f t="shared" si="30"/>
        <v>0</v>
      </c>
      <c r="M261" s="158">
        <f t="shared" si="30"/>
        <v>0</v>
      </c>
      <c r="N261" s="158">
        <f t="shared" si="30"/>
        <v>0</v>
      </c>
      <c r="P261" s="2"/>
    </row>
    <row r="262" spans="2:16" x14ac:dyDescent="0.25">
      <c r="B262" s="17">
        <v>6380000009</v>
      </c>
      <c r="C262" s="160" t="s">
        <v>176</v>
      </c>
      <c r="D262" s="160" t="s">
        <v>40</v>
      </c>
      <c r="E262" s="160" t="s">
        <v>109</v>
      </c>
      <c r="F262" s="154">
        <v>0</v>
      </c>
      <c r="G262" s="161">
        <f>+VLOOKUP(B262,'5.3 Var OPEX 2023-25'!$B$4:$D$160,3,0)</f>
        <v>9.5138088966381096E-2</v>
      </c>
      <c r="H262" s="162" t="s">
        <v>190</v>
      </c>
      <c r="I262" s="297">
        <f t="shared" si="25"/>
        <v>0</v>
      </c>
      <c r="J262" s="158">
        <f t="shared" si="30"/>
        <v>0</v>
      </c>
      <c r="K262" s="158">
        <f t="shared" si="30"/>
        <v>0</v>
      </c>
      <c r="L262" s="158">
        <f t="shared" si="30"/>
        <v>0</v>
      </c>
      <c r="M262" s="158">
        <f t="shared" si="30"/>
        <v>0</v>
      </c>
      <c r="N262" s="158">
        <f t="shared" si="30"/>
        <v>0</v>
      </c>
      <c r="P262" s="2"/>
    </row>
    <row r="263" spans="2:16" x14ac:dyDescent="0.25">
      <c r="B263" s="17">
        <v>6380000010</v>
      </c>
      <c r="C263" s="160" t="s">
        <v>176</v>
      </c>
      <c r="D263" s="160" t="s">
        <v>40</v>
      </c>
      <c r="E263" s="160" t="s">
        <v>110</v>
      </c>
      <c r="F263" s="154">
        <v>391.32961514590539</v>
      </c>
      <c r="G263" s="161">
        <f>+VLOOKUP(B263,'5.3 Var OPEX 2023-25'!$B$4:$D$160,3,0)</f>
        <v>4.4009396000000096E-2</v>
      </c>
      <c r="H263" s="162" t="s">
        <v>190</v>
      </c>
      <c r="I263" s="297">
        <f t="shared" si="25"/>
        <v>400.97534533751792</v>
      </c>
      <c r="J263" s="158">
        <f t="shared" si="30"/>
        <v>410.98483075578821</v>
      </c>
      <c r="K263" s="158">
        <f t="shared" si="30"/>
        <v>418.49533590168335</v>
      </c>
      <c r="L263" s="158">
        <f t="shared" si="30"/>
        <v>426.11366931238314</v>
      </c>
      <c r="M263" s="158">
        <f t="shared" si="30"/>
        <v>434.27542102802693</v>
      </c>
      <c r="N263" s="158">
        <f t="shared" si="30"/>
        <v>441.96665500418385</v>
      </c>
      <c r="P263" s="2"/>
    </row>
    <row r="264" spans="2:16" x14ac:dyDescent="0.25">
      <c r="B264" s="17">
        <v>6380000012</v>
      </c>
      <c r="C264" s="160" t="s">
        <v>176</v>
      </c>
      <c r="D264" s="160" t="s">
        <v>40</v>
      </c>
      <c r="E264" s="160" t="s">
        <v>111</v>
      </c>
      <c r="F264" s="154">
        <v>347.49</v>
      </c>
      <c r="G264" s="161">
        <f>+VLOOKUP(B264,'5.3 Var OPEX 2023-25'!$B$4:$D$160,3,0)</f>
        <v>4.4009396000000096E-2</v>
      </c>
      <c r="H264" s="162" t="s">
        <v>190</v>
      </c>
      <c r="I264" s="297">
        <f t="shared" si="25"/>
        <v>356.05514471319464</v>
      </c>
      <c r="J264" s="158">
        <f t="shared" si="30"/>
        <v>364.94329412324606</v>
      </c>
      <c r="K264" s="158">
        <f t="shared" si="30"/>
        <v>371.61241736906544</v>
      </c>
      <c r="L264" s="158">
        <f t="shared" si="30"/>
        <v>378.37728916620006</v>
      </c>
      <c r="M264" s="158">
        <f t="shared" si="30"/>
        <v>385.62470156204347</v>
      </c>
      <c r="N264" s="158">
        <f t="shared" si="30"/>
        <v>392.45430706833338</v>
      </c>
      <c r="P264" s="2"/>
    </row>
    <row r="265" spans="2:16" x14ac:dyDescent="0.25">
      <c r="B265" s="17">
        <v>6380000014</v>
      </c>
      <c r="C265" s="160" t="s">
        <v>176</v>
      </c>
      <c r="D265" s="160" t="s">
        <v>49</v>
      </c>
      <c r="E265" s="160" t="s">
        <v>112</v>
      </c>
      <c r="F265" s="154">
        <v>0</v>
      </c>
      <c r="G265" s="161">
        <f>+VLOOKUP(B265,'5.3 Var OPEX 2023-25'!$B$4:$D$160,3,0)</f>
        <v>4.4009396000000096E-2</v>
      </c>
      <c r="H265" s="162" t="s">
        <v>190</v>
      </c>
      <c r="I265" s="297">
        <f t="shared" si="25"/>
        <v>0</v>
      </c>
      <c r="J265" s="158">
        <f t="shared" ref="J265:N274" si="31">+IF(OR($C265="No Imputables",$H265="m2 fijo"),I265,I265*(1+J$6*J$7))</f>
        <v>0</v>
      </c>
      <c r="K265" s="158">
        <f t="shared" si="31"/>
        <v>0</v>
      </c>
      <c r="L265" s="158">
        <f t="shared" si="31"/>
        <v>0</v>
      </c>
      <c r="M265" s="158">
        <f t="shared" si="31"/>
        <v>0</v>
      </c>
      <c r="N265" s="158">
        <f t="shared" si="31"/>
        <v>0</v>
      </c>
      <c r="P265" s="2"/>
    </row>
    <row r="266" spans="2:16" x14ac:dyDescent="0.25">
      <c r="B266" s="17">
        <v>6380000015</v>
      </c>
      <c r="C266" s="160" t="s">
        <v>176</v>
      </c>
      <c r="D266" s="160" t="s">
        <v>40</v>
      </c>
      <c r="E266" s="160" t="s">
        <v>113</v>
      </c>
      <c r="F266" s="154">
        <v>0</v>
      </c>
      <c r="G266" s="161">
        <f>+VLOOKUP(B266,'5.3 Var OPEX 2023-25'!$B$4:$D$160,3,0)</f>
        <v>4.4009396000000096E-2</v>
      </c>
      <c r="H266" s="162" t="s">
        <v>190</v>
      </c>
      <c r="I266" s="297">
        <f t="shared" si="25"/>
        <v>0</v>
      </c>
      <c r="J266" s="158">
        <f t="shared" si="31"/>
        <v>0</v>
      </c>
      <c r="K266" s="158">
        <f t="shared" si="31"/>
        <v>0</v>
      </c>
      <c r="L266" s="158">
        <f t="shared" si="31"/>
        <v>0</v>
      </c>
      <c r="M266" s="158">
        <f t="shared" si="31"/>
        <v>0</v>
      </c>
      <c r="N266" s="158">
        <f t="shared" si="31"/>
        <v>0</v>
      </c>
      <c r="P266" s="2"/>
    </row>
    <row r="267" spans="2:16" x14ac:dyDescent="0.25">
      <c r="B267" s="17">
        <v>6380000016</v>
      </c>
      <c r="C267" s="160" t="s">
        <v>176</v>
      </c>
      <c r="D267" s="160" t="s">
        <v>49</v>
      </c>
      <c r="E267" s="160" t="s">
        <v>114</v>
      </c>
      <c r="F267" s="154">
        <v>0</v>
      </c>
      <c r="G267" s="161">
        <f>+VLOOKUP(B267,'5.3 Var OPEX 2023-25'!$B$4:$D$160,3,0)</f>
        <v>0</v>
      </c>
      <c r="H267" s="162" t="s">
        <v>190</v>
      </c>
      <c r="I267" s="297">
        <f t="shared" si="25"/>
        <v>0</v>
      </c>
      <c r="J267" s="158">
        <f t="shared" si="31"/>
        <v>0</v>
      </c>
      <c r="K267" s="158">
        <f t="shared" si="31"/>
        <v>0</v>
      </c>
      <c r="L267" s="158">
        <f t="shared" si="31"/>
        <v>0</v>
      </c>
      <c r="M267" s="158">
        <f t="shared" si="31"/>
        <v>0</v>
      </c>
      <c r="N267" s="158">
        <f t="shared" si="31"/>
        <v>0</v>
      </c>
      <c r="P267" s="2"/>
    </row>
    <row r="268" spans="2:16" x14ac:dyDescent="0.25">
      <c r="B268" s="17">
        <v>6380000017</v>
      </c>
      <c r="C268" s="160" t="s">
        <v>176</v>
      </c>
      <c r="D268" s="160" t="s">
        <v>49</v>
      </c>
      <c r="E268" s="160" t="s">
        <v>115</v>
      </c>
      <c r="F268" s="154">
        <v>0</v>
      </c>
      <c r="G268" s="161">
        <f>+VLOOKUP(B268,'5.3 Var OPEX 2023-25'!$B$4:$D$160,3,0)</f>
        <v>4.4009396000000096E-2</v>
      </c>
      <c r="H268" s="162" t="s">
        <v>190</v>
      </c>
      <c r="I268" s="297">
        <f t="shared" si="25"/>
        <v>0</v>
      </c>
      <c r="J268" s="158">
        <f t="shared" si="31"/>
        <v>0</v>
      </c>
      <c r="K268" s="158">
        <f t="shared" si="31"/>
        <v>0</v>
      </c>
      <c r="L268" s="158">
        <f t="shared" si="31"/>
        <v>0</v>
      </c>
      <c r="M268" s="158">
        <f t="shared" si="31"/>
        <v>0</v>
      </c>
      <c r="N268" s="158">
        <f t="shared" si="31"/>
        <v>0</v>
      </c>
      <c r="P268" s="2"/>
    </row>
    <row r="269" spans="2:16" x14ac:dyDescent="0.25">
      <c r="B269" s="17">
        <v>6380000018</v>
      </c>
      <c r="C269" s="160" t="s">
        <v>176</v>
      </c>
      <c r="D269" s="160" t="s">
        <v>49</v>
      </c>
      <c r="E269" s="160" t="s">
        <v>116</v>
      </c>
      <c r="F269" s="154">
        <v>0</v>
      </c>
      <c r="G269" s="161">
        <f>+VLOOKUP(B269,'5.3 Var OPEX 2023-25'!$B$4:$D$160,3,0)</f>
        <v>4.4009396000000096E-2</v>
      </c>
      <c r="H269" s="162" t="s">
        <v>190</v>
      </c>
      <c r="I269" s="297">
        <f t="shared" si="25"/>
        <v>0</v>
      </c>
      <c r="J269" s="158">
        <f t="shared" si="31"/>
        <v>0</v>
      </c>
      <c r="K269" s="158">
        <f t="shared" si="31"/>
        <v>0</v>
      </c>
      <c r="L269" s="158">
        <f t="shared" si="31"/>
        <v>0</v>
      </c>
      <c r="M269" s="158">
        <f t="shared" si="31"/>
        <v>0</v>
      </c>
      <c r="N269" s="158">
        <f t="shared" si="31"/>
        <v>0</v>
      </c>
      <c r="P269" s="2"/>
    </row>
    <row r="270" spans="2:16" x14ac:dyDescent="0.25">
      <c r="B270" s="17">
        <v>6380000019</v>
      </c>
      <c r="C270" s="160" t="s">
        <v>176</v>
      </c>
      <c r="D270" s="160" t="s">
        <v>40</v>
      </c>
      <c r="E270" s="160" t="s">
        <v>117</v>
      </c>
      <c r="F270" s="154">
        <v>0</v>
      </c>
      <c r="G270" s="161">
        <f>+VLOOKUP(B270,'5.3 Var OPEX 2023-25'!$B$4:$D$160,3,0)</f>
        <v>4.4009396000000096E-2</v>
      </c>
      <c r="H270" s="162" t="s">
        <v>190</v>
      </c>
      <c r="I270" s="297">
        <f t="shared" si="25"/>
        <v>0</v>
      </c>
      <c r="J270" s="158">
        <f t="shared" si="31"/>
        <v>0</v>
      </c>
      <c r="K270" s="158">
        <f t="shared" si="31"/>
        <v>0</v>
      </c>
      <c r="L270" s="158">
        <f t="shared" si="31"/>
        <v>0</v>
      </c>
      <c r="M270" s="158">
        <f t="shared" si="31"/>
        <v>0</v>
      </c>
      <c r="N270" s="158">
        <f t="shared" si="31"/>
        <v>0</v>
      </c>
      <c r="P270" s="2"/>
    </row>
    <row r="271" spans="2:16" x14ac:dyDescent="0.25">
      <c r="B271" s="17">
        <v>6380000020</v>
      </c>
      <c r="C271" s="160" t="s">
        <v>176</v>
      </c>
      <c r="D271" s="160" t="s">
        <v>49</v>
      </c>
      <c r="E271" s="160" t="s">
        <v>118</v>
      </c>
      <c r="F271" s="154">
        <v>0</v>
      </c>
      <c r="G271" s="161">
        <f>+VLOOKUP(B271,'5.3 Var OPEX 2023-25'!$B$4:$D$160,3,0)</f>
        <v>4.4009396000000096E-2</v>
      </c>
      <c r="H271" s="162" t="s">
        <v>190</v>
      </c>
      <c r="I271" s="297">
        <f t="shared" ref="I271:I334" si="32">+F271*(1+G271)/$I$8</f>
        <v>0</v>
      </c>
      <c r="J271" s="158">
        <f t="shared" si="31"/>
        <v>0</v>
      </c>
      <c r="K271" s="158">
        <f t="shared" si="31"/>
        <v>0</v>
      </c>
      <c r="L271" s="158">
        <f t="shared" si="31"/>
        <v>0</v>
      </c>
      <c r="M271" s="158">
        <f t="shared" si="31"/>
        <v>0</v>
      </c>
      <c r="N271" s="158">
        <f t="shared" si="31"/>
        <v>0</v>
      </c>
      <c r="P271" s="2"/>
    </row>
    <row r="272" spans="2:16" x14ac:dyDescent="0.25">
      <c r="B272" s="17">
        <v>6380000021</v>
      </c>
      <c r="C272" s="160" t="s">
        <v>176</v>
      </c>
      <c r="D272" s="160" t="s">
        <v>40</v>
      </c>
      <c r="E272" s="160" t="s">
        <v>119</v>
      </c>
      <c r="F272" s="154">
        <v>249714.69137412158</v>
      </c>
      <c r="G272" s="161">
        <f>+VLOOKUP(B272,'5.3 Var OPEX 2023-25'!$B$4:$D$160,3,0)</f>
        <v>4.4009396000000096E-2</v>
      </c>
      <c r="H272" s="162" t="s">
        <v>190</v>
      </c>
      <c r="I272" s="297">
        <f t="shared" si="32"/>
        <v>255869.81085563207</v>
      </c>
      <c r="J272" s="158">
        <f t="shared" si="31"/>
        <v>262257.04929938033</v>
      </c>
      <c r="K272" s="158">
        <f t="shared" si="31"/>
        <v>267049.64204468456</v>
      </c>
      <c r="L272" s="158">
        <f t="shared" si="31"/>
        <v>271911.04200729344</v>
      </c>
      <c r="M272" s="158">
        <f t="shared" si="31"/>
        <v>277119.20727734157</v>
      </c>
      <c r="N272" s="158">
        <f t="shared" si="31"/>
        <v>282027.12644396559</v>
      </c>
      <c r="P272" s="2"/>
    </row>
    <row r="273" spans="2:16" x14ac:dyDescent="0.25">
      <c r="B273" s="17">
        <v>6380000022</v>
      </c>
      <c r="C273" s="160" t="s">
        <v>176</v>
      </c>
      <c r="D273" s="160" t="s">
        <v>40</v>
      </c>
      <c r="E273" s="160" t="s">
        <v>120</v>
      </c>
      <c r="F273" s="154">
        <v>453.43842924896569</v>
      </c>
      <c r="G273" s="161">
        <f>+VLOOKUP(B273,'5.3 Var OPEX 2023-25'!$B$4:$D$160,3,0)</f>
        <v>4.4009396000000096E-2</v>
      </c>
      <c r="H273" s="162" t="s">
        <v>190</v>
      </c>
      <c r="I273" s="297">
        <f t="shared" si="32"/>
        <v>464.61505523832096</v>
      </c>
      <c r="J273" s="158">
        <f t="shared" si="31"/>
        <v>476.21316887446545</v>
      </c>
      <c r="K273" s="158">
        <f t="shared" si="31"/>
        <v>484.915683390141</v>
      </c>
      <c r="L273" s="158">
        <f t="shared" si="31"/>
        <v>493.74313984000526</v>
      </c>
      <c r="M273" s="158">
        <f t="shared" si="31"/>
        <v>503.20026175111269</v>
      </c>
      <c r="N273" s="158">
        <f t="shared" si="31"/>
        <v>512.11218898113998</v>
      </c>
      <c r="P273" s="2"/>
    </row>
    <row r="274" spans="2:16" x14ac:dyDescent="0.25">
      <c r="B274" s="17">
        <v>6380000023</v>
      </c>
      <c r="C274" s="160" t="s">
        <v>176</v>
      </c>
      <c r="D274" s="160" t="s">
        <v>49</v>
      </c>
      <c r="E274" s="160" t="s">
        <v>121</v>
      </c>
      <c r="F274" s="154">
        <v>0</v>
      </c>
      <c r="G274" s="161">
        <f>+VLOOKUP(B274,'5.3 Var OPEX 2023-25'!$B$4:$D$160,3,0)</f>
        <v>4.4009396000000096E-2</v>
      </c>
      <c r="H274" s="162" t="s">
        <v>190</v>
      </c>
      <c r="I274" s="297">
        <f t="shared" si="32"/>
        <v>0</v>
      </c>
      <c r="J274" s="158">
        <f t="shared" si="31"/>
        <v>0</v>
      </c>
      <c r="K274" s="158">
        <f t="shared" si="31"/>
        <v>0</v>
      </c>
      <c r="L274" s="158">
        <f t="shared" si="31"/>
        <v>0</v>
      </c>
      <c r="M274" s="158">
        <f t="shared" si="31"/>
        <v>0</v>
      </c>
      <c r="N274" s="158">
        <f t="shared" si="31"/>
        <v>0</v>
      </c>
      <c r="P274" s="2"/>
    </row>
    <row r="275" spans="2:16" x14ac:dyDescent="0.25">
      <c r="B275" s="17">
        <v>6380000024</v>
      </c>
      <c r="C275" s="160" t="s">
        <v>176</v>
      </c>
      <c r="D275" s="160" t="s">
        <v>49</v>
      </c>
      <c r="E275" s="160" t="s">
        <v>122</v>
      </c>
      <c r="F275" s="154">
        <v>0</v>
      </c>
      <c r="G275" s="161">
        <f>+VLOOKUP(B275,'5.3 Var OPEX 2023-25'!$B$4:$D$160,3,0)</f>
        <v>4.4009396000000096E-2</v>
      </c>
      <c r="H275" s="162" t="s">
        <v>190</v>
      </c>
      <c r="I275" s="297">
        <f t="shared" si="32"/>
        <v>0</v>
      </c>
      <c r="J275" s="158">
        <f t="shared" ref="J275:N284" si="33">+IF(OR($C275="No Imputables",$H275="m2 fijo"),I275,I275*(1+J$6*J$7))</f>
        <v>0</v>
      </c>
      <c r="K275" s="158">
        <f t="shared" si="33"/>
        <v>0</v>
      </c>
      <c r="L275" s="158">
        <f t="shared" si="33"/>
        <v>0</v>
      </c>
      <c r="M275" s="158">
        <f t="shared" si="33"/>
        <v>0</v>
      </c>
      <c r="N275" s="158">
        <f t="shared" si="33"/>
        <v>0</v>
      </c>
      <c r="P275" s="2"/>
    </row>
    <row r="276" spans="2:16" x14ac:dyDescent="0.25">
      <c r="B276" s="17">
        <v>6380000025</v>
      </c>
      <c r="C276" s="160" t="s">
        <v>176</v>
      </c>
      <c r="D276" s="160" t="s">
        <v>49</v>
      </c>
      <c r="E276" s="160" t="s">
        <v>123</v>
      </c>
      <c r="F276" s="154">
        <v>0</v>
      </c>
      <c r="G276" s="161">
        <f>+VLOOKUP(B276,'5.3 Var OPEX 2023-25'!$B$4:$D$160,3,0)</f>
        <v>4.4009396000000096E-2</v>
      </c>
      <c r="H276" s="162" t="s">
        <v>190</v>
      </c>
      <c r="I276" s="297">
        <f t="shared" si="32"/>
        <v>0</v>
      </c>
      <c r="J276" s="158">
        <f t="shared" si="33"/>
        <v>0</v>
      </c>
      <c r="K276" s="158">
        <f t="shared" si="33"/>
        <v>0</v>
      </c>
      <c r="L276" s="158">
        <f t="shared" si="33"/>
        <v>0</v>
      </c>
      <c r="M276" s="158">
        <f t="shared" si="33"/>
        <v>0</v>
      </c>
      <c r="N276" s="158">
        <f t="shared" si="33"/>
        <v>0</v>
      </c>
      <c r="P276" s="2"/>
    </row>
    <row r="277" spans="2:16" x14ac:dyDescent="0.25">
      <c r="B277" s="17">
        <v>6380000026</v>
      </c>
      <c r="C277" s="160" t="s">
        <v>176</v>
      </c>
      <c r="D277" s="160" t="s">
        <v>49</v>
      </c>
      <c r="E277" s="160" t="s">
        <v>124</v>
      </c>
      <c r="F277" s="154">
        <v>0</v>
      </c>
      <c r="G277" s="161">
        <f>+VLOOKUP(B277,'5.3 Var OPEX 2023-25'!$B$4:$D$160,3,0)</f>
        <v>4.4009396000000096E-2</v>
      </c>
      <c r="H277" s="162" t="s">
        <v>190</v>
      </c>
      <c r="I277" s="297">
        <f t="shared" si="32"/>
        <v>0</v>
      </c>
      <c r="J277" s="158">
        <f t="shared" si="33"/>
        <v>0</v>
      </c>
      <c r="K277" s="158">
        <f t="shared" si="33"/>
        <v>0</v>
      </c>
      <c r="L277" s="158">
        <f t="shared" si="33"/>
        <v>0</v>
      </c>
      <c r="M277" s="158">
        <f t="shared" si="33"/>
        <v>0</v>
      </c>
      <c r="N277" s="158">
        <f t="shared" si="33"/>
        <v>0</v>
      </c>
      <c r="P277" s="2"/>
    </row>
    <row r="278" spans="2:16" x14ac:dyDescent="0.25">
      <c r="B278" s="17">
        <v>6380000027</v>
      </c>
      <c r="C278" s="160" t="s">
        <v>176</v>
      </c>
      <c r="D278" s="160" t="s">
        <v>49</v>
      </c>
      <c r="E278" s="160" t="s">
        <v>125</v>
      </c>
      <c r="F278" s="154">
        <v>0</v>
      </c>
      <c r="G278" s="161">
        <f>+VLOOKUP(B278,'5.3 Var OPEX 2023-25'!$B$4:$D$160,3,0)</f>
        <v>4.4009396000000096E-2</v>
      </c>
      <c r="H278" s="162" t="s">
        <v>190</v>
      </c>
      <c r="I278" s="297">
        <f t="shared" si="32"/>
        <v>0</v>
      </c>
      <c r="J278" s="158">
        <f t="shared" si="33"/>
        <v>0</v>
      </c>
      <c r="K278" s="158">
        <f t="shared" si="33"/>
        <v>0</v>
      </c>
      <c r="L278" s="158">
        <f t="shared" si="33"/>
        <v>0</v>
      </c>
      <c r="M278" s="158">
        <f t="shared" si="33"/>
        <v>0</v>
      </c>
      <c r="N278" s="158">
        <f t="shared" si="33"/>
        <v>0</v>
      </c>
      <c r="P278" s="2"/>
    </row>
    <row r="279" spans="2:16" x14ac:dyDescent="0.25">
      <c r="B279" s="17">
        <v>6380000028</v>
      </c>
      <c r="C279" s="160" t="s">
        <v>176</v>
      </c>
      <c r="D279" s="160" t="s">
        <v>49</v>
      </c>
      <c r="E279" s="160" t="s">
        <v>126</v>
      </c>
      <c r="F279" s="154">
        <v>0</v>
      </c>
      <c r="G279" s="161">
        <f>+VLOOKUP(B279,'5.3 Var OPEX 2023-25'!$B$4:$D$160,3,0)</f>
        <v>4.4009396000000096E-2</v>
      </c>
      <c r="H279" s="162" t="s">
        <v>190</v>
      </c>
      <c r="I279" s="297">
        <f t="shared" si="32"/>
        <v>0</v>
      </c>
      <c r="J279" s="158">
        <f t="shared" si="33"/>
        <v>0</v>
      </c>
      <c r="K279" s="158">
        <f t="shared" si="33"/>
        <v>0</v>
      </c>
      <c r="L279" s="158">
        <f t="shared" si="33"/>
        <v>0</v>
      </c>
      <c r="M279" s="158">
        <f t="shared" si="33"/>
        <v>0</v>
      </c>
      <c r="N279" s="158">
        <f t="shared" si="33"/>
        <v>0</v>
      </c>
      <c r="P279" s="2"/>
    </row>
    <row r="280" spans="2:16" x14ac:dyDescent="0.25">
      <c r="B280" s="17">
        <v>6380000029</v>
      </c>
      <c r="C280" s="160" t="s">
        <v>176</v>
      </c>
      <c r="D280" s="160" t="s">
        <v>40</v>
      </c>
      <c r="E280" s="160" t="s">
        <v>127</v>
      </c>
      <c r="F280" s="154">
        <v>0</v>
      </c>
      <c r="G280" s="161">
        <f>+VLOOKUP(B280,'5.3 Var OPEX 2023-25'!$B$4:$D$160,3,0)</f>
        <v>4.4009396000000096E-2</v>
      </c>
      <c r="H280" s="162" t="s">
        <v>190</v>
      </c>
      <c r="I280" s="297">
        <f t="shared" si="32"/>
        <v>0</v>
      </c>
      <c r="J280" s="158">
        <f t="shared" si="33"/>
        <v>0</v>
      </c>
      <c r="K280" s="158">
        <f t="shared" si="33"/>
        <v>0</v>
      </c>
      <c r="L280" s="158">
        <f t="shared" si="33"/>
        <v>0</v>
      </c>
      <c r="M280" s="158">
        <f t="shared" si="33"/>
        <v>0</v>
      </c>
      <c r="N280" s="158">
        <f t="shared" si="33"/>
        <v>0</v>
      </c>
      <c r="P280" s="2"/>
    </row>
    <row r="281" spans="2:16" x14ac:dyDescent="0.25">
      <c r="B281" s="17">
        <v>6380000030</v>
      </c>
      <c r="C281" s="160" t="s">
        <v>176</v>
      </c>
      <c r="D281" s="160" t="s">
        <v>40</v>
      </c>
      <c r="E281" s="160" t="s">
        <v>128</v>
      </c>
      <c r="F281" s="154">
        <v>192130.88183762509</v>
      </c>
      <c r="G281" s="161">
        <f>+VLOOKUP(B281,'5.3 Var OPEX 2023-25'!$B$4:$D$160,3,0)</f>
        <v>3.290536457674488</v>
      </c>
      <c r="H281" s="162" t="s">
        <v>190</v>
      </c>
      <c r="I281" s="297">
        <f t="shared" si="32"/>
        <v>809057.37243574171</v>
      </c>
      <c r="J281" s="158">
        <f t="shared" si="33"/>
        <v>829253.74626796076</v>
      </c>
      <c r="K281" s="158">
        <f t="shared" si="33"/>
        <v>844407.86890831473</v>
      </c>
      <c r="L281" s="158">
        <f t="shared" si="33"/>
        <v>859779.5591712459</v>
      </c>
      <c r="M281" s="158">
        <f t="shared" si="33"/>
        <v>876247.71731192502</v>
      </c>
      <c r="N281" s="158">
        <f t="shared" si="33"/>
        <v>891766.50075807481</v>
      </c>
      <c r="P281" s="2"/>
    </row>
    <row r="282" spans="2:16" x14ac:dyDescent="0.25">
      <c r="B282" s="17">
        <v>6380000031</v>
      </c>
      <c r="C282" s="160" t="s">
        <v>176</v>
      </c>
      <c r="D282" s="160" t="s">
        <v>49</v>
      </c>
      <c r="E282" s="160" t="s">
        <v>129</v>
      </c>
      <c r="F282" s="154">
        <v>0</v>
      </c>
      <c r="G282" s="161">
        <f>+VLOOKUP(B282,'5.3 Var OPEX 2023-25'!$B$4:$D$160,3,0)</f>
        <v>4.4009396000000096E-2</v>
      </c>
      <c r="H282" s="162" t="s">
        <v>190</v>
      </c>
      <c r="I282" s="297">
        <f t="shared" si="32"/>
        <v>0</v>
      </c>
      <c r="J282" s="158">
        <f t="shared" si="33"/>
        <v>0</v>
      </c>
      <c r="K282" s="158">
        <f t="shared" si="33"/>
        <v>0</v>
      </c>
      <c r="L282" s="158">
        <f t="shared" si="33"/>
        <v>0</v>
      </c>
      <c r="M282" s="158">
        <f t="shared" si="33"/>
        <v>0</v>
      </c>
      <c r="N282" s="158">
        <f t="shared" si="33"/>
        <v>0</v>
      </c>
      <c r="P282" s="2"/>
    </row>
    <row r="283" spans="2:16" x14ac:dyDescent="0.25">
      <c r="B283" s="17">
        <v>6381000001</v>
      </c>
      <c r="C283" s="160" t="s">
        <v>176</v>
      </c>
      <c r="D283" s="160" t="s">
        <v>49</v>
      </c>
      <c r="E283" s="160" t="s">
        <v>130</v>
      </c>
      <c r="F283" s="154">
        <v>2519748.71</v>
      </c>
      <c r="G283" s="161">
        <f>+VLOOKUP(B283,'5.3 Var OPEX 2023-25'!$B$4:$D$160,3,0)</f>
        <v>4.4009396000000096E-2</v>
      </c>
      <c r="H283" s="162" t="s">
        <v>190</v>
      </c>
      <c r="I283" s="297">
        <f t="shared" si="32"/>
        <v>2581857.0076259333</v>
      </c>
      <c r="J283" s="158">
        <f t="shared" si="33"/>
        <v>2646307.504072635</v>
      </c>
      <c r="K283" s="158">
        <f t="shared" si="33"/>
        <v>2694667.2113893474</v>
      </c>
      <c r="L283" s="158">
        <f t="shared" si="33"/>
        <v>2743721.218653284</v>
      </c>
      <c r="M283" s="158">
        <f t="shared" si="33"/>
        <v>2796274.2648855913</v>
      </c>
      <c r="N283" s="158">
        <f t="shared" si="33"/>
        <v>2845797.6746651041</v>
      </c>
      <c r="P283" s="2"/>
    </row>
    <row r="284" spans="2:16" x14ac:dyDescent="0.25">
      <c r="B284" s="17">
        <v>6381000002</v>
      </c>
      <c r="C284" s="160" t="s">
        <v>176</v>
      </c>
      <c r="D284" s="160" t="s">
        <v>49</v>
      </c>
      <c r="E284" s="160" t="s">
        <v>131</v>
      </c>
      <c r="F284" s="154">
        <v>64265.391965562383</v>
      </c>
      <c r="G284" s="161">
        <f>+VLOOKUP(B284,'5.3 Var OPEX 2023-25'!$B$4:$D$160,3,0)</f>
        <v>4.4009396000000096E-2</v>
      </c>
      <c r="H284" s="162" t="s">
        <v>190</v>
      </c>
      <c r="I284" s="297">
        <f t="shared" si="32"/>
        <v>65849.4444051584</v>
      </c>
      <c r="J284" s="158">
        <f t="shared" si="33"/>
        <v>67493.233883087087</v>
      </c>
      <c r="K284" s="158">
        <f t="shared" si="33"/>
        <v>68726.632885818748</v>
      </c>
      <c r="L284" s="158">
        <f t="shared" si="33"/>
        <v>69977.739788577484</v>
      </c>
      <c r="M284" s="158">
        <f t="shared" si="33"/>
        <v>71318.088570858847</v>
      </c>
      <c r="N284" s="158">
        <f t="shared" si="33"/>
        <v>72581.167435953903</v>
      </c>
      <c r="P284" s="2"/>
    </row>
    <row r="285" spans="2:16" x14ac:dyDescent="0.25">
      <c r="B285" s="17">
        <v>6381000003</v>
      </c>
      <c r="C285" s="160" t="s">
        <v>176</v>
      </c>
      <c r="D285" s="160" t="s">
        <v>49</v>
      </c>
      <c r="E285" s="160" t="s">
        <v>132</v>
      </c>
      <c r="F285" s="154">
        <v>111100.44</v>
      </c>
      <c r="G285" s="161">
        <f>+VLOOKUP(B285,'5.3 Var OPEX 2023-25'!$B$4:$D$160,3,0)</f>
        <v>4.4009396000000096E-2</v>
      </c>
      <c r="H285" s="162" t="s">
        <v>190</v>
      </c>
      <c r="I285" s="297">
        <f t="shared" si="32"/>
        <v>113838.91116837779</v>
      </c>
      <c r="J285" s="158">
        <f t="shared" ref="J285:N294" si="34">+IF(OR($C285="No Imputables",$H285="m2 fijo"),I285,I285*(1+J$6*J$7))</f>
        <v>116680.6542695964</v>
      </c>
      <c r="K285" s="158">
        <f t="shared" si="34"/>
        <v>118812.92434074884</v>
      </c>
      <c r="L285" s="158">
        <f t="shared" si="34"/>
        <v>120975.80739696699</v>
      </c>
      <c r="M285" s="158">
        <f t="shared" si="34"/>
        <v>123292.96963484336</v>
      </c>
      <c r="N285" s="158">
        <f t="shared" si="34"/>
        <v>125476.54952714308</v>
      </c>
      <c r="P285" s="2"/>
    </row>
    <row r="286" spans="2:16" x14ac:dyDescent="0.25">
      <c r="B286" s="17">
        <v>6381000004</v>
      </c>
      <c r="C286" s="160" t="s">
        <v>176</v>
      </c>
      <c r="D286" s="160" t="s">
        <v>40</v>
      </c>
      <c r="E286" s="160" t="s">
        <v>133</v>
      </c>
      <c r="F286" s="154">
        <v>390486.18000000005</v>
      </c>
      <c r="G286" s="161">
        <f>+VLOOKUP(B286,'5.3 Var OPEX 2023-25'!$B$4:$D$160,3,0)</f>
        <v>4.4009396000000096E-2</v>
      </c>
      <c r="H286" s="162" t="s">
        <v>190</v>
      </c>
      <c r="I286" s="297">
        <f t="shared" si="32"/>
        <v>400111.1206895237</v>
      </c>
      <c r="J286" s="158">
        <f t="shared" si="34"/>
        <v>410099.03260180965</v>
      </c>
      <c r="K286" s="158">
        <f t="shared" si="34"/>
        <v>417593.3503093961</v>
      </c>
      <c r="L286" s="158">
        <f t="shared" si="34"/>
        <v>425195.26387885946</v>
      </c>
      <c r="M286" s="158">
        <f t="shared" si="34"/>
        <v>433339.4245204248</v>
      </c>
      <c r="N286" s="158">
        <f t="shared" si="34"/>
        <v>441014.08153230458</v>
      </c>
      <c r="P286" s="2"/>
    </row>
    <row r="287" spans="2:16" x14ac:dyDescent="0.25">
      <c r="B287" s="17">
        <v>6381000005</v>
      </c>
      <c r="C287" s="160" t="s">
        <v>176</v>
      </c>
      <c r="D287" s="160" t="s">
        <v>49</v>
      </c>
      <c r="E287" s="160" t="s">
        <v>134</v>
      </c>
      <c r="F287" s="154">
        <v>302216.27</v>
      </c>
      <c r="G287" s="161">
        <f>+VLOOKUP(B287,'5.3 Var OPEX 2023-25'!$B$4:$D$160,3,0)</f>
        <v>4.4009396000000096E-2</v>
      </c>
      <c r="H287" s="162" t="s">
        <v>190</v>
      </c>
      <c r="I287" s="297">
        <f t="shared" si="32"/>
        <v>309665.48030024435</v>
      </c>
      <c r="J287" s="158">
        <f t="shared" si="34"/>
        <v>317395.61170520121</v>
      </c>
      <c r="K287" s="158">
        <f t="shared" si="34"/>
        <v>323195.82912590919</v>
      </c>
      <c r="L287" s="158">
        <f t="shared" si="34"/>
        <v>329079.32022366225</v>
      </c>
      <c r="M287" s="158">
        <f t="shared" si="34"/>
        <v>335382.48273603257</v>
      </c>
      <c r="N287" s="158">
        <f t="shared" si="34"/>
        <v>341322.27352622047</v>
      </c>
      <c r="P287" s="2"/>
    </row>
    <row r="288" spans="2:16" x14ac:dyDescent="0.25">
      <c r="B288" s="17">
        <v>6381000006</v>
      </c>
      <c r="C288" s="160" t="s">
        <v>176</v>
      </c>
      <c r="D288" s="160" t="s">
        <v>49</v>
      </c>
      <c r="E288" s="160" t="s">
        <v>135</v>
      </c>
      <c r="F288" s="154">
        <v>1501762.5999999999</v>
      </c>
      <c r="G288" s="161">
        <f>+VLOOKUP(B288,'5.3 Var OPEX 2023-25'!$B$4:$D$160,3,0)</f>
        <v>4.4009396000000096E-2</v>
      </c>
      <c r="H288" s="162" t="s">
        <v>190</v>
      </c>
      <c r="I288" s="297">
        <f t="shared" si="32"/>
        <v>1538778.9572875863</v>
      </c>
      <c r="J288" s="158">
        <f t="shared" si="34"/>
        <v>1577191.2579789078</v>
      </c>
      <c r="K288" s="158">
        <f t="shared" si="34"/>
        <v>1606013.4970803556</v>
      </c>
      <c r="L288" s="158">
        <f t="shared" si="34"/>
        <v>1635249.536847634</v>
      </c>
      <c r="M288" s="158">
        <f t="shared" si="34"/>
        <v>1666570.9932430815</v>
      </c>
      <c r="N288" s="158">
        <f t="shared" si="34"/>
        <v>1696086.7954880388</v>
      </c>
      <c r="P288" s="2"/>
    </row>
    <row r="289" spans="1:16" x14ac:dyDescent="0.25">
      <c r="B289" s="17">
        <v>6382000001</v>
      </c>
      <c r="C289" s="160" t="s">
        <v>176</v>
      </c>
      <c r="D289" s="160" t="s">
        <v>40</v>
      </c>
      <c r="E289" s="160" t="s">
        <v>136</v>
      </c>
      <c r="F289" s="154">
        <v>0</v>
      </c>
      <c r="G289" s="161">
        <f>+VLOOKUP(B289,'5.3 Var OPEX 2023-25'!$B$4:$D$160,3,0)</f>
        <v>1.0528702981147076</v>
      </c>
      <c r="H289" s="162" t="s">
        <v>190</v>
      </c>
      <c r="I289" s="297">
        <f t="shared" si="32"/>
        <v>0</v>
      </c>
      <c r="J289" s="158">
        <f t="shared" si="34"/>
        <v>0</v>
      </c>
      <c r="K289" s="158">
        <f t="shared" si="34"/>
        <v>0</v>
      </c>
      <c r="L289" s="158">
        <f t="shared" si="34"/>
        <v>0</v>
      </c>
      <c r="M289" s="158">
        <f t="shared" si="34"/>
        <v>0</v>
      </c>
      <c r="N289" s="158">
        <f t="shared" si="34"/>
        <v>0</v>
      </c>
      <c r="P289" s="2"/>
    </row>
    <row r="290" spans="1:16" x14ac:dyDescent="0.25">
      <c r="B290" s="17">
        <v>6382000002</v>
      </c>
      <c r="C290" s="160" t="s">
        <v>176</v>
      </c>
      <c r="D290" s="160" t="s">
        <v>40</v>
      </c>
      <c r="E290" s="160" t="s">
        <v>137</v>
      </c>
      <c r="F290" s="154">
        <v>0</v>
      </c>
      <c r="G290" s="161">
        <f>+VLOOKUP(B290,'5.3 Var OPEX 2023-25'!$B$4:$D$160,3,0)</f>
        <v>4.4009396000000096E-2</v>
      </c>
      <c r="H290" s="162" t="s">
        <v>190</v>
      </c>
      <c r="I290" s="297">
        <f t="shared" si="32"/>
        <v>0</v>
      </c>
      <c r="J290" s="158">
        <f t="shared" si="34"/>
        <v>0</v>
      </c>
      <c r="K290" s="158">
        <f t="shared" si="34"/>
        <v>0</v>
      </c>
      <c r="L290" s="158">
        <f t="shared" si="34"/>
        <v>0</v>
      </c>
      <c r="M290" s="158">
        <f t="shared" si="34"/>
        <v>0</v>
      </c>
      <c r="N290" s="158">
        <f t="shared" si="34"/>
        <v>0</v>
      </c>
      <c r="P290" s="2"/>
    </row>
    <row r="291" spans="1:16" x14ac:dyDescent="0.25">
      <c r="B291" s="17">
        <v>6390000001</v>
      </c>
      <c r="C291" s="160" t="s">
        <v>176</v>
      </c>
      <c r="D291" s="160" t="s">
        <v>38</v>
      </c>
      <c r="E291" s="160" t="s">
        <v>138</v>
      </c>
      <c r="F291" s="154">
        <v>0</v>
      </c>
      <c r="G291" s="161">
        <f>+VLOOKUP(B291,'5.3 Var OPEX 2023-25'!$B$4:$D$160,3,0)</f>
        <v>4.4009396000000096E-2</v>
      </c>
      <c r="H291" s="162" t="s">
        <v>190</v>
      </c>
      <c r="I291" s="297">
        <f t="shared" si="32"/>
        <v>0</v>
      </c>
      <c r="J291" s="158">
        <f t="shared" si="34"/>
        <v>0</v>
      </c>
      <c r="K291" s="158">
        <f t="shared" si="34"/>
        <v>0</v>
      </c>
      <c r="L291" s="158">
        <f t="shared" si="34"/>
        <v>0</v>
      </c>
      <c r="M291" s="158">
        <f t="shared" si="34"/>
        <v>0</v>
      </c>
      <c r="N291" s="158">
        <f t="shared" si="34"/>
        <v>0</v>
      </c>
      <c r="P291" s="2"/>
    </row>
    <row r="292" spans="1:16" x14ac:dyDescent="0.25">
      <c r="B292" s="17">
        <v>6391000001</v>
      </c>
      <c r="C292" s="160" t="s">
        <v>176</v>
      </c>
      <c r="D292" s="160" t="s">
        <v>38</v>
      </c>
      <c r="E292" s="160" t="s">
        <v>139</v>
      </c>
      <c r="F292" s="154">
        <v>0</v>
      </c>
      <c r="G292" s="161">
        <f>+VLOOKUP(B292,'5.3 Var OPEX 2023-25'!$B$4:$D$160,3,0)</f>
        <v>4.4009396000000096E-2</v>
      </c>
      <c r="H292" s="162" t="s">
        <v>190</v>
      </c>
      <c r="I292" s="297">
        <f t="shared" si="32"/>
        <v>0</v>
      </c>
      <c r="J292" s="158">
        <f t="shared" si="34"/>
        <v>0</v>
      </c>
      <c r="K292" s="158">
        <f t="shared" si="34"/>
        <v>0</v>
      </c>
      <c r="L292" s="158">
        <f t="shared" si="34"/>
        <v>0</v>
      </c>
      <c r="M292" s="158">
        <f t="shared" si="34"/>
        <v>0</v>
      </c>
      <c r="N292" s="158">
        <f t="shared" si="34"/>
        <v>0</v>
      </c>
      <c r="P292" s="2"/>
    </row>
    <row r="293" spans="1:16" x14ac:dyDescent="0.25">
      <c r="B293" s="17">
        <v>6391000003</v>
      </c>
      <c r="C293" s="160" t="s">
        <v>176</v>
      </c>
      <c r="D293" s="160" t="s">
        <v>38</v>
      </c>
      <c r="E293" s="160" t="s">
        <v>140</v>
      </c>
      <c r="F293" s="154">
        <v>0</v>
      </c>
      <c r="G293" s="161">
        <f>+VLOOKUP(B293,'5.3 Var OPEX 2023-25'!$B$4:$D$160,3,0)</f>
        <v>4.4009396000000096E-2</v>
      </c>
      <c r="H293" s="162" t="s">
        <v>190</v>
      </c>
      <c r="I293" s="297">
        <f t="shared" si="32"/>
        <v>0</v>
      </c>
      <c r="J293" s="158">
        <f t="shared" si="34"/>
        <v>0</v>
      </c>
      <c r="K293" s="158">
        <f t="shared" si="34"/>
        <v>0</v>
      </c>
      <c r="L293" s="158">
        <f t="shared" si="34"/>
        <v>0</v>
      </c>
      <c r="M293" s="158">
        <f t="shared" si="34"/>
        <v>0</v>
      </c>
      <c r="N293" s="158">
        <f t="shared" si="34"/>
        <v>0</v>
      </c>
      <c r="P293" s="2"/>
    </row>
    <row r="294" spans="1:16" x14ac:dyDescent="0.25">
      <c r="A294" s="37"/>
      <c r="B294" s="17">
        <v>6410000001</v>
      </c>
      <c r="C294" s="160" t="s">
        <v>176</v>
      </c>
      <c r="D294" s="160" t="s">
        <v>38</v>
      </c>
      <c r="E294" s="160" t="s">
        <v>141</v>
      </c>
      <c r="F294" s="154">
        <v>0</v>
      </c>
      <c r="G294" s="161">
        <f>+VLOOKUP(B294,'5.3 Var OPEX 2023-25'!$B$4:$D$160,3,0)</f>
        <v>4.4009396000000096E-2</v>
      </c>
      <c r="H294" s="162" t="s">
        <v>190</v>
      </c>
      <c r="I294" s="297">
        <f t="shared" si="32"/>
        <v>0</v>
      </c>
      <c r="J294" s="158">
        <f t="shared" si="34"/>
        <v>0</v>
      </c>
      <c r="K294" s="158">
        <f t="shared" si="34"/>
        <v>0</v>
      </c>
      <c r="L294" s="158">
        <f t="shared" si="34"/>
        <v>0</v>
      </c>
      <c r="M294" s="158">
        <f t="shared" si="34"/>
        <v>0</v>
      </c>
      <c r="N294" s="158">
        <f t="shared" si="34"/>
        <v>0</v>
      </c>
      <c r="P294" s="2"/>
    </row>
    <row r="295" spans="1:16" x14ac:dyDescent="0.25">
      <c r="B295" s="17">
        <v>6410000002</v>
      </c>
      <c r="C295" s="160" t="s">
        <v>176</v>
      </c>
      <c r="D295" s="160" t="s">
        <v>38</v>
      </c>
      <c r="E295" s="160" t="s">
        <v>142</v>
      </c>
      <c r="F295" s="154">
        <v>0</v>
      </c>
      <c r="G295" s="161">
        <f>+VLOOKUP(B295,'5.3 Var OPEX 2023-25'!$B$4:$D$160,3,0)</f>
        <v>4.4009396000000096E-2</v>
      </c>
      <c r="H295" s="162" t="s">
        <v>190</v>
      </c>
      <c r="I295" s="297">
        <f t="shared" si="32"/>
        <v>0</v>
      </c>
      <c r="J295" s="158">
        <f t="shared" ref="J295:N304" si="35">+IF(OR($C295="No Imputables",$H295="m2 fijo"),I295,I295*(1+J$6*J$7))</f>
        <v>0</v>
      </c>
      <c r="K295" s="158">
        <f t="shared" si="35"/>
        <v>0</v>
      </c>
      <c r="L295" s="158">
        <f t="shared" si="35"/>
        <v>0</v>
      </c>
      <c r="M295" s="158">
        <f t="shared" si="35"/>
        <v>0</v>
      </c>
      <c r="N295" s="158">
        <f t="shared" si="35"/>
        <v>0</v>
      </c>
      <c r="P295" s="2"/>
    </row>
    <row r="296" spans="1:16" x14ac:dyDescent="0.25">
      <c r="B296" s="17">
        <v>6430000001</v>
      </c>
      <c r="C296" s="160" t="s">
        <v>176</v>
      </c>
      <c r="D296" s="160" t="s">
        <v>38</v>
      </c>
      <c r="E296" s="160" t="s">
        <v>143</v>
      </c>
      <c r="F296" s="154">
        <v>33218.672321305647</v>
      </c>
      <c r="G296" s="161">
        <f>+VLOOKUP(B296,'5.3 Var OPEX 2023-25'!$B$4:$D$160,3,0)</f>
        <v>4.4009396000000096E-2</v>
      </c>
      <c r="H296" s="162" t="s">
        <v>192</v>
      </c>
      <c r="I296" s="297">
        <f t="shared" si="32"/>
        <v>34037.466345916931</v>
      </c>
      <c r="J296" s="158">
        <f t="shared" si="35"/>
        <v>34037.466345916931</v>
      </c>
      <c r="K296" s="158">
        <f t="shared" si="35"/>
        <v>34037.466345916931</v>
      </c>
      <c r="L296" s="158">
        <f t="shared" si="35"/>
        <v>34037.466345916931</v>
      </c>
      <c r="M296" s="158">
        <f t="shared" si="35"/>
        <v>34037.466345916931</v>
      </c>
      <c r="N296" s="158">
        <f t="shared" si="35"/>
        <v>34037.466345916931</v>
      </c>
      <c r="P296" s="2"/>
    </row>
    <row r="297" spans="1:16" x14ac:dyDescent="0.25">
      <c r="B297" s="17">
        <v>6430000002</v>
      </c>
      <c r="C297" s="160" t="s">
        <v>176</v>
      </c>
      <c r="D297" s="160" t="s">
        <v>38</v>
      </c>
      <c r="E297" s="160" t="s">
        <v>144</v>
      </c>
      <c r="F297" s="154">
        <v>2493.2075213206135</v>
      </c>
      <c r="G297" s="161">
        <f>+VLOOKUP(B297,'5.3 Var OPEX 2023-25'!$B$4:$D$160,3,0)</f>
        <v>4.4009396000000096E-2</v>
      </c>
      <c r="H297" s="162" t="s">
        <v>192</v>
      </c>
      <c r="I297" s="297">
        <f t="shared" si="32"/>
        <v>2554.6616155971001</v>
      </c>
      <c r="J297" s="158">
        <f t="shared" si="35"/>
        <v>2554.6616155971001</v>
      </c>
      <c r="K297" s="158">
        <f t="shared" si="35"/>
        <v>2554.6616155971001</v>
      </c>
      <c r="L297" s="158">
        <f t="shared" si="35"/>
        <v>2554.6616155971001</v>
      </c>
      <c r="M297" s="158">
        <f t="shared" si="35"/>
        <v>2554.6616155971001</v>
      </c>
      <c r="N297" s="158">
        <f t="shared" si="35"/>
        <v>2554.6616155971001</v>
      </c>
      <c r="P297" s="2"/>
    </row>
    <row r="298" spans="1:16" x14ac:dyDescent="0.25">
      <c r="B298" s="17">
        <v>6430000003</v>
      </c>
      <c r="C298" s="160" t="s">
        <v>176</v>
      </c>
      <c r="D298" s="160" t="s">
        <v>38</v>
      </c>
      <c r="E298" s="160" t="s">
        <v>145</v>
      </c>
      <c r="F298" s="154">
        <v>0</v>
      </c>
      <c r="G298" s="161">
        <f>+VLOOKUP(B298,'5.3 Var OPEX 2023-25'!$B$4:$D$160,3,0)</f>
        <v>4.4009396000000096E-2</v>
      </c>
      <c r="H298" s="162" t="s">
        <v>190</v>
      </c>
      <c r="I298" s="297">
        <f t="shared" si="32"/>
        <v>0</v>
      </c>
      <c r="J298" s="158">
        <f t="shared" si="35"/>
        <v>0</v>
      </c>
      <c r="K298" s="158">
        <f t="shared" si="35"/>
        <v>0</v>
      </c>
      <c r="L298" s="158">
        <f t="shared" si="35"/>
        <v>0</v>
      </c>
      <c r="M298" s="158">
        <f t="shared" si="35"/>
        <v>0</v>
      </c>
      <c r="N298" s="158">
        <f t="shared" si="35"/>
        <v>0</v>
      </c>
      <c r="P298" s="2"/>
    </row>
    <row r="299" spans="1:16" x14ac:dyDescent="0.25">
      <c r="B299" s="17">
        <v>6510000001</v>
      </c>
      <c r="C299" s="160" t="s">
        <v>176</v>
      </c>
      <c r="D299" s="160" t="s">
        <v>38</v>
      </c>
      <c r="E299" s="160" t="s">
        <v>146</v>
      </c>
      <c r="F299" s="154">
        <v>67972.268714038291</v>
      </c>
      <c r="G299" s="161">
        <f>+VLOOKUP(B299,'5.3 Var OPEX 2023-25'!$B$4:$D$160,3,0)</f>
        <v>0.2404668693070342</v>
      </c>
      <c r="H299" s="162" t="s">
        <v>192</v>
      </c>
      <c r="I299" s="297">
        <f t="shared" si="32"/>
        <v>82753.711724994137</v>
      </c>
      <c r="J299" s="158">
        <f t="shared" si="35"/>
        <v>82753.711724994137</v>
      </c>
      <c r="K299" s="158">
        <f t="shared" si="35"/>
        <v>82753.711724994137</v>
      </c>
      <c r="L299" s="158">
        <f t="shared" si="35"/>
        <v>82753.711724994137</v>
      </c>
      <c r="M299" s="158">
        <f t="shared" si="35"/>
        <v>82753.711724994137</v>
      </c>
      <c r="N299" s="158">
        <f t="shared" si="35"/>
        <v>82753.711724994137</v>
      </c>
      <c r="P299" s="2"/>
    </row>
    <row r="300" spans="1:16" x14ac:dyDescent="0.25">
      <c r="B300" s="17">
        <v>6530000001</v>
      </c>
      <c r="C300" s="160" t="s">
        <v>176</v>
      </c>
      <c r="D300" s="160" t="s">
        <v>38</v>
      </c>
      <c r="E300" s="160" t="s">
        <v>147</v>
      </c>
      <c r="F300" s="154">
        <v>1220.7873248508249</v>
      </c>
      <c r="G300" s="161">
        <f>+VLOOKUP(B300,'5.3 Var OPEX 2023-25'!$B$4:$D$160,3,0)</f>
        <v>4.4009396000000096E-2</v>
      </c>
      <c r="H300" s="162" t="s">
        <v>190</v>
      </c>
      <c r="I300" s="297">
        <f t="shared" si="32"/>
        <v>1250.8780327888405</v>
      </c>
      <c r="J300" s="158">
        <f t="shared" si="35"/>
        <v>1282.1035073094631</v>
      </c>
      <c r="K300" s="158">
        <f t="shared" si="35"/>
        <v>1305.533191980574</v>
      </c>
      <c r="L300" s="158">
        <f t="shared" si="35"/>
        <v>1329.2992564548977</v>
      </c>
      <c r="M300" s="158">
        <f t="shared" si="35"/>
        <v>1354.7605623653192</v>
      </c>
      <c r="N300" s="158">
        <f t="shared" si="35"/>
        <v>1378.7540465974125</v>
      </c>
      <c r="P300" s="2"/>
    </row>
    <row r="301" spans="1:16" x14ac:dyDescent="0.25">
      <c r="B301" s="17">
        <v>6530000002</v>
      </c>
      <c r="C301" s="160" t="s">
        <v>176</v>
      </c>
      <c r="D301" s="160" t="s">
        <v>38</v>
      </c>
      <c r="E301" s="160" t="s">
        <v>148</v>
      </c>
      <c r="F301" s="154">
        <v>6181.5468317650848</v>
      </c>
      <c r="G301" s="161">
        <f>+VLOOKUP(B301,'5.3 Var OPEX 2023-25'!$B$4:$D$160,3,0)</f>
        <v>0.17007525835504156</v>
      </c>
      <c r="H301" s="162" t="s">
        <v>190</v>
      </c>
      <c r="I301" s="297">
        <f t="shared" si="32"/>
        <v>7098.7438749757684</v>
      </c>
      <c r="J301" s="158">
        <f t="shared" si="35"/>
        <v>7275.9487184426298</v>
      </c>
      <c r="K301" s="158">
        <f t="shared" si="35"/>
        <v>7408.9123857162858</v>
      </c>
      <c r="L301" s="158">
        <f t="shared" si="35"/>
        <v>7543.7850113417007</v>
      </c>
      <c r="M301" s="158">
        <f t="shared" si="35"/>
        <v>7688.2781470773416</v>
      </c>
      <c r="N301" s="158">
        <f t="shared" si="35"/>
        <v>7824.4413818350604</v>
      </c>
      <c r="P301" s="2"/>
    </row>
    <row r="302" spans="1:16" x14ac:dyDescent="0.25">
      <c r="B302" s="17">
        <v>6540000001</v>
      </c>
      <c r="C302" s="160" t="s">
        <v>176</v>
      </c>
      <c r="D302" s="160" t="s">
        <v>38</v>
      </c>
      <c r="E302" s="160" t="s">
        <v>149</v>
      </c>
      <c r="F302" s="154">
        <v>639.00447027229995</v>
      </c>
      <c r="G302" s="161">
        <f>+VLOOKUP(B302,'5.3 Var OPEX 2023-25'!$B$4:$D$160,3,0)</f>
        <v>4.4009396000000096E-2</v>
      </c>
      <c r="H302" s="162" t="s">
        <v>190</v>
      </c>
      <c r="I302" s="297">
        <f t="shared" si="32"/>
        <v>654.7550408218425</v>
      </c>
      <c r="J302" s="158">
        <f t="shared" si="35"/>
        <v>671.09958945769097</v>
      </c>
      <c r="K302" s="158">
        <f t="shared" si="35"/>
        <v>683.36353825298147</v>
      </c>
      <c r="L302" s="158">
        <f t="shared" si="35"/>
        <v>695.80356046711142</v>
      </c>
      <c r="M302" s="158">
        <f t="shared" si="35"/>
        <v>709.13093368317755</v>
      </c>
      <c r="N302" s="158">
        <f t="shared" si="35"/>
        <v>721.68999566687648</v>
      </c>
      <c r="P302" s="2"/>
    </row>
    <row r="303" spans="1:16" x14ac:dyDescent="0.25">
      <c r="B303" s="17">
        <v>6561000001</v>
      </c>
      <c r="C303" s="160" t="s">
        <v>176</v>
      </c>
      <c r="D303" s="160" t="s">
        <v>38</v>
      </c>
      <c r="E303" s="160" t="s">
        <v>150</v>
      </c>
      <c r="F303" s="154">
        <v>24585.325019785079</v>
      </c>
      <c r="G303" s="161">
        <f>+VLOOKUP(B303,'5.3 Var OPEX 2023-25'!$B$4:$D$160,3,0)</f>
        <v>4.4009396000000096E-2</v>
      </c>
      <c r="H303" s="162" t="s">
        <v>190</v>
      </c>
      <c r="I303" s="297">
        <f t="shared" si="32"/>
        <v>25191.31905303894</v>
      </c>
      <c r="J303" s="158">
        <f t="shared" si="35"/>
        <v>25820.166047400005</v>
      </c>
      <c r="K303" s="158">
        <f t="shared" si="35"/>
        <v>26292.014338273046</v>
      </c>
      <c r="L303" s="158">
        <f t="shared" si="35"/>
        <v>26770.636951440996</v>
      </c>
      <c r="M303" s="158">
        <f t="shared" si="35"/>
        <v>27283.399877868316</v>
      </c>
      <c r="N303" s="158">
        <f t="shared" si="35"/>
        <v>27766.602476875629</v>
      </c>
      <c r="P303" s="2"/>
    </row>
    <row r="304" spans="1:16" x14ac:dyDescent="0.25">
      <c r="B304" s="17">
        <v>6561000002</v>
      </c>
      <c r="C304" s="160" t="s">
        <v>176</v>
      </c>
      <c r="D304" s="160" t="s">
        <v>38</v>
      </c>
      <c r="E304" s="160" t="s">
        <v>151</v>
      </c>
      <c r="F304" s="154">
        <v>140385.98579111521</v>
      </c>
      <c r="G304" s="161">
        <f>+VLOOKUP(B304,'5.3 Var OPEX 2023-25'!$B$4:$D$160,3,0)</f>
        <v>4.4009396000000096E-2</v>
      </c>
      <c r="H304" s="162" t="s">
        <v>190</v>
      </c>
      <c r="I304" s="297">
        <f t="shared" si="32"/>
        <v>143846.30489096092</v>
      </c>
      <c r="J304" s="158">
        <f t="shared" si="35"/>
        <v>147437.11791231058</v>
      </c>
      <c r="K304" s="158">
        <f t="shared" si="35"/>
        <v>150131.44419861175</v>
      </c>
      <c r="L304" s="158">
        <f t="shared" si="35"/>
        <v>152864.45290675084</v>
      </c>
      <c r="M304" s="158">
        <f t="shared" si="35"/>
        <v>155792.40805258302</v>
      </c>
      <c r="N304" s="158">
        <f t="shared" si="35"/>
        <v>158551.56918402546</v>
      </c>
      <c r="P304" s="2"/>
    </row>
    <row r="305" spans="1:16" x14ac:dyDescent="0.25">
      <c r="B305" s="17">
        <v>6561000003</v>
      </c>
      <c r="C305" s="160" t="s">
        <v>176</v>
      </c>
      <c r="D305" s="160" t="s">
        <v>38</v>
      </c>
      <c r="E305" s="160" t="s">
        <v>152</v>
      </c>
      <c r="F305" s="154">
        <v>449951.38789417932</v>
      </c>
      <c r="G305" s="161">
        <f>+VLOOKUP(B305,'5.3 Var OPEX 2023-25'!$B$4:$D$160,3,0)</f>
        <v>9.8026320203328909E-2</v>
      </c>
      <c r="H305" s="162" t="s">
        <v>190</v>
      </c>
      <c r="I305" s="297">
        <f t="shared" si="32"/>
        <v>484896.32566516643</v>
      </c>
      <c r="J305" s="158">
        <f t="shared" ref="J305:N314" si="36">+IF(OR($C305="No Imputables",$H305="m2 fijo"),I305,I305*(1+J$6*J$7))</f>
        <v>497000.71751258255</v>
      </c>
      <c r="K305" s="158">
        <f t="shared" si="36"/>
        <v>506083.11220712023</v>
      </c>
      <c r="L305" s="158">
        <f t="shared" si="36"/>
        <v>515295.9027726624</v>
      </c>
      <c r="M305" s="158">
        <f t="shared" si="36"/>
        <v>525165.84481255454</v>
      </c>
      <c r="N305" s="158">
        <f t="shared" si="36"/>
        <v>534466.79345749016</v>
      </c>
      <c r="P305" s="2"/>
    </row>
    <row r="306" spans="1:16" x14ac:dyDescent="0.25">
      <c r="B306" s="17">
        <v>6561000004</v>
      </c>
      <c r="C306" s="160" t="s">
        <v>176</v>
      </c>
      <c r="D306" s="160" t="s">
        <v>38</v>
      </c>
      <c r="E306" s="160" t="s">
        <v>153</v>
      </c>
      <c r="F306" s="154">
        <v>179589.41451470851</v>
      </c>
      <c r="G306" s="161">
        <f>+VLOOKUP(B306,'5.3 Var OPEX 2023-25'!$B$4:$D$160,3,0)</f>
        <v>4.4009396000000096E-2</v>
      </c>
      <c r="H306" s="162" t="s">
        <v>190</v>
      </c>
      <c r="I306" s="297">
        <f t="shared" si="32"/>
        <v>184016.04355231067</v>
      </c>
      <c r="J306" s="158">
        <f t="shared" si="36"/>
        <v>188609.60753593722</v>
      </c>
      <c r="K306" s="158">
        <f t="shared" si="36"/>
        <v>192056.33676280169</v>
      </c>
      <c r="L306" s="158">
        <f t="shared" si="36"/>
        <v>195552.55065475387</v>
      </c>
      <c r="M306" s="158">
        <f t="shared" si="36"/>
        <v>199298.15066890151</v>
      </c>
      <c r="N306" s="158">
        <f t="shared" si="36"/>
        <v>202827.82016799797</v>
      </c>
      <c r="P306" s="2"/>
    </row>
    <row r="307" spans="1:16" x14ac:dyDescent="0.25">
      <c r="B307" s="17">
        <v>6561000005</v>
      </c>
      <c r="C307" s="160" t="s">
        <v>176</v>
      </c>
      <c r="D307" s="160" t="s">
        <v>38</v>
      </c>
      <c r="E307" s="160" t="s">
        <v>154</v>
      </c>
      <c r="F307" s="154">
        <v>1014.7016640260002</v>
      </c>
      <c r="G307" s="161">
        <f>+VLOOKUP(B307,'5.3 Var OPEX 2023-25'!$B$4:$D$160,3,0)</f>
        <v>4.4009396000000096E-2</v>
      </c>
      <c r="H307" s="162" t="s">
        <v>190</v>
      </c>
      <c r="I307" s="297">
        <f t="shared" si="32"/>
        <v>1039.7126473437995</v>
      </c>
      <c r="J307" s="158">
        <f t="shared" si="36"/>
        <v>1065.6668330656646</v>
      </c>
      <c r="K307" s="158">
        <f t="shared" si="36"/>
        <v>1085.1412652942968</v>
      </c>
      <c r="L307" s="158">
        <f t="shared" si="36"/>
        <v>1104.8952917971458</v>
      </c>
      <c r="M307" s="158">
        <f t="shared" si="36"/>
        <v>1126.058379707431</v>
      </c>
      <c r="N307" s="158">
        <f t="shared" si="36"/>
        <v>1146.0014343906548</v>
      </c>
      <c r="P307" s="2"/>
    </row>
    <row r="308" spans="1:16" x14ac:dyDescent="0.25">
      <c r="B308" s="17">
        <v>6562000001</v>
      </c>
      <c r="C308" s="160" t="s">
        <v>176</v>
      </c>
      <c r="D308" s="160" t="s">
        <v>38</v>
      </c>
      <c r="E308" s="160" t="s">
        <v>155</v>
      </c>
      <c r="F308" s="154">
        <v>0</v>
      </c>
      <c r="G308" s="161">
        <f>+VLOOKUP(B308,'5.3 Var OPEX 2023-25'!$B$4:$D$160,3,0)</f>
        <v>4.4009396000000096E-2</v>
      </c>
      <c r="H308" s="162" t="s">
        <v>190</v>
      </c>
      <c r="I308" s="297">
        <f t="shared" si="32"/>
        <v>0</v>
      </c>
      <c r="J308" s="158">
        <f t="shared" si="36"/>
        <v>0</v>
      </c>
      <c r="K308" s="158">
        <f t="shared" si="36"/>
        <v>0</v>
      </c>
      <c r="L308" s="158">
        <f t="shared" si="36"/>
        <v>0</v>
      </c>
      <c r="M308" s="158">
        <f t="shared" si="36"/>
        <v>0</v>
      </c>
      <c r="N308" s="158">
        <f t="shared" si="36"/>
        <v>0</v>
      </c>
      <c r="P308" s="2"/>
    </row>
    <row r="309" spans="1:16" x14ac:dyDescent="0.25">
      <c r="B309" s="17">
        <v>6562000002</v>
      </c>
      <c r="C309" s="160" t="s">
        <v>176</v>
      </c>
      <c r="D309" s="160" t="s">
        <v>38</v>
      </c>
      <c r="E309" s="160" t="s">
        <v>156</v>
      </c>
      <c r="F309" s="154">
        <v>0</v>
      </c>
      <c r="G309" s="161">
        <f>+VLOOKUP(B309,'5.3 Var OPEX 2023-25'!$B$4:$D$160,3,0)</f>
        <v>4.4009396000000096E-2</v>
      </c>
      <c r="H309" s="162" t="s">
        <v>190</v>
      </c>
      <c r="I309" s="297">
        <f t="shared" si="32"/>
        <v>0</v>
      </c>
      <c r="J309" s="158">
        <f t="shared" si="36"/>
        <v>0</v>
      </c>
      <c r="K309" s="158">
        <f t="shared" si="36"/>
        <v>0</v>
      </c>
      <c r="L309" s="158">
        <f t="shared" si="36"/>
        <v>0</v>
      </c>
      <c r="M309" s="158">
        <f t="shared" si="36"/>
        <v>0</v>
      </c>
      <c r="N309" s="158">
        <f t="shared" si="36"/>
        <v>0</v>
      </c>
      <c r="P309" s="2"/>
    </row>
    <row r="310" spans="1:16" x14ac:dyDescent="0.25">
      <c r="B310" s="17">
        <v>6562000003</v>
      </c>
      <c r="C310" s="160" t="s">
        <v>176</v>
      </c>
      <c r="D310" s="160" t="s">
        <v>38</v>
      </c>
      <c r="E310" s="160" t="s">
        <v>157</v>
      </c>
      <c r="F310" s="154">
        <v>391.80883204144607</v>
      </c>
      <c r="G310" s="161">
        <f>+VLOOKUP(B310,'5.3 Var OPEX 2023-25'!$B$4:$D$160,3,0)</f>
        <v>4.4009396000000096E-2</v>
      </c>
      <c r="H310" s="162" t="s">
        <v>190</v>
      </c>
      <c r="I310" s="297">
        <f t="shared" si="32"/>
        <v>401.46637426235242</v>
      </c>
      <c r="J310" s="158">
        <f t="shared" si="36"/>
        <v>411.488117159593</v>
      </c>
      <c r="K310" s="158">
        <f t="shared" si="36"/>
        <v>419.00781956738876</v>
      </c>
      <c r="L310" s="158">
        <f t="shared" si="36"/>
        <v>426.63548228500775</v>
      </c>
      <c r="M310" s="158">
        <f t="shared" si="36"/>
        <v>434.8072287701961</v>
      </c>
      <c r="N310" s="158">
        <f t="shared" si="36"/>
        <v>442.50788132630782</v>
      </c>
      <c r="P310" s="2"/>
    </row>
    <row r="311" spans="1:16" x14ac:dyDescent="0.25">
      <c r="B311" s="17">
        <v>6562000004</v>
      </c>
      <c r="C311" s="160" t="s">
        <v>176</v>
      </c>
      <c r="D311" s="160" t="s">
        <v>38</v>
      </c>
      <c r="E311" s="160" t="s">
        <v>158</v>
      </c>
      <c r="F311" s="154">
        <v>0</v>
      </c>
      <c r="G311" s="161">
        <f>+VLOOKUP(B311,'5.3 Var OPEX 2023-25'!$B$4:$D$160,3,0)</f>
        <v>4.4009396000000096E-2</v>
      </c>
      <c r="H311" s="162" t="s">
        <v>190</v>
      </c>
      <c r="I311" s="297">
        <f t="shared" si="32"/>
        <v>0</v>
      </c>
      <c r="J311" s="158">
        <f t="shared" si="36"/>
        <v>0</v>
      </c>
      <c r="K311" s="158">
        <f t="shared" si="36"/>
        <v>0</v>
      </c>
      <c r="L311" s="158">
        <f t="shared" si="36"/>
        <v>0</v>
      </c>
      <c r="M311" s="158">
        <f t="shared" si="36"/>
        <v>0</v>
      </c>
      <c r="N311" s="158">
        <f t="shared" si="36"/>
        <v>0</v>
      </c>
      <c r="P311" s="2"/>
    </row>
    <row r="312" spans="1:16" x14ac:dyDescent="0.25">
      <c r="B312" s="17">
        <v>6562000005</v>
      </c>
      <c r="C312" s="160" t="s">
        <v>176</v>
      </c>
      <c r="D312" s="160" t="s">
        <v>38</v>
      </c>
      <c r="E312" s="160" t="s">
        <v>159</v>
      </c>
      <c r="F312" s="154">
        <v>0.3190412905808368</v>
      </c>
      <c r="G312" s="161">
        <f>+VLOOKUP(B312,'5.3 Var OPEX 2023-25'!$B$4:$D$160,3,0)</f>
        <v>4.4009396000000096E-2</v>
      </c>
      <c r="H312" s="162" t="s">
        <v>190</v>
      </c>
      <c r="I312" s="297">
        <f t="shared" si="32"/>
        <v>0.32690521421406149</v>
      </c>
      <c r="J312" s="158">
        <f t="shared" si="36"/>
        <v>0.33506569842557293</v>
      </c>
      <c r="K312" s="158">
        <f t="shared" si="36"/>
        <v>0.34118882624907537</v>
      </c>
      <c r="L312" s="158">
        <f t="shared" si="36"/>
        <v>0.34739986377180043</v>
      </c>
      <c r="M312" s="158">
        <f t="shared" si="36"/>
        <v>0.35405393670668039</v>
      </c>
      <c r="N312" s="158">
        <f t="shared" si="36"/>
        <v>0.36032440824509793</v>
      </c>
      <c r="P312" s="2"/>
    </row>
    <row r="313" spans="1:16" x14ac:dyDescent="0.25">
      <c r="B313" s="17">
        <v>6563000001</v>
      </c>
      <c r="C313" s="160" t="s">
        <v>176</v>
      </c>
      <c r="D313" s="160" t="s">
        <v>38</v>
      </c>
      <c r="E313" s="160" t="s">
        <v>160</v>
      </c>
      <c r="F313" s="154">
        <v>0</v>
      </c>
      <c r="G313" s="161">
        <f>+VLOOKUP(B313,'5.3 Var OPEX 2023-25'!$B$4:$D$160,3,0)</f>
        <v>4.4009396000000096E-2</v>
      </c>
      <c r="H313" s="162" t="s">
        <v>190</v>
      </c>
      <c r="I313" s="297">
        <f t="shared" si="32"/>
        <v>0</v>
      </c>
      <c r="J313" s="158">
        <f t="shared" si="36"/>
        <v>0</v>
      </c>
      <c r="K313" s="158">
        <f t="shared" si="36"/>
        <v>0</v>
      </c>
      <c r="L313" s="158">
        <f t="shared" si="36"/>
        <v>0</v>
      </c>
      <c r="M313" s="158">
        <f t="shared" si="36"/>
        <v>0</v>
      </c>
      <c r="N313" s="158">
        <f t="shared" si="36"/>
        <v>0</v>
      </c>
      <c r="P313" s="2"/>
    </row>
    <row r="314" spans="1:16" x14ac:dyDescent="0.25">
      <c r="B314" s="17">
        <v>6563000002</v>
      </c>
      <c r="C314" s="160" t="s">
        <v>176</v>
      </c>
      <c r="D314" s="160" t="s">
        <v>38</v>
      </c>
      <c r="E314" s="160" t="s">
        <v>161</v>
      </c>
      <c r="F314" s="154">
        <v>0</v>
      </c>
      <c r="G314" s="161">
        <f>+VLOOKUP(B314,'5.3 Var OPEX 2023-25'!$B$4:$D$160,3,0)</f>
        <v>4.4009396000000096E-2</v>
      </c>
      <c r="H314" s="162" t="s">
        <v>190</v>
      </c>
      <c r="I314" s="297">
        <f t="shared" si="32"/>
        <v>0</v>
      </c>
      <c r="J314" s="158">
        <f t="shared" si="36"/>
        <v>0</v>
      </c>
      <c r="K314" s="158">
        <f t="shared" si="36"/>
        <v>0</v>
      </c>
      <c r="L314" s="158">
        <f t="shared" si="36"/>
        <v>0</v>
      </c>
      <c r="M314" s="158">
        <f t="shared" si="36"/>
        <v>0</v>
      </c>
      <c r="N314" s="158">
        <f t="shared" si="36"/>
        <v>0</v>
      </c>
      <c r="P314" s="2"/>
    </row>
    <row r="315" spans="1:16" x14ac:dyDescent="0.25">
      <c r="B315" s="17">
        <v>6563000003</v>
      </c>
      <c r="C315" s="160" t="s">
        <v>176</v>
      </c>
      <c r="D315" s="160" t="s">
        <v>38</v>
      </c>
      <c r="E315" s="160" t="s">
        <v>162</v>
      </c>
      <c r="F315" s="154">
        <v>0</v>
      </c>
      <c r="G315" s="161">
        <f>+VLOOKUP(B315,'5.3 Var OPEX 2023-25'!$B$4:$D$160,3,0)</f>
        <v>4.4009396000000096E-2</v>
      </c>
      <c r="H315" s="162" t="s">
        <v>190</v>
      </c>
      <c r="I315" s="297">
        <f t="shared" si="32"/>
        <v>0</v>
      </c>
      <c r="J315" s="158">
        <f t="shared" ref="J315:N324" si="37">+IF(OR($C315="No Imputables",$H315="m2 fijo"),I315,I315*(1+J$6*J$7))</f>
        <v>0</v>
      </c>
      <c r="K315" s="158">
        <f t="shared" si="37"/>
        <v>0</v>
      </c>
      <c r="L315" s="158">
        <f t="shared" si="37"/>
        <v>0</v>
      </c>
      <c r="M315" s="158">
        <f t="shared" si="37"/>
        <v>0</v>
      </c>
      <c r="N315" s="158">
        <f t="shared" si="37"/>
        <v>0</v>
      </c>
      <c r="P315" s="2"/>
    </row>
    <row r="316" spans="1:16" x14ac:dyDescent="0.25">
      <c r="B316" s="17">
        <v>6563000004</v>
      </c>
      <c r="C316" s="160" t="s">
        <v>176</v>
      </c>
      <c r="D316" s="160" t="s">
        <v>38</v>
      </c>
      <c r="E316" s="160" t="s">
        <v>163</v>
      </c>
      <c r="F316" s="154">
        <v>0</v>
      </c>
      <c r="G316" s="161">
        <f>+VLOOKUP(B316,'5.3 Var OPEX 2023-25'!$B$4:$D$160,3,0)</f>
        <v>4.4009396000000096E-2</v>
      </c>
      <c r="H316" s="162" t="s">
        <v>190</v>
      </c>
      <c r="I316" s="297">
        <f t="shared" si="32"/>
        <v>0</v>
      </c>
      <c r="J316" s="158">
        <f t="shared" si="37"/>
        <v>0</v>
      </c>
      <c r="K316" s="158">
        <f t="shared" si="37"/>
        <v>0</v>
      </c>
      <c r="L316" s="158">
        <f t="shared" si="37"/>
        <v>0</v>
      </c>
      <c r="M316" s="158">
        <f t="shared" si="37"/>
        <v>0</v>
      </c>
      <c r="N316" s="158">
        <f t="shared" si="37"/>
        <v>0</v>
      </c>
      <c r="P316" s="2"/>
    </row>
    <row r="317" spans="1:16" x14ac:dyDescent="0.25">
      <c r="B317" s="17">
        <v>6563000005</v>
      </c>
      <c r="C317" s="160" t="s">
        <v>176</v>
      </c>
      <c r="D317" s="160" t="s">
        <v>38</v>
      </c>
      <c r="E317" s="160" t="s">
        <v>164</v>
      </c>
      <c r="F317" s="154">
        <v>0</v>
      </c>
      <c r="G317" s="161">
        <f>+VLOOKUP(B317,'5.3 Var OPEX 2023-25'!$B$4:$D$160,3,0)</f>
        <v>4.4009396000000096E-2</v>
      </c>
      <c r="H317" s="162" t="s">
        <v>190</v>
      </c>
      <c r="I317" s="297">
        <f t="shared" si="32"/>
        <v>0</v>
      </c>
      <c r="J317" s="158">
        <f t="shared" si="37"/>
        <v>0</v>
      </c>
      <c r="K317" s="158">
        <f t="shared" si="37"/>
        <v>0</v>
      </c>
      <c r="L317" s="158">
        <f t="shared" si="37"/>
        <v>0</v>
      </c>
      <c r="M317" s="158">
        <f t="shared" si="37"/>
        <v>0</v>
      </c>
      <c r="N317" s="158">
        <f t="shared" si="37"/>
        <v>0</v>
      </c>
      <c r="P317" s="2"/>
    </row>
    <row r="318" spans="1:16" x14ac:dyDescent="0.25">
      <c r="B318" s="17">
        <v>6590000001</v>
      </c>
      <c r="C318" s="160" t="s">
        <v>176</v>
      </c>
      <c r="D318" s="160" t="s">
        <v>38</v>
      </c>
      <c r="E318" s="160" t="s">
        <v>165</v>
      </c>
      <c r="F318" s="154">
        <v>0</v>
      </c>
      <c r="G318" s="161">
        <f>+VLOOKUP(B318,'5.3 Var OPEX 2023-25'!$B$4:$D$160,3,0)</f>
        <v>4.4009396000000096E-2</v>
      </c>
      <c r="H318" s="162" t="s">
        <v>190</v>
      </c>
      <c r="I318" s="297">
        <f t="shared" si="32"/>
        <v>0</v>
      </c>
      <c r="J318" s="158">
        <f t="shared" si="37"/>
        <v>0</v>
      </c>
      <c r="K318" s="158">
        <f t="shared" si="37"/>
        <v>0</v>
      </c>
      <c r="L318" s="158">
        <f t="shared" si="37"/>
        <v>0</v>
      </c>
      <c r="M318" s="158">
        <f t="shared" si="37"/>
        <v>0</v>
      </c>
      <c r="N318" s="158">
        <f t="shared" si="37"/>
        <v>0</v>
      </c>
      <c r="P318" s="2"/>
    </row>
    <row r="319" spans="1:16" x14ac:dyDescent="0.25">
      <c r="B319" s="17">
        <v>6590000002</v>
      </c>
      <c r="C319" s="160" t="s">
        <v>176</v>
      </c>
      <c r="D319" s="160" t="s">
        <v>38</v>
      </c>
      <c r="E319" s="160" t="s">
        <v>166</v>
      </c>
      <c r="F319" s="154">
        <v>1709.2446633906632</v>
      </c>
      <c r="G319" s="161">
        <f>+VLOOKUP(B319,'5.3 Var OPEX 2023-25'!$B$4:$D$160,3,0)</f>
        <v>4.4009396000000096E-2</v>
      </c>
      <c r="H319" s="162" t="s">
        <v>190</v>
      </c>
      <c r="I319" s="297">
        <f t="shared" si="32"/>
        <v>1751.375164677597</v>
      </c>
      <c r="J319" s="158">
        <f t="shared" si="37"/>
        <v>1795.0944715541957</v>
      </c>
      <c r="K319" s="158">
        <f t="shared" si="37"/>
        <v>1827.8987632385936</v>
      </c>
      <c r="L319" s="158">
        <f t="shared" si="37"/>
        <v>1861.1740258872289</v>
      </c>
      <c r="M319" s="158">
        <f t="shared" si="37"/>
        <v>1896.8228243015335</v>
      </c>
      <c r="N319" s="158">
        <f t="shared" si="37"/>
        <v>1930.4165011402613</v>
      </c>
      <c r="P319" s="2"/>
    </row>
    <row r="320" spans="1:16" x14ac:dyDescent="0.25">
      <c r="A320" s="37"/>
      <c r="B320" s="17">
        <v>6590000003</v>
      </c>
      <c r="C320" s="160" t="s">
        <v>176</v>
      </c>
      <c r="D320" s="160" t="s">
        <v>38</v>
      </c>
      <c r="E320" s="160" t="s">
        <v>167</v>
      </c>
      <c r="F320" s="154">
        <v>0</v>
      </c>
      <c r="G320" s="161">
        <f>+VLOOKUP(B320,'5.3 Var OPEX 2023-25'!$B$4:$D$160,3,0)</f>
        <v>4.4009396000000096E-2</v>
      </c>
      <c r="H320" s="162" t="s">
        <v>190</v>
      </c>
      <c r="I320" s="297">
        <f t="shared" si="32"/>
        <v>0</v>
      </c>
      <c r="J320" s="158">
        <f t="shared" si="37"/>
        <v>0</v>
      </c>
      <c r="K320" s="158">
        <f t="shared" si="37"/>
        <v>0</v>
      </c>
      <c r="L320" s="158">
        <f t="shared" si="37"/>
        <v>0</v>
      </c>
      <c r="M320" s="158">
        <f t="shared" si="37"/>
        <v>0</v>
      </c>
      <c r="N320" s="158">
        <f t="shared" si="37"/>
        <v>0</v>
      </c>
      <c r="P320" s="2"/>
    </row>
    <row r="321" spans="1:16" x14ac:dyDescent="0.25">
      <c r="B321" s="17">
        <v>6590000004</v>
      </c>
      <c r="C321" s="160" t="s">
        <v>176</v>
      </c>
      <c r="D321" s="160" t="s">
        <v>38</v>
      </c>
      <c r="E321" s="160" t="s">
        <v>168</v>
      </c>
      <c r="F321" s="154">
        <v>118.07812911802105</v>
      </c>
      <c r="G321" s="161">
        <f>+VLOOKUP(B321,'5.3 Var OPEX 2023-25'!$B$4:$D$160,3,0)</f>
        <v>4.4009396000000096E-2</v>
      </c>
      <c r="H321" s="162" t="s">
        <v>190</v>
      </c>
      <c r="I321" s="297">
        <f t="shared" si="32"/>
        <v>120.98859060859381</v>
      </c>
      <c r="J321" s="158">
        <f t="shared" si="37"/>
        <v>124.00881004990239</v>
      </c>
      <c r="K321" s="158">
        <f t="shared" si="37"/>
        <v>126.27499784156217</v>
      </c>
      <c r="L321" s="158">
        <f t="shared" si="37"/>
        <v>128.57372127397437</v>
      </c>
      <c r="M321" s="158">
        <f t="shared" si="37"/>
        <v>131.03641342813117</v>
      </c>
      <c r="N321" s="158">
        <f t="shared" si="37"/>
        <v>133.35713356625556</v>
      </c>
      <c r="P321" s="2"/>
    </row>
    <row r="322" spans="1:16" x14ac:dyDescent="0.25">
      <c r="A322" s="37"/>
      <c r="B322" s="17">
        <v>6590000005</v>
      </c>
      <c r="C322" s="160" t="s">
        <v>176</v>
      </c>
      <c r="D322" s="160" t="s">
        <v>38</v>
      </c>
      <c r="E322" s="160" t="s">
        <v>169</v>
      </c>
      <c r="F322" s="154">
        <v>0</v>
      </c>
      <c r="G322" s="161">
        <f>+VLOOKUP(B322,'5.3 Var OPEX 2023-25'!$B$4:$D$160,3,0)</f>
        <v>4.4009396000000096E-2</v>
      </c>
      <c r="H322" s="162" t="s">
        <v>190</v>
      </c>
      <c r="I322" s="297">
        <f t="shared" si="32"/>
        <v>0</v>
      </c>
      <c r="J322" s="158">
        <f t="shared" si="37"/>
        <v>0</v>
      </c>
      <c r="K322" s="158">
        <f t="shared" si="37"/>
        <v>0</v>
      </c>
      <c r="L322" s="158">
        <f t="shared" si="37"/>
        <v>0</v>
      </c>
      <c r="M322" s="158">
        <f t="shared" si="37"/>
        <v>0</v>
      </c>
      <c r="N322" s="158">
        <f t="shared" si="37"/>
        <v>0</v>
      </c>
      <c r="P322" s="2"/>
    </row>
    <row r="323" spans="1:16" x14ac:dyDescent="0.25">
      <c r="A323" s="37"/>
      <c r="B323" s="17">
        <v>6590000006</v>
      </c>
      <c r="C323" s="160" t="s">
        <v>176</v>
      </c>
      <c r="D323" s="160" t="s">
        <v>38</v>
      </c>
      <c r="E323" s="160" t="s">
        <v>170</v>
      </c>
      <c r="F323" s="154">
        <v>0</v>
      </c>
      <c r="G323" s="161">
        <f>+VLOOKUP(B323,'5.3 Var OPEX 2023-25'!$B$4:$D$160,3,0)</f>
        <v>0.55350740986062807</v>
      </c>
      <c r="H323" s="162" t="s">
        <v>190</v>
      </c>
      <c r="I323" s="297">
        <f t="shared" si="32"/>
        <v>0</v>
      </c>
      <c r="J323" s="158">
        <f t="shared" si="37"/>
        <v>0</v>
      </c>
      <c r="K323" s="158">
        <f t="shared" si="37"/>
        <v>0</v>
      </c>
      <c r="L323" s="158">
        <f t="shared" si="37"/>
        <v>0</v>
      </c>
      <c r="M323" s="158">
        <f t="shared" si="37"/>
        <v>0</v>
      </c>
      <c r="N323" s="158">
        <f t="shared" si="37"/>
        <v>0</v>
      </c>
      <c r="P323" s="2"/>
    </row>
    <row r="324" spans="1:16" x14ac:dyDescent="0.25">
      <c r="B324" s="17">
        <v>6590000007</v>
      </c>
      <c r="C324" s="160" t="s">
        <v>176</v>
      </c>
      <c r="D324" s="160" t="s">
        <v>38</v>
      </c>
      <c r="E324" s="160" t="s">
        <v>171</v>
      </c>
      <c r="F324" s="154">
        <v>0</v>
      </c>
      <c r="G324" s="161">
        <f>+VLOOKUP(B324,'5.3 Var OPEX 2023-25'!$B$4:$D$160,3,0)</f>
        <v>4.4009396000000096E-2</v>
      </c>
      <c r="H324" s="162" t="s">
        <v>190</v>
      </c>
      <c r="I324" s="297">
        <f t="shared" si="32"/>
        <v>0</v>
      </c>
      <c r="J324" s="158">
        <f t="shared" si="37"/>
        <v>0</v>
      </c>
      <c r="K324" s="158">
        <f t="shared" si="37"/>
        <v>0</v>
      </c>
      <c r="L324" s="158">
        <f t="shared" si="37"/>
        <v>0</v>
      </c>
      <c r="M324" s="158">
        <f t="shared" si="37"/>
        <v>0</v>
      </c>
      <c r="N324" s="158">
        <f t="shared" si="37"/>
        <v>0</v>
      </c>
      <c r="P324" s="2"/>
    </row>
    <row r="325" spans="1:16" x14ac:dyDescent="0.25">
      <c r="B325" s="17">
        <v>6590000010</v>
      </c>
      <c r="C325" s="160" t="s">
        <v>176</v>
      </c>
      <c r="D325" s="160" t="s">
        <v>38</v>
      </c>
      <c r="E325" s="160" t="s">
        <v>172</v>
      </c>
      <c r="F325" s="154">
        <v>0</v>
      </c>
      <c r="G325" s="161">
        <f>+VLOOKUP(B325,'5.3 Var OPEX 2023-25'!$B$4:$D$160,3,0)</f>
        <v>4.4009396000000096E-2</v>
      </c>
      <c r="H325" s="162" t="s">
        <v>190</v>
      </c>
      <c r="I325" s="297">
        <f t="shared" si="32"/>
        <v>0</v>
      </c>
      <c r="J325" s="158">
        <f t="shared" ref="J325:N334" si="38">+IF(OR($C325="No Imputables",$H325="m2 fijo"),I325,I325*(1+J$6*J$7))</f>
        <v>0</v>
      </c>
      <c r="K325" s="158">
        <f t="shared" si="38"/>
        <v>0</v>
      </c>
      <c r="L325" s="158">
        <f t="shared" si="38"/>
        <v>0</v>
      </c>
      <c r="M325" s="158">
        <f t="shared" si="38"/>
        <v>0</v>
      </c>
      <c r="N325" s="158">
        <f t="shared" si="38"/>
        <v>0</v>
      </c>
      <c r="P325" s="2"/>
    </row>
    <row r="326" spans="1:16" x14ac:dyDescent="0.25">
      <c r="B326" s="17">
        <v>6590000011</v>
      </c>
      <c r="C326" s="160" t="s">
        <v>176</v>
      </c>
      <c r="D326" s="160" t="s">
        <v>38</v>
      </c>
      <c r="E326" s="160" t="s">
        <v>173</v>
      </c>
      <c r="F326" s="154">
        <v>0</v>
      </c>
      <c r="G326" s="161">
        <f>+VLOOKUP(B326,'5.3 Var OPEX 2023-25'!$B$4:$D$160,3,0)</f>
        <v>4.4009396000000096E-2</v>
      </c>
      <c r="H326" s="162" t="s">
        <v>190</v>
      </c>
      <c r="I326" s="297">
        <f t="shared" si="32"/>
        <v>0</v>
      </c>
      <c r="J326" s="158">
        <f t="shared" si="38"/>
        <v>0</v>
      </c>
      <c r="K326" s="158">
        <f t="shared" si="38"/>
        <v>0</v>
      </c>
      <c r="L326" s="158">
        <f t="shared" si="38"/>
        <v>0</v>
      </c>
      <c r="M326" s="158">
        <f t="shared" si="38"/>
        <v>0</v>
      </c>
      <c r="N326" s="158">
        <f t="shared" si="38"/>
        <v>0</v>
      </c>
      <c r="P326" s="2"/>
    </row>
    <row r="327" spans="1:16" x14ac:dyDescent="0.25">
      <c r="A327" s="37"/>
      <c r="B327" s="17">
        <v>6840000001</v>
      </c>
      <c r="C327" s="160" t="s">
        <v>176</v>
      </c>
      <c r="D327" s="160" t="s">
        <v>38</v>
      </c>
      <c r="E327" s="160" t="s">
        <v>174</v>
      </c>
      <c r="F327" s="154">
        <v>0</v>
      </c>
      <c r="G327" s="161">
        <f>+VLOOKUP(B327,'5.3 Var OPEX 2023-25'!$B$4:$D$160,3,0)</f>
        <v>4.4009396000000096E-2</v>
      </c>
      <c r="H327" s="162" t="s">
        <v>190</v>
      </c>
      <c r="I327" s="297">
        <f t="shared" si="32"/>
        <v>0</v>
      </c>
      <c r="J327" s="158">
        <f t="shared" si="38"/>
        <v>0</v>
      </c>
      <c r="K327" s="158">
        <f t="shared" si="38"/>
        <v>0</v>
      </c>
      <c r="L327" s="158">
        <f t="shared" si="38"/>
        <v>0</v>
      </c>
      <c r="M327" s="158">
        <f t="shared" si="38"/>
        <v>0</v>
      </c>
      <c r="N327" s="158">
        <f t="shared" si="38"/>
        <v>0</v>
      </c>
      <c r="P327" s="2"/>
    </row>
    <row r="328" spans="1:16" x14ac:dyDescent="0.25">
      <c r="A328" s="37"/>
      <c r="B328" s="17">
        <v>8710000001</v>
      </c>
      <c r="C328" s="160" t="s">
        <v>176</v>
      </c>
      <c r="D328" s="160" t="s">
        <v>14</v>
      </c>
      <c r="E328" s="160" t="s">
        <v>175</v>
      </c>
      <c r="F328" s="154">
        <v>0</v>
      </c>
      <c r="G328" s="161">
        <f>+VLOOKUP(B328,'5.3 Var OPEX 2023-25'!$B$4:$D$160,3,0)</f>
        <v>0</v>
      </c>
      <c r="H328" s="162" t="s">
        <v>190</v>
      </c>
      <c r="I328" s="297">
        <f t="shared" si="32"/>
        <v>0</v>
      </c>
      <c r="J328" s="158">
        <f t="shared" si="38"/>
        <v>0</v>
      </c>
      <c r="K328" s="158">
        <f t="shared" si="38"/>
        <v>0</v>
      </c>
      <c r="L328" s="158">
        <f t="shared" si="38"/>
        <v>0</v>
      </c>
      <c r="M328" s="158">
        <f t="shared" si="38"/>
        <v>0</v>
      </c>
      <c r="N328" s="158">
        <f t="shared" si="38"/>
        <v>0</v>
      </c>
      <c r="P328" s="2"/>
    </row>
    <row r="329" spans="1:16" x14ac:dyDescent="0.25">
      <c r="B329" s="17">
        <v>6211000001</v>
      </c>
      <c r="C329" s="160" t="s">
        <v>177</v>
      </c>
      <c r="D329" s="160" t="s">
        <v>14</v>
      </c>
      <c r="E329" s="160" t="s">
        <v>15</v>
      </c>
      <c r="F329" s="154">
        <v>1619818.6656390617</v>
      </c>
      <c r="G329" s="161">
        <f>+VLOOKUP(B329,'5.3 Var OPEX 2023-25'!$B$4:$D$160,3,0)</f>
        <v>0.39130162327539963</v>
      </c>
      <c r="H329" s="162" t="s">
        <v>190</v>
      </c>
      <c r="I329" s="297">
        <f t="shared" si="32"/>
        <v>2211863.0722136842</v>
      </c>
      <c r="J329" s="158">
        <f t="shared" si="38"/>
        <v>2211863.0722136842</v>
      </c>
      <c r="K329" s="158">
        <f t="shared" si="38"/>
        <v>2211863.0722136842</v>
      </c>
      <c r="L329" s="158">
        <f t="shared" si="38"/>
        <v>2211863.0722136842</v>
      </c>
      <c r="M329" s="158">
        <f t="shared" si="38"/>
        <v>2211863.0722136842</v>
      </c>
      <c r="N329" s="158">
        <f t="shared" si="38"/>
        <v>2211863.0722136842</v>
      </c>
      <c r="P329" s="2"/>
    </row>
    <row r="330" spans="1:16" x14ac:dyDescent="0.25">
      <c r="B330" s="17">
        <v>6212000001</v>
      </c>
      <c r="C330" s="160" t="s">
        <v>177</v>
      </c>
      <c r="D330" s="160" t="s">
        <v>14</v>
      </c>
      <c r="E330" s="160" t="s">
        <v>16</v>
      </c>
      <c r="F330" s="154">
        <v>390657.47398890735</v>
      </c>
      <c r="G330" s="161">
        <f>+VLOOKUP(B330,'5.3 Var OPEX 2023-25'!$B$4:$D$160,3,0)</f>
        <v>0.39130162327539963</v>
      </c>
      <c r="H330" s="162" t="s">
        <v>190</v>
      </c>
      <c r="I330" s="297">
        <f t="shared" si="32"/>
        <v>533442.94576296851</v>
      </c>
      <c r="J330" s="158">
        <f t="shared" si="38"/>
        <v>533442.94576296851</v>
      </c>
      <c r="K330" s="158">
        <f t="shared" si="38"/>
        <v>533442.94576296851</v>
      </c>
      <c r="L330" s="158">
        <f t="shared" si="38"/>
        <v>533442.94576296851</v>
      </c>
      <c r="M330" s="158">
        <f t="shared" si="38"/>
        <v>533442.94576296851</v>
      </c>
      <c r="N330" s="158">
        <f t="shared" si="38"/>
        <v>533442.94576296851</v>
      </c>
      <c r="P330" s="2"/>
    </row>
    <row r="331" spans="1:16" x14ac:dyDescent="0.25">
      <c r="B331" s="17">
        <v>6213000001</v>
      </c>
      <c r="C331" s="160" t="s">
        <v>177</v>
      </c>
      <c r="D331" s="160" t="s">
        <v>14</v>
      </c>
      <c r="E331" s="160" t="s">
        <v>17</v>
      </c>
      <c r="F331" s="154">
        <v>145870.87799893142</v>
      </c>
      <c r="G331" s="161">
        <f>+VLOOKUP(B331,'5.3 Var OPEX 2023-25'!$B$4:$D$160,3,0)</f>
        <v>0.39130162327539963</v>
      </c>
      <c r="H331" s="162" t="s">
        <v>190</v>
      </c>
      <c r="I331" s="297">
        <f t="shared" si="32"/>
        <v>199186.74552989629</v>
      </c>
      <c r="J331" s="158">
        <f t="shared" si="38"/>
        <v>199186.74552989629</v>
      </c>
      <c r="K331" s="158">
        <f t="shared" si="38"/>
        <v>199186.74552989629</v>
      </c>
      <c r="L331" s="158">
        <f t="shared" si="38"/>
        <v>199186.74552989629</v>
      </c>
      <c r="M331" s="158">
        <f t="shared" si="38"/>
        <v>199186.74552989629</v>
      </c>
      <c r="N331" s="158">
        <f t="shared" si="38"/>
        <v>199186.74552989629</v>
      </c>
      <c r="P331" s="2"/>
    </row>
    <row r="332" spans="1:16" x14ac:dyDescent="0.25">
      <c r="B332" s="17">
        <v>6214000001</v>
      </c>
      <c r="C332" s="160" t="s">
        <v>177</v>
      </c>
      <c r="D332" s="160" t="s">
        <v>14</v>
      </c>
      <c r="E332" s="160" t="s">
        <v>18</v>
      </c>
      <c r="F332" s="154">
        <v>4743.8508696617118</v>
      </c>
      <c r="G332" s="161">
        <f>+VLOOKUP(B332,'5.3 Var OPEX 2023-25'!$B$4:$D$160,3,0)</f>
        <v>0.39130162327539963</v>
      </c>
      <c r="H332" s="162" t="s">
        <v>190</v>
      </c>
      <c r="I332" s="297">
        <f t="shared" si="32"/>
        <v>6477.7303665369491</v>
      </c>
      <c r="J332" s="158">
        <f t="shared" si="38"/>
        <v>6477.7303665369491</v>
      </c>
      <c r="K332" s="158">
        <f t="shared" si="38"/>
        <v>6477.7303665369491</v>
      </c>
      <c r="L332" s="158">
        <f t="shared" si="38"/>
        <v>6477.7303665369491</v>
      </c>
      <c r="M332" s="158">
        <f t="shared" si="38"/>
        <v>6477.7303665369491</v>
      </c>
      <c r="N332" s="158">
        <f t="shared" si="38"/>
        <v>6477.7303665369491</v>
      </c>
      <c r="P332" s="2"/>
    </row>
    <row r="333" spans="1:16" x14ac:dyDescent="0.25">
      <c r="B333" s="17">
        <v>6221000001</v>
      </c>
      <c r="C333" s="160" t="s">
        <v>177</v>
      </c>
      <c r="D333" s="160" t="s">
        <v>14</v>
      </c>
      <c r="E333" s="160" t="s">
        <v>19</v>
      </c>
      <c r="F333" s="154">
        <v>40244.098474970247</v>
      </c>
      <c r="G333" s="161">
        <f>+VLOOKUP(B333,'5.3 Var OPEX 2023-25'!$B$4:$D$160,3,0)</f>
        <v>0.39130162327539963</v>
      </c>
      <c r="H333" s="162" t="s">
        <v>190</v>
      </c>
      <c r="I333" s="297">
        <f t="shared" si="32"/>
        <v>54953.333468471399</v>
      </c>
      <c r="J333" s="158">
        <f t="shared" si="38"/>
        <v>54953.333468471399</v>
      </c>
      <c r="K333" s="158">
        <f t="shared" si="38"/>
        <v>54953.333468471399</v>
      </c>
      <c r="L333" s="158">
        <f t="shared" si="38"/>
        <v>54953.333468471399</v>
      </c>
      <c r="M333" s="158">
        <f t="shared" si="38"/>
        <v>54953.333468471399</v>
      </c>
      <c r="N333" s="158">
        <f t="shared" si="38"/>
        <v>54953.333468471399</v>
      </c>
      <c r="P333" s="2"/>
    </row>
    <row r="334" spans="1:16" x14ac:dyDescent="0.25">
      <c r="B334" s="17">
        <v>6231000001</v>
      </c>
      <c r="C334" s="160" t="s">
        <v>177</v>
      </c>
      <c r="D334" s="160" t="s">
        <v>14</v>
      </c>
      <c r="E334" s="160" t="s">
        <v>20</v>
      </c>
      <c r="F334" s="154">
        <v>0</v>
      </c>
      <c r="G334" s="161">
        <f>+VLOOKUP(B334,'5.3 Var OPEX 2023-25'!$B$4:$D$160,3,0)</f>
        <v>0.39130162327539963</v>
      </c>
      <c r="H334" s="162" t="s">
        <v>190</v>
      </c>
      <c r="I334" s="297">
        <f t="shared" si="32"/>
        <v>0</v>
      </c>
      <c r="J334" s="158">
        <f t="shared" si="38"/>
        <v>0</v>
      </c>
      <c r="K334" s="158">
        <f t="shared" si="38"/>
        <v>0</v>
      </c>
      <c r="L334" s="158">
        <f t="shared" si="38"/>
        <v>0</v>
      </c>
      <c r="M334" s="158">
        <f t="shared" si="38"/>
        <v>0</v>
      </c>
      <c r="N334" s="158">
        <f t="shared" si="38"/>
        <v>0</v>
      </c>
      <c r="P334" s="2"/>
    </row>
    <row r="335" spans="1:16" x14ac:dyDescent="0.25">
      <c r="B335" s="17">
        <v>6240000001</v>
      </c>
      <c r="C335" s="160" t="s">
        <v>177</v>
      </c>
      <c r="D335" s="160" t="s">
        <v>14</v>
      </c>
      <c r="E335" s="160" t="s">
        <v>21</v>
      </c>
      <c r="F335" s="154">
        <v>16506.753532328494</v>
      </c>
      <c r="G335" s="161">
        <f>+VLOOKUP(B335,'5.3 Var OPEX 2023-25'!$B$4:$D$160,3,0)</f>
        <v>0.39130162327539963</v>
      </c>
      <c r="H335" s="162" t="s">
        <v>190</v>
      </c>
      <c r="I335" s="297">
        <f t="shared" ref="I335:I398" si="39">+F335*(1+G335)/$I$8</f>
        <v>22539.978921582402</v>
      </c>
      <c r="J335" s="158">
        <f t="shared" ref="J335:N344" si="40">+IF(OR($C335="No Imputables",$H335="m2 fijo"),I335,I335*(1+J$6*J$7))</f>
        <v>22539.978921582402</v>
      </c>
      <c r="K335" s="158">
        <f t="shared" si="40"/>
        <v>22539.978921582402</v>
      </c>
      <c r="L335" s="158">
        <f t="shared" si="40"/>
        <v>22539.978921582402</v>
      </c>
      <c r="M335" s="158">
        <f t="shared" si="40"/>
        <v>22539.978921582402</v>
      </c>
      <c r="N335" s="158">
        <f t="shared" si="40"/>
        <v>22539.978921582402</v>
      </c>
      <c r="P335" s="2"/>
    </row>
    <row r="336" spans="1:16" x14ac:dyDescent="0.25">
      <c r="B336" s="17">
        <v>6250000001</v>
      </c>
      <c r="C336" s="160" t="s">
        <v>177</v>
      </c>
      <c r="D336" s="160" t="s">
        <v>14</v>
      </c>
      <c r="E336" s="160" t="s">
        <v>22</v>
      </c>
      <c r="F336" s="154">
        <v>6108.1179336365585</v>
      </c>
      <c r="G336" s="161">
        <f>+VLOOKUP(B336,'5.3 Var OPEX 2023-25'!$B$4:$D$160,3,0)</f>
        <v>0.39130162327539963</v>
      </c>
      <c r="H336" s="162" t="s">
        <v>190</v>
      </c>
      <c r="I336" s="297">
        <f t="shared" si="39"/>
        <v>8340.6376187217702</v>
      </c>
      <c r="J336" s="158">
        <f t="shared" si="40"/>
        <v>8340.6376187217702</v>
      </c>
      <c r="K336" s="158">
        <f t="shared" si="40"/>
        <v>8340.6376187217702</v>
      </c>
      <c r="L336" s="158">
        <f t="shared" si="40"/>
        <v>8340.6376187217702</v>
      </c>
      <c r="M336" s="158">
        <f t="shared" si="40"/>
        <v>8340.6376187217702</v>
      </c>
      <c r="N336" s="158">
        <f t="shared" si="40"/>
        <v>8340.6376187217702</v>
      </c>
      <c r="P336" s="2"/>
    </row>
    <row r="337" spans="2:16" x14ac:dyDescent="0.25">
      <c r="B337" s="17">
        <v>6250000003</v>
      </c>
      <c r="C337" s="160" t="s">
        <v>177</v>
      </c>
      <c r="D337" s="160" t="s">
        <v>14</v>
      </c>
      <c r="E337" s="160" t="s">
        <v>23</v>
      </c>
      <c r="F337" s="154">
        <v>23571.194333622894</v>
      </c>
      <c r="G337" s="161">
        <f>+VLOOKUP(B337,'5.3 Var OPEX 2023-25'!$B$4:$D$160,3,0)</f>
        <v>0.39130162327539963</v>
      </c>
      <c r="H337" s="162" t="s">
        <v>190</v>
      </c>
      <c r="I337" s="297">
        <f t="shared" si="39"/>
        <v>32186.475820084324</v>
      </c>
      <c r="J337" s="158">
        <f t="shared" si="40"/>
        <v>32186.475820084324</v>
      </c>
      <c r="K337" s="158">
        <f t="shared" si="40"/>
        <v>32186.475820084324</v>
      </c>
      <c r="L337" s="158">
        <f t="shared" si="40"/>
        <v>32186.475820084324</v>
      </c>
      <c r="M337" s="158">
        <f t="shared" si="40"/>
        <v>32186.475820084324</v>
      </c>
      <c r="N337" s="158">
        <f t="shared" si="40"/>
        <v>32186.475820084324</v>
      </c>
      <c r="P337" s="2"/>
    </row>
    <row r="338" spans="2:16" x14ac:dyDescent="0.25">
      <c r="B338" s="17">
        <v>6250000004</v>
      </c>
      <c r="C338" s="160" t="s">
        <v>177</v>
      </c>
      <c r="D338" s="160" t="s">
        <v>14</v>
      </c>
      <c r="E338" s="160" t="s">
        <v>24</v>
      </c>
      <c r="F338" s="154">
        <v>3639.6998315560909</v>
      </c>
      <c r="G338" s="161">
        <f>+VLOOKUP(B338,'5.3 Var OPEX 2023-25'!$B$4:$D$160,3,0)</f>
        <v>0.39130162327539963</v>
      </c>
      <c r="H338" s="162" t="s">
        <v>190</v>
      </c>
      <c r="I338" s="297">
        <f t="shared" si="39"/>
        <v>4970.0116575611501</v>
      </c>
      <c r="J338" s="158">
        <f t="shared" si="40"/>
        <v>4970.0116575611501</v>
      </c>
      <c r="K338" s="158">
        <f t="shared" si="40"/>
        <v>4970.0116575611501</v>
      </c>
      <c r="L338" s="158">
        <f t="shared" si="40"/>
        <v>4970.0116575611501</v>
      </c>
      <c r="M338" s="158">
        <f t="shared" si="40"/>
        <v>4970.0116575611501</v>
      </c>
      <c r="N338" s="158">
        <f t="shared" si="40"/>
        <v>4970.0116575611501</v>
      </c>
      <c r="P338" s="2"/>
    </row>
    <row r="339" spans="2:16" x14ac:dyDescent="0.25">
      <c r="B339" s="17">
        <v>6250000005</v>
      </c>
      <c r="C339" s="160" t="s">
        <v>177</v>
      </c>
      <c r="D339" s="160" t="s">
        <v>14</v>
      </c>
      <c r="E339" s="160" t="s">
        <v>25</v>
      </c>
      <c r="F339" s="154">
        <v>169537.05250585201</v>
      </c>
      <c r="G339" s="161">
        <f>+VLOOKUP(B339,'5.3 Var OPEX 2023-25'!$B$4:$D$160,3,0)</f>
        <v>0.39130162327539963</v>
      </c>
      <c r="H339" s="162" t="s">
        <v>190</v>
      </c>
      <c r="I339" s="297">
        <f t="shared" si="39"/>
        <v>231502.91681674248</v>
      </c>
      <c r="J339" s="158">
        <f t="shared" si="40"/>
        <v>231502.91681674248</v>
      </c>
      <c r="K339" s="158">
        <f t="shared" si="40"/>
        <v>231502.91681674248</v>
      </c>
      <c r="L339" s="158">
        <f t="shared" si="40"/>
        <v>231502.91681674248</v>
      </c>
      <c r="M339" s="158">
        <f t="shared" si="40"/>
        <v>231502.91681674248</v>
      </c>
      <c r="N339" s="158">
        <f t="shared" si="40"/>
        <v>231502.91681674248</v>
      </c>
      <c r="P339" s="2"/>
    </row>
    <row r="340" spans="2:16" x14ac:dyDescent="0.25">
      <c r="B340" s="17">
        <v>6250000006</v>
      </c>
      <c r="C340" s="160" t="s">
        <v>177</v>
      </c>
      <c r="D340" s="160" t="s">
        <v>14</v>
      </c>
      <c r="E340" s="160" t="s">
        <v>26</v>
      </c>
      <c r="F340" s="154">
        <v>7052.9828494624826</v>
      </c>
      <c r="G340" s="161">
        <f>+VLOOKUP(B340,'5.3 Var OPEX 2023-25'!$B$4:$D$160,3,0)</f>
        <v>0.39130162327539963</v>
      </c>
      <c r="H340" s="162" t="s">
        <v>190</v>
      </c>
      <c r="I340" s="297">
        <f t="shared" si="39"/>
        <v>9630.8510604350904</v>
      </c>
      <c r="J340" s="158">
        <f t="shared" si="40"/>
        <v>9630.8510604350904</v>
      </c>
      <c r="K340" s="158">
        <f t="shared" si="40"/>
        <v>9630.8510604350904</v>
      </c>
      <c r="L340" s="158">
        <f t="shared" si="40"/>
        <v>9630.8510604350904</v>
      </c>
      <c r="M340" s="158">
        <f t="shared" si="40"/>
        <v>9630.8510604350904</v>
      </c>
      <c r="N340" s="158">
        <f t="shared" si="40"/>
        <v>9630.8510604350904</v>
      </c>
      <c r="P340" s="2"/>
    </row>
    <row r="341" spans="2:16" x14ac:dyDescent="0.25">
      <c r="B341" s="17">
        <v>6250000007</v>
      </c>
      <c r="C341" s="160" t="s">
        <v>177</v>
      </c>
      <c r="D341" s="160" t="s">
        <v>14</v>
      </c>
      <c r="E341" s="160" t="s">
        <v>27</v>
      </c>
      <c r="F341" s="154">
        <v>49294.365351194865</v>
      </c>
      <c r="G341" s="161">
        <f>+VLOOKUP(B341,'5.3 Var OPEX 2023-25'!$B$4:$D$160,3,0)</f>
        <v>0.39130162327539963</v>
      </c>
      <c r="H341" s="162" t="s">
        <v>190</v>
      </c>
      <c r="I341" s="297">
        <f t="shared" si="39"/>
        <v>67311.476711191906</v>
      </c>
      <c r="J341" s="158">
        <f t="shared" si="40"/>
        <v>67311.476711191906</v>
      </c>
      <c r="K341" s="158">
        <f t="shared" si="40"/>
        <v>67311.476711191906</v>
      </c>
      <c r="L341" s="158">
        <f t="shared" si="40"/>
        <v>67311.476711191906</v>
      </c>
      <c r="M341" s="158">
        <f t="shared" si="40"/>
        <v>67311.476711191906</v>
      </c>
      <c r="N341" s="158">
        <f t="shared" si="40"/>
        <v>67311.476711191906</v>
      </c>
      <c r="P341" s="2"/>
    </row>
    <row r="342" spans="2:16" x14ac:dyDescent="0.25">
      <c r="B342" s="17">
        <v>6250000008</v>
      </c>
      <c r="C342" s="160" t="s">
        <v>177</v>
      </c>
      <c r="D342" s="160" t="s">
        <v>14</v>
      </c>
      <c r="E342" s="160" t="s">
        <v>28</v>
      </c>
      <c r="F342" s="154">
        <v>11066.134538221866</v>
      </c>
      <c r="G342" s="161">
        <f>+VLOOKUP(B342,'5.3 Var OPEX 2023-25'!$B$4:$D$160,3,0)</f>
        <v>0.39130162327539963</v>
      </c>
      <c r="H342" s="162" t="s">
        <v>190</v>
      </c>
      <c r="I342" s="297">
        <f t="shared" si="39"/>
        <v>15110.811386770032</v>
      </c>
      <c r="J342" s="158">
        <f t="shared" si="40"/>
        <v>15110.811386770032</v>
      </c>
      <c r="K342" s="158">
        <f t="shared" si="40"/>
        <v>15110.811386770032</v>
      </c>
      <c r="L342" s="158">
        <f t="shared" si="40"/>
        <v>15110.811386770032</v>
      </c>
      <c r="M342" s="158">
        <f t="shared" si="40"/>
        <v>15110.811386770032</v>
      </c>
      <c r="N342" s="158">
        <f t="shared" si="40"/>
        <v>15110.811386770032</v>
      </c>
      <c r="P342" s="2"/>
    </row>
    <row r="343" spans="2:16" x14ac:dyDescent="0.25">
      <c r="B343" s="17">
        <v>6250000009</v>
      </c>
      <c r="C343" s="160" t="s">
        <v>177</v>
      </c>
      <c r="D343" s="160" t="s">
        <v>14</v>
      </c>
      <c r="E343" s="160" t="s">
        <v>29</v>
      </c>
      <c r="F343" s="154">
        <v>62319.072211822386</v>
      </c>
      <c r="G343" s="161">
        <f>+VLOOKUP(B343,'5.3 Var OPEX 2023-25'!$B$4:$D$160,3,0)</f>
        <v>0.39130162327539963</v>
      </c>
      <c r="H343" s="162" t="s">
        <v>190</v>
      </c>
      <c r="I343" s="297">
        <f t="shared" si="39"/>
        <v>85096.719431595033</v>
      </c>
      <c r="J343" s="158">
        <f t="shared" si="40"/>
        <v>85096.719431595033</v>
      </c>
      <c r="K343" s="158">
        <f t="shared" si="40"/>
        <v>85096.719431595033</v>
      </c>
      <c r="L343" s="158">
        <f t="shared" si="40"/>
        <v>85096.719431595033</v>
      </c>
      <c r="M343" s="158">
        <f t="shared" si="40"/>
        <v>85096.719431595033</v>
      </c>
      <c r="N343" s="158">
        <f t="shared" si="40"/>
        <v>85096.719431595033</v>
      </c>
      <c r="P343" s="2"/>
    </row>
    <row r="344" spans="2:16" x14ac:dyDescent="0.25">
      <c r="B344" s="17">
        <v>6270000001</v>
      </c>
      <c r="C344" s="160" t="s">
        <v>177</v>
      </c>
      <c r="D344" s="160" t="s">
        <v>14</v>
      </c>
      <c r="E344" s="160" t="s">
        <v>30</v>
      </c>
      <c r="F344" s="154">
        <v>41743.345712294475</v>
      </c>
      <c r="G344" s="161">
        <f>+VLOOKUP(B344,'5.3 Var OPEX 2023-25'!$B$4:$D$160,3,0)</f>
        <v>0.39130162327539963</v>
      </c>
      <c r="H344" s="162" t="s">
        <v>190</v>
      </c>
      <c r="I344" s="297">
        <f t="shared" si="39"/>
        <v>57000.556204386434</v>
      </c>
      <c r="J344" s="158">
        <f t="shared" si="40"/>
        <v>57000.556204386434</v>
      </c>
      <c r="K344" s="158">
        <f t="shared" si="40"/>
        <v>57000.556204386434</v>
      </c>
      <c r="L344" s="158">
        <f t="shared" si="40"/>
        <v>57000.556204386434</v>
      </c>
      <c r="M344" s="158">
        <f t="shared" si="40"/>
        <v>57000.556204386434</v>
      </c>
      <c r="N344" s="158">
        <f t="shared" si="40"/>
        <v>57000.556204386434</v>
      </c>
      <c r="P344" s="2"/>
    </row>
    <row r="345" spans="2:16" x14ac:dyDescent="0.25">
      <c r="B345" s="17">
        <v>6270000002</v>
      </c>
      <c r="C345" s="160" t="s">
        <v>177</v>
      </c>
      <c r="D345" s="160" t="s">
        <v>14</v>
      </c>
      <c r="E345" s="160" t="s">
        <v>31</v>
      </c>
      <c r="F345" s="154">
        <v>139518.02264652459</v>
      </c>
      <c r="G345" s="161">
        <f>+VLOOKUP(B345,'5.3 Var OPEX 2023-25'!$B$4:$D$160,3,0)</f>
        <v>0.39130162327539963</v>
      </c>
      <c r="H345" s="162" t="s">
        <v>190</v>
      </c>
      <c r="I345" s="297">
        <f t="shared" si="39"/>
        <v>190511.91886245576</v>
      </c>
      <c r="J345" s="158">
        <f t="shared" ref="J345:N354" si="41">+IF(OR($C345="No Imputables",$H345="m2 fijo"),I345,I345*(1+J$6*J$7))</f>
        <v>190511.91886245576</v>
      </c>
      <c r="K345" s="158">
        <f t="shared" si="41"/>
        <v>190511.91886245576</v>
      </c>
      <c r="L345" s="158">
        <f t="shared" si="41"/>
        <v>190511.91886245576</v>
      </c>
      <c r="M345" s="158">
        <f t="shared" si="41"/>
        <v>190511.91886245576</v>
      </c>
      <c r="N345" s="158">
        <f t="shared" si="41"/>
        <v>190511.91886245576</v>
      </c>
      <c r="P345" s="2"/>
    </row>
    <row r="346" spans="2:16" x14ac:dyDescent="0.25">
      <c r="B346" s="17">
        <v>6270000003</v>
      </c>
      <c r="C346" s="160" t="s">
        <v>177</v>
      </c>
      <c r="D346" s="160" t="s">
        <v>14</v>
      </c>
      <c r="E346" s="160" t="s">
        <v>32</v>
      </c>
      <c r="F346" s="154">
        <v>3685.1144162774021</v>
      </c>
      <c r="G346" s="161">
        <f>+VLOOKUP(B346,'5.3 Var OPEX 2023-25'!$B$4:$D$160,3,0)</f>
        <v>0.39130162327539963</v>
      </c>
      <c r="H346" s="162" t="s">
        <v>190</v>
      </c>
      <c r="I346" s="297">
        <f t="shared" si="39"/>
        <v>5032.0252921832443</v>
      </c>
      <c r="J346" s="158">
        <f t="shared" si="41"/>
        <v>5032.0252921832443</v>
      </c>
      <c r="K346" s="158">
        <f t="shared" si="41"/>
        <v>5032.0252921832443</v>
      </c>
      <c r="L346" s="158">
        <f t="shared" si="41"/>
        <v>5032.0252921832443</v>
      </c>
      <c r="M346" s="158">
        <f t="shared" si="41"/>
        <v>5032.0252921832443</v>
      </c>
      <c r="N346" s="158">
        <f t="shared" si="41"/>
        <v>5032.0252921832443</v>
      </c>
      <c r="P346" s="2"/>
    </row>
    <row r="347" spans="2:16" x14ac:dyDescent="0.25">
      <c r="B347" s="17">
        <v>6270000004</v>
      </c>
      <c r="C347" s="160" t="s">
        <v>177</v>
      </c>
      <c r="D347" s="160" t="s">
        <v>14</v>
      </c>
      <c r="E347" s="160" t="s">
        <v>33</v>
      </c>
      <c r="F347" s="154">
        <v>4521.0046482221896</v>
      </c>
      <c r="G347" s="161">
        <f>+VLOOKUP(B347,'5.3 Var OPEX 2023-25'!$B$4:$D$160,3,0)</f>
        <v>0.39130162327539963</v>
      </c>
      <c r="H347" s="162" t="s">
        <v>190</v>
      </c>
      <c r="I347" s="297">
        <f t="shared" si="39"/>
        <v>6173.4337570211128</v>
      </c>
      <c r="J347" s="158">
        <f t="shared" si="41"/>
        <v>6173.4337570211128</v>
      </c>
      <c r="K347" s="158">
        <f t="shared" si="41"/>
        <v>6173.4337570211128</v>
      </c>
      <c r="L347" s="158">
        <f t="shared" si="41"/>
        <v>6173.4337570211128</v>
      </c>
      <c r="M347" s="158">
        <f t="shared" si="41"/>
        <v>6173.4337570211128</v>
      </c>
      <c r="N347" s="158">
        <f t="shared" si="41"/>
        <v>6173.4337570211128</v>
      </c>
      <c r="P347" s="2"/>
    </row>
    <row r="348" spans="2:16" x14ac:dyDescent="0.25">
      <c r="B348" s="17">
        <v>6270000005</v>
      </c>
      <c r="C348" s="160" t="s">
        <v>177</v>
      </c>
      <c r="D348" s="160" t="s">
        <v>14</v>
      </c>
      <c r="E348" s="160" t="s">
        <v>34</v>
      </c>
      <c r="F348" s="154">
        <v>8335.7613389365579</v>
      </c>
      <c r="G348" s="161">
        <f>+VLOOKUP(B348,'5.3 Var OPEX 2023-25'!$B$4:$D$160,3,0)</f>
        <v>0.39130162327539963</v>
      </c>
      <c r="H348" s="162" t="s">
        <v>190</v>
      </c>
      <c r="I348" s="297">
        <f t="shared" si="39"/>
        <v>11382.485629714703</v>
      </c>
      <c r="J348" s="158">
        <f t="shared" si="41"/>
        <v>11382.485629714703</v>
      </c>
      <c r="K348" s="158">
        <f t="shared" si="41"/>
        <v>11382.485629714703</v>
      </c>
      <c r="L348" s="158">
        <f t="shared" si="41"/>
        <v>11382.485629714703</v>
      </c>
      <c r="M348" s="158">
        <f t="shared" si="41"/>
        <v>11382.485629714703</v>
      </c>
      <c r="N348" s="158">
        <f t="shared" si="41"/>
        <v>11382.485629714703</v>
      </c>
      <c r="P348" s="2"/>
    </row>
    <row r="349" spans="2:16" x14ac:dyDescent="0.25">
      <c r="B349" s="17">
        <v>6270000006</v>
      </c>
      <c r="C349" s="160" t="s">
        <v>177</v>
      </c>
      <c r="D349" s="160" t="s">
        <v>14</v>
      </c>
      <c r="E349" s="160" t="s">
        <v>35</v>
      </c>
      <c r="F349" s="154">
        <v>45282.536411218134</v>
      </c>
      <c r="G349" s="161">
        <f>+VLOOKUP(B349,'5.3 Var OPEX 2023-25'!$B$4:$D$160,3,0)</f>
        <v>0.39130162327539963</v>
      </c>
      <c r="H349" s="162" t="s">
        <v>190</v>
      </c>
      <c r="I349" s="297">
        <f t="shared" si="39"/>
        <v>61833.322598878469</v>
      </c>
      <c r="J349" s="158">
        <f t="shared" si="41"/>
        <v>61833.322598878469</v>
      </c>
      <c r="K349" s="158">
        <f t="shared" si="41"/>
        <v>61833.322598878469</v>
      </c>
      <c r="L349" s="158">
        <f t="shared" si="41"/>
        <v>61833.322598878469</v>
      </c>
      <c r="M349" s="158">
        <f t="shared" si="41"/>
        <v>61833.322598878469</v>
      </c>
      <c r="N349" s="158">
        <f t="shared" si="41"/>
        <v>61833.322598878469</v>
      </c>
      <c r="P349" s="2"/>
    </row>
    <row r="350" spans="2:16" x14ac:dyDescent="0.25">
      <c r="B350" s="17">
        <v>6270000007</v>
      </c>
      <c r="C350" s="160" t="s">
        <v>177</v>
      </c>
      <c r="D350" s="160" t="s">
        <v>14</v>
      </c>
      <c r="E350" s="160" t="s">
        <v>36</v>
      </c>
      <c r="F350" s="154">
        <v>0</v>
      </c>
      <c r="G350" s="161">
        <f>+VLOOKUP(B350,'5.3 Var OPEX 2023-25'!$B$4:$D$160,3,0)</f>
        <v>0.39130162327539963</v>
      </c>
      <c r="H350" s="162" t="s">
        <v>190</v>
      </c>
      <c r="I350" s="297">
        <f t="shared" si="39"/>
        <v>0</v>
      </c>
      <c r="J350" s="158">
        <f t="shared" si="41"/>
        <v>0</v>
      </c>
      <c r="K350" s="158">
        <f t="shared" si="41"/>
        <v>0</v>
      </c>
      <c r="L350" s="158">
        <f t="shared" si="41"/>
        <v>0</v>
      </c>
      <c r="M350" s="158">
        <f t="shared" si="41"/>
        <v>0</v>
      </c>
      <c r="N350" s="158">
        <f t="shared" si="41"/>
        <v>0</v>
      </c>
      <c r="P350" s="2"/>
    </row>
    <row r="351" spans="2:16" x14ac:dyDescent="0.25">
      <c r="B351" s="17">
        <v>6290000001</v>
      </c>
      <c r="C351" s="160" t="s">
        <v>177</v>
      </c>
      <c r="D351" s="160" t="s">
        <v>14</v>
      </c>
      <c r="E351" s="160" t="s">
        <v>37</v>
      </c>
      <c r="F351" s="154">
        <v>168314.1050426029</v>
      </c>
      <c r="G351" s="161">
        <f>+VLOOKUP(B351,'5.3 Var OPEX 2023-25'!$B$4:$D$160,3,0)</f>
        <v>0.39130162327539963</v>
      </c>
      <c r="H351" s="162" t="s">
        <v>190</v>
      </c>
      <c r="I351" s="297">
        <f t="shared" si="39"/>
        <v>229832.98153904834</v>
      </c>
      <c r="J351" s="158">
        <f t="shared" si="41"/>
        <v>229832.98153904834</v>
      </c>
      <c r="K351" s="158">
        <f t="shared" si="41"/>
        <v>229832.98153904834</v>
      </c>
      <c r="L351" s="158">
        <f t="shared" si="41"/>
        <v>229832.98153904834</v>
      </c>
      <c r="M351" s="158">
        <f t="shared" si="41"/>
        <v>229832.98153904834</v>
      </c>
      <c r="N351" s="158">
        <f t="shared" si="41"/>
        <v>229832.98153904834</v>
      </c>
      <c r="P351" s="2"/>
    </row>
    <row r="352" spans="2:16" x14ac:dyDescent="0.25">
      <c r="B352" s="17">
        <v>6310000001</v>
      </c>
      <c r="C352" s="160" t="s">
        <v>177</v>
      </c>
      <c r="D352" s="160" t="s">
        <v>38</v>
      </c>
      <c r="E352" s="160" t="s">
        <v>39</v>
      </c>
      <c r="F352" s="154">
        <v>51088.351135172481</v>
      </c>
      <c r="G352" s="161">
        <f>+VLOOKUP(B352,'5.3 Var OPEX 2023-25'!$B$4:$D$160,3,0)</f>
        <v>4.4009396000000096E-2</v>
      </c>
      <c r="H352" s="162" t="s">
        <v>190</v>
      </c>
      <c r="I352" s="297">
        <f t="shared" si="39"/>
        <v>52347.607863801371</v>
      </c>
      <c r="J352" s="158">
        <f t="shared" si="41"/>
        <v>52347.607863801371</v>
      </c>
      <c r="K352" s="158">
        <f t="shared" si="41"/>
        <v>52347.607863801371</v>
      </c>
      <c r="L352" s="158">
        <f t="shared" si="41"/>
        <v>52347.607863801371</v>
      </c>
      <c r="M352" s="158">
        <f t="shared" si="41"/>
        <v>52347.607863801371</v>
      </c>
      <c r="N352" s="158">
        <f t="shared" si="41"/>
        <v>52347.607863801371</v>
      </c>
      <c r="P352" s="2"/>
    </row>
    <row r="353" spans="2:16" x14ac:dyDescent="0.25">
      <c r="B353" s="17">
        <v>6311300001</v>
      </c>
      <c r="C353" s="160" t="s">
        <v>177</v>
      </c>
      <c r="D353" s="160" t="s">
        <v>40</v>
      </c>
      <c r="E353" s="160" t="s">
        <v>41</v>
      </c>
      <c r="F353" s="154">
        <v>621.40505629158508</v>
      </c>
      <c r="G353" s="161">
        <f>+VLOOKUP(B353,'5.3 Var OPEX 2023-25'!$B$4:$D$160,3,0)</f>
        <v>4.4009396000000096E-2</v>
      </c>
      <c r="H353" s="162" t="s">
        <v>190</v>
      </c>
      <c r="I353" s="297">
        <f t="shared" si="39"/>
        <v>636.72182578897571</v>
      </c>
      <c r="J353" s="158">
        <f t="shared" si="41"/>
        <v>636.72182578897571</v>
      </c>
      <c r="K353" s="158">
        <f t="shared" si="41"/>
        <v>636.72182578897571</v>
      </c>
      <c r="L353" s="158">
        <f t="shared" si="41"/>
        <v>636.72182578897571</v>
      </c>
      <c r="M353" s="158">
        <f t="shared" si="41"/>
        <v>636.72182578897571</v>
      </c>
      <c r="N353" s="158">
        <f t="shared" si="41"/>
        <v>636.72182578897571</v>
      </c>
      <c r="P353" s="2"/>
    </row>
    <row r="354" spans="2:16" x14ac:dyDescent="0.25">
      <c r="B354" s="17">
        <v>6311300002</v>
      </c>
      <c r="C354" s="160" t="s">
        <v>177</v>
      </c>
      <c r="D354" s="160" t="s">
        <v>40</v>
      </c>
      <c r="E354" s="160" t="s">
        <v>42</v>
      </c>
      <c r="F354" s="154">
        <v>340.39118639056699</v>
      </c>
      <c r="G354" s="161">
        <f>+VLOOKUP(B354,'5.3 Var OPEX 2023-25'!$B$4:$D$160,3,0)</f>
        <v>4.4009396000000096E-2</v>
      </c>
      <c r="H354" s="162" t="s">
        <v>190</v>
      </c>
      <c r="I354" s="297">
        <f t="shared" si="39"/>
        <v>348.78135523148671</v>
      </c>
      <c r="J354" s="158">
        <f t="shared" si="41"/>
        <v>348.78135523148671</v>
      </c>
      <c r="K354" s="158">
        <f t="shared" si="41"/>
        <v>348.78135523148671</v>
      </c>
      <c r="L354" s="158">
        <f t="shared" si="41"/>
        <v>348.78135523148671</v>
      </c>
      <c r="M354" s="158">
        <f t="shared" si="41"/>
        <v>348.78135523148671</v>
      </c>
      <c r="N354" s="158">
        <f t="shared" si="41"/>
        <v>348.78135523148671</v>
      </c>
      <c r="P354" s="2"/>
    </row>
    <row r="355" spans="2:16" x14ac:dyDescent="0.25">
      <c r="B355" s="17">
        <v>6320000001</v>
      </c>
      <c r="C355" s="160" t="s">
        <v>177</v>
      </c>
      <c r="D355" s="160" t="s">
        <v>40</v>
      </c>
      <c r="E355" s="160" t="s">
        <v>43</v>
      </c>
      <c r="F355" s="154">
        <v>1006824.1716510508</v>
      </c>
      <c r="G355" s="161">
        <f>+VLOOKUP(B355,'5.3 Var OPEX 2023-25'!$B$4:$D$160,3,0)</f>
        <v>0.34886581637258263</v>
      </c>
      <c r="H355" s="162" t="s">
        <v>190</v>
      </c>
      <c r="I355" s="297">
        <f t="shared" si="39"/>
        <v>1332885.7630759149</v>
      </c>
      <c r="J355" s="158">
        <f t="shared" ref="J355:N364" si="42">+IF(OR($C355="No Imputables",$H355="m2 fijo"),I355,I355*(1+J$6*J$7))</f>
        <v>1332885.7630759149</v>
      </c>
      <c r="K355" s="158">
        <f t="shared" si="42"/>
        <v>1332885.7630759149</v>
      </c>
      <c r="L355" s="158">
        <f t="shared" si="42"/>
        <v>1332885.7630759149</v>
      </c>
      <c r="M355" s="158">
        <f t="shared" si="42"/>
        <v>1332885.7630759149</v>
      </c>
      <c r="N355" s="158">
        <f t="shared" si="42"/>
        <v>1332885.7630759149</v>
      </c>
      <c r="P355" s="2"/>
    </row>
    <row r="356" spans="2:16" x14ac:dyDescent="0.25">
      <c r="B356" s="17">
        <v>6320000002</v>
      </c>
      <c r="C356" s="160" t="s">
        <v>177</v>
      </c>
      <c r="D356" s="160" t="s">
        <v>40</v>
      </c>
      <c r="E356" s="160" t="s">
        <v>44</v>
      </c>
      <c r="F356" s="154">
        <v>38382.583617795637</v>
      </c>
      <c r="G356" s="161">
        <f>+VLOOKUP(B356,'5.3 Var OPEX 2023-25'!$B$4:$D$160,3,0)</f>
        <v>4.4009396000000096E-2</v>
      </c>
      <c r="H356" s="162" t="s">
        <v>190</v>
      </c>
      <c r="I356" s="297">
        <f t="shared" si="39"/>
        <v>39328.660866501246</v>
      </c>
      <c r="J356" s="158">
        <f t="shared" si="42"/>
        <v>39328.660866501246</v>
      </c>
      <c r="K356" s="158">
        <f t="shared" si="42"/>
        <v>39328.660866501246</v>
      </c>
      <c r="L356" s="158">
        <f t="shared" si="42"/>
        <v>39328.660866501246</v>
      </c>
      <c r="M356" s="158">
        <f t="shared" si="42"/>
        <v>39328.660866501246</v>
      </c>
      <c r="N356" s="158">
        <f t="shared" si="42"/>
        <v>39328.660866501246</v>
      </c>
      <c r="P356" s="2"/>
    </row>
    <row r="357" spans="2:16" x14ac:dyDescent="0.25">
      <c r="B357" s="17">
        <v>6320000003</v>
      </c>
      <c r="C357" s="160" t="s">
        <v>177</v>
      </c>
      <c r="D357" s="160" t="s">
        <v>40</v>
      </c>
      <c r="E357" s="160" t="s">
        <v>45</v>
      </c>
      <c r="F357" s="154">
        <v>0</v>
      </c>
      <c r="G357" s="161">
        <f>+VLOOKUP(B357,'5.3 Var OPEX 2023-25'!$B$4:$D$160,3,0)</f>
        <v>4.4009396000000096E-2</v>
      </c>
      <c r="H357" s="162" t="s">
        <v>190</v>
      </c>
      <c r="I357" s="297">
        <f t="shared" si="39"/>
        <v>0</v>
      </c>
      <c r="J357" s="158">
        <f t="shared" si="42"/>
        <v>0</v>
      </c>
      <c r="K357" s="158">
        <f t="shared" si="42"/>
        <v>0</v>
      </c>
      <c r="L357" s="158">
        <f t="shared" si="42"/>
        <v>0</v>
      </c>
      <c r="M357" s="158">
        <f t="shared" si="42"/>
        <v>0</v>
      </c>
      <c r="N357" s="158">
        <f t="shared" si="42"/>
        <v>0</v>
      </c>
      <c r="P357" s="2"/>
    </row>
    <row r="358" spans="2:16" x14ac:dyDescent="0.25">
      <c r="B358" s="17">
        <v>6320000004</v>
      </c>
      <c r="C358" s="160" t="s">
        <v>177</v>
      </c>
      <c r="D358" s="160" t="s">
        <v>40</v>
      </c>
      <c r="E358" s="160" t="s">
        <v>46</v>
      </c>
      <c r="F358" s="154">
        <v>741360.865192889</v>
      </c>
      <c r="G358" s="161">
        <f>+VLOOKUP(B358,'5.3 Var OPEX 2023-25'!$B$4:$D$160,3,0)</f>
        <v>4.4009396000000096E-2</v>
      </c>
      <c r="H358" s="162" t="s">
        <v>190</v>
      </c>
      <c r="I358" s="297">
        <f t="shared" si="39"/>
        <v>759634.37837334385</v>
      </c>
      <c r="J358" s="158">
        <f t="shared" si="42"/>
        <v>759634.37837334385</v>
      </c>
      <c r="K358" s="158">
        <f t="shared" si="42"/>
        <v>759634.37837334385</v>
      </c>
      <c r="L358" s="158">
        <f t="shared" si="42"/>
        <v>759634.37837334385</v>
      </c>
      <c r="M358" s="158">
        <f t="shared" si="42"/>
        <v>759634.37837334385</v>
      </c>
      <c r="N358" s="158">
        <f t="shared" si="42"/>
        <v>759634.37837334385</v>
      </c>
      <c r="P358" s="2"/>
    </row>
    <row r="359" spans="2:16" x14ac:dyDescent="0.25">
      <c r="B359" s="17">
        <v>6320000005</v>
      </c>
      <c r="C359" s="160" t="s">
        <v>177</v>
      </c>
      <c r="D359" s="160" t="s">
        <v>40</v>
      </c>
      <c r="E359" s="160" t="s">
        <v>47</v>
      </c>
      <c r="F359" s="154">
        <v>0</v>
      </c>
      <c r="G359" s="161">
        <f>+VLOOKUP(B359,'5.3 Var OPEX 2023-25'!$B$4:$D$160,3,0)</f>
        <v>4.4009396000000096E-2</v>
      </c>
      <c r="H359" s="162" t="s">
        <v>190</v>
      </c>
      <c r="I359" s="297">
        <f t="shared" si="39"/>
        <v>0</v>
      </c>
      <c r="J359" s="158">
        <f t="shared" si="42"/>
        <v>0</v>
      </c>
      <c r="K359" s="158">
        <f t="shared" si="42"/>
        <v>0</v>
      </c>
      <c r="L359" s="158">
        <f t="shared" si="42"/>
        <v>0</v>
      </c>
      <c r="M359" s="158">
        <f t="shared" si="42"/>
        <v>0</v>
      </c>
      <c r="N359" s="158">
        <f t="shared" si="42"/>
        <v>0</v>
      </c>
      <c r="P359" s="2"/>
    </row>
    <row r="360" spans="2:16" x14ac:dyDescent="0.25">
      <c r="B360" s="17">
        <v>6320000006</v>
      </c>
      <c r="C360" s="160" t="s">
        <v>177</v>
      </c>
      <c r="D360" s="160" t="s">
        <v>40</v>
      </c>
      <c r="E360" s="160" t="s">
        <v>48</v>
      </c>
      <c r="F360" s="154">
        <v>0</v>
      </c>
      <c r="G360" s="161">
        <f>+VLOOKUP(B360,'5.3 Var OPEX 2023-25'!$B$4:$D$160,3,0)</f>
        <v>4.4009396000000096E-2</v>
      </c>
      <c r="H360" s="162" t="s">
        <v>190</v>
      </c>
      <c r="I360" s="297">
        <f t="shared" si="39"/>
        <v>0</v>
      </c>
      <c r="J360" s="158">
        <f t="shared" si="42"/>
        <v>0</v>
      </c>
      <c r="K360" s="158">
        <f t="shared" si="42"/>
        <v>0</v>
      </c>
      <c r="L360" s="158">
        <f t="shared" si="42"/>
        <v>0</v>
      </c>
      <c r="M360" s="158">
        <f t="shared" si="42"/>
        <v>0</v>
      </c>
      <c r="N360" s="158">
        <f t="shared" si="42"/>
        <v>0</v>
      </c>
      <c r="P360" s="2"/>
    </row>
    <row r="361" spans="2:16" x14ac:dyDescent="0.25">
      <c r="B361" s="17">
        <v>6320000007</v>
      </c>
      <c r="C361" s="160" t="s">
        <v>177</v>
      </c>
      <c r="D361" s="160" t="s">
        <v>49</v>
      </c>
      <c r="E361" s="160" t="s">
        <v>50</v>
      </c>
      <c r="F361" s="154">
        <v>0</v>
      </c>
      <c r="G361" s="161">
        <f>+VLOOKUP(B361,'5.3 Var OPEX 2023-25'!$B$4:$D$160,3,0)</f>
        <v>1.0054865169395515</v>
      </c>
      <c r="H361" s="162" t="s">
        <v>190</v>
      </c>
      <c r="I361" s="297">
        <f t="shared" si="39"/>
        <v>0</v>
      </c>
      <c r="J361" s="158">
        <f t="shared" si="42"/>
        <v>0</v>
      </c>
      <c r="K361" s="158">
        <f t="shared" si="42"/>
        <v>0</v>
      </c>
      <c r="L361" s="158">
        <f t="shared" si="42"/>
        <v>0</v>
      </c>
      <c r="M361" s="158">
        <f t="shared" si="42"/>
        <v>0</v>
      </c>
      <c r="N361" s="158">
        <f t="shared" si="42"/>
        <v>0</v>
      </c>
      <c r="P361" s="2"/>
    </row>
    <row r="362" spans="2:16" x14ac:dyDescent="0.25">
      <c r="B362" s="17">
        <v>6329000003</v>
      </c>
      <c r="C362" s="160" t="s">
        <v>177</v>
      </c>
      <c r="D362" s="160" t="s">
        <v>40</v>
      </c>
      <c r="E362" s="160" t="s">
        <v>51</v>
      </c>
      <c r="F362" s="154">
        <v>0</v>
      </c>
      <c r="G362" s="161">
        <f>+VLOOKUP(B362,'5.3 Var OPEX 2023-25'!$B$4:$D$160,3,0)</f>
        <v>4.4009396000000096E-2</v>
      </c>
      <c r="H362" s="162" t="s">
        <v>190</v>
      </c>
      <c r="I362" s="297">
        <f t="shared" si="39"/>
        <v>0</v>
      </c>
      <c r="J362" s="158">
        <f t="shared" si="42"/>
        <v>0</v>
      </c>
      <c r="K362" s="158">
        <f t="shared" si="42"/>
        <v>0</v>
      </c>
      <c r="L362" s="158">
        <f t="shared" si="42"/>
        <v>0</v>
      </c>
      <c r="M362" s="158">
        <f t="shared" si="42"/>
        <v>0</v>
      </c>
      <c r="N362" s="158">
        <f t="shared" si="42"/>
        <v>0</v>
      </c>
      <c r="P362" s="2"/>
    </row>
    <row r="363" spans="2:16" x14ac:dyDescent="0.25">
      <c r="B363" s="17">
        <v>6341100001</v>
      </c>
      <c r="C363" s="160" t="s">
        <v>177</v>
      </c>
      <c r="D363" s="160" t="s">
        <v>52</v>
      </c>
      <c r="E363" s="160" t="s">
        <v>53</v>
      </c>
      <c r="F363" s="154">
        <v>12410.360392159238</v>
      </c>
      <c r="G363" s="161">
        <f>+VLOOKUP(B363,'5.3 Var OPEX 2023-25'!$B$4:$D$160,3,0)</f>
        <v>4.4009396000000096E-2</v>
      </c>
      <c r="H363" s="162" t="s">
        <v>190</v>
      </c>
      <c r="I363" s="297">
        <f t="shared" si="39"/>
        <v>12716.258497721248</v>
      </c>
      <c r="J363" s="158">
        <f t="shared" si="42"/>
        <v>12716.258497721248</v>
      </c>
      <c r="K363" s="158">
        <f t="shared" si="42"/>
        <v>12716.258497721248</v>
      </c>
      <c r="L363" s="158">
        <f t="shared" si="42"/>
        <v>12716.258497721248</v>
      </c>
      <c r="M363" s="158">
        <f t="shared" si="42"/>
        <v>12716.258497721248</v>
      </c>
      <c r="N363" s="158">
        <f t="shared" si="42"/>
        <v>12716.258497721248</v>
      </c>
      <c r="P363" s="2"/>
    </row>
    <row r="364" spans="2:16" x14ac:dyDescent="0.25">
      <c r="B364" s="17">
        <v>6341100002</v>
      </c>
      <c r="C364" s="160" t="s">
        <v>177</v>
      </c>
      <c r="D364" s="160" t="s">
        <v>52</v>
      </c>
      <c r="E364" s="160" t="s">
        <v>54</v>
      </c>
      <c r="F364" s="154">
        <v>28325.511408721562</v>
      </c>
      <c r="G364" s="161">
        <f>+VLOOKUP(B364,'5.3 Var OPEX 2023-25'!$B$4:$D$160,3,0)</f>
        <v>4.4009396000000096E-2</v>
      </c>
      <c r="H364" s="162" t="s">
        <v>190</v>
      </c>
      <c r="I364" s="297">
        <f t="shared" si="39"/>
        <v>29023.695829254371</v>
      </c>
      <c r="J364" s="158">
        <f t="shared" si="42"/>
        <v>29023.695829254371</v>
      </c>
      <c r="K364" s="158">
        <f t="shared" si="42"/>
        <v>29023.695829254371</v>
      </c>
      <c r="L364" s="158">
        <f t="shared" si="42"/>
        <v>29023.695829254371</v>
      </c>
      <c r="M364" s="158">
        <f t="shared" si="42"/>
        <v>29023.695829254371</v>
      </c>
      <c r="N364" s="158">
        <f t="shared" si="42"/>
        <v>29023.695829254371</v>
      </c>
      <c r="P364" s="2"/>
    </row>
    <row r="365" spans="2:16" x14ac:dyDescent="0.25">
      <c r="B365" s="17">
        <v>6341100003</v>
      </c>
      <c r="C365" s="160" t="s">
        <v>177</v>
      </c>
      <c r="D365" s="160" t="s">
        <v>52</v>
      </c>
      <c r="E365" s="160" t="s">
        <v>55</v>
      </c>
      <c r="F365" s="154">
        <v>7895.0899524671522</v>
      </c>
      <c r="G365" s="161">
        <f>+VLOOKUP(B365,'5.3 Var OPEX 2023-25'!$B$4:$D$160,3,0)</f>
        <v>0.13114375863339878</v>
      </c>
      <c r="H365" s="162" t="s">
        <v>190</v>
      </c>
      <c r="I365" s="297">
        <f t="shared" si="39"/>
        <v>8764.8690709327529</v>
      </c>
      <c r="J365" s="158">
        <f t="shared" ref="J365:N374" si="43">+IF(OR($C365="No Imputables",$H365="m2 fijo"),I365,I365*(1+J$6*J$7))</f>
        <v>8764.8690709327529</v>
      </c>
      <c r="K365" s="158">
        <f t="shared" si="43"/>
        <v>8764.8690709327529</v>
      </c>
      <c r="L365" s="158">
        <f t="shared" si="43"/>
        <v>8764.8690709327529</v>
      </c>
      <c r="M365" s="158">
        <f t="shared" si="43"/>
        <v>8764.8690709327529</v>
      </c>
      <c r="N365" s="158">
        <f t="shared" si="43"/>
        <v>8764.8690709327529</v>
      </c>
      <c r="P365" s="2"/>
    </row>
    <row r="366" spans="2:16" x14ac:dyDescent="0.25">
      <c r="B366" s="17">
        <v>6341100004</v>
      </c>
      <c r="C366" s="160" t="s">
        <v>177</v>
      </c>
      <c r="D366" s="160" t="s">
        <v>52</v>
      </c>
      <c r="E366" s="160" t="s">
        <v>56</v>
      </c>
      <c r="F366" s="154">
        <v>7914.4546822554139</v>
      </c>
      <c r="G366" s="161">
        <f>+VLOOKUP(B366,'5.3 Var OPEX 2023-25'!$B$4:$D$160,3,0)</f>
        <v>4.4009396000000096E-2</v>
      </c>
      <c r="H366" s="162" t="s">
        <v>190</v>
      </c>
      <c r="I366" s="297">
        <f t="shared" si="39"/>
        <v>8109.5349714134863</v>
      </c>
      <c r="J366" s="158">
        <f t="shared" si="43"/>
        <v>8109.5349714134863</v>
      </c>
      <c r="K366" s="158">
        <f t="shared" si="43"/>
        <v>8109.5349714134863</v>
      </c>
      <c r="L366" s="158">
        <f t="shared" si="43"/>
        <v>8109.5349714134863</v>
      </c>
      <c r="M366" s="158">
        <f t="shared" si="43"/>
        <v>8109.5349714134863</v>
      </c>
      <c r="N366" s="158">
        <f t="shared" si="43"/>
        <v>8109.5349714134863</v>
      </c>
      <c r="P366" s="2"/>
    </row>
    <row r="367" spans="2:16" x14ac:dyDescent="0.25">
      <c r="B367" s="17">
        <v>6341100005</v>
      </c>
      <c r="C367" s="160" t="s">
        <v>177</v>
      </c>
      <c r="D367" s="160" t="s">
        <v>52</v>
      </c>
      <c r="E367" s="160" t="s">
        <v>57</v>
      </c>
      <c r="F367" s="154">
        <v>0</v>
      </c>
      <c r="G367" s="161">
        <f>+VLOOKUP(B367,'5.3 Var OPEX 2023-25'!$B$4:$D$160,3,0)</f>
        <v>4.4009396000000096E-2</v>
      </c>
      <c r="H367" s="162" t="s">
        <v>190</v>
      </c>
      <c r="I367" s="297">
        <f t="shared" si="39"/>
        <v>0</v>
      </c>
      <c r="J367" s="158">
        <f t="shared" si="43"/>
        <v>0</v>
      </c>
      <c r="K367" s="158">
        <f t="shared" si="43"/>
        <v>0</v>
      </c>
      <c r="L367" s="158">
        <f t="shared" si="43"/>
        <v>0</v>
      </c>
      <c r="M367" s="158">
        <f t="shared" si="43"/>
        <v>0</v>
      </c>
      <c r="N367" s="158">
        <f t="shared" si="43"/>
        <v>0</v>
      </c>
      <c r="P367" s="2"/>
    </row>
    <row r="368" spans="2:16" x14ac:dyDescent="0.25">
      <c r="B368" s="17">
        <v>6341100007</v>
      </c>
      <c r="C368" s="160" t="s">
        <v>177</v>
      </c>
      <c r="D368" s="160" t="s">
        <v>52</v>
      </c>
      <c r="E368" s="160" t="s">
        <v>58</v>
      </c>
      <c r="F368" s="154">
        <v>0</v>
      </c>
      <c r="G368" s="161">
        <f>+VLOOKUP(B368,'5.3 Var OPEX 2023-25'!$B$4:$D$160,3,0)</f>
        <v>4.4009396000000096E-2</v>
      </c>
      <c r="H368" s="162" t="s">
        <v>190</v>
      </c>
      <c r="I368" s="297">
        <f t="shared" si="39"/>
        <v>0</v>
      </c>
      <c r="J368" s="158">
        <f t="shared" si="43"/>
        <v>0</v>
      </c>
      <c r="K368" s="158">
        <f t="shared" si="43"/>
        <v>0</v>
      </c>
      <c r="L368" s="158">
        <f t="shared" si="43"/>
        <v>0</v>
      </c>
      <c r="M368" s="158">
        <f t="shared" si="43"/>
        <v>0</v>
      </c>
      <c r="N368" s="158">
        <f t="shared" si="43"/>
        <v>0</v>
      </c>
      <c r="P368" s="2"/>
    </row>
    <row r="369" spans="2:16" x14ac:dyDescent="0.25">
      <c r="B369" s="17">
        <v>6341100008</v>
      </c>
      <c r="C369" s="160" t="s">
        <v>177</v>
      </c>
      <c r="D369" s="160" t="s">
        <v>52</v>
      </c>
      <c r="E369" s="160" t="s">
        <v>59</v>
      </c>
      <c r="F369" s="154">
        <v>0</v>
      </c>
      <c r="G369" s="161">
        <f>+VLOOKUP(B369,'5.3 Var OPEX 2023-25'!$B$4:$D$160,3,0)</f>
        <v>4.4009396000000096E-2</v>
      </c>
      <c r="H369" s="162" t="s">
        <v>190</v>
      </c>
      <c r="I369" s="297">
        <f t="shared" si="39"/>
        <v>0</v>
      </c>
      <c r="J369" s="158">
        <f t="shared" si="43"/>
        <v>0</v>
      </c>
      <c r="K369" s="158">
        <f t="shared" si="43"/>
        <v>0</v>
      </c>
      <c r="L369" s="158">
        <f t="shared" si="43"/>
        <v>0</v>
      </c>
      <c r="M369" s="158">
        <f t="shared" si="43"/>
        <v>0</v>
      </c>
      <c r="N369" s="158">
        <f t="shared" si="43"/>
        <v>0</v>
      </c>
      <c r="P369" s="2"/>
    </row>
    <row r="370" spans="2:16" x14ac:dyDescent="0.25">
      <c r="B370" s="17">
        <v>6341100009</v>
      </c>
      <c r="C370" s="160" t="s">
        <v>177</v>
      </c>
      <c r="D370" s="160" t="s">
        <v>52</v>
      </c>
      <c r="E370" s="160" t="s">
        <v>60</v>
      </c>
      <c r="F370" s="154">
        <v>0</v>
      </c>
      <c r="G370" s="161">
        <f>+VLOOKUP(B370,'5.3 Var OPEX 2023-25'!$B$4:$D$160,3,0)</f>
        <v>4.4009396000000096E-2</v>
      </c>
      <c r="H370" s="162" t="s">
        <v>190</v>
      </c>
      <c r="I370" s="297">
        <f t="shared" si="39"/>
        <v>0</v>
      </c>
      <c r="J370" s="158">
        <f t="shared" si="43"/>
        <v>0</v>
      </c>
      <c r="K370" s="158">
        <f t="shared" si="43"/>
        <v>0</v>
      </c>
      <c r="L370" s="158">
        <f t="shared" si="43"/>
        <v>0</v>
      </c>
      <c r="M370" s="158">
        <f t="shared" si="43"/>
        <v>0</v>
      </c>
      <c r="N370" s="158">
        <f t="shared" si="43"/>
        <v>0</v>
      </c>
      <c r="P370" s="2"/>
    </row>
    <row r="371" spans="2:16" x14ac:dyDescent="0.25">
      <c r="B371" s="17">
        <v>6341100010</v>
      </c>
      <c r="C371" s="160" t="s">
        <v>177</v>
      </c>
      <c r="D371" s="160" t="s">
        <v>52</v>
      </c>
      <c r="E371" s="160" t="s">
        <v>61</v>
      </c>
      <c r="F371" s="154">
        <v>27507.675289343802</v>
      </c>
      <c r="G371" s="161">
        <f>+VLOOKUP(B371,'5.3 Var OPEX 2023-25'!$B$4:$D$160,3,0)</f>
        <v>4.4009396000000096E-2</v>
      </c>
      <c r="H371" s="162" t="s">
        <v>190</v>
      </c>
      <c r="I371" s="297">
        <f t="shared" si="39"/>
        <v>28185.701188151819</v>
      </c>
      <c r="J371" s="158">
        <f t="shared" si="43"/>
        <v>28185.701188151819</v>
      </c>
      <c r="K371" s="158">
        <f t="shared" si="43"/>
        <v>28185.701188151819</v>
      </c>
      <c r="L371" s="158">
        <f t="shared" si="43"/>
        <v>28185.701188151819</v>
      </c>
      <c r="M371" s="158">
        <f t="shared" si="43"/>
        <v>28185.701188151819</v>
      </c>
      <c r="N371" s="158">
        <f t="shared" si="43"/>
        <v>28185.701188151819</v>
      </c>
      <c r="P371" s="2"/>
    </row>
    <row r="372" spans="2:16" x14ac:dyDescent="0.25">
      <c r="B372" s="17">
        <v>6342000001</v>
      </c>
      <c r="C372" s="160" t="s">
        <v>177</v>
      </c>
      <c r="D372" s="160" t="s">
        <v>52</v>
      </c>
      <c r="E372" s="160" t="s">
        <v>62</v>
      </c>
      <c r="F372" s="154">
        <v>866.84096705057402</v>
      </c>
      <c r="G372" s="161">
        <f>+VLOOKUP(B372,'5.3 Var OPEX 2023-25'!$B$4:$D$160,3,0)</f>
        <v>4.4009396000000096E-2</v>
      </c>
      <c r="H372" s="162" t="s">
        <v>190</v>
      </c>
      <c r="I372" s="297">
        <f t="shared" si="39"/>
        <v>888.20739004436882</v>
      </c>
      <c r="J372" s="158">
        <f t="shared" si="43"/>
        <v>888.20739004436882</v>
      </c>
      <c r="K372" s="158">
        <f t="shared" si="43"/>
        <v>888.20739004436882</v>
      </c>
      <c r="L372" s="158">
        <f t="shared" si="43"/>
        <v>888.20739004436882</v>
      </c>
      <c r="M372" s="158">
        <f t="shared" si="43"/>
        <v>888.20739004436882</v>
      </c>
      <c r="N372" s="158">
        <f t="shared" si="43"/>
        <v>888.20739004436882</v>
      </c>
      <c r="P372" s="2"/>
    </row>
    <row r="373" spans="2:16" x14ac:dyDescent="0.25">
      <c r="B373" s="17">
        <v>6342000002</v>
      </c>
      <c r="C373" s="160" t="s">
        <v>177</v>
      </c>
      <c r="D373" s="160" t="s">
        <v>52</v>
      </c>
      <c r="E373" s="160" t="s">
        <v>63</v>
      </c>
      <c r="F373" s="154">
        <v>6118.6477106439961</v>
      </c>
      <c r="G373" s="161">
        <f>+VLOOKUP(B373,'5.3 Var OPEX 2023-25'!$B$4:$D$160,3,0)</f>
        <v>4.4009396000000096E-2</v>
      </c>
      <c r="H373" s="162" t="s">
        <v>190</v>
      </c>
      <c r="I373" s="297">
        <f t="shared" si="39"/>
        <v>6269.4638581323343</v>
      </c>
      <c r="J373" s="158">
        <f t="shared" si="43"/>
        <v>6269.4638581323343</v>
      </c>
      <c r="K373" s="158">
        <f t="shared" si="43"/>
        <v>6269.4638581323343</v>
      </c>
      <c r="L373" s="158">
        <f t="shared" si="43"/>
        <v>6269.4638581323343</v>
      </c>
      <c r="M373" s="158">
        <f t="shared" si="43"/>
        <v>6269.4638581323343</v>
      </c>
      <c r="N373" s="158">
        <f t="shared" si="43"/>
        <v>6269.4638581323343</v>
      </c>
      <c r="P373" s="2"/>
    </row>
    <row r="374" spans="2:16" x14ac:dyDescent="0.25">
      <c r="B374" s="17">
        <v>6343000001</v>
      </c>
      <c r="C374" s="160" t="s">
        <v>177</v>
      </c>
      <c r="D374" s="160" t="s">
        <v>52</v>
      </c>
      <c r="E374" s="160" t="s">
        <v>64</v>
      </c>
      <c r="F374" s="154">
        <v>75526.48556496817</v>
      </c>
      <c r="G374" s="161">
        <f>+VLOOKUP(B374,'5.3 Var OPEX 2023-25'!$B$4:$D$160,3,0)</f>
        <v>1.922702215525852</v>
      </c>
      <c r="H374" s="162" t="s">
        <v>190</v>
      </c>
      <c r="I374" s="297">
        <f t="shared" si="39"/>
        <v>216647.85432277434</v>
      </c>
      <c r="J374" s="158">
        <f t="shared" si="43"/>
        <v>216647.85432277434</v>
      </c>
      <c r="K374" s="158">
        <f t="shared" si="43"/>
        <v>216647.85432277434</v>
      </c>
      <c r="L374" s="158">
        <f t="shared" si="43"/>
        <v>216647.85432277434</v>
      </c>
      <c r="M374" s="158">
        <f t="shared" si="43"/>
        <v>216647.85432277434</v>
      </c>
      <c r="N374" s="158">
        <f t="shared" si="43"/>
        <v>216647.85432277434</v>
      </c>
      <c r="P374" s="2"/>
    </row>
    <row r="375" spans="2:16" x14ac:dyDescent="0.25">
      <c r="B375" s="17">
        <v>6343000002</v>
      </c>
      <c r="C375" s="160" t="s">
        <v>177</v>
      </c>
      <c r="D375" s="160" t="s">
        <v>52</v>
      </c>
      <c r="E375" s="160" t="s">
        <v>65</v>
      </c>
      <c r="F375" s="154">
        <v>51249.045004517895</v>
      </c>
      <c r="G375" s="161">
        <f>+VLOOKUP(B375,'5.3 Var OPEX 2023-25'!$B$4:$D$160,3,0)</f>
        <v>4.4009396000000096E-2</v>
      </c>
      <c r="H375" s="162" t="s">
        <v>190</v>
      </c>
      <c r="I375" s="297">
        <f t="shared" si="39"/>
        <v>52512.262613302955</v>
      </c>
      <c r="J375" s="158">
        <f t="shared" ref="J375:N384" si="44">+IF(OR($C375="No Imputables",$H375="m2 fijo"),I375,I375*(1+J$6*J$7))</f>
        <v>52512.262613302955</v>
      </c>
      <c r="K375" s="158">
        <f t="shared" si="44"/>
        <v>52512.262613302955</v>
      </c>
      <c r="L375" s="158">
        <f t="shared" si="44"/>
        <v>52512.262613302955</v>
      </c>
      <c r="M375" s="158">
        <f t="shared" si="44"/>
        <v>52512.262613302955</v>
      </c>
      <c r="N375" s="158">
        <f t="shared" si="44"/>
        <v>52512.262613302955</v>
      </c>
      <c r="P375" s="2"/>
    </row>
    <row r="376" spans="2:16" x14ac:dyDescent="0.25">
      <c r="B376" s="17">
        <v>6343100001</v>
      </c>
      <c r="C376" s="160" t="s">
        <v>177</v>
      </c>
      <c r="D376" s="160" t="s">
        <v>52</v>
      </c>
      <c r="E376" s="160" t="s">
        <v>66</v>
      </c>
      <c r="F376" s="154">
        <v>1206.5021666296852</v>
      </c>
      <c r="G376" s="161">
        <f>+VLOOKUP(B376,'5.3 Var OPEX 2023-25'!$B$4:$D$160,3,0)</f>
        <v>4.4009396000000096E-2</v>
      </c>
      <c r="H376" s="162" t="s">
        <v>190</v>
      </c>
      <c r="I376" s="297">
        <f t="shared" si="39"/>
        <v>1236.2407653058087</v>
      </c>
      <c r="J376" s="158">
        <f t="shared" si="44"/>
        <v>1236.2407653058087</v>
      </c>
      <c r="K376" s="158">
        <f t="shared" si="44"/>
        <v>1236.2407653058087</v>
      </c>
      <c r="L376" s="158">
        <f t="shared" si="44"/>
        <v>1236.2407653058087</v>
      </c>
      <c r="M376" s="158">
        <f t="shared" si="44"/>
        <v>1236.2407653058087</v>
      </c>
      <c r="N376" s="158">
        <f t="shared" si="44"/>
        <v>1236.2407653058087</v>
      </c>
      <c r="P376" s="2"/>
    </row>
    <row r="377" spans="2:16" x14ac:dyDescent="0.25">
      <c r="B377" s="17">
        <v>6343100002</v>
      </c>
      <c r="C377" s="160" t="s">
        <v>177</v>
      </c>
      <c r="D377" s="160" t="s">
        <v>52</v>
      </c>
      <c r="E377" s="160" t="s">
        <v>67</v>
      </c>
      <c r="F377" s="154">
        <v>2033.281669786958</v>
      </c>
      <c r="G377" s="161">
        <f>+VLOOKUP(B377,'5.3 Var OPEX 2023-25'!$B$4:$D$160,3,0)</f>
        <v>4.4009396000000096E-2</v>
      </c>
      <c r="H377" s="162" t="s">
        <v>190</v>
      </c>
      <c r="I377" s="297">
        <f t="shared" si="39"/>
        <v>2083.3992321467704</v>
      </c>
      <c r="J377" s="158">
        <f t="shared" si="44"/>
        <v>2083.3992321467704</v>
      </c>
      <c r="K377" s="158">
        <f t="shared" si="44"/>
        <v>2083.3992321467704</v>
      </c>
      <c r="L377" s="158">
        <f t="shared" si="44"/>
        <v>2083.3992321467704</v>
      </c>
      <c r="M377" s="158">
        <f t="shared" si="44"/>
        <v>2083.3992321467704</v>
      </c>
      <c r="N377" s="158">
        <f t="shared" si="44"/>
        <v>2083.3992321467704</v>
      </c>
      <c r="P377" s="2"/>
    </row>
    <row r="378" spans="2:16" x14ac:dyDescent="0.25">
      <c r="B378" s="17">
        <v>6343100003</v>
      </c>
      <c r="C378" s="160" t="s">
        <v>177</v>
      </c>
      <c r="D378" s="160" t="s">
        <v>52</v>
      </c>
      <c r="E378" s="160" t="s">
        <v>68</v>
      </c>
      <c r="F378" s="154">
        <v>0</v>
      </c>
      <c r="G378" s="161">
        <f>+VLOOKUP(B378,'5.3 Var OPEX 2023-25'!$B$4:$D$160,3,0)</f>
        <v>4.4009396000000096E-2</v>
      </c>
      <c r="H378" s="162" t="s">
        <v>190</v>
      </c>
      <c r="I378" s="297">
        <f t="shared" si="39"/>
        <v>0</v>
      </c>
      <c r="J378" s="158">
        <f t="shared" si="44"/>
        <v>0</v>
      </c>
      <c r="K378" s="158">
        <f t="shared" si="44"/>
        <v>0</v>
      </c>
      <c r="L378" s="158">
        <f t="shared" si="44"/>
        <v>0</v>
      </c>
      <c r="M378" s="158">
        <f t="shared" si="44"/>
        <v>0</v>
      </c>
      <c r="N378" s="158">
        <f t="shared" si="44"/>
        <v>0</v>
      </c>
      <c r="P378" s="2"/>
    </row>
    <row r="379" spans="2:16" x14ac:dyDescent="0.25">
      <c r="B379" s="17">
        <v>6343100004</v>
      </c>
      <c r="C379" s="160" t="s">
        <v>177</v>
      </c>
      <c r="D379" s="160" t="s">
        <v>52</v>
      </c>
      <c r="E379" s="160" t="s">
        <v>69</v>
      </c>
      <c r="F379" s="154">
        <v>0</v>
      </c>
      <c r="G379" s="161">
        <f>+VLOOKUP(B379,'5.3 Var OPEX 2023-25'!$B$4:$D$160,3,0)</f>
        <v>4.4009396000000096E-2</v>
      </c>
      <c r="H379" s="162" t="s">
        <v>190</v>
      </c>
      <c r="I379" s="297">
        <f t="shared" si="39"/>
        <v>0</v>
      </c>
      <c r="J379" s="158">
        <f t="shared" si="44"/>
        <v>0</v>
      </c>
      <c r="K379" s="158">
        <f t="shared" si="44"/>
        <v>0</v>
      </c>
      <c r="L379" s="158">
        <f t="shared" si="44"/>
        <v>0</v>
      </c>
      <c r="M379" s="158">
        <f t="shared" si="44"/>
        <v>0</v>
      </c>
      <c r="N379" s="158">
        <f t="shared" si="44"/>
        <v>0</v>
      </c>
      <c r="P379" s="2"/>
    </row>
    <row r="380" spans="2:16" x14ac:dyDescent="0.25">
      <c r="B380" s="17">
        <v>6343100005</v>
      </c>
      <c r="C380" s="160" t="s">
        <v>177</v>
      </c>
      <c r="D380" s="160" t="s">
        <v>52</v>
      </c>
      <c r="E380" s="160" t="s">
        <v>70</v>
      </c>
      <c r="F380" s="154">
        <v>0</v>
      </c>
      <c r="G380" s="161">
        <f>+VLOOKUP(B380,'5.3 Var OPEX 2023-25'!$B$4:$D$160,3,0)</f>
        <v>4.4009396000000096E-2</v>
      </c>
      <c r="H380" s="162" t="s">
        <v>190</v>
      </c>
      <c r="I380" s="297">
        <f t="shared" si="39"/>
        <v>0</v>
      </c>
      <c r="J380" s="158">
        <f t="shared" si="44"/>
        <v>0</v>
      </c>
      <c r="K380" s="158">
        <f t="shared" si="44"/>
        <v>0</v>
      </c>
      <c r="L380" s="158">
        <f t="shared" si="44"/>
        <v>0</v>
      </c>
      <c r="M380" s="158">
        <f t="shared" si="44"/>
        <v>0</v>
      </c>
      <c r="N380" s="158">
        <f t="shared" si="44"/>
        <v>0</v>
      </c>
      <c r="P380" s="2"/>
    </row>
    <row r="381" spans="2:16" x14ac:dyDescent="0.25">
      <c r="B381" s="17">
        <v>6343100006</v>
      </c>
      <c r="C381" s="160" t="s">
        <v>177</v>
      </c>
      <c r="D381" s="160" t="s">
        <v>52</v>
      </c>
      <c r="E381" s="160" t="s">
        <v>71</v>
      </c>
      <c r="F381" s="154">
        <v>0</v>
      </c>
      <c r="G381" s="161">
        <f>+VLOOKUP(B381,'5.3 Var OPEX 2023-25'!$B$4:$D$160,3,0)</f>
        <v>4.4009396000000096E-2</v>
      </c>
      <c r="H381" s="162" t="s">
        <v>190</v>
      </c>
      <c r="I381" s="297">
        <f t="shared" si="39"/>
        <v>0</v>
      </c>
      <c r="J381" s="158">
        <f t="shared" si="44"/>
        <v>0</v>
      </c>
      <c r="K381" s="158">
        <f t="shared" si="44"/>
        <v>0</v>
      </c>
      <c r="L381" s="158">
        <f t="shared" si="44"/>
        <v>0</v>
      </c>
      <c r="M381" s="158">
        <f t="shared" si="44"/>
        <v>0</v>
      </c>
      <c r="N381" s="158">
        <f t="shared" si="44"/>
        <v>0</v>
      </c>
      <c r="P381" s="2"/>
    </row>
    <row r="382" spans="2:16" x14ac:dyDescent="0.25">
      <c r="B382" s="17">
        <v>6343100007</v>
      </c>
      <c r="C382" s="160" t="s">
        <v>177</v>
      </c>
      <c r="D382" s="160" t="s">
        <v>52</v>
      </c>
      <c r="E382" s="160" t="s">
        <v>72</v>
      </c>
      <c r="F382" s="154">
        <v>0</v>
      </c>
      <c r="G382" s="161">
        <f>+VLOOKUP(B382,'5.3 Var OPEX 2023-25'!$B$4:$D$160,3,0)</f>
        <v>4.4009396000000096E-2</v>
      </c>
      <c r="H382" s="162" t="s">
        <v>190</v>
      </c>
      <c r="I382" s="297">
        <f t="shared" si="39"/>
        <v>0</v>
      </c>
      <c r="J382" s="158">
        <f t="shared" si="44"/>
        <v>0</v>
      </c>
      <c r="K382" s="158">
        <f t="shared" si="44"/>
        <v>0</v>
      </c>
      <c r="L382" s="158">
        <f t="shared" si="44"/>
        <v>0</v>
      </c>
      <c r="M382" s="158">
        <f t="shared" si="44"/>
        <v>0</v>
      </c>
      <c r="N382" s="158">
        <f t="shared" si="44"/>
        <v>0</v>
      </c>
      <c r="P382" s="2"/>
    </row>
    <row r="383" spans="2:16" x14ac:dyDescent="0.25">
      <c r="B383" s="17">
        <v>6343100008</v>
      </c>
      <c r="C383" s="160" t="s">
        <v>177</v>
      </c>
      <c r="D383" s="160" t="s">
        <v>52</v>
      </c>
      <c r="E383" s="160" t="s">
        <v>73</v>
      </c>
      <c r="F383" s="154">
        <v>0</v>
      </c>
      <c r="G383" s="161">
        <f>+VLOOKUP(B383,'5.3 Var OPEX 2023-25'!$B$4:$D$160,3,0)</f>
        <v>4.4009396000000096E-2</v>
      </c>
      <c r="H383" s="162" t="s">
        <v>190</v>
      </c>
      <c r="I383" s="297">
        <f t="shared" si="39"/>
        <v>0</v>
      </c>
      <c r="J383" s="158">
        <f t="shared" si="44"/>
        <v>0</v>
      </c>
      <c r="K383" s="158">
        <f t="shared" si="44"/>
        <v>0</v>
      </c>
      <c r="L383" s="158">
        <f t="shared" si="44"/>
        <v>0</v>
      </c>
      <c r="M383" s="158">
        <f t="shared" si="44"/>
        <v>0</v>
      </c>
      <c r="N383" s="158">
        <f t="shared" si="44"/>
        <v>0</v>
      </c>
      <c r="P383" s="2"/>
    </row>
    <row r="384" spans="2:16" x14ac:dyDescent="0.25">
      <c r="B384" s="17">
        <v>6343100009</v>
      </c>
      <c r="C384" s="160" t="s">
        <v>177</v>
      </c>
      <c r="D384" s="160" t="s">
        <v>52</v>
      </c>
      <c r="E384" s="160" t="s">
        <v>74</v>
      </c>
      <c r="F384" s="154">
        <v>0</v>
      </c>
      <c r="G384" s="161">
        <f>+VLOOKUP(B384,'5.3 Var OPEX 2023-25'!$B$4:$D$160,3,0)</f>
        <v>4.4009396000000096E-2</v>
      </c>
      <c r="H384" s="162" t="s">
        <v>190</v>
      </c>
      <c r="I384" s="297">
        <f t="shared" si="39"/>
        <v>0</v>
      </c>
      <c r="J384" s="158">
        <f t="shared" si="44"/>
        <v>0</v>
      </c>
      <c r="K384" s="158">
        <f t="shared" si="44"/>
        <v>0</v>
      </c>
      <c r="L384" s="158">
        <f t="shared" si="44"/>
        <v>0</v>
      </c>
      <c r="M384" s="158">
        <f t="shared" si="44"/>
        <v>0</v>
      </c>
      <c r="N384" s="158">
        <f t="shared" si="44"/>
        <v>0</v>
      </c>
      <c r="P384" s="2"/>
    </row>
    <row r="385" spans="2:16" x14ac:dyDescent="0.25">
      <c r="B385" s="17">
        <v>6343100010</v>
      </c>
      <c r="C385" s="160" t="s">
        <v>177</v>
      </c>
      <c r="D385" s="160" t="s">
        <v>52</v>
      </c>
      <c r="E385" s="160" t="s">
        <v>75</v>
      </c>
      <c r="F385" s="154">
        <v>0</v>
      </c>
      <c r="G385" s="161">
        <f>+VLOOKUP(B385,'5.3 Var OPEX 2023-25'!$B$4:$D$160,3,0)</f>
        <v>4.4009396000000096E-2</v>
      </c>
      <c r="H385" s="162" t="s">
        <v>190</v>
      </c>
      <c r="I385" s="297">
        <f t="shared" si="39"/>
        <v>0</v>
      </c>
      <c r="J385" s="158">
        <f t="shared" ref="J385:N394" si="45">+IF(OR($C385="No Imputables",$H385="m2 fijo"),I385,I385*(1+J$6*J$7))</f>
        <v>0</v>
      </c>
      <c r="K385" s="158">
        <f t="shared" si="45"/>
        <v>0</v>
      </c>
      <c r="L385" s="158">
        <f t="shared" si="45"/>
        <v>0</v>
      </c>
      <c r="M385" s="158">
        <f t="shared" si="45"/>
        <v>0</v>
      </c>
      <c r="N385" s="158">
        <f t="shared" si="45"/>
        <v>0</v>
      </c>
      <c r="P385" s="2"/>
    </row>
    <row r="386" spans="2:16" x14ac:dyDescent="0.25">
      <c r="B386" s="17">
        <v>6343100011</v>
      </c>
      <c r="C386" s="160" t="s">
        <v>177</v>
      </c>
      <c r="D386" s="160" t="s">
        <v>52</v>
      </c>
      <c r="E386" s="160" t="s">
        <v>76</v>
      </c>
      <c r="F386" s="154">
        <v>0</v>
      </c>
      <c r="G386" s="161">
        <f>+VLOOKUP(B386,'5.3 Var OPEX 2023-25'!$B$4:$D$160,3,0)</f>
        <v>4.4009396000000096E-2</v>
      </c>
      <c r="H386" s="162" t="s">
        <v>190</v>
      </c>
      <c r="I386" s="297">
        <f t="shared" si="39"/>
        <v>0</v>
      </c>
      <c r="J386" s="158">
        <f t="shared" si="45"/>
        <v>0</v>
      </c>
      <c r="K386" s="158">
        <f t="shared" si="45"/>
        <v>0</v>
      </c>
      <c r="L386" s="158">
        <f t="shared" si="45"/>
        <v>0</v>
      </c>
      <c r="M386" s="158">
        <f t="shared" si="45"/>
        <v>0</v>
      </c>
      <c r="N386" s="158">
        <f t="shared" si="45"/>
        <v>0</v>
      </c>
      <c r="P386" s="2"/>
    </row>
    <row r="387" spans="2:16" x14ac:dyDescent="0.25">
      <c r="B387" s="17">
        <v>6343100012</v>
      </c>
      <c r="C387" s="160" t="s">
        <v>177</v>
      </c>
      <c r="D387" s="160" t="s">
        <v>52</v>
      </c>
      <c r="E387" s="160" t="s">
        <v>77</v>
      </c>
      <c r="F387" s="154">
        <v>0</v>
      </c>
      <c r="G387" s="161">
        <f>+VLOOKUP(B387,'5.3 Var OPEX 2023-25'!$B$4:$D$160,3,0)</f>
        <v>4.4009396000000096E-2</v>
      </c>
      <c r="H387" s="162" t="s">
        <v>190</v>
      </c>
      <c r="I387" s="297">
        <f t="shared" si="39"/>
        <v>0</v>
      </c>
      <c r="J387" s="158">
        <f t="shared" si="45"/>
        <v>0</v>
      </c>
      <c r="K387" s="158">
        <f t="shared" si="45"/>
        <v>0</v>
      </c>
      <c r="L387" s="158">
        <f t="shared" si="45"/>
        <v>0</v>
      </c>
      <c r="M387" s="158">
        <f t="shared" si="45"/>
        <v>0</v>
      </c>
      <c r="N387" s="158">
        <f t="shared" si="45"/>
        <v>0</v>
      </c>
      <c r="P387" s="2"/>
    </row>
    <row r="388" spans="2:16" x14ac:dyDescent="0.25">
      <c r="B388" s="17">
        <v>6343100013</v>
      </c>
      <c r="C388" s="160" t="s">
        <v>177</v>
      </c>
      <c r="D388" s="160" t="s">
        <v>52</v>
      </c>
      <c r="E388" s="160" t="s">
        <v>78</v>
      </c>
      <c r="F388" s="154">
        <v>0</v>
      </c>
      <c r="G388" s="161">
        <f>+VLOOKUP(B388,'5.3 Var OPEX 2023-25'!$B$4:$D$160,3,0)</f>
        <v>4.4009396000000096E-2</v>
      </c>
      <c r="H388" s="162" t="s">
        <v>190</v>
      </c>
      <c r="I388" s="297">
        <f t="shared" si="39"/>
        <v>0</v>
      </c>
      <c r="J388" s="158">
        <f t="shared" si="45"/>
        <v>0</v>
      </c>
      <c r="K388" s="158">
        <f t="shared" si="45"/>
        <v>0</v>
      </c>
      <c r="L388" s="158">
        <f t="shared" si="45"/>
        <v>0</v>
      </c>
      <c r="M388" s="158">
        <f t="shared" si="45"/>
        <v>0</v>
      </c>
      <c r="N388" s="158">
        <f t="shared" si="45"/>
        <v>0</v>
      </c>
      <c r="P388" s="2"/>
    </row>
    <row r="389" spans="2:16" x14ac:dyDescent="0.25">
      <c r="B389" s="17">
        <v>6343100014</v>
      </c>
      <c r="C389" s="160" t="s">
        <v>177</v>
      </c>
      <c r="D389" s="160" t="s">
        <v>52</v>
      </c>
      <c r="E389" s="160" t="s">
        <v>79</v>
      </c>
      <c r="F389" s="154">
        <v>0</v>
      </c>
      <c r="G389" s="161">
        <f>+VLOOKUP(B389,'5.3 Var OPEX 2023-25'!$B$4:$D$160,3,0)</f>
        <v>4.4009396000000096E-2</v>
      </c>
      <c r="H389" s="162" t="s">
        <v>190</v>
      </c>
      <c r="I389" s="297">
        <f t="shared" si="39"/>
        <v>0</v>
      </c>
      <c r="J389" s="158">
        <f t="shared" si="45"/>
        <v>0</v>
      </c>
      <c r="K389" s="158">
        <f t="shared" si="45"/>
        <v>0</v>
      </c>
      <c r="L389" s="158">
        <f t="shared" si="45"/>
        <v>0</v>
      </c>
      <c r="M389" s="158">
        <f t="shared" si="45"/>
        <v>0</v>
      </c>
      <c r="N389" s="158">
        <f t="shared" si="45"/>
        <v>0</v>
      </c>
      <c r="P389" s="2"/>
    </row>
    <row r="390" spans="2:16" x14ac:dyDescent="0.25">
      <c r="B390" s="17">
        <v>6343100015</v>
      </c>
      <c r="C390" s="160" t="s">
        <v>177</v>
      </c>
      <c r="D390" s="160" t="s">
        <v>52</v>
      </c>
      <c r="E390" s="160" t="s">
        <v>80</v>
      </c>
      <c r="F390" s="154">
        <v>995.62593893829705</v>
      </c>
      <c r="G390" s="161">
        <f>+VLOOKUP(B390,'5.3 Var OPEX 2023-25'!$B$4:$D$160,3,0)</f>
        <v>4.4009396000000096E-2</v>
      </c>
      <c r="H390" s="162" t="s">
        <v>190</v>
      </c>
      <c r="I390" s="297">
        <f t="shared" si="39"/>
        <v>1020.1667321905253</v>
      </c>
      <c r="J390" s="158">
        <f t="shared" si="45"/>
        <v>1020.1667321905253</v>
      </c>
      <c r="K390" s="158">
        <f t="shared" si="45"/>
        <v>1020.1667321905253</v>
      </c>
      <c r="L390" s="158">
        <f t="shared" si="45"/>
        <v>1020.1667321905253</v>
      </c>
      <c r="M390" s="158">
        <f t="shared" si="45"/>
        <v>1020.1667321905253</v>
      </c>
      <c r="N390" s="158">
        <f t="shared" si="45"/>
        <v>1020.1667321905253</v>
      </c>
      <c r="P390" s="2"/>
    </row>
    <row r="391" spans="2:16" x14ac:dyDescent="0.25">
      <c r="B391" s="17">
        <v>6343100016</v>
      </c>
      <c r="C391" s="160" t="s">
        <v>177</v>
      </c>
      <c r="D391" s="160" t="s">
        <v>52</v>
      </c>
      <c r="E391" s="160" t="s">
        <v>81</v>
      </c>
      <c r="F391" s="154">
        <v>0</v>
      </c>
      <c r="G391" s="161">
        <f>+VLOOKUP(B391,'5.3 Var OPEX 2023-25'!$B$4:$D$160,3,0)</f>
        <v>4.4009396000000096E-2</v>
      </c>
      <c r="H391" s="162" t="s">
        <v>190</v>
      </c>
      <c r="I391" s="297">
        <f t="shared" si="39"/>
        <v>0</v>
      </c>
      <c r="J391" s="158">
        <f t="shared" si="45"/>
        <v>0</v>
      </c>
      <c r="K391" s="158">
        <f t="shared" si="45"/>
        <v>0</v>
      </c>
      <c r="L391" s="158">
        <f t="shared" si="45"/>
        <v>0</v>
      </c>
      <c r="M391" s="158">
        <f t="shared" si="45"/>
        <v>0</v>
      </c>
      <c r="N391" s="158">
        <f t="shared" si="45"/>
        <v>0</v>
      </c>
      <c r="P391" s="2"/>
    </row>
    <row r="392" spans="2:16" x14ac:dyDescent="0.25">
      <c r="B392" s="17">
        <v>6343100017</v>
      </c>
      <c r="C392" s="160" t="s">
        <v>177</v>
      </c>
      <c r="D392" s="160" t="s">
        <v>52</v>
      </c>
      <c r="E392" s="160" t="s">
        <v>82</v>
      </c>
      <c r="F392" s="154">
        <v>0</v>
      </c>
      <c r="G392" s="161">
        <f>+VLOOKUP(B392,'5.3 Var OPEX 2023-25'!$B$4:$D$160,3,0)</f>
        <v>4.4009396000000096E-2</v>
      </c>
      <c r="H392" s="162" t="s">
        <v>190</v>
      </c>
      <c r="I392" s="297">
        <f t="shared" si="39"/>
        <v>0</v>
      </c>
      <c r="J392" s="158">
        <f t="shared" si="45"/>
        <v>0</v>
      </c>
      <c r="K392" s="158">
        <f t="shared" si="45"/>
        <v>0</v>
      </c>
      <c r="L392" s="158">
        <f t="shared" si="45"/>
        <v>0</v>
      </c>
      <c r="M392" s="158">
        <f t="shared" si="45"/>
        <v>0</v>
      </c>
      <c r="N392" s="158">
        <f t="shared" si="45"/>
        <v>0</v>
      </c>
      <c r="P392" s="2"/>
    </row>
    <row r="393" spans="2:16" x14ac:dyDescent="0.25">
      <c r="B393" s="17">
        <v>6344000001</v>
      </c>
      <c r="C393" s="160" t="s">
        <v>177</v>
      </c>
      <c r="D393" s="160" t="s">
        <v>52</v>
      </c>
      <c r="E393" s="160" t="s">
        <v>83</v>
      </c>
      <c r="F393" s="154">
        <v>0</v>
      </c>
      <c r="G393" s="161">
        <f>+VLOOKUP(B393,'5.3 Var OPEX 2023-25'!$B$4:$D$160,3,0)</f>
        <v>4.4009396000000096E-2</v>
      </c>
      <c r="H393" s="162" t="s">
        <v>190</v>
      </c>
      <c r="I393" s="297">
        <f t="shared" si="39"/>
        <v>0</v>
      </c>
      <c r="J393" s="158">
        <f t="shared" si="45"/>
        <v>0</v>
      </c>
      <c r="K393" s="158">
        <f t="shared" si="45"/>
        <v>0</v>
      </c>
      <c r="L393" s="158">
        <f t="shared" si="45"/>
        <v>0</v>
      </c>
      <c r="M393" s="158">
        <f t="shared" si="45"/>
        <v>0</v>
      </c>
      <c r="N393" s="158">
        <f t="shared" si="45"/>
        <v>0</v>
      </c>
      <c r="P393" s="2"/>
    </row>
    <row r="394" spans="2:16" x14ac:dyDescent="0.25">
      <c r="B394" s="17">
        <v>6344000002</v>
      </c>
      <c r="C394" s="160" t="s">
        <v>177</v>
      </c>
      <c r="D394" s="160" t="s">
        <v>52</v>
      </c>
      <c r="E394" s="160" t="s">
        <v>84</v>
      </c>
      <c r="F394" s="154">
        <v>0</v>
      </c>
      <c r="G394" s="161">
        <f>+VLOOKUP(B394,'5.3 Var OPEX 2023-25'!$B$4:$D$160,3,0)</f>
        <v>4.4009396000000096E-2</v>
      </c>
      <c r="H394" s="162" t="s">
        <v>190</v>
      </c>
      <c r="I394" s="297">
        <f t="shared" si="39"/>
        <v>0</v>
      </c>
      <c r="J394" s="158">
        <f t="shared" si="45"/>
        <v>0</v>
      </c>
      <c r="K394" s="158">
        <f t="shared" si="45"/>
        <v>0</v>
      </c>
      <c r="L394" s="158">
        <f t="shared" si="45"/>
        <v>0</v>
      </c>
      <c r="M394" s="158">
        <f t="shared" si="45"/>
        <v>0</v>
      </c>
      <c r="N394" s="158">
        <f t="shared" si="45"/>
        <v>0</v>
      </c>
      <c r="P394" s="2"/>
    </row>
    <row r="395" spans="2:16" x14ac:dyDescent="0.25">
      <c r="B395" s="17">
        <v>6344000003</v>
      </c>
      <c r="C395" s="160" t="s">
        <v>177</v>
      </c>
      <c r="D395" s="160" t="s">
        <v>52</v>
      </c>
      <c r="E395" s="160" t="s">
        <v>85</v>
      </c>
      <c r="F395" s="154">
        <v>0</v>
      </c>
      <c r="G395" s="161">
        <f>+VLOOKUP(B395,'5.3 Var OPEX 2023-25'!$B$4:$D$160,3,0)</f>
        <v>4.4009396000000096E-2</v>
      </c>
      <c r="H395" s="162" t="s">
        <v>190</v>
      </c>
      <c r="I395" s="297">
        <f t="shared" si="39"/>
        <v>0</v>
      </c>
      <c r="J395" s="158">
        <f t="shared" ref="J395:N404" si="46">+IF(OR($C395="No Imputables",$H395="m2 fijo"),I395,I395*(1+J$6*J$7))</f>
        <v>0</v>
      </c>
      <c r="K395" s="158">
        <f t="shared" si="46"/>
        <v>0</v>
      </c>
      <c r="L395" s="158">
        <f t="shared" si="46"/>
        <v>0</v>
      </c>
      <c r="M395" s="158">
        <f t="shared" si="46"/>
        <v>0</v>
      </c>
      <c r="N395" s="158">
        <f t="shared" si="46"/>
        <v>0</v>
      </c>
      <c r="P395" s="2"/>
    </row>
    <row r="396" spans="2:16" x14ac:dyDescent="0.25">
      <c r="B396" s="17">
        <v>6345000001</v>
      </c>
      <c r="C396" s="160" t="s">
        <v>177</v>
      </c>
      <c r="D396" s="160" t="s">
        <v>52</v>
      </c>
      <c r="E396" s="160" t="s">
        <v>86</v>
      </c>
      <c r="F396" s="154">
        <v>0</v>
      </c>
      <c r="G396" s="161">
        <f>+VLOOKUP(B396,'5.3 Var OPEX 2023-25'!$B$4:$D$160,3,0)</f>
        <v>4.4009396000000096E-2</v>
      </c>
      <c r="H396" s="162" t="s">
        <v>190</v>
      </c>
      <c r="I396" s="297">
        <f t="shared" si="39"/>
        <v>0</v>
      </c>
      <c r="J396" s="158">
        <f t="shared" si="46"/>
        <v>0</v>
      </c>
      <c r="K396" s="158">
        <f t="shared" si="46"/>
        <v>0</v>
      </c>
      <c r="L396" s="158">
        <f t="shared" si="46"/>
        <v>0</v>
      </c>
      <c r="M396" s="158">
        <f t="shared" si="46"/>
        <v>0</v>
      </c>
      <c r="N396" s="158">
        <f t="shared" si="46"/>
        <v>0</v>
      </c>
      <c r="P396" s="2"/>
    </row>
    <row r="397" spans="2:16" x14ac:dyDescent="0.25">
      <c r="B397" s="17">
        <v>6346000001</v>
      </c>
      <c r="C397" s="160" t="s">
        <v>177</v>
      </c>
      <c r="D397" s="160" t="s">
        <v>52</v>
      </c>
      <c r="E397" s="160" t="s">
        <v>87</v>
      </c>
      <c r="F397" s="154">
        <v>0</v>
      </c>
      <c r="G397" s="161">
        <f>+VLOOKUP(B397,'5.3 Var OPEX 2023-25'!$B$4:$D$160,3,0)</f>
        <v>4.4009396000000096E-2</v>
      </c>
      <c r="H397" s="162" t="s">
        <v>190</v>
      </c>
      <c r="I397" s="297">
        <f t="shared" si="39"/>
        <v>0</v>
      </c>
      <c r="J397" s="158">
        <f t="shared" si="46"/>
        <v>0</v>
      </c>
      <c r="K397" s="158">
        <f t="shared" si="46"/>
        <v>0</v>
      </c>
      <c r="L397" s="158">
        <f t="shared" si="46"/>
        <v>0</v>
      </c>
      <c r="M397" s="158">
        <f t="shared" si="46"/>
        <v>0</v>
      </c>
      <c r="N397" s="158">
        <f t="shared" si="46"/>
        <v>0</v>
      </c>
      <c r="P397" s="2"/>
    </row>
    <row r="398" spans="2:16" x14ac:dyDescent="0.25">
      <c r="B398" s="17">
        <v>6347000001</v>
      </c>
      <c r="C398" s="160" t="s">
        <v>177</v>
      </c>
      <c r="D398" s="160" t="s">
        <v>52</v>
      </c>
      <c r="E398" s="160" t="s">
        <v>88</v>
      </c>
      <c r="F398" s="154">
        <v>651976.30088609201</v>
      </c>
      <c r="G398" s="161">
        <f>+VLOOKUP(B398,'5.3 Var OPEX 2023-25'!$B$4:$D$160,3,0)</f>
        <v>1.0811688463956868</v>
      </c>
      <c r="H398" s="162" t="s">
        <v>190</v>
      </c>
      <c r="I398" s="297">
        <f t="shared" si="39"/>
        <v>1331710.0362495622</v>
      </c>
      <c r="J398" s="158">
        <f t="shared" si="46"/>
        <v>1331710.0362495622</v>
      </c>
      <c r="K398" s="158">
        <f t="shared" si="46"/>
        <v>1331710.0362495622</v>
      </c>
      <c r="L398" s="158">
        <f t="shared" si="46"/>
        <v>1331710.0362495622</v>
      </c>
      <c r="M398" s="158">
        <f t="shared" si="46"/>
        <v>1331710.0362495622</v>
      </c>
      <c r="N398" s="158">
        <f t="shared" si="46"/>
        <v>1331710.0362495622</v>
      </c>
      <c r="P398" s="2"/>
    </row>
    <row r="399" spans="2:16" x14ac:dyDescent="0.25">
      <c r="B399" s="17">
        <v>6348000001</v>
      </c>
      <c r="C399" s="160" t="s">
        <v>177</v>
      </c>
      <c r="D399" s="160" t="s">
        <v>52</v>
      </c>
      <c r="E399" s="160" t="s">
        <v>89</v>
      </c>
      <c r="F399" s="154">
        <v>11470.477661440033</v>
      </c>
      <c r="G399" s="161">
        <f>+VLOOKUP(B399,'5.3 Var OPEX 2023-25'!$B$4:$D$160,3,0)</f>
        <v>4.4009396000000096E-2</v>
      </c>
      <c r="H399" s="162" t="s">
        <v>190</v>
      </c>
      <c r="I399" s="297">
        <f t="shared" ref="I399:I462" si="47">+F399*(1+G399)/$I$8</f>
        <v>11753.208966224918</v>
      </c>
      <c r="J399" s="158">
        <f t="shared" si="46"/>
        <v>11753.208966224918</v>
      </c>
      <c r="K399" s="158">
        <f t="shared" si="46"/>
        <v>11753.208966224918</v>
      </c>
      <c r="L399" s="158">
        <f t="shared" si="46"/>
        <v>11753.208966224918</v>
      </c>
      <c r="M399" s="158">
        <f t="shared" si="46"/>
        <v>11753.208966224918</v>
      </c>
      <c r="N399" s="158">
        <f t="shared" si="46"/>
        <v>11753.208966224918</v>
      </c>
      <c r="P399" s="2"/>
    </row>
    <row r="400" spans="2:16" x14ac:dyDescent="0.25">
      <c r="B400" s="17">
        <v>6354000001</v>
      </c>
      <c r="C400" s="160" t="s">
        <v>177</v>
      </c>
      <c r="D400" s="160" t="s">
        <v>40</v>
      </c>
      <c r="E400" s="160" t="s">
        <v>90</v>
      </c>
      <c r="F400" s="154">
        <v>134936.09564495957</v>
      </c>
      <c r="G400" s="161">
        <f>+VLOOKUP(B400,'5.3 Var OPEX 2023-25'!$B$4:$D$160,3,0)</f>
        <v>1.1277145310168262</v>
      </c>
      <c r="H400" s="162" t="s">
        <v>190</v>
      </c>
      <c r="I400" s="297">
        <f t="shared" si="47"/>
        <v>281781.22077884508</v>
      </c>
      <c r="J400" s="158">
        <f t="shared" si="46"/>
        <v>281781.22077884508</v>
      </c>
      <c r="K400" s="158">
        <f t="shared" si="46"/>
        <v>281781.22077884508</v>
      </c>
      <c r="L400" s="158">
        <f t="shared" si="46"/>
        <v>281781.22077884508</v>
      </c>
      <c r="M400" s="158">
        <f t="shared" si="46"/>
        <v>281781.22077884508</v>
      </c>
      <c r="N400" s="158">
        <f t="shared" si="46"/>
        <v>281781.22077884508</v>
      </c>
      <c r="P400" s="2"/>
    </row>
    <row r="401" spans="2:16" x14ac:dyDescent="0.25">
      <c r="B401" s="17">
        <v>6356000001</v>
      </c>
      <c r="C401" s="160" t="s">
        <v>177</v>
      </c>
      <c r="D401" s="160" t="s">
        <v>40</v>
      </c>
      <c r="E401" s="160" t="s">
        <v>91</v>
      </c>
      <c r="F401" s="154">
        <v>275273.32869512431</v>
      </c>
      <c r="G401" s="161">
        <f>+VLOOKUP(B401,'5.3 Var OPEX 2023-25'!$B$4:$D$160,3,0)</f>
        <v>4.4009396000000096E-2</v>
      </c>
      <c r="H401" s="162" t="s">
        <v>190</v>
      </c>
      <c r="I401" s="297">
        <f t="shared" si="47"/>
        <v>282058.43300303683</v>
      </c>
      <c r="J401" s="158">
        <f t="shared" si="46"/>
        <v>282058.43300303683</v>
      </c>
      <c r="K401" s="158">
        <f t="shared" si="46"/>
        <v>282058.43300303683</v>
      </c>
      <c r="L401" s="158">
        <f t="shared" si="46"/>
        <v>282058.43300303683</v>
      </c>
      <c r="M401" s="158">
        <f t="shared" si="46"/>
        <v>282058.43300303683</v>
      </c>
      <c r="N401" s="158">
        <f t="shared" si="46"/>
        <v>282058.43300303683</v>
      </c>
      <c r="P401" s="2"/>
    </row>
    <row r="402" spans="2:16" x14ac:dyDescent="0.25">
      <c r="B402" s="17">
        <v>6356000002</v>
      </c>
      <c r="C402" s="160" t="s">
        <v>177</v>
      </c>
      <c r="D402" s="160" t="s">
        <v>40</v>
      </c>
      <c r="E402" s="160" t="s">
        <v>92</v>
      </c>
      <c r="F402" s="154">
        <v>0</v>
      </c>
      <c r="G402" s="161">
        <f>+VLOOKUP(B402,'5.3 Var OPEX 2023-25'!$B$4:$D$160,3,0)</f>
        <v>4.4009396000000096E-2</v>
      </c>
      <c r="H402" s="162" t="s">
        <v>190</v>
      </c>
      <c r="I402" s="297">
        <f t="shared" si="47"/>
        <v>0</v>
      </c>
      <c r="J402" s="158">
        <f t="shared" si="46"/>
        <v>0</v>
      </c>
      <c r="K402" s="158">
        <f t="shared" si="46"/>
        <v>0</v>
      </c>
      <c r="L402" s="158">
        <f t="shared" si="46"/>
        <v>0</v>
      </c>
      <c r="M402" s="158">
        <f t="shared" si="46"/>
        <v>0</v>
      </c>
      <c r="N402" s="158">
        <f t="shared" si="46"/>
        <v>0</v>
      </c>
      <c r="P402" s="2"/>
    </row>
    <row r="403" spans="2:16" x14ac:dyDescent="0.25">
      <c r="B403" s="17">
        <v>6357000001</v>
      </c>
      <c r="C403" s="160" t="s">
        <v>177</v>
      </c>
      <c r="D403" s="160" t="s">
        <v>40</v>
      </c>
      <c r="E403" s="160" t="s">
        <v>93</v>
      </c>
      <c r="F403" s="154">
        <v>2381.6350932991045</v>
      </c>
      <c r="G403" s="161">
        <f>+VLOOKUP(B403,'5.3 Var OPEX 2023-25'!$B$4:$D$160,3,0)</f>
        <v>4.4009396000000096E-2</v>
      </c>
      <c r="H403" s="162" t="s">
        <v>190</v>
      </c>
      <c r="I403" s="297">
        <f t="shared" si="47"/>
        <v>2440.3390825595998</v>
      </c>
      <c r="J403" s="158">
        <f t="shared" si="46"/>
        <v>2440.3390825595998</v>
      </c>
      <c r="K403" s="158">
        <f t="shared" si="46"/>
        <v>2440.3390825595998</v>
      </c>
      <c r="L403" s="158">
        <f t="shared" si="46"/>
        <v>2440.3390825595998</v>
      </c>
      <c r="M403" s="158">
        <f t="shared" si="46"/>
        <v>2440.3390825595998</v>
      </c>
      <c r="N403" s="158">
        <f t="shared" si="46"/>
        <v>2440.3390825595998</v>
      </c>
      <c r="P403" s="2"/>
    </row>
    <row r="404" spans="2:16" x14ac:dyDescent="0.25">
      <c r="B404" s="17">
        <v>6358000001</v>
      </c>
      <c r="C404" s="160" t="s">
        <v>177</v>
      </c>
      <c r="D404" s="160" t="s">
        <v>40</v>
      </c>
      <c r="E404" s="160" t="s">
        <v>94</v>
      </c>
      <c r="F404" s="154">
        <v>0</v>
      </c>
      <c r="G404" s="161">
        <f>+VLOOKUP(B404,'5.3 Var OPEX 2023-25'!$B$4:$D$160,3,0)</f>
        <v>4.4009396000000096E-2</v>
      </c>
      <c r="H404" s="162" t="s">
        <v>190</v>
      </c>
      <c r="I404" s="297">
        <f t="shared" si="47"/>
        <v>0</v>
      </c>
      <c r="J404" s="158">
        <f t="shared" si="46"/>
        <v>0</v>
      </c>
      <c r="K404" s="158">
        <f t="shared" si="46"/>
        <v>0</v>
      </c>
      <c r="L404" s="158">
        <f t="shared" si="46"/>
        <v>0</v>
      </c>
      <c r="M404" s="158">
        <f t="shared" si="46"/>
        <v>0</v>
      </c>
      <c r="N404" s="158">
        <f t="shared" si="46"/>
        <v>0</v>
      </c>
      <c r="P404" s="2"/>
    </row>
    <row r="405" spans="2:16" x14ac:dyDescent="0.25">
      <c r="B405" s="17">
        <v>6360000001</v>
      </c>
      <c r="C405" s="160" t="s">
        <v>177</v>
      </c>
      <c r="D405" s="160" t="s">
        <v>40</v>
      </c>
      <c r="E405" s="160" t="s">
        <v>95</v>
      </c>
      <c r="F405" s="154">
        <v>27597.985221649687</v>
      </c>
      <c r="G405" s="161">
        <f>+VLOOKUP(B405,'5.3 Var OPEX 2023-25'!$B$4:$D$160,3,0)</f>
        <v>4.4009396000000096E-2</v>
      </c>
      <c r="H405" s="162" t="s">
        <v>190</v>
      </c>
      <c r="I405" s="297">
        <f t="shared" si="47"/>
        <v>28278.237134556635</v>
      </c>
      <c r="J405" s="158">
        <f t="shared" ref="J405:N414" si="48">+IF(OR($C405="No Imputables",$H405="m2 fijo"),I405,I405*(1+J$6*J$7))</f>
        <v>28278.237134556635</v>
      </c>
      <c r="K405" s="158">
        <f t="shared" si="48"/>
        <v>28278.237134556635</v>
      </c>
      <c r="L405" s="158">
        <f t="shared" si="48"/>
        <v>28278.237134556635</v>
      </c>
      <c r="M405" s="158">
        <f t="shared" si="48"/>
        <v>28278.237134556635</v>
      </c>
      <c r="N405" s="158">
        <f t="shared" si="48"/>
        <v>28278.237134556635</v>
      </c>
      <c r="P405" s="2"/>
    </row>
    <row r="406" spans="2:16" x14ac:dyDescent="0.25">
      <c r="B406" s="17">
        <v>6360000002</v>
      </c>
      <c r="C406" s="160" t="s">
        <v>177</v>
      </c>
      <c r="D406" s="160" t="s">
        <v>40</v>
      </c>
      <c r="E406" s="160" t="s">
        <v>96</v>
      </c>
      <c r="F406" s="154">
        <v>22244.379470303178</v>
      </c>
      <c r="G406" s="161">
        <f>+VLOOKUP(B406,'5.3 Var OPEX 2023-25'!$B$4:$D$160,3,0)</f>
        <v>0.77919024215254873</v>
      </c>
      <c r="H406" s="162" t="s">
        <v>191</v>
      </c>
      <c r="I406" s="297">
        <f t="shared" si="47"/>
        <v>38843.041623680387</v>
      </c>
      <c r="J406" s="158">
        <f t="shared" si="48"/>
        <v>38843.041623680387</v>
      </c>
      <c r="K406" s="158">
        <f t="shared" si="48"/>
        <v>38843.041623680387</v>
      </c>
      <c r="L406" s="158">
        <f t="shared" si="48"/>
        <v>38843.041623680387</v>
      </c>
      <c r="M406" s="158">
        <f t="shared" si="48"/>
        <v>38843.041623680387</v>
      </c>
      <c r="N406" s="158">
        <f t="shared" si="48"/>
        <v>38843.041623680387</v>
      </c>
      <c r="P406" s="2"/>
    </row>
    <row r="407" spans="2:16" x14ac:dyDescent="0.25">
      <c r="B407" s="17">
        <v>6360000003</v>
      </c>
      <c r="C407" s="160" t="s">
        <v>177</v>
      </c>
      <c r="D407" s="160" t="s">
        <v>40</v>
      </c>
      <c r="E407" s="160" t="s">
        <v>97</v>
      </c>
      <c r="F407" s="154">
        <v>4232.0873999141158</v>
      </c>
      <c r="G407" s="161">
        <f>+VLOOKUP(B407,'5.3 Var OPEX 2023-25'!$B$4:$D$160,3,0)</f>
        <v>0.33589966958431128</v>
      </c>
      <c r="H407" s="162" t="s">
        <v>191</v>
      </c>
      <c r="I407" s="297">
        <f t="shared" si="47"/>
        <v>5548.7993103611279</v>
      </c>
      <c r="J407" s="158">
        <f t="shared" si="48"/>
        <v>5548.7993103611279</v>
      </c>
      <c r="K407" s="158">
        <f t="shared" si="48"/>
        <v>5548.7993103611279</v>
      </c>
      <c r="L407" s="158">
        <f t="shared" si="48"/>
        <v>5548.7993103611279</v>
      </c>
      <c r="M407" s="158">
        <f t="shared" si="48"/>
        <v>5548.7993103611279</v>
      </c>
      <c r="N407" s="158">
        <f t="shared" si="48"/>
        <v>5548.7993103611279</v>
      </c>
      <c r="P407" s="2"/>
    </row>
    <row r="408" spans="2:16" x14ac:dyDescent="0.25">
      <c r="B408" s="17">
        <v>6360000004</v>
      </c>
      <c r="C408" s="160" t="s">
        <v>177</v>
      </c>
      <c r="D408" s="160" t="s">
        <v>40</v>
      </c>
      <c r="E408" s="160" t="s">
        <v>98</v>
      </c>
      <c r="F408" s="154">
        <v>0</v>
      </c>
      <c r="G408" s="161">
        <f>+VLOOKUP(B408,'5.3 Var OPEX 2023-25'!$B$4:$D$160,3,0)</f>
        <v>4.4009396000000096E-2</v>
      </c>
      <c r="H408" s="162" t="s">
        <v>190</v>
      </c>
      <c r="I408" s="297">
        <f t="shared" si="47"/>
        <v>0</v>
      </c>
      <c r="J408" s="158">
        <f t="shared" si="48"/>
        <v>0</v>
      </c>
      <c r="K408" s="158">
        <f t="shared" si="48"/>
        <v>0</v>
      </c>
      <c r="L408" s="158">
        <f t="shared" si="48"/>
        <v>0</v>
      </c>
      <c r="M408" s="158">
        <f t="shared" si="48"/>
        <v>0</v>
      </c>
      <c r="N408" s="158">
        <f t="shared" si="48"/>
        <v>0</v>
      </c>
      <c r="P408" s="2"/>
    </row>
    <row r="409" spans="2:16" x14ac:dyDescent="0.25">
      <c r="B409" s="17">
        <v>6360000005</v>
      </c>
      <c r="C409" s="160" t="s">
        <v>177</v>
      </c>
      <c r="D409" s="160" t="s">
        <v>40</v>
      </c>
      <c r="E409" s="160" t="s">
        <v>99</v>
      </c>
      <c r="F409" s="154">
        <v>0</v>
      </c>
      <c r="G409" s="161">
        <f>+VLOOKUP(B409,'5.3 Var OPEX 2023-25'!$B$4:$D$160,3,0)</f>
        <v>4.4009396000000096E-2</v>
      </c>
      <c r="H409" s="162" t="s">
        <v>190</v>
      </c>
      <c r="I409" s="297">
        <f t="shared" si="47"/>
        <v>0</v>
      </c>
      <c r="J409" s="158">
        <f t="shared" si="48"/>
        <v>0</v>
      </c>
      <c r="K409" s="158">
        <f t="shared" si="48"/>
        <v>0</v>
      </c>
      <c r="L409" s="158">
        <f t="shared" si="48"/>
        <v>0</v>
      </c>
      <c r="M409" s="158">
        <f t="shared" si="48"/>
        <v>0</v>
      </c>
      <c r="N409" s="158">
        <f t="shared" si="48"/>
        <v>0</v>
      </c>
      <c r="P409" s="2"/>
    </row>
    <row r="410" spans="2:16" x14ac:dyDescent="0.25">
      <c r="B410" s="17">
        <v>6370000001</v>
      </c>
      <c r="C410" s="160" t="s">
        <v>177</v>
      </c>
      <c r="D410" s="160" t="s">
        <v>40</v>
      </c>
      <c r="E410" s="160" t="s">
        <v>100</v>
      </c>
      <c r="F410" s="154">
        <v>96932.548870668252</v>
      </c>
      <c r="G410" s="161">
        <f>+VLOOKUP(B410,'5.3 Var OPEX 2023-25'!$B$4:$D$160,3,0)</f>
        <v>0.48851763260317993</v>
      </c>
      <c r="H410" s="162" t="s">
        <v>190</v>
      </c>
      <c r="I410" s="297">
        <f t="shared" si="47"/>
        <v>141610.07843948141</v>
      </c>
      <c r="J410" s="158">
        <f t="shared" si="48"/>
        <v>141610.07843948141</v>
      </c>
      <c r="K410" s="158">
        <f t="shared" si="48"/>
        <v>141610.07843948141</v>
      </c>
      <c r="L410" s="158">
        <f t="shared" si="48"/>
        <v>141610.07843948141</v>
      </c>
      <c r="M410" s="158">
        <f t="shared" si="48"/>
        <v>141610.07843948141</v>
      </c>
      <c r="N410" s="158">
        <f t="shared" si="48"/>
        <v>141610.07843948141</v>
      </c>
      <c r="P410" s="2"/>
    </row>
    <row r="411" spans="2:16" x14ac:dyDescent="0.25">
      <c r="B411" s="17">
        <v>6370000002</v>
      </c>
      <c r="C411" s="160" t="s">
        <v>177</v>
      </c>
      <c r="D411" s="160" t="s">
        <v>40</v>
      </c>
      <c r="E411" s="160" t="s">
        <v>101</v>
      </c>
      <c r="F411" s="154">
        <v>0</v>
      </c>
      <c r="G411" s="161">
        <f>+VLOOKUP(B411,'5.3 Var OPEX 2023-25'!$B$4:$D$160,3,0)</f>
        <v>4.4009396000000096E-2</v>
      </c>
      <c r="H411" s="162" t="s">
        <v>190</v>
      </c>
      <c r="I411" s="297">
        <f t="shared" si="47"/>
        <v>0</v>
      </c>
      <c r="J411" s="158">
        <f t="shared" si="48"/>
        <v>0</v>
      </c>
      <c r="K411" s="158">
        <f t="shared" si="48"/>
        <v>0</v>
      </c>
      <c r="L411" s="158">
        <f t="shared" si="48"/>
        <v>0</v>
      </c>
      <c r="M411" s="158">
        <f t="shared" si="48"/>
        <v>0</v>
      </c>
      <c r="N411" s="158">
        <f t="shared" si="48"/>
        <v>0</v>
      </c>
      <c r="P411" s="2"/>
    </row>
    <row r="412" spans="2:16" x14ac:dyDescent="0.25">
      <c r="B412" s="17">
        <v>6370000003</v>
      </c>
      <c r="C412" s="160" t="s">
        <v>177</v>
      </c>
      <c r="D412" s="160" t="s">
        <v>40</v>
      </c>
      <c r="E412" s="160" t="s">
        <v>102</v>
      </c>
      <c r="F412" s="154">
        <v>14239.959623127756</v>
      </c>
      <c r="G412" s="161">
        <f>+VLOOKUP(B412,'5.3 Var OPEX 2023-25'!$B$4:$D$160,3,0)</f>
        <v>4.4009396000000096E-2</v>
      </c>
      <c r="H412" s="162" t="s">
        <v>190</v>
      </c>
      <c r="I412" s="297">
        <f t="shared" si="47"/>
        <v>14590.954802505976</v>
      </c>
      <c r="J412" s="158">
        <f t="shared" si="48"/>
        <v>14590.954802505976</v>
      </c>
      <c r="K412" s="158">
        <f t="shared" si="48"/>
        <v>14590.954802505976</v>
      </c>
      <c r="L412" s="158">
        <f t="shared" si="48"/>
        <v>14590.954802505976</v>
      </c>
      <c r="M412" s="158">
        <f t="shared" si="48"/>
        <v>14590.954802505976</v>
      </c>
      <c r="N412" s="158">
        <f t="shared" si="48"/>
        <v>14590.954802505976</v>
      </c>
      <c r="P412" s="2"/>
    </row>
    <row r="413" spans="2:16" x14ac:dyDescent="0.25">
      <c r="B413" s="17">
        <v>6380000002</v>
      </c>
      <c r="C413" s="160" t="s">
        <v>177</v>
      </c>
      <c r="D413" s="160" t="s">
        <v>40</v>
      </c>
      <c r="E413" s="160" t="s">
        <v>103</v>
      </c>
      <c r="F413" s="154">
        <v>0</v>
      </c>
      <c r="G413" s="161">
        <f>+VLOOKUP(B413,'5.3 Var OPEX 2023-25'!$B$4:$D$160,3,0)</f>
        <v>4.4009396000000096E-2</v>
      </c>
      <c r="H413" s="162" t="s">
        <v>190</v>
      </c>
      <c r="I413" s="297">
        <f t="shared" si="47"/>
        <v>0</v>
      </c>
      <c r="J413" s="158">
        <f t="shared" si="48"/>
        <v>0</v>
      </c>
      <c r="K413" s="158">
        <f t="shared" si="48"/>
        <v>0</v>
      </c>
      <c r="L413" s="158">
        <f t="shared" si="48"/>
        <v>0</v>
      </c>
      <c r="M413" s="158">
        <f t="shared" si="48"/>
        <v>0</v>
      </c>
      <c r="N413" s="158">
        <f t="shared" si="48"/>
        <v>0</v>
      </c>
      <c r="P413" s="2"/>
    </row>
    <row r="414" spans="2:16" x14ac:dyDescent="0.25">
      <c r="B414" s="17">
        <v>6380000003</v>
      </c>
      <c r="C414" s="160" t="s">
        <v>177</v>
      </c>
      <c r="D414" s="160" t="s">
        <v>38</v>
      </c>
      <c r="E414" s="160" t="s">
        <v>104</v>
      </c>
      <c r="F414" s="154">
        <v>0</v>
      </c>
      <c r="G414" s="161">
        <f>+VLOOKUP(B414,'5.3 Var OPEX 2023-25'!$B$4:$D$160,3,0)</f>
        <v>4.4009396000000096E-2</v>
      </c>
      <c r="H414" s="162" t="s">
        <v>190</v>
      </c>
      <c r="I414" s="297">
        <f t="shared" si="47"/>
        <v>0</v>
      </c>
      <c r="J414" s="158">
        <f t="shared" si="48"/>
        <v>0</v>
      </c>
      <c r="K414" s="158">
        <f t="shared" si="48"/>
        <v>0</v>
      </c>
      <c r="L414" s="158">
        <f t="shared" si="48"/>
        <v>0</v>
      </c>
      <c r="M414" s="158">
        <f t="shared" si="48"/>
        <v>0</v>
      </c>
      <c r="N414" s="158">
        <f t="shared" si="48"/>
        <v>0</v>
      </c>
      <c r="P414" s="2"/>
    </row>
    <row r="415" spans="2:16" x14ac:dyDescent="0.25">
      <c r="B415" s="17">
        <v>6380000004</v>
      </c>
      <c r="C415" s="160" t="s">
        <v>177</v>
      </c>
      <c r="D415" s="160" t="s">
        <v>49</v>
      </c>
      <c r="E415" s="160" t="s">
        <v>105</v>
      </c>
      <c r="F415" s="154">
        <v>15204.468271071086</v>
      </c>
      <c r="G415" s="161">
        <f>+VLOOKUP(B415,'5.3 Var OPEX 2023-25'!$B$4:$D$160,3,0)</f>
        <v>1.1454126819228176</v>
      </c>
      <c r="H415" s="162" t="s">
        <v>191</v>
      </c>
      <c r="I415" s="297">
        <f t="shared" si="47"/>
        <v>32014.935200665361</v>
      </c>
      <c r="J415" s="158">
        <f t="shared" ref="J415:N424" si="49">+IF(OR($C415="No Imputables",$H415="m2 fijo"),I415,I415*(1+J$6*J$7))</f>
        <v>32014.935200665361</v>
      </c>
      <c r="K415" s="158">
        <f t="shared" si="49"/>
        <v>32014.935200665361</v>
      </c>
      <c r="L415" s="158">
        <f t="shared" si="49"/>
        <v>32014.935200665361</v>
      </c>
      <c r="M415" s="158">
        <f t="shared" si="49"/>
        <v>32014.935200665361</v>
      </c>
      <c r="N415" s="158">
        <f t="shared" si="49"/>
        <v>32014.935200665361</v>
      </c>
      <c r="P415" s="2"/>
    </row>
    <row r="416" spans="2:16" x14ac:dyDescent="0.25">
      <c r="B416" s="17">
        <v>6380000005</v>
      </c>
      <c r="C416" s="160" t="s">
        <v>177</v>
      </c>
      <c r="D416" s="160" t="s">
        <v>38</v>
      </c>
      <c r="E416" s="160" t="s">
        <v>106</v>
      </c>
      <c r="F416" s="154">
        <v>0</v>
      </c>
      <c r="G416" s="161">
        <f>+VLOOKUP(B416,'5.3 Var OPEX 2023-25'!$B$4:$D$160,3,0)</f>
        <v>4.4009396000000096E-2</v>
      </c>
      <c r="H416" s="162" t="s">
        <v>190</v>
      </c>
      <c r="I416" s="297">
        <f t="shared" si="47"/>
        <v>0</v>
      </c>
      <c r="J416" s="158">
        <f t="shared" si="49"/>
        <v>0</v>
      </c>
      <c r="K416" s="158">
        <f t="shared" si="49"/>
        <v>0</v>
      </c>
      <c r="L416" s="158">
        <f t="shared" si="49"/>
        <v>0</v>
      </c>
      <c r="M416" s="158">
        <f t="shared" si="49"/>
        <v>0</v>
      </c>
      <c r="N416" s="158">
        <f t="shared" si="49"/>
        <v>0</v>
      </c>
      <c r="P416" s="2"/>
    </row>
    <row r="417" spans="2:16" x14ac:dyDescent="0.25">
      <c r="B417" s="17">
        <v>6380000007</v>
      </c>
      <c r="C417" s="160" t="s">
        <v>177</v>
      </c>
      <c r="D417" s="160" t="s">
        <v>40</v>
      </c>
      <c r="E417" s="160" t="s">
        <v>107</v>
      </c>
      <c r="F417" s="154">
        <v>42087.410876030888</v>
      </c>
      <c r="G417" s="161">
        <f>+VLOOKUP(B417,'5.3 Var OPEX 2023-25'!$B$4:$D$160,3,0)</f>
        <v>4.4009396000000096E-2</v>
      </c>
      <c r="H417" s="162" t="s">
        <v>191</v>
      </c>
      <c r="I417" s="297">
        <f t="shared" si="47"/>
        <v>43124.806958671783</v>
      </c>
      <c r="J417" s="158">
        <f t="shared" si="49"/>
        <v>43124.806958671783</v>
      </c>
      <c r="K417" s="158">
        <f t="shared" si="49"/>
        <v>43124.806958671783</v>
      </c>
      <c r="L417" s="158">
        <f t="shared" si="49"/>
        <v>43124.806958671783</v>
      </c>
      <c r="M417" s="158">
        <f t="shared" si="49"/>
        <v>43124.806958671783</v>
      </c>
      <c r="N417" s="158">
        <f t="shared" si="49"/>
        <v>43124.806958671783</v>
      </c>
      <c r="P417" s="2"/>
    </row>
    <row r="418" spans="2:16" x14ac:dyDescent="0.25">
      <c r="B418" s="17">
        <v>6380000008</v>
      </c>
      <c r="C418" s="160" t="s">
        <v>177</v>
      </c>
      <c r="D418" s="160" t="s">
        <v>40</v>
      </c>
      <c r="E418" s="160" t="s">
        <v>108</v>
      </c>
      <c r="F418" s="154">
        <v>0</v>
      </c>
      <c r="G418" s="161">
        <f>+VLOOKUP(B418,'5.3 Var OPEX 2023-25'!$B$4:$D$160,3,0)</f>
        <v>1.7577982488676596</v>
      </c>
      <c r="H418" s="162" t="s">
        <v>190</v>
      </c>
      <c r="I418" s="297">
        <f t="shared" si="47"/>
        <v>0</v>
      </c>
      <c r="J418" s="158">
        <f t="shared" si="49"/>
        <v>0</v>
      </c>
      <c r="K418" s="158">
        <f t="shared" si="49"/>
        <v>0</v>
      </c>
      <c r="L418" s="158">
        <f t="shared" si="49"/>
        <v>0</v>
      </c>
      <c r="M418" s="158">
        <f t="shared" si="49"/>
        <v>0</v>
      </c>
      <c r="N418" s="158">
        <f t="shared" si="49"/>
        <v>0</v>
      </c>
      <c r="P418" s="2"/>
    </row>
    <row r="419" spans="2:16" x14ac:dyDescent="0.25">
      <c r="B419" s="17">
        <v>6380000009</v>
      </c>
      <c r="C419" s="160" t="s">
        <v>177</v>
      </c>
      <c r="D419" s="160" t="s">
        <v>40</v>
      </c>
      <c r="E419" s="160" t="s">
        <v>109</v>
      </c>
      <c r="F419" s="154">
        <v>0</v>
      </c>
      <c r="G419" s="161">
        <f>+VLOOKUP(B419,'5.3 Var OPEX 2023-25'!$B$4:$D$160,3,0)</f>
        <v>9.5138088966381096E-2</v>
      </c>
      <c r="H419" s="162" t="s">
        <v>190</v>
      </c>
      <c r="I419" s="297">
        <f t="shared" si="47"/>
        <v>0</v>
      </c>
      <c r="J419" s="158">
        <f t="shared" si="49"/>
        <v>0</v>
      </c>
      <c r="K419" s="158">
        <f t="shared" si="49"/>
        <v>0</v>
      </c>
      <c r="L419" s="158">
        <f t="shared" si="49"/>
        <v>0</v>
      </c>
      <c r="M419" s="158">
        <f t="shared" si="49"/>
        <v>0</v>
      </c>
      <c r="N419" s="158">
        <f t="shared" si="49"/>
        <v>0</v>
      </c>
      <c r="P419" s="2"/>
    </row>
    <row r="420" spans="2:16" x14ac:dyDescent="0.25">
      <c r="B420" s="17">
        <v>6380000010</v>
      </c>
      <c r="C420" s="160" t="s">
        <v>177</v>
      </c>
      <c r="D420" s="160" t="s">
        <v>40</v>
      </c>
      <c r="E420" s="160" t="s">
        <v>110</v>
      </c>
      <c r="F420" s="154">
        <v>2779.4560737464744</v>
      </c>
      <c r="G420" s="161">
        <f>+VLOOKUP(B420,'5.3 Var OPEX 2023-25'!$B$4:$D$160,3,0)</f>
        <v>4.4009396000000096E-2</v>
      </c>
      <c r="H420" s="162" t="s">
        <v>190</v>
      </c>
      <c r="I420" s="297">
        <f t="shared" si="47"/>
        <v>2847.9657963157752</v>
      </c>
      <c r="J420" s="158">
        <f t="shared" si="49"/>
        <v>2847.9657963157752</v>
      </c>
      <c r="K420" s="158">
        <f t="shared" si="49"/>
        <v>2847.9657963157752</v>
      </c>
      <c r="L420" s="158">
        <f t="shared" si="49"/>
        <v>2847.9657963157752</v>
      </c>
      <c r="M420" s="158">
        <f t="shared" si="49"/>
        <v>2847.9657963157752</v>
      </c>
      <c r="N420" s="158">
        <f t="shared" si="49"/>
        <v>2847.9657963157752</v>
      </c>
      <c r="P420" s="2"/>
    </row>
    <row r="421" spans="2:16" x14ac:dyDescent="0.25">
      <c r="B421" s="17">
        <v>6380000012</v>
      </c>
      <c r="C421" s="160" t="s">
        <v>177</v>
      </c>
      <c r="D421" s="160" t="s">
        <v>40</v>
      </c>
      <c r="E421" s="160" t="s">
        <v>111</v>
      </c>
      <c r="F421" s="154">
        <v>5387.2451980098895</v>
      </c>
      <c r="G421" s="161">
        <f>+VLOOKUP(B421,'5.3 Var OPEX 2023-25'!$B$4:$D$160,3,0)</f>
        <v>4.4009396000000096E-2</v>
      </c>
      <c r="H421" s="162" t="s">
        <v>190</v>
      </c>
      <c r="I421" s="297">
        <f t="shared" si="47"/>
        <v>5520.0332918440072</v>
      </c>
      <c r="J421" s="158">
        <f t="shared" si="49"/>
        <v>5520.0332918440072</v>
      </c>
      <c r="K421" s="158">
        <f t="shared" si="49"/>
        <v>5520.0332918440072</v>
      </c>
      <c r="L421" s="158">
        <f t="shared" si="49"/>
        <v>5520.0332918440072</v>
      </c>
      <c r="M421" s="158">
        <f t="shared" si="49"/>
        <v>5520.0332918440072</v>
      </c>
      <c r="N421" s="158">
        <f t="shared" si="49"/>
        <v>5520.0332918440072</v>
      </c>
      <c r="P421" s="2"/>
    </row>
    <row r="422" spans="2:16" x14ac:dyDescent="0.25">
      <c r="B422" s="17">
        <v>6380000014</v>
      </c>
      <c r="C422" s="160" t="s">
        <v>177</v>
      </c>
      <c r="D422" s="160" t="s">
        <v>49</v>
      </c>
      <c r="E422" s="160" t="s">
        <v>112</v>
      </c>
      <c r="F422" s="154">
        <v>0</v>
      </c>
      <c r="G422" s="161">
        <f>+VLOOKUP(B422,'5.3 Var OPEX 2023-25'!$B$4:$D$160,3,0)</f>
        <v>4.4009396000000096E-2</v>
      </c>
      <c r="H422" s="162" t="s">
        <v>190</v>
      </c>
      <c r="I422" s="297">
        <f t="shared" si="47"/>
        <v>0</v>
      </c>
      <c r="J422" s="158">
        <f t="shared" si="49"/>
        <v>0</v>
      </c>
      <c r="K422" s="158">
        <f t="shared" si="49"/>
        <v>0</v>
      </c>
      <c r="L422" s="158">
        <f t="shared" si="49"/>
        <v>0</v>
      </c>
      <c r="M422" s="158">
        <f t="shared" si="49"/>
        <v>0</v>
      </c>
      <c r="N422" s="158">
        <f t="shared" si="49"/>
        <v>0</v>
      </c>
      <c r="P422" s="2"/>
    </row>
    <row r="423" spans="2:16" x14ac:dyDescent="0.25">
      <c r="B423" s="17">
        <v>6380000015</v>
      </c>
      <c r="C423" s="160" t="s">
        <v>177</v>
      </c>
      <c r="D423" s="160" t="s">
        <v>40</v>
      </c>
      <c r="E423" s="160" t="s">
        <v>113</v>
      </c>
      <c r="F423" s="154">
        <v>0</v>
      </c>
      <c r="G423" s="161">
        <f>+VLOOKUP(B423,'5.3 Var OPEX 2023-25'!$B$4:$D$160,3,0)</f>
        <v>4.4009396000000096E-2</v>
      </c>
      <c r="H423" s="162" t="s">
        <v>190</v>
      </c>
      <c r="I423" s="297">
        <f t="shared" si="47"/>
        <v>0</v>
      </c>
      <c r="J423" s="158">
        <f t="shared" si="49"/>
        <v>0</v>
      </c>
      <c r="K423" s="158">
        <f t="shared" si="49"/>
        <v>0</v>
      </c>
      <c r="L423" s="158">
        <f t="shared" si="49"/>
        <v>0</v>
      </c>
      <c r="M423" s="158">
        <f t="shared" si="49"/>
        <v>0</v>
      </c>
      <c r="N423" s="158">
        <f t="shared" si="49"/>
        <v>0</v>
      </c>
      <c r="P423" s="2"/>
    </row>
    <row r="424" spans="2:16" x14ac:dyDescent="0.25">
      <c r="B424" s="17">
        <v>6380000016</v>
      </c>
      <c r="C424" s="160" t="s">
        <v>177</v>
      </c>
      <c r="D424" s="160" t="s">
        <v>49</v>
      </c>
      <c r="E424" s="160" t="s">
        <v>114</v>
      </c>
      <c r="F424" s="154">
        <v>0</v>
      </c>
      <c r="G424" s="161">
        <f>+VLOOKUP(B424,'5.3 Var OPEX 2023-25'!$B$4:$D$160,3,0)</f>
        <v>0</v>
      </c>
      <c r="H424" s="162" t="s">
        <v>190</v>
      </c>
      <c r="I424" s="297">
        <f t="shared" si="47"/>
        <v>0</v>
      </c>
      <c r="J424" s="158">
        <f t="shared" si="49"/>
        <v>0</v>
      </c>
      <c r="K424" s="158">
        <f t="shared" si="49"/>
        <v>0</v>
      </c>
      <c r="L424" s="158">
        <f t="shared" si="49"/>
        <v>0</v>
      </c>
      <c r="M424" s="158">
        <f t="shared" si="49"/>
        <v>0</v>
      </c>
      <c r="N424" s="158">
        <f t="shared" si="49"/>
        <v>0</v>
      </c>
      <c r="P424" s="2"/>
    </row>
    <row r="425" spans="2:16" x14ac:dyDescent="0.25">
      <c r="B425" s="17">
        <v>6380000017</v>
      </c>
      <c r="C425" s="160" t="s">
        <v>177</v>
      </c>
      <c r="D425" s="160" t="s">
        <v>49</v>
      </c>
      <c r="E425" s="160" t="s">
        <v>115</v>
      </c>
      <c r="F425" s="154">
        <v>0</v>
      </c>
      <c r="G425" s="161">
        <f>+VLOOKUP(B425,'5.3 Var OPEX 2023-25'!$B$4:$D$160,3,0)</f>
        <v>4.4009396000000096E-2</v>
      </c>
      <c r="H425" s="162" t="s">
        <v>190</v>
      </c>
      <c r="I425" s="297">
        <f t="shared" si="47"/>
        <v>0</v>
      </c>
      <c r="J425" s="158">
        <f t="shared" ref="J425:N434" si="50">+IF(OR($C425="No Imputables",$H425="m2 fijo"),I425,I425*(1+J$6*J$7))</f>
        <v>0</v>
      </c>
      <c r="K425" s="158">
        <f t="shared" si="50"/>
        <v>0</v>
      </c>
      <c r="L425" s="158">
        <f t="shared" si="50"/>
        <v>0</v>
      </c>
      <c r="M425" s="158">
        <f t="shared" si="50"/>
        <v>0</v>
      </c>
      <c r="N425" s="158">
        <f t="shared" si="50"/>
        <v>0</v>
      </c>
      <c r="P425" s="2"/>
    </row>
    <row r="426" spans="2:16" x14ac:dyDescent="0.25">
      <c r="B426" s="17">
        <v>6380000018</v>
      </c>
      <c r="C426" s="160" t="s">
        <v>177</v>
      </c>
      <c r="D426" s="160" t="s">
        <v>49</v>
      </c>
      <c r="E426" s="160" t="s">
        <v>116</v>
      </c>
      <c r="F426" s="154">
        <v>0</v>
      </c>
      <c r="G426" s="161">
        <f>+VLOOKUP(B426,'5.3 Var OPEX 2023-25'!$B$4:$D$160,3,0)</f>
        <v>4.4009396000000096E-2</v>
      </c>
      <c r="H426" s="162" t="s">
        <v>190</v>
      </c>
      <c r="I426" s="297">
        <f t="shared" si="47"/>
        <v>0</v>
      </c>
      <c r="J426" s="158">
        <f t="shared" si="50"/>
        <v>0</v>
      </c>
      <c r="K426" s="158">
        <f t="shared" si="50"/>
        <v>0</v>
      </c>
      <c r="L426" s="158">
        <f t="shared" si="50"/>
        <v>0</v>
      </c>
      <c r="M426" s="158">
        <f t="shared" si="50"/>
        <v>0</v>
      </c>
      <c r="N426" s="158">
        <f t="shared" si="50"/>
        <v>0</v>
      </c>
      <c r="P426" s="2"/>
    </row>
    <row r="427" spans="2:16" x14ac:dyDescent="0.25">
      <c r="B427" s="17">
        <v>6380000019</v>
      </c>
      <c r="C427" s="160" t="s">
        <v>177</v>
      </c>
      <c r="D427" s="160" t="s">
        <v>40</v>
      </c>
      <c r="E427" s="160" t="s">
        <v>117</v>
      </c>
      <c r="F427" s="154">
        <v>0</v>
      </c>
      <c r="G427" s="161">
        <f>+VLOOKUP(B427,'5.3 Var OPEX 2023-25'!$B$4:$D$160,3,0)</f>
        <v>4.4009396000000096E-2</v>
      </c>
      <c r="H427" s="162" t="s">
        <v>190</v>
      </c>
      <c r="I427" s="297">
        <f t="shared" si="47"/>
        <v>0</v>
      </c>
      <c r="J427" s="158">
        <f t="shared" si="50"/>
        <v>0</v>
      </c>
      <c r="K427" s="158">
        <f t="shared" si="50"/>
        <v>0</v>
      </c>
      <c r="L427" s="158">
        <f t="shared" si="50"/>
        <v>0</v>
      </c>
      <c r="M427" s="158">
        <f t="shared" si="50"/>
        <v>0</v>
      </c>
      <c r="N427" s="158">
        <f t="shared" si="50"/>
        <v>0</v>
      </c>
      <c r="P427" s="2"/>
    </row>
    <row r="428" spans="2:16" x14ac:dyDescent="0.25">
      <c r="B428" s="17">
        <v>6380000020</v>
      </c>
      <c r="C428" s="160" t="s">
        <v>177</v>
      </c>
      <c r="D428" s="160" t="s">
        <v>49</v>
      </c>
      <c r="E428" s="160" t="s">
        <v>118</v>
      </c>
      <c r="F428" s="154">
        <v>0</v>
      </c>
      <c r="G428" s="161">
        <f>+VLOOKUP(B428,'5.3 Var OPEX 2023-25'!$B$4:$D$160,3,0)</f>
        <v>4.4009396000000096E-2</v>
      </c>
      <c r="H428" s="162" t="s">
        <v>190</v>
      </c>
      <c r="I428" s="297">
        <f t="shared" si="47"/>
        <v>0</v>
      </c>
      <c r="J428" s="158">
        <f t="shared" si="50"/>
        <v>0</v>
      </c>
      <c r="K428" s="158">
        <f t="shared" si="50"/>
        <v>0</v>
      </c>
      <c r="L428" s="158">
        <f t="shared" si="50"/>
        <v>0</v>
      </c>
      <c r="M428" s="158">
        <f t="shared" si="50"/>
        <v>0</v>
      </c>
      <c r="N428" s="158">
        <f t="shared" si="50"/>
        <v>0</v>
      </c>
      <c r="P428" s="2"/>
    </row>
    <row r="429" spans="2:16" x14ac:dyDescent="0.25">
      <c r="B429" s="17">
        <v>6380000021</v>
      </c>
      <c r="C429" s="160" t="s">
        <v>177</v>
      </c>
      <c r="D429" s="160" t="s">
        <v>40</v>
      </c>
      <c r="E429" s="160" t="s">
        <v>119</v>
      </c>
      <c r="F429" s="154">
        <v>74990.26992626673</v>
      </c>
      <c r="G429" s="161">
        <f>+VLOOKUP(B429,'5.3 Var OPEX 2023-25'!$B$4:$D$160,3,0)</f>
        <v>4.4009396000000096E-2</v>
      </c>
      <c r="H429" s="162" t="s">
        <v>190</v>
      </c>
      <c r="I429" s="297">
        <f t="shared" si="47"/>
        <v>76838.675676072482</v>
      </c>
      <c r="J429" s="158">
        <f t="shared" si="50"/>
        <v>76838.675676072482</v>
      </c>
      <c r="K429" s="158">
        <f t="shared" si="50"/>
        <v>76838.675676072482</v>
      </c>
      <c r="L429" s="158">
        <f t="shared" si="50"/>
        <v>76838.675676072482</v>
      </c>
      <c r="M429" s="158">
        <f t="shared" si="50"/>
        <v>76838.675676072482</v>
      </c>
      <c r="N429" s="158">
        <f t="shared" si="50"/>
        <v>76838.675676072482</v>
      </c>
      <c r="P429" s="2"/>
    </row>
    <row r="430" spans="2:16" x14ac:dyDescent="0.25">
      <c r="B430" s="17">
        <v>6380000022</v>
      </c>
      <c r="C430" s="160" t="s">
        <v>177</v>
      </c>
      <c r="D430" s="160" t="s">
        <v>40</v>
      </c>
      <c r="E430" s="160" t="s">
        <v>120</v>
      </c>
      <c r="F430" s="154">
        <v>353.46566375549401</v>
      </c>
      <c r="G430" s="161">
        <f>+VLOOKUP(B430,'5.3 Var OPEX 2023-25'!$B$4:$D$160,3,0)</f>
        <v>4.4009396000000096E-2</v>
      </c>
      <c r="H430" s="162" t="s">
        <v>190</v>
      </c>
      <c r="I430" s="297">
        <f t="shared" si="47"/>
        <v>362.17810026074943</v>
      </c>
      <c r="J430" s="158">
        <f t="shared" si="50"/>
        <v>362.17810026074943</v>
      </c>
      <c r="K430" s="158">
        <f t="shared" si="50"/>
        <v>362.17810026074943</v>
      </c>
      <c r="L430" s="158">
        <f t="shared" si="50"/>
        <v>362.17810026074943</v>
      </c>
      <c r="M430" s="158">
        <f t="shared" si="50"/>
        <v>362.17810026074943</v>
      </c>
      <c r="N430" s="158">
        <f t="shared" si="50"/>
        <v>362.17810026074943</v>
      </c>
      <c r="P430" s="2"/>
    </row>
    <row r="431" spans="2:16" x14ac:dyDescent="0.25">
      <c r="B431" s="17">
        <v>6380000023</v>
      </c>
      <c r="C431" s="160" t="s">
        <v>177</v>
      </c>
      <c r="D431" s="160" t="s">
        <v>49</v>
      </c>
      <c r="E431" s="160" t="s">
        <v>121</v>
      </c>
      <c r="F431" s="154">
        <v>0</v>
      </c>
      <c r="G431" s="161">
        <f>+VLOOKUP(B431,'5.3 Var OPEX 2023-25'!$B$4:$D$160,3,0)</f>
        <v>4.4009396000000096E-2</v>
      </c>
      <c r="H431" s="162" t="s">
        <v>190</v>
      </c>
      <c r="I431" s="297">
        <f t="shared" si="47"/>
        <v>0</v>
      </c>
      <c r="J431" s="158">
        <f t="shared" si="50"/>
        <v>0</v>
      </c>
      <c r="K431" s="158">
        <f t="shared" si="50"/>
        <v>0</v>
      </c>
      <c r="L431" s="158">
        <f t="shared" si="50"/>
        <v>0</v>
      </c>
      <c r="M431" s="158">
        <f t="shared" si="50"/>
        <v>0</v>
      </c>
      <c r="N431" s="158">
        <f t="shared" si="50"/>
        <v>0</v>
      </c>
      <c r="P431" s="2"/>
    </row>
    <row r="432" spans="2:16" x14ac:dyDescent="0.25">
      <c r="B432" s="17">
        <v>6380000024</v>
      </c>
      <c r="C432" s="160" t="s">
        <v>177</v>
      </c>
      <c r="D432" s="160" t="s">
        <v>49</v>
      </c>
      <c r="E432" s="160" t="s">
        <v>122</v>
      </c>
      <c r="F432" s="154">
        <v>0</v>
      </c>
      <c r="G432" s="161">
        <f>+VLOOKUP(B432,'5.3 Var OPEX 2023-25'!$B$4:$D$160,3,0)</f>
        <v>4.4009396000000096E-2</v>
      </c>
      <c r="H432" s="162" t="s">
        <v>190</v>
      </c>
      <c r="I432" s="297">
        <f t="shared" si="47"/>
        <v>0</v>
      </c>
      <c r="J432" s="158">
        <f t="shared" si="50"/>
        <v>0</v>
      </c>
      <c r="K432" s="158">
        <f t="shared" si="50"/>
        <v>0</v>
      </c>
      <c r="L432" s="158">
        <f t="shared" si="50"/>
        <v>0</v>
      </c>
      <c r="M432" s="158">
        <f t="shared" si="50"/>
        <v>0</v>
      </c>
      <c r="N432" s="158">
        <f t="shared" si="50"/>
        <v>0</v>
      </c>
      <c r="P432" s="2"/>
    </row>
    <row r="433" spans="2:16" x14ac:dyDescent="0.25">
      <c r="B433" s="17">
        <v>6380000025</v>
      </c>
      <c r="C433" s="160" t="s">
        <v>177</v>
      </c>
      <c r="D433" s="160" t="s">
        <v>49</v>
      </c>
      <c r="E433" s="160" t="s">
        <v>123</v>
      </c>
      <c r="F433" s="154">
        <v>0</v>
      </c>
      <c r="G433" s="161">
        <f>+VLOOKUP(B433,'5.3 Var OPEX 2023-25'!$B$4:$D$160,3,0)</f>
        <v>4.4009396000000096E-2</v>
      </c>
      <c r="H433" s="162" t="s">
        <v>190</v>
      </c>
      <c r="I433" s="297">
        <f t="shared" si="47"/>
        <v>0</v>
      </c>
      <c r="J433" s="158">
        <f t="shared" si="50"/>
        <v>0</v>
      </c>
      <c r="K433" s="158">
        <f t="shared" si="50"/>
        <v>0</v>
      </c>
      <c r="L433" s="158">
        <f t="shared" si="50"/>
        <v>0</v>
      </c>
      <c r="M433" s="158">
        <f t="shared" si="50"/>
        <v>0</v>
      </c>
      <c r="N433" s="158">
        <f t="shared" si="50"/>
        <v>0</v>
      </c>
      <c r="P433" s="2"/>
    </row>
    <row r="434" spans="2:16" x14ac:dyDescent="0.25">
      <c r="B434" s="17">
        <v>6380000026</v>
      </c>
      <c r="C434" s="160" t="s">
        <v>177</v>
      </c>
      <c r="D434" s="160" t="s">
        <v>49</v>
      </c>
      <c r="E434" s="160" t="s">
        <v>124</v>
      </c>
      <c r="F434" s="154">
        <v>0</v>
      </c>
      <c r="G434" s="161">
        <f>+VLOOKUP(B434,'5.3 Var OPEX 2023-25'!$B$4:$D$160,3,0)</f>
        <v>4.4009396000000096E-2</v>
      </c>
      <c r="H434" s="162" t="s">
        <v>190</v>
      </c>
      <c r="I434" s="297">
        <f t="shared" si="47"/>
        <v>0</v>
      </c>
      <c r="J434" s="158">
        <f t="shared" si="50"/>
        <v>0</v>
      </c>
      <c r="K434" s="158">
        <f t="shared" si="50"/>
        <v>0</v>
      </c>
      <c r="L434" s="158">
        <f t="shared" si="50"/>
        <v>0</v>
      </c>
      <c r="M434" s="158">
        <f t="shared" si="50"/>
        <v>0</v>
      </c>
      <c r="N434" s="158">
        <f t="shared" si="50"/>
        <v>0</v>
      </c>
      <c r="P434" s="2"/>
    </row>
    <row r="435" spans="2:16" x14ac:dyDescent="0.25">
      <c r="B435" s="17">
        <v>6380000027</v>
      </c>
      <c r="C435" s="160" t="s">
        <v>177</v>
      </c>
      <c r="D435" s="160" t="s">
        <v>49</v>
      </c>
      <c r="E435" s="160" t="s">
        <v>125</v>
      </c>
      <c r="F435" s="154">
        <v>0</v>
      </c>
      <c r="G435" s="161">
        <f>+VLOOKUP(B435,'5.3 Var OPEX 2023-25'!$B$4:$D$160,3,0)</f>
        <v>4.4009396000000096E-2</v>
      </c>
      <c r="H435" s="162" t="s">
        <v>190</v>
      </c>
      <c r="I435" s="297">
        <f t="shared" si="47"/>
        <v>0</v>
      </c>
      <c r="J435" s="158">
        <f t="shared" ref="J435:N444" si="51">+IF(OR($C435="No Imputables",$H435="m2 fijo"),I435,I435*(1+J$6*J$7))</f>
        <v>0</v>
      </c>
      <c r="K435" s="158">
        <f t="shared" si="51"/>
        <v>0</v>
      </c>
      <c r="L435" s="158">
        <f t="shared" si="51"/>
        <v>0</v>
      </c>
      <c r="M435" s="158">
        <f t="shared" si="51"/>
        <v>0</v>
      </c>
      <c r="N435" s="158">
        <f t="shared" si="51"/>
        <v>0</v>
      </c>
      <c r="P435" s="2"/>
    </row>
    <row r="436" spans="2:16" x14ac:dyDescent="0.25">
      <c r="B436" s="17">
        <v>6380000028</v>
      </c>
      <c r="C436" s="160" t="s">
        <v>177</v>
      </c>
      <c r="D436" s="160" t="s">
        <v>49</v>
      </c>
      <c r="E436" s="160" t="s">
        <v>126</v>
      </c>
      <c r="F436" s="154">
        <v>0</v>
      </c>
      <c r="G436" s="161">
        <f>+VLOOKUP(B436,'5.3 Var OPEX 2023-25'!$B$4:$D$160,3,0)</f>
        <v>4.4009396000000096E-2</v>
      </c>
      <c r="H436" s="162" t="s">
        <v>190</v>
      </c>
      <c r="I436" s="297">
        <f t="shared" si="47"/>
        <v>0</v>
      </c>
      <c r="J436" s="158">
        <f t="shared" si="51"/>
        <v>0</v>
      </c>
      <c r="K436" s="158">
        <f t="shared" si="51"/>
        <v>0</v>
      </c>
      <c r="L436" s="158">
        <f t="shared" si="51"/>
        <v>0</v>
      </c>
      <c r="M436" s="158">
        <f t="shared" si="51"/>
        <v>0</v>
      </c>
      <c r="N436" s="158">
        <f t="shared" si="51"/>
        <v>0</v>
      </c>
      <c r="P436" s="2"/>
    </row>
    <row r="437" spans="2:16" x14ac:dyDescent="0.25">
      <c r="B437" s="17">
        <v>6380000029</v>
      </c>
      <c r="C437" s="160" t="s">
        <v>177</v>
      </c>
      <c r="D437" s="160" t="s">
        <v>40</v>
      </c>
      <c r="E437" s="160" t="s">
        <v>127</v>
      </c>
      <c r="F437" s="154">
        <v>0</v>
      </c>
      <c r="G437" s="161">
        <f>+VLOOKUP(B437,'5.3 Var OPEX 2023-25'!$B$4:$D$160,3,0)</f>
        <v>4.4009396000000096E-2</v>
      </c>
      <c r="H437" s="162" t="s">
        <v>190</v>
      </c>
      <c r="I437" s="297">
        <f t="shared" si="47"/>
        <v>0</v>
      </c>
      <c r="J437" s="158">
        <f t="shared" si="51"/>
        <v>0</v>
      </c>
      <c r="K437" s="158">
        <f t="shared" si="51"/>
        <v>0</v>
      </c>
      <c r="L437" s="158">
        <f t="shared" si="51"/>
        <v>0</v>
      </c>
      <c r="M437" s="158">
        <f t="shared" si="51"/>
        <v>0</v>
      </c>
      <c r="N437" s="158">
        <f t="shared" si="51"/>
        <v>0</v>
      </c>
      <c r="P437" s="2"/>
    </row>
    <row r="438" spans="2:16" x14ac:dyDescent="0.25">
      <c r="B438" s="17">
        <v>6380000030</v>
      </c>
      <c r="C438" s="160" t="s">
        <v>177</v>
      </c>
      <c r="D438" s="160" t="s">
        <v>40</v>
      </c>
      <c r="E438" s="160" t="s">
        <v>128</v>
      </c>
      <c r="F438" s="154">
        <v>314224.49817257142</v>
      </c>
      <c r="G438" s="161">
        <f>+VLOOKUP(B438,'5.3 Var OPEX 2023-25'!$B$4:$D$160,3,0)</f>
        <v>3.290536457674488</v>
      </c>
      <c r="H438" s="162" t="s">
        <v>190</v>
      </c>
      <c r="I438" s="297">
        <f t="shared" si="47"/>
        <v>1323189.9235297998</v>
      </c>
      <c r="J438" s="158">
        <f t="shared" si="51"/>
        <v>1323189.9235297998</v>
      </c>
      <c r="K438" s="158">
        <f t="shared" si="51"/>
        <v>1323189.9235297998</v>
      </c>
      <c r="L438" s="158">
        <f t="shared" si="51"/>
        <v>1323189.9235297998</v>
      </c>
      <c r="M438" s="158">
        <f t="shared" si="51"/>
        <v>1323189.9235297998</v>
      </c>
      <c r="N438" s="158">
        <f t="shared" si="51"/>
        <v>1323189.9235297998</v>
      </c>
      <c r="P438" s="2"/>
    </row>
    <row r="439" spans="2:16" x14ac:dyDescent="0.25">
      <c r="B439" s="17">
        <v>6380000031</v>
      </c>
      <c r="C439" s="160" t="s">
        <v>177</v>
      </c>
      <c r="D439" s="160" t="s">
        <v>49</v>
      </c>
      <c r="E439" s="160" t="s">
        <v>129</v>
      </c>
      <c r="F439" s="154">
        <v>0</v>
      </c>
      <c r="G439" s="161">
        <f>+VLOOKUP(B439,'5.3 Var OPEX 2023-25'!$B$4:$D$160,3,0)</f>
        <v>4.4009396000000096E-2</v>
      </c>
      <c r="H439" s="162" t="s">
        <v>190</v>
      </c>
      <c r="I439" s="297">
        <f t="shared" si="47"/>
        <v>0</v>
      </c>
      <c r="J439" s="158">
        <f t="shared" si="51"/>
        <v>0</v>
      </c>
      <c r="K439" s="158">
        <f t="shared" si="51"/>
        <v>0</v>
      </c>
      <c r="L439" s="158">
        <f t="shared" si="51"/>
        <v>0</v>
      </c>
      <c r="M439" s="158">
        <f t="shared" si="51"/>
        <v>0</v>
      </c>
      <c r="N439" s="158">
        <f t="shared" si="51"/>
        <v>0</v>
      </c>
      <c r="P439" s="2"/>
    </row>
    <row r="440" spans="2:16" x14ac:dyDescent="0.25">
      <c r="B440" s="17">
        <v>6381000001</v>
      </c>
      <c r="C440" s="160" t="s">
        <v>177</v>
      </c>
      <c r="D440" s="160" t="s">
        <v>49</v>
      </c>
      <c r="E440" s="160" t="s">
        <v>130</v>
      </c>
      <c r="F440" s="154">
        <v>0</v>
      </c>
      <c r="G440" s="161">
        <f>+VLOOKUP(B440,'5.3 Var OPEX 2023-25'!$B$4:$D$160,3,0)</f>
        <v>4.4009396000000096E-2</v>
      </c>
      <c r="H440" s="162" t="s">
        <v>190</v>
      </c>
      <c r="I440" s="297">
        <f t="shared" si="47"/>
        <v>0</v>
      </c>
      <c r="J440" s="158">
        <f t="shared" si="51"/>
        <v>0</v>
      </c>
      <c r="K440" s="158">
        <f t="shared" si="51"/>
        <v>0</v>
      </c>
      <c r="L440" s="158">
        <f t="shared" si="51"/>
        <v>0</v>
      </c>
      <c r="M440" s="158">
        <f t="shared" si="51"/>
        <v>0</v>
      </c>
      <c r="N440" s="158">
        <f t="shared" si="51"/>
        <v>0</v>
      </c>
      <c r="P440" s="2"/>
    </row>
    <row r="441" spans="2:16" x14ac:dyDescent="0.25">
      <c r="B441" s="17">
        <v>6381000002</v>
      </c>
      <c r="C441" s="160" t="s">
        <v>177</v>
      </c>
      <c r="D441" s="160" t="s">
        <v>49</v>
      </c>
      <c r="E441" s="160" t="s">
        <v>131</v>
      </c>
      <c r="F441" s="154">
        <v>25666.41649963586</v>
      </c>
      <c r="G441" s="161">
        <f>+VLOOKUP(B441,'5.3 Var OPEX 2023-25'!$B$4:$D$160,3,0)</f>
        <v>4.4009396000000096E-2</v>
      </c>
      <c r="H441" s="162" t="s">
        <v>190</v>
      </c>
      <c r="I441" s="297">
        <f t="shared" si="47"/>
        <v>26299.057932737553</v>
      </c>
      <c r="J441" s="158">
        <f t="shared" si="51"/>
        <v>26299.057932737553</v>
      </c>
      <c r="K441" s="158">
        <f t="shared" si="51"/>
        <v>26299.057932737553</v>
      </c>
      <c r="L441" s="158">
        <f t="shared" si="51"/>
        <v>26299.057932737553</v>
      </c>
      <c r="M441" s="158">
        <f t="shared" si="51"/>
        <v>26299.057932737553</v>
      </c>
      <c r="N441" s="158">
        <f t="shared" si="51"/>
        <v>26299.057932737553</v>
      </c>
      <c r="P441" s="2"/>
    </row>
    <row r="442" spans="2:16" x14ac:dyDescent="0.25">
      <c r="B442" s="17">
        <v>6381000003</v>
      </c>
      <c r="C442" s="160" t="s">
        <v>177</v>
      </c>
      <c r="D442" s="160" t="s">
        <v>49</v>
      </c>
      <c r="E442" s="160" t="s">
        <v>132</v>
      </c>
      <c r="F442" s="154">
        <v>0</v>
      </c>
      <c r="G442" s="161">
        <f>+VLOOKUP(B442,'5.3 Var OPEX 2023-25'!$B$4:$D$160,3,0)</f>
        <v>4.4009396000000096E-2</v>
      </c>
      <c r="H442" s="162" t="s">
        <v>190</v>
      </c>
      <c r="I442" s="297">
        <f t="shared" si="47"/>
        <v>0</v>
      </c>
      <c r="J442" s="158">
        <f t="shared" si="51"/>
        <v>0</v>
      </c>
      <c r="K442" s="158">
        <f t="shared" si="51"/>
        <v>0</v>
      </c>
      <c r="L442" s="158">
        <f t="shared" si="51"/>
        <v>0</v>
      </c>
      <c r="M442" s="158">
        <f t="shared" si="51"/>
        <v>0</v>
      </c>
      <c r="N442" s="158">
        <f t="shared" si="51"/>
        <v>0</v>
      </c>
      <c r="P442" s="2"/>
    </row>
    <row r="443" spans="2:16" x14ac:dyDescent="0.25">
      <c r="B443" s="17">
        <v>6381000004</v>
      </c>
      <c r="C443" s="160" t="s">
        <v>177</v>
      </c>
      <c r="D443" s="160" t="s">
        <v>40</v>
      </c>
      <c r="E443" s="160" t="s">
        <v>133</v>
      </c>
      <c r="F443" s="154">
        <v>0</v>
      </c>
      <c r="G443" s="161">
        <f>+VLOOKUP(B443,'5.3 Var OPEX 2023-25'!$B$4:$D$160,3,0)</f>
        <v>4.4009396000000096E-2</v>
      </c>
      <c r="H443" s="162" t="s">
        <v>190</v>
      </c>
      <c r="I443" s="297">
        <f t="shared" si="47"/>
        <v>0</v>
      </c>
      <c r="J443" s="158">
        <f t="shared" si="51"/>
        <v>0</v>
      </c>
      <c r="K443" s="158">
        <f t="shared" si="51"/>
        <v>0</v>
      </c>
      <c r="L443" s="158">
        <f t="shared" si="51"/>
        <v>0</v>
      </c>
      <c r="M443" s="158">
        <f t="shared" si="51"/>
        <v>0</v>
      </c>
      <c r="N443" s="158">
        <f t="shared" si="51"/>
        <v>0</v>
      </c>
      <c r="P443" s="2"/>
    </row>
    <row r="444" spans="2:16" x14ac:dyDescent="0.25">
      <c r="B444" s="17">
        <v>6381000005</v>
      </c>
      <c r="C444" s="160" t="s">
        <v>177</v>
      </c>
      <c r="D444" s="160" t="s">
        <v>49</v>
      </c>
      <c r="E444" s="160" t="s">
        <v>134</v>
      </c>
      <c r="F444" s="154">
        <v>0</v>
      </c>
      <c r="G444" s="161">
        <f>+VLOOKUP(B444,'5.3 Var OPEX 2023-25'!$B$4:$D$160,3,0)</f>
        <v>4.4009396000000096E-2</v>
      </c>
      <c r="H444" s="162" t="s">
        <v>190</v>
      </c>
      <c r="I444" s="297">
        <f t="shared" si="47"/>
        <v>0</v>
      </c>
      <c r="J444" s="158">
        <f t="shared" si="51"/>
        <v>0</v>
      </c>
      <c r="K444" s="158">
        <f t="shared" si="51"/>
        <v>0</v>
      </c>
      <c r="L444" s="158">
        <f t="shared" si="51"/>
        <v>0</v>
      </c>
      <c r="M444" s="158">
        <f t="shared" si="51"/>
        <v>0</v>
      </c>
      <c r="N444" s="158">
        <f t="shared" si="51"/>
        <v>0</v>
      </c>
      <c r="P444" s="2"/>
    </row>
    <row r="445" spans="2:16" x14ac:dyDescent="0.25">
      <c r="B445" s="17">
        <v>6381000006</v>
      </c>
      <c r="C445" s="160" t="s">
        <v>177</v>
      </c>
      <c r="D445" s="160" t="s">
        <v>49</v>
      </c>
      <c r="E445" s="160" t="s">
        <v>135</v>
      </c>
      <c r="F445" s="154">
        <v>0</v>
      </c>
      <c r="G445" s="161">
        <f>+VLOOKUP(B445,'5.3 Var OPEX 2023-25'!$B$4:$D$160,3,0)</f>
        <v>4.4009396000000096E-2</v>
      </c>
      <c r="H445" s="162" t="s">
        <v>190</v>
      </c>
      <c r="I445" s="297">
        <f t="shared" si="47"/>
        <v>0</v>
      </c>
      <c r="J445" s="158">
        <f t="shared" ref="J445:N454" si="52">+IF(OR($C445="No Imputables",$H445="m2 fijo"),I445,I445*(1+J$6*J$7))</f>
        <v>0</v>
      </c>
      <c r="K445" s="158">
        <f t="shared" si="52"/>
        <v>0</v>
      </c>
      <c r="L445" s="158">
        <f t="shared" si="52"/>
        <v>0</v>
      </c>
      <c r="M445" s="158">
        <f t="shared" si="52"/>
        <v>0</v>
      </c>
      <c r="N445" s="158">
        <f t="shared" si="52"/>
        <v>0</v>
      </c>
      <c r="P445" s="2"/>
    </row>
    <row r="446" spans="2:16" x14ac:dyDescent="0.25">
      <c r="B446" s="17">
        <v>6382000001</v>
      </c>
      <c r="C446" s="160" t="s">
        <v>177</v>
      </c>
      <c r="D446" s="160" t="s">
        <v>40</v>
      </c>
      <c r="E446" s="160" t="s">
        <v>136</v>
      </c>
      <c r="F446" s="154">
        <v>76696.46308064046</v>
      </c>
      <c r="G446" s="161">
        <f>+VLOOKUP(B446,'5.3 Var OPEX 2023-25'!$B$4:$D$160,3,0)</f>
        <v>1.0528702981147076</v>
      </c>
      <c r="H446" s="162" t="s">
        <v>190</v>
      </c>
      <c r="I446" s="297">
        <f t="shared" si="47"/>
        <v>154528.07508881312</v>
      </c>
      <c r="J446" s="158">
        <f t="shared" si="52"/>
        <v>154528.07508881312</v>
      </c>
      <c r="K446" s="158">
        <f t="shared" si="52"/>
        <v>154528.07508881312</v>
      </c>
      <c r="L446" s="158">
        <f t="shared" si="52"/>
        <v>154528.07508881312</v>
      </c>
      <c r="M446" s="158">
        <f t="shared" si="52"/>
        <v>154528.07508881312</v>
      </c>
      <c r="N446" s="158">
        <f t="shared" si="52"/>
        <v>154528.07508881312</v>
      </c>
      <c r="P446" s="2"/>
    </row>
    <row r="447" spans="2:16" x14ac:dyDescent="0.25">
      <c r="B447" s="17">
        <v>6382000002</v>
      </c>
      <c r="C447" s="160" t="s">
        <v>177</v>
      </c>
      <c r="D447" s="160" t="s">
        <v>40</v>
      </c>
      <c r="E447" s="160" t="s">
        <v>137</v>
      </c>
      <c r="F447" s="154">
        <v>17840.866975890927</v>
      </c>
      <c r="G447" s="161">
        <f>+VLOOKUP(B447,'5.3 Var OPEX 2023-25'!$B$4:$D$160,3,0)</f>
        <v>4.4009396000000096E-2</v>
      </c>
      <c r="H447" s="162" t="s">
        <v>190</v>
      </c>
      <c r="I447" s="297">
        <f t="shared" si="47"/>
        <v>18280.619508215197</v>
      </c>
      <c r="J447" s="158">
        <f t="shared" si="52"/>
        <v>18280.619508215197</v>
      </c>
      <c r="K447" s="158">
        <f t="shared" si="52"/>
        <v>18280.619508215197</v>
      </c>
      <c r="L447" s="158">
        <f t="shared" si="52"/>
        <v>18280.619508215197</v>
      </c>
      <c r="M447" s="158">
        <f t="shared" si="52"/>
        <v>18280.619508215197</v>
      </c>
      <c r="N447" s="158">
        <f t="shared" si="52"/>
        <v>18280.619508215197</v>
      </c>
      <c r="P447" s="2"/>
    </row>
    <row r="448" spans="2:16" x14ac:dyDescent="0.25">
      <c r="B448" s="17">
        <v>6390000001</v>
      </c>
      <c r="C448" s="160" t="s">
        <v>177</v>
      </c>
      <c r="D448" s="160" t="s">
        <v>38</v>
      </c>
      <c r="E448" s="160" t="s">
        <v>138</v>
      </c>
      <c r="F448" s="154">
        <v>0</v>
      </c>
      <c r="G448" s="161">
        <f>+VLOOKUP(B448,'5.3 Var OPEX 2023-25'!$B$4:$D$160,3,0)</f>
        <v>4.4009396000000096E-2</v>
      </c>
      <c r="H448" s="162" t="s">
        <v>190</v>
      </c>
      <c r="I448" s="297">
        <f t="shared" si="47"/>
        <v>0</v>
      </c>
      <c r="J448" s="158">
        <f t="shared" si="52"/>
        <v>0</v>
      </c>
      <c r="K448" s="158">
        <f t="shared" si="52"/>
        <v>0</v>
      </c>
      <c r="L448" s="158">
        <f t="shared" si="52"/>
        <v>0</v>
      </c>
      <c r="M448" s="158">
        <f t="shared" si="52"/>
        <v>0</v>
      </c>
      <c r="N448" s="158">
        <f t="shared" si="52"/>
        <v>0</v>
      </c>
      <c r="P448" s="2"/>
    </row>
    <row r="449" spans="1:16" x14ac:dyDescent="0.25">
      <c r="B449" s="17">
        <v>6391000001</v>
      </c>
      <c r="C449" s="160" t="s">
        <v>177</v>
      </c>
      <c r="D449" s="160" t="s">
        <v>38</v>
      </c>
      <c r="E449" s="160" t="s">
        <v>139</v>
      </c>
      <c r="F449" s="154">
        <v>66908.970771889712</v>
      </c>
      <c r="G449" s="161">
        <f>+VLOOKUP(B449,'5.3 Var OPEX 2023-25'!$B$4:$D$160,3,0)</f>
        <v>4.4009396000000096E-2</v>
      </c>
      <c r="H449" s="162" t="s">
        <v>190</v>
      </c>
      <c r="I449" s="297">
        <f t="shared" si="47"/>
        <v>68558.18374858587</v>
      </c>
      <c r="J449" s="158">
        <f t="shared" si="52"/>
        <v>68558.18374858587</v>
      </c>
      <c r="K449" s="158">
        <f t="shared" si="52"/>
        <v>68558.18374858587</v>
      </c>
      <c r="L449" s="158">
        <f t="shared" si="52"/>
        <v>68558.18374858587</v>
      </c>
      <c r="M449" s="158">
        <f t="shared" si="52"/>
        <v>68558.18374858587</v>
      </c>
      <c r="N449" s="158">
        <f t="shared" si="52"/>
        <v>68558.18374858587</v>
      </c>
      <c r="P449" s="2"/>
    </row>
    <row r="450" spans="1:16" x14ac:dyDescent="0.25">
      <c r="B450" s="17">
        <v>6391000003</v>
      </c>
      <c r="C450" s="160" t="s">
        <v>177</v>
      </c>
      <c r="D450" s="160" t="s">
        <v>38</v>
      </c>
      <c r="E450" s="160" t="s">
        <v>140</v>
      </c>
      <c r="F450" s="154">
        <v>36278.213539739998</v>
      </c>
      <c r="G450" s="161">
        <f>+VLOOKUP(B450,'5.3 Var OPEX 2023-25'!$B$4:$D$160,3,0)</f>
        <v>4.4009396000000096E-2</v>
      </c>
      <c r="H450" s="162" t="s">
        <v>190</v>
      </c>
      <c r="I450" s="297">
        <f t="shared" si="47"/>
        <v>37172.420995793553</v>
      </c>
      <c r="J450" s="158">
        <f t="shared" si="52"/>
        <v>37172.420995793553</v>
      </c>
      <c r="K450" s="158">
        <f t="shared" si="52"/>
        <v>37172.420995793553</v>
      </c>
      <c r="L450" s="158">
        <f t="shared" si="52"/>
        <v>37172.420995793553</v>
      </c>
      <c r="M450" s="158">
        <f t="shared" si="52"/>
        <v>37172.420995793553</v>
      </c>
      <c r="N450" s="158">
        <f t="shared" si="52"/>
        <v>37172.420995793553</v>
      </c>
      <c r="P450" s="2"/>
    </row>
    <row r="451" spans="1:16" x14ac:dyDescent="0.25">
      <c r="A451" s="37"/>
      <c r="B451" s="17">
        <v>6410000001</v>
      </c>
      <c r="C451" s="160" t="s">
        <v>177</v>
      </c>
      <c r="D451" s="160" t="s">
        <v>38</v>
      </c>
      <c r="E451" s="160" t="s">
        <v>141</v>
      </c>
      <c r="F451" s="154">
        <v>0</v>
      </c>
      <c r="G451" s="161">
        <f>+VLOOKUP(B451,'5.3 Var OPEX 2023-25'!$B$4:$D$160,3,0)</f>
        <v>4.4009396000000096E-2</v>
      </c>
      <c r="H451" s="162" t="s">
        <v>190</v>
      </c>
      <c r="I451" s="297">
        <f t="shared" si="47"/>
        <v>0</v>
      </c>
      <c r="J451" s="158">
        <f t="shared" si="52"/>
        <v>0</v>
      </c>
      <c r="K451" s="158">
        <f t="shared" si="52"/>
        <v>0</v>
      </c>
      <c r="L451" s="158">
        <f t="shared" si="52"/>
        <v>0</v>
      </c>
      <c r="M451" s="158">
        <f t="shared" si="52"/>
        <v>0</v>
      </c>
      <c r="N451" s="158">
        <f t="shared" si="52"/>
        <v>0</v>
      </c>
      <c r="P451" s="2"/>
    </row>
    <row r="452" spans="1:16" x14ac:dyDescent="0.25">
      <c r="B452" s="17">
        <v>6410000002</v>
      </c>
      <c r="C452" s="160" t="s">
        <v>177</v>
      </c>
      <c r="D452" s="160" t="s">
        <v>38</v>
      </c>
      <c r="E452" s="160" t="s">
        <v>142</v>
      </c>
      <c r="F452" s="154">
        <v>0</v>
      </c>
      <c r="G452" s="161">
        <f>+VLOOKUP(B452,'5.3 Var OPEX 2023-25'!$B$4:$D$160,3,0)</f>
        <v>4.4009396000000096E-2</v>
      </c>
      <c r="H452" s="162" t="s">
        <v>190</v>
      </c>
      <c r="I452" s="297">
        <f t="shared" si="47"/>
        <v>0</v>
      </c>
      <c r="J452" s="158">
        <f t="shared" si="52"/>
        <v>0</v>
      </c>
      <c r="K452" s="158">
        <f t="shared" si="52"/>
        <v>0</v>
      </c>
      <c r="L452" s="158">
        <f t="shared" si="52"/>
        <v>0</v>
      </c>
      <c r="M452" s="158">
        <f t="shared" si="52"/>
        <v>0</v>
      </c>
      <c r="N452" s="158">
        <f t="shared" si="52"/>
        <v>0</v>
      </c>
      <c r="P452" s="2"/>
    </row>
    <row r="453" spans="1:16" x14ac:dyDescent="0.25">
      <c r="B453" s="17">
        <v>6430000001</v>
      </c>
      <c r="C453" s="160" t="s">
        <v>177</v>
      </c>
      <c r="D453" s="160" t="s">
        <v>38</v>
      </c>
      <c r="E453" s="160" t="s">
        <v>143</v>
      </c>
      <c r="F453" s="154">
        <v>15660.996449479668</v>
      </c>
      <c r="G453" s="161">
        <f>+VLOOKUP(B453,'5.3 Var OPEX 2023-25'!$B$4:$D$160,3,0)</f>
        <v>4.4009396000000096E-2</v>
      </c>
      <c r="H453" s="162" t="s">
        <v>192</v>
      </c>
      <c r="I453" s="297">
        <f t="shared" si="47"/>
        <v>16047.01820821408</v>
      </c>
      <c r="J453" s="158">
        <f t="shared" si="52"/>
        <v>16047.01820821408</v>
      </c>
      <c r="K453" s="158">
        <f t="shared" si="52"/>
        <v>16047.01820821408</v>
      </c>
      <c r="L453" s="158">
        <f t="shared" si="52"/>
        <v>16047.01820821408</v>
      </c>
      <c r="M453" s="158">
        <f t="shared" si="52"/>
        <v>16047.01820821408</v>
      </c>
      <c r="N453" s="158">
        <f t="shared" si="52"/>
        <v>16047.01820821408</v>
      </c>
      <c r="P453" s="2"/>
    </row>
    <row r="454" spans="1:16" x14ac:dyDescent="0.25">
      <c r="B454" s="17">
        <v>6430000002</v>
      </c>
      <c r="C454" s="160" t="s">
        <v>177</v>
      </c>
      <c r="D454" s="160" t="s">
        <v>38</v>
      </c>
      <c r="E454" s="160" t="s">
        <v>144</v>
      </c>
      <c r="F454" s="154">
        <v>1831.2834608139908</v>
      </c>
      <c r="G454" s="161">
        <f>+VLOOKUP(B454,'5.3 Var OPEX 2023-25'!$B$4:$D$160,3,0)</f>
        <v>4.4009396000000096E-2</v>
      </c>
      <c r="H454" s="162" t="s">
        <v>192</v>
      </c>
      <c r="I454" s="297">
        <f t="shared" si="47"/>
        <v>1876.422048551053</v>
      </c>
      <c r="J454" s="158">
        <f t="shared" si="52"/>
        <v>1876.422048551053</v>
      </c>
      <c r="K454" s="158">
        <f t="shared" si="52"/>
        <v>1876.422048551053</v>
      </c>
      <c r="L454" s="158">
        <f t="shared" si="52"/>
        <v>1876.422048551053</v>
      </c>
      <c r="M454" s="158">
        <f t="shared" si="52"/>
        <v>1876.422048551053</v>
      </c>
      <c r="N454" s="158">
        <f t="shared" si="52"/>
        <v>1876.422048551053</v>
      </c>
      <c r="P454" s="2"/>
    </row>
    <row r="455" spans="1:16" x14ac:dyDescent="0.25">
      <c r="B455" s="17">
        <v>6430000003</v>
      </c>
      <c r="C455" s="160" t="s">
        <v>177</v>
      </c>
      <c r="D455" s="160" t="s">
        <v>38</v>
      </c>
      <c r="E455" s="160" t="s">
        <v>145</v>
      </c>
      <c r="F455" s="154">
        <v>499.9944589848941</v>
      </c>
      <c r="G455" s="161">
        <f>+VLOOKUP(B455,'5.3 Var OPEX 2023-25'!$B$4:$D$160,3,0)</f>
        <v>4.4009396000000096E-2</v>
      </c>
      <c r="H455" s="162" t="s">
        <v>190</v>
      </c>
      <c r="I455" s="297">
        <f t="shared" si="47"/>
        <v>512.31862629043121</v>
      </c>
      <c r="J455" s="158">
        <f t="shared" ref="J455:N464" si="53">+IF(OR($C455="No Imputables",$H455="m2 fijo"),I455,I455*(1+J$6*J$7))</f>
        <v>512.31862629043121</v>
      </c>
      <c r="K455" s="158">
        <f t="shared" si="53"/>
        <v>512.31862629043121</v>
      </c>
      <c r="L455" s="158">
        <f t="shared" si="53"/>
        <v>512.31862629043121</v>
      </c>
      <c r="M455" s="158">
        <f t="shared" si="53"/>
        <v>512.31862629043121</v>
      </c>
      <c r="N455" s="158">
        <f t="shared" si="53"/>
        <v>512.31862629043121</v>
      </c>
      <c r="P455" s="2"/>
    </row>
    <row r="456" spans="1:16" x14ac:dyDescent="0.25">
      <c r="B456" s="17">
        <v>6510000001</v>
      </c>
      <c r="C456" s="160" t="s">
        <v>177</v>
      </c>
      <c r="D456" s="160" t="s">
        <v>38</v>
      </c>
      <c r="E456" s="160" t="s">
        <v>146</v>
      </c>
      <c r="F456" s="154">
        <v>27387.188422098901</v>
      </c>
      <c r="G456" s="161">
        <f>+VLOOKUP(B456,'5.3 Var OPEX 2023-25'!$B$4:$D$160,3,0)</f>
        <v>0.2404668693070342</v>
      </c>
      <c r="H456" s="162" t="s">
        <v>192</v>
      </c>
      <c r="I456" s="297">
        <f t="shared" si="47"/>
        <v>33342.884363257872</v>
      </c>
      <c r="J456" s="158">
        <f t="shared" si="53"/>
        <v>33342.884363257872</v>
      </c>
      <c r="K456" s="158">
        <f t="shared" si="53"/>
        <v>33342.884363257872</v>
      </c>
      <c r="L456" s="158">
        <f t="shared" si="53"/>
        <v>33342.884363257872</v>
      </c>
      <c r="M456" s="158">
        <f t="shared" si="53"/>
        <v>33342.884363257872</v>
      </c>
      <c r="N456" s="158">
        <f t="shared" si="53"/>
        <v>33342.884363257872</v>
      </c>
      <c r="P456" s="2"/>
    </row>
    <row r="457" spans="1:16" x14ac:dyDescent="0.25">
      <c r="B457" s="17">
        <v>6530000001</v>
      </c>
      <c r="C457" s="160" t="s">
        <v>177</v>
      </c>
      <c r="D457" s="160" t="s">
        <v>38</v>
      </c>
      <c r="E457" s="160" t="s">
        <v>147</v>
      </c>
      <c r="F457" s="154">
        <v>14284.614456872208</v>
      </c>
      <c r="G457" s="161">
        <f>+VLOOKUP(B457,'5.3 Var OPEX 2023-25'!$B$4:$D$160,3,0)</f>
        <v>4.4009396000000096E-2</v>
      </c>
      <c r="H457" s="162" t="s">
        <v>190</v>
      </c>
      <c r="I457" s="297">
        <f t="shared" si="47"/>
        <v>14636.710315732327</v>
      </c>
      <c r="J457" s="158">
        <f t="shared" si="53"/>
        <v>14636.710315732327</v>
      </c>
      <c r="K457" s="158">
        <f t="shared" si="53"/>
        <v>14636.710315732327</v>
      </c>
      <c r="L457" s="158">
        <f t="shared" si="53"/>
        <v>14636.710315732327</v>
      </c>
      <c r="M457" s="158">
        <f t="shared" si="53"/>
        <v>14636.710315732327</v>
      </c>
      <c r="N457" s="158">
        <f t="shared" si="53"/>
        <v>14636.710315732327</v>
      </c>
      <c r="P457" s="2"/>
    </row>
    <row r="458" spans="1:16" x14ac:dyDescent="0.25">
      <c r="B458" s="17">
        <v>6530000002</v>
      </c>
      <c r="C458" s="160" t="s">
        <v>177</v>
      </c>
      <c r="D458" s="160" t="s">
        <v>38</v>
      </c>
      <c r="E458" s="160" t="s">
        <v>148</v>
      </c>
      <c r="F458" s="154">
        <v>82068.36780162483</v>
      </c>
      <c r="G458" s="161">
        <f>+VLOOKUP(B458,'5.3 Var OPEX 2023-25'!$B$4:$D$160,3,0)</f>
        <v>0.17007525835504156</v>
      </c>
      <c r="H458" s="162" t="s">
        <v>190</v>
      </c>
      <c r="I458" s="297">
        <f t="shared" si="47"/>
        <v>94245.395063146629</v>
      </c>
      <c r="J458" s="158">
        <f t="shared" si="53"/>
        <v>94245.395063146629</v>
      </c>
      <c r="K458" s="158">
        <f t="shared" si="53"/>
        <v>94245.395063146629</v>
      </c>
      <c r="L458" s="158">
        <f t="shared" si="53"/>
        <v>94245.395063146629</v>
      </c>
      <c r="M458" s="158">
        <f t="shared" si="53"/>
        <v>94245.395063146629</v>
      </c>
      <c r="N458" s="158">
        <f t="shared" si="53"/>
        <v>94245.395063146629</v>
      </c>
      <c r="P458" s="2"/>
    </row>
    <row r="459" spans="1:16" x14ac:dyDescent="0.25">
      <c r="B459" s="17">
        <v>6540000001</v>
      </c>
      <c r="C459" s="160" t="s">
        <v>177</v>
      </c>
      <c r="D459" s="160" t="s">
        <v>38</v>
      </c>
      <c r="E459" s="160" t="s">
        <v>149</v>
      </c>
      <c r="F459" s="154">
        <v>327993.18896137341</v>
      </c>
      <c r="G459" s="161">
        <f>+VLOOKUP(B459,'5.3 Var OPEX 2023-25'!$B$4:$D$160,3,0)</f>
        <v>4.4009396000000096E-2</v>
      </c>
      <c r="H459" s="162" t="s">
        <v>190</v>
      </c>
      <c r="I459" s="297">
        <f t="shared" si="47"/>
        <v>336077.76442655612</v>
      </c>
      <c r="J459" s="158">
        <f t="shared" si="53"/>
        <v>336077.76442655612</v>
      </c>
      <c r="K459" s="158">
        <f t="shared" si="53"/>
        <v>336077.76442655612</v>
      </c>
      <c r="L459" s="158">
        <f t="shared" si="53"/>
        <v>336077.76442655612</v>
      </c>
      <c r="M459" s="158">
        <f t="shared" si="53"/>
        <v>336077.76442655612</v>
      </c>
      <c r="N459" s="158">
        <f t="shared" si="53"/>
        <v>336077.76442655612</v>
      </c>
      <c r="P459" s="2"/>
    </row>
    <row r="460" spans="1:16" x14ac:dyDescent="0.25">
      <c r="B460" s="17">
        <v>6561000001</v>
      </c>
      <c r="C460" s="160" t="s">
        <v>177</v>
      </c>
      <c r="D460" s="160" t="s">
        <v>38</v>
      </c>
      <c r="E460" s="160" t="s">
        <v>150</v>
      </c>
      <c r="F460" s="154">
        <v>3335.3734186249026</v>
      </c>
      <c r="G460" s="161">
        <f>+VLOOKUP(B460,'5.3 Var OPEX 2023-25'!$B$4:$D$160,3,0)</f>
        <v>4.4009396000000096E-2</v>
      </c>
      <c r="H460" s="162" t="s">
        <v>190</v>
      </c>
      <c r="I460" s="297">
        <f t="shared" si="47"/>
        <v>3417.5857297793673</v>
      </c>
      <c r="J460" s="158">
        <f t="shared" si="53"/>
        <v>3417.5857297793673</v>
      </c>
      <c r="K460" s="158">
        <f t="shared" si="53"/>
        <v>3417.5857297793673</v>
      </c>
      <c r="L460" s="158">
        <f t="shared" si="53"/>
        <v>3417.5857297793673</v>
      </c>
      <c r="M460" s="158">
        <f t="shared" si="53"/>
        <v>3417.5857297793673</v>
      </c>
      <c r="N460" s="158">
        <f t="shared" si="53"/>
        <v>3417.5857297793673</v>
      </c>
      <c r="P460" s="2"/>
    </row>
    <row r="461" spans="1:16" x14ac:dyDescent="0.25">
      <c r="B461" s="17">
        <v>6561000002</v>
      </c>
      <c r="C461" s="160" t="s">
        <v>177</v>
      </c>
      <c r="D461" s="160" t="s">
        <v>38</v>
      </c>
      <c r="E461" s="160" t="s">
        <v>151</v>
      </c>
      <c r="F461" s="154">
        <v>70380.7892779213</v>
      </c>
      <c r="G461" s="161">
        <f>+VLOOKUP(B461,'5.3 Var OPEX 2023-25'!$B$4:$D$160,3,0)</f>
        <v>4.4009396000000096E-2</v>
      </c>
      <c r="H461" s="162" t="s">
        <v>190</v>
      </c>
      <c r="I461" s="297">
        <f t="shared" si="47"/>
        <v>72115.577747213232</v>
      </c>
      <c r="J461" s="158">
        <f t="shared" si="53"/>
        <v>72115.577747213232</v>
      </c>
      <c r="K461" s="158">
        <f t="shared" si="53"/>
        <v>72115.577747213232</v>
      </c>
      <c r="L461" s="158">
        <f t="shared" si="53"/>
        <v>72115.577747213232</v>
      </c>
      <c r="M461" s="158">
        <f t="shared" si="53"/>
        <v>72115.577747213232</v>
      </c>
      <c r="N461" s="158">
        <f t="shared" si="53"/>
        <v>72115.577747213232</v>
      </c>
      <c r="P461" s="2"/>
    </row>
    <row r="462" spans="1:16" x14ac:dyDescent="0.25">
      <c r="B462" s="17">
        <v>6561000003</v>
      </c>
      <c r="C462" s="160" t="s">
        <v>177</v>
      </c>
      <c r="D462" s="160" t="s">
        <v>38</v>
      </c>
      <c r="E462" s="160" t="s">
        <v>152</v>
      </c>
      <c r="F462" s="154">
        <v>119628.08879087138</v>
      </c>
      <c r="G462" s="161">
        <f>+VLOOKUP(B462,'5.3 Var OPEX 2023-25'!$B$4:$D$160,3,0)</f>
        <v>9.8026320203328909E-2</v>
      </c>
      <c r="H462" s="162" t="s">
        <v>190</v>
      </c>
      <c r="I462" s="297">
        <f t="shared" si="47"/>
        <v>128918.8615964045</v>
      </c>
      <c r="J462" s="158">
        <f t="shared" si="53"/>
        <v>128918.8615964045</v>
      </c>
      <c r="K462" s="158">
        <f t="shared" si="53"/>
        <v>128918.8615964045</v>
      </c>
      <c r="L462" s="158">
        <f t="shared" si="53"/>
        <v>128918.8615964045</v>
      </c>
      <c r="M462" s="158">
        <f t="shared" si="53"/>
        <v>128918.8615964045</v>
      </c>
      <c r="N462" s="158">
        <f t="shared" si="53"/>
        <v>128918.8615964045</v>
      </c>
      <c r="P462" s="2"/>
    </row>
    <row r="463" spans="1:16" x14ac:dyDescent="0.25">
      <c r="B463" s="17">
        <v>6561000004</v>
      </c>
      <c r="C463" s="160" t="s">
        <v>177</v>
      </c>
      <c r="D463" s="160" t="s">
        <v>38</v>
      </c>
      <c r="E463" s="160" t="s">
        <v>153</v>
      </c>
      <c r="F463" s="154">
        <v>24291.73883384054</v>
      </c>
      <c r="G463" s="161">
        <f>+VLOOKUP(B463,'5.3 Var OPEX 2023-25'!$B$4:$D$160,3,0)</f>
        <v>4.4009396000000096E-2</v>
      </c>
      <c r="H463" s="162" t="s">
        <v>190</v>
      </c>
      <c r="I463" s="297">
        <f t="shared" ref="I463:I485" si="54">+F463*(1+G463)/$I$8</f>
        <v>24890.496376351039</v>
      </c>
      <c r="J463" s="158">
        <f t="shared" si="53"/>
        <v>24890.496376351039</v>
      </c>
      <c r="K463" s="158">
        <f t="shared" si="53"/>
        <v>24890.496376351039</v>
      </c>
      <c r="L463" s="158">
        <f t="shared" si="53"/>
        <v>24890.496376351039</v>
      </c>
      <c r="M463" s="158">
        <f t="shared" si="53"/>
        <v>24890.496376351039</v>
      </c>
      <c r="N463" s="158">
        <f t="shared" si="53"/>
        <v>24890.496376351039</v>
      </c>
      <c r="P463" s="2"/>
    </row>
    <row r="464" spans="1:16" x14ac:dyDescent="0.25">
      <c r="B464" s="17">
        <v>6561000005</v>
      </c>
      <c r="C464" s="160" t="s">
        <v>177</v>
      </c>
      <c r="D464" s="160" t="s">
        <v>38</v>
      </c>
      <c r="E464" s="160" t="s">
        <v>154</v>
      </c>
      <c r="F464" s="154">
        <v>322.06413758828205</v>
      </c>
      <c r="G464" s="161">
        <f>+VLOOKUP(B464,'5.3 Var OPEX 2023-25'!$B$4:$D$160,3,0)</f>
        <v>4.4009396000000096E-2</v>
      </c>
      <c r="H464" s="162" t="s">
        <v>190</v>
      </c>
      <c r="I464" s="297">
        <f t="shared" si="54"/>
        <v>330.00257019173495</v>
      </c>
      <c r="J464" s="158">
        <f t="shared" si="53"/>
        <v>330.00257019173495</v>
      </c>
      <c r="K464" s="158">
        <f t="shared" si="53"/>
        <v>330.00257019173495</v>
      </c>
      <c r="L464" s="158">
        <f t="shared" si="53"/>
        <v>330.00257019173495</v>
      </c>
      <c r="M464" s="158">
        <f t="shared" si="53"/>
        <v>330.00257019173495</v>
      </c>
      <c r="N464" s="158">
        <f t="shared" si="53"/>
        <v>330.00257019173495</v>
      </c>
      <c r="P464" s="2"/>
    </row>
    <row r="465" spans="1:16" x14ac:dyDescent="0.25">
      <c r="B465" s="17">
        <v>6562000001</v>
      </c>
      <c r="C465" s="160" t="s">
        <v>177</v>
      </c>
      <c r="D465" s="160" t="s">
        <v>38</v>
      </c>
      <c r="E465" s="160" t="s">
        <v>155</v>
      </c>
      <c r="F465" s="154">
        <v>0</v>
      </c>
      <c r="G465" s="161">
        <f>+VLOOKUP(B465,'5.3 Var OPEX 2023-25'!$B$4:$D$160,3,0)</f>
        <v>4.4009396000000096E-2</v>
      </c>
      <c r="H465" s="162" t="s">
        <v>190</v>
      </c>
      <c r="I465" s="297">
        <f t="shared" si="54"/>
        <v>0</v>
      </c>
      <c r="J465" s="158">
        <f t="shared" ref="J465:N474" si="55">+IF(OR($C465="No Imputables",$H465="m2 fijo"),I465,I465*(1+J$6*J$7))</f>
        <v>0</v>
      </c>
      <c r="K465" s="158">
        <f t="shared" si="55"/>
        <v>0</v>
      </c>
      <c r="L465" s="158">
        <f t="shared" si="55"/>
        <v>0</v>
      </c>
      <c r="M465" s="158">
        <f t="shared" si="55"/>
        <v>0</v>
      </c>
      <c r="N465" s="158">
        <f t="shared" si="55"/>
        <v>0</v>
      </c>
      <c r="P465" s="2"/>
    </row>
    <row r="466" spans="1:16" x14ac:dyDescent="0.25">
      <c r="B466" s="17">
        <v>6562000002</v>
      </c>
      <c r="C466" s="160" t="s">
        <v>177</v>
      </c>
      <c r="D466" s="160" t="s">
        <v>38</v>
      </c>
      <c r="E466" s="160" t="s">
        <v>156</v>
      </c>
      <c r="F466" s="154">
        <v>0</v>
      </c>
      <c r="G466" s="161">
        <f>+VLOOKUP(B466,'5.3 Var OPEX 2023-25'!$B$4:$D$160,3,0)</f>
        <v>4.4009396000000096E-2</v>
      </c>
      <c r="H466" s="162" t="s">
        <v>190</v>
      </c>
      <c r="I466" s="297">
        <f t="shared" si="54"/>
        <v>0</v>
      </c>
      <c r="J466" s="158">
        <f t="shared" si="55"/>
        <v>0</v>
      </c>
      <c r="K466" s="158">
        <f t="shared" si="55"/>
        <v>0</v>
      </c>
      <c r="L466" s="158">
        <f t="shared" si="55"/>
        <v>0</v>
      </c>
      <c r="M466" s="158">
        <f t="shared" si="55"/>
        <v>0</v>
      </c>
      <c r="N466" s="158">
        <f t="shared" si="55"/>
        <v>0</v>
      </c>
      <c r="P466" s="2"/>
    </row>
    <row r="467" spans="1:16" x14ac:dyDescent="0.25">
      <c r="B467" s="17">
        <v>6562000003</v>
      </c>
      <c r="C467" s="160" t="s">
        <v>177</v>
      </c>
      <c r="D467" s="160" t="s">
        <v>38</v>
      </c>
      <c r="E467" s="160" t="s">
        <v>157</v>
      </c>
      <c r="F467" s="154">
        <v>69.873768098467721</v>
      </c>
      <c r="G467" s="161">
        <f>+VLOOKUP(B467,'5.3 Var OPEX 2023-25'!$B$4:$D$160,3,0)</f>
        <v>4.4009396000000096E-2</v>
      </c>
      <c r="H467" s="162" t="s">
        <v>190</v>
      </c>
      <c r="I467" s="297">
        <f t="shared" si="54"/>
        <v>71.59605920157739</v>
      </c>
      <c r="J467" s="158">
        <f t="shared" si="55"/>
        <v>71.59605920157739</v>
      </c>
      <c r="K467" s="158">
        <f t="shared" si="55"/>
        <v>71.59605920157739</v>
      </c>
      <c r="L467" s="158">
        <f t="shared" si="55"/>
        <v>71.59605920157739</v>
      </c>
      <c r="M467" s="158">
        <f t="shared" si="55"/>
        <v>71.59605920157739</v>
      </c>
      <c r="N467" s="158">
        <f t="shared" si="55"/>
        <v>71.59605920157739</v>
      </c>
      <c r="P467" s="2"/>
    </row>
    <row r="468" spans="1:16" x14ac:dyDescent="0.25">
      <c r="B468" s="17">
        <v>6562000004</v>
      </c>
      <c r="C468" s="160" t="s">
        <v>177</v>
      </c>
      <c r="D468" s="160" t="s">
        <v>38</v>
      </c>
      <c r="E468" s="160" t="s">
        <v>158</v>
      </c>
      <c r="F468" s="154">
        <v>0</v>
      </c>
      <c r="G468" s="161">
        <f>+VLOOKUP(B468,'5.3 Var OPEX 2023-25'!$B$4:$D$160,3,0)</f>
        <v>4.4009396000000096E-2</v>
      </c>
      <c r="H468" s="162" t="s">
        <v>190</v>
      </c>
      <c r="I468" s="297">
        <f t="shared" si="54"/>
        <v>0</v>
      </c>
      <c r="J468" s="158">
        <f t="shared" si="55"/>
        <v>0</v>
      </c>
      <c r="K468" s="158">
        <f t="shared" si="55"/>
        <v>0</v>
      </c>
      <c r="L468" s="158">
        <f t="shared" si="55"/>
        <v>0</v>
      </c>
      <c r="M468" s="158">
        <f t="shared" si="55"/>
        <v>0</v>
      </c>
      <c r="N468" s="158">
        <f t="shared" si="55"/>
        <v>0</v>
      </c>
      <c r="P468" s="2"/>
    </row>
    <row r="469" spans="1:16" x14ac:dyDescent="0.25">
      <c r="B469" s="17">
        <v>6562000005</v>
      </c>
      <c r="C469" s="160" t="s">
        <v>177</v>
      </c>
      <c r="D469" s="160" t="s">
        <v>38</v>
      </c>
      <c r="E469" s="160" t="s">
        <v>159</v>
      </c>
      <c r="F469" s="154">
        <v>5.8669690618219597E-2</v>
      </c>
      <c r="G469" s="161">
        <f>+VLOOKUP(B469,'5.3 Var OPEX 2023-25'!$B$4:$D$160,3,0)</f>
        <v>4.4009396000000096E-2</v>
      </c>
      <c r="H469" s="162" t="s">
        <v>190</v>
      </c>
      <c r="I469" s="297">
        <f t="shared" si="54"/>
        <v>6.0115816810119821E-2</v>
      </c>
      <c r="J469" s="158">
        <f t="shared" si="55"/>
        <v>6.0115816810119821E-2</v>
      </c>
      <c r="K469" s="158">
        <f t="shared" si="55"/>
        <v>6.0115816810119821E-2</v>
      </c>
      <c r="L469" s="158">
        <f t="shared" si="55"/>
        <v>6.0115816810119821E-2</v>
      </c>
      <c r="M469" s="158">
        <f t="shared" si="55"/>
        <v>6.0115816810119821E-2</v>
      </c>
      <c r="N469" s="158">
        <f t="shared" si="55"/>
        <v>6.0115816810119821E-2</v>
      </c>
      <c r="P469" s="2"/>
    </row>
    <row r="470" spans="1:16" x14ac:dyDescent="0.25">
      <c r="B470" s="17">
        <v>6563000001</v>
      </c>
      <c r="C470" s="160" t="s">
        <v>177</v>
      </c>
      <c r="D470" s="160" t="s">
        <v>38</v>
      </c>
      <c r="E470" s="160" t="s">
        <v>160</v>
      </c>
      <c r="F470" s="154">
        <v>0</v>
      </c>
      <c r="G470" s="161">
        <f>+VLOOKUP(B470,'5.3 Var OPEX 2023-25'!$B$4:$D$160,3,0)</f>
        <v>4.4009396000000096E-2</v>
      </c>
      <c r="H470" s="162" t="s">
        <v>190</v>
      </c>
      <c r="I470" s="297">
        <f t="shared" si="54"/>
        <v>0</v>
      </c>
      <c r="J470" s="158">
        <f t="shared" si="55"/>
        <v>0</v>
      </c>
      <c r="K470" s="158">
        <f t="shared" si="55"/>
        <v>0</v>
      </c>
      <c r="L470" s="158">
        <f t="shared" si="55"/>
        <v>0</v>
      </c>
      <c r="M470" s="158">
        <f t="shared" si="55"/>
        <v>0</v>
      </c>
      <c r="N470" s="158">
        <f t="shared" si="55"/>
        <v>0</v>
      </c>
      <c r="P470" s="2"/>
    </row>
    <row r="471" spans="1:16" x14ac:dyDescent="0.25">
      <c r="B471" s="17">
        <v>6563000002</v>
      </c>
      <c r="C471" s="160" t="s">
        <v>177</v>
      </c>
      <c r="D471" s="160" t="s">
        <v>38</v>
      </c>
      <c r="E471" s="160" t="s">
        <v>161</v>
      </c>
      <c r="F471" s="154">
        <v>0</v>
      </c>
      <c r="G471" s="161">
        <f>+VLOOKUP(B471,'5.3 Var OPEX 2023-25'!$B$4:$D$160,3,0)</f>
        <v>4.4009396000000096E-2</v>
      </c>
      <c r="H471" s="162" t="s">
        <v>190</v>
      </c>
      <c r="I471" s="297">
        <f t="shared" si="54"/>
        <v>0</v>
      </c>
      <c r="J471" s="158">
        <f t="shared" si="55"/>
        <v>0</v>
      </c>
      <c r="K471" s="158">
        <f t="shared" si="55"/>
        <v>0</v>
      </c>
      <c r="L471" s="158">
        <f t="shared" si="55"/>
        <v>0</v>
      </c>
      <c r="M471" s="158">
        <f t="shared" si="55"/>
        <v>0</v>
      </c>
      <c r="N471" s="158">
        <f t="shared" si="55"/>
        <v>0</v>
      </c>
      <c r="P471" s="2"/>
    </row>
    <row r="472" spans="1:16" x14ac:dyDescent="0.25">
      <c r="B472" s="17">
        <v>6563000003</v>
      </c>
      <c r="C472" s="160" t="s">
        <v>177</v>
      </c>
      <c r="D472" s="160" t="s">
        <v>38</v>
      </c>
      <c r="E472" s="160" t="s">
        <v>162</v>
      </c>
      <c r="F472" s="154">
        <v>0</v>
      </c>
      <c r="G472" s="161">
        <f>+VLOOKUP(B472,'5.3 Var OPEX 2023-25'!$B$4:$D$160,3,0)</f>
        <v>4.4009396000000096E-2</v>
      </c>
      <c r="H472" s="162" t="s">
        <v>190</v>
      </c>
      <c r="I472" s="297">
        <f t="shared" si="54"/>
        <v>0</v>
      </c>
      <c r="J472" s="158">
        <f t="shared" si="55"/>
        <v>0</v>
      </c>
      <c r="K472" s="158">
        <f t="shared" si="55"/>
        <v>0</v>
      </c>
      <c r="L472" s="158">
        <f t="shared" si="55"/>
        <v>0</v>
      </c>
      <c r="M472" s="158">
        <f t="shared" si="55"/>
        <v>0</v>
      </c>
      <c r="N472" s="158">
        <f t="shared" si="55"/>
        <v>0</v>
      </c>
      <c r="P472" s="2"/>
    </row>
    <row r="473" spans="1:16" x14ac:dyDescent="0.25">
      <c r="B473" s="17">
        <v>6563000004</v>
      </c>
      <c r="C473" s="160" t="s">
        <v>177</v>
      </c>
      <c r="D473" s="160" t="s">
        <v>38</v>
      </c>
      <c r="E473" s="160" t="s">
        <v>163</v>
      </c>
      <c r="F473" s="154">
        <v>0</v>
      </c>
      <c r="G473" s="161">
        <f>+VLOOKUP(B473,'5.3 Var OPEX 2023-25'!$B$4:$D$160,3,0)</f>
        <v>4.4009396000000096E-2</v>
      </c>
      <c r="H473" s="162" t="s">
        <v>190</v>
      </c>
      <c r="I473" s="297">
        <f t="shared" si="54"/>
        <v>0</v>
      </c>
      <c r="J473" s="158">
        <f t="shared" si="55"/>
        <v>0</v>
      </c>
      <c r="K473" s="158">
        <f t="shared" si="55"/>
        <v>0</v>
      </c>
      <c r="L473" s="158">
        <f t="shared" si="55"/>
        <v>0</v>
      </c>
      <c r="M473" s="158">
        <f t="shared" si="55"/>
        <v>0</v>
      </c>
      <c r="N473" s="158">
        <f t="shared" si="55"/>
        <v>0</v>
      </c>
      <c r="P473" s="2"/>
    </row>
    <row r="474" spans="1:16" x14ac:dyDescent="0.25">
      <c r="B474" s="17">
        <v>6563000005</v>
      </c>
      <c r="C474" s="160" t="s">
        <v>177</v>
      </c>
      <c r="D474" s="160" t="s">
        <v>38</v>
      </c>
      <c r="E474" s="160" t="s">
        <v>164</v>
      </c>
      <c r="F474" s="154">
        <v>0</v>
      </c>
      <c r="G474" s="161">
        <f>+VLOOKUP(B474,'5.3 Var OPEX 2023-25'!$B$4:$D$160,3,0)</f>
        <v>4.4009396000000096E-2</v>
      </c>
      <c r="H474" s="162" t="s">
        <v>190</v>
      </c>
      <c r="I474" s="297">
        <f t="shared" si="54"/>
        <v>0</v>
      </c>
      <c r="J474" s="158">
        <f t="shared" si="55"/>
        <v>0</v>
      </c>
      <c r="K474" s="158">
        <f t="shared" si="55"/>
        <v>0</v>
      </c>
      <c r="L474" s="158">
        <f t="shared" si="55"/>
        <v>0</v>
      </c>
      <c r="M474" s="158">
        <f t="shared" si="55"/>
        <v>0</v>
      </c>
      <c r="N474" s="158">
        <f t="shared" si="55"/>
        <v>0</v>
      </c>
      <c r="P474" s="2"/>
    </row>
    <row r="475" spans="1:16" x14ac:dyDescent="0.25">
      <c r="B475" s="17">
        <v>6590000001</v>
      </c>
      <c r="C475" s="160" t="s">
        <v>177</v>
      </c>
      <c r="D475" s="160" t="s">
        <v>38</v>
      </c>
      <c r="E475" s="160" t="s">
        <v>165</v>
      </c>
      <c r="F475" s="154">
        <v>0</v>
      </c>
      <c r="G475" s="161">
        <f>+VLOOKUP(B475,'5.3 Var OPEX 2023-25'!$B$4:$D$160,3,0)</f>
        <v>4.4009396000000096E-2</v>
      </c>
      <c r="H475" s="162" t="s">
        <v>190</v>
      </c>
      <c r="I475" s="297">
        <f t="shared" si="54"/>
        <v>0</v>
      </c>
      <c r="J475" s="158">
        <f t="shared" ref="J475:N484" si="56">+IF(OR($C475="No Imputables",$H475="m2 fijo"),I475,I475*(1+J$6*J$7))</f>
        <v>0</v>
      </c>
      <c r="K475" s="158">
        <f t="shared" si="56"/>
        <v>0</v>
      </c>
      <c r="L475" s="158">
        <f t="shared" si="56"/>
        <v>0</v>
      </c>
      <c r="M475" s="158">
        <f t="shared" si="56"/>
        <v>0</v>
      </c>
      <c r="N475" s="158">
        <f t="shared" si="56"/>
        <v>0</v>
      </c>
      <c r="P475" s="2"/>
    </row>
    <row r="476" spans="1:16" x14ac:dyDescent="0.25">
      <c r="B476" s="17">
        <v>6590000002</v>
      </c>
      <c r="C476" s="160" t="s">
        <v>177</v>
      </c>
      <c r="D476" s="160" t="s">
        <v>38</v>
      </c>
      <c r="E476" s="160" t="s">
        <v>166</v>
      </c>
      <c r="F476" s="154">
        <v>16693.65323047018</v>
      </c>
      <c r="G476" s="161">
        <f>+VLOOKUP(B476,'5.3 Var OPEX 2023-25'!$B$4:$D$160,3,0)</f>
        <v>4.4009396000000096E-2</v>
      </c>
      <c r="H476" s="162" t="s">
        <v>190</v>
      </c>
      <c r="I476" s="297">
        <f t="shared" si="54"/>
        <v>17105.128541157872</v>
      </c>
      <c r="J476" s="158">
        <f t="shared" si="56"/>
        <v>17105.128541157872</v>
      </c>
      <c r="K476" s="158">
        <f t="shared" si="56"/>
        <v>17105.128541157872</v>
      </c>
      <c r="L476" s="158">
        <f t="shared" si="56"/>
        <v>17105.128541157872</v>
      </c>
      <c r="M476" s="158">
        <f t="shared" si="56"/>
        <v>17105.128541157872</v>
      </c>
      <c r="N476" s="158">
        <f t="shared" si="56"/>
        <v>17105.128541157872</v>
      </c>
      <c r="P476" s="2"/>
    </row>
    <row r="477" spans="1:16" x14ac:dyDescent="0.25">
      <c r="A477" s="37"/>
      <c r="B477" s="17">
        <v>6590000003</v>
      </c>
      <c r="C477" s="160" t="s">
        <v>177</v>
      </c>
      <c r="D477" s="160" t="s">
        <v>38</v>
      </c>
      <c r="E477" s="160" t="s">
        <v>167</v>
      </c>
      <c r="F477" s="154">
        <v>0</v>
      </c>
      <c r="G477" s="161">
        <f>+VLOOKUP(B477,'5.3 Var OPEX 2023-25'!$B$4:$D$160,3,0)</f>
        <v>4.4009396000000096E-2</v>
      </c>
      <c r="H477" s="162" t="s">
        <v>190</v>
      </c>
      <c r="I477" s="297">
        <f t="shared" si="54"/>
        <v>0</v>
      </c>
      <c r="J477" s="158">
        <f t="shared" si="56"/>
        <v>0</v>
      </c>
      <c r="K477" s="158">
        <f t="shared" si="56"/>
        <v>0</v>
      </c>
      <c r="L477" s="158">
        <f t="shared" si="56"/>
        <v>0</v>
      </c>
      <c r="M477" s="158">
        <f t="shared" si="56"/>
        <v>0</v>
      </c>
      <c r="N477" s="158">
        <f t="shared" si="56"/>
        <v>0</v>
      </c>
      <c r="P477" s="2"/>
    </row>
    <row r="478" spans="1:16" x14ac:dyDescent="0.25">
      <c r="B478" s="17">
        <v>6590000004</v>
      </c>
      <c r="C478" s="160" t="s">
        <v>177</v>
      </c>
      <c r="D478" s="160" t="s">
        <v>38</v>
      </c>
      <c r="E478" s="160" t="s">
        <v>168</v>
      </c>
      <c r="F478" s="154">
        <v>1379.4844772474887</v>
      </c>
      <c r="G478" s="161">
        <f>+VLOOKUP(B478,'5.3 Var OPEX 2023-25'!$B$4:$D$160,3,0)</f>
        <v>4.4009396000000096E-2</v>
      </c>
      <c r="H478" s="162" t="s">
        <v>190</v>
      </c>
      <c r="I478" s="297">
        <f t="shared" si="54"/>
        <v>1413.486849048779</v>
      </c>
      <c r="J478" s="158">
        <f t="shared" si="56"/>
        <v>1413.486849048779</v>
      </c>
      <c r="K478" s="158">
        <f t="shared" si="56"/>
        <v>1413.486849048779</v>
      </c>
      <c r="L478" s="158">
        <f t="shared" si="56"/>
        <v>1413.486849048779</v>
      </c>
      <c r="M478" s="158">
        <f t="shared" si="56"/>
        <v>1413.486849048779</v>
      </c>
      <c r="N478" s="158">
        <f t="shared" si="56"/>
        <v>1413.486849048779</v>
      </c>
      <c r="P478" s="2"/>
    </row>
    <row r="479" spans="1:16" x14ac:dyDescent="0.25">
      <c r="A479" s="37"/>
      <c r="B479" s="17">
        <v>6590000005</v>
      </c>
      <c r="C479" s="160" t="s">
        <v>177</v>
      </c>
      <c r="D479" s="160" t="s">
        <v>38</v>
      </c>
      <c r="E479" s="160" t="s">
        <v>169</v>
      </c>
      <c r="F479" s="154">
        <v>0</v>
      </c>
      <c r="G479" s="161">
        <f>+VLOOKUP(B479,'5.3 Var OPEX 2023-25'!$B$4:$D$160,3,0)</f>
        <v>4.4009396000000096E-2</v>
      </c>
      <c r="H479" s="162" t="s">
        <v>190</v>
      </c>
      <c r="I479" s="297">
        <f t="shared" si="54"/>
        <v>0</v>
      </c>
      <c r="J479" s="158">
        <f t="shared" si="56"/>
        <v>0</v>
      </c>
      <c r="K479" s="158">
        <f t="shared" si="56"/>
        <v>0</v>
      </c>
      <c r="L479" s="158">
        <f t="shared" si="56"/>
        <v>0</v>
      </c>
      <c r="M479" s="158">
        <f t="shared" si="56"/>
        <v>0</v>
      </c>
      <c r="N479" s="158">
        <f t="shared" si="56"/>
        <v>0</v>
      </c>
      <c r="P479" s="2"/>
    </row>
    <row r="480" spans="1:16" x14ac:dyDescent="0.25">
      <c r="A480" s="37"/>
      <c r="B480" s="17">
        <v>6590000006</v>
      </c>
      <c r="C480" s="160" t="s">
        <v>177</v>
      </c>
      <c r="D480" s="160" t="s">
        <v>38</v>
      </c>
      <c r="E480" s="160" t="s">
        <v>170</v>
      </c>
      <c r="F480" s="245">
        <v>162791.88621001935</v>
      </c>
      <c r="G480" s="161">
        <f>+VLOOKUP(B480,'5.3 Var OPEX 2023-25'!$B$4:$D$160,3,0)</f>
        <v>0.55350740986062807</v>
      </c>
      <c r="H480" s="162" t="s">
        <v>190</v>
      </c>
      <c r="I480" s="297">
        <f t="shared" si="54"/>
        <v>248208.48929976157</v>
      </c>
      <c r="J480" s="158">
        <f t="shared" si="56"/>
        <v>248208.48929976157</v>
      </c>
      <c r="K480" s="158">
        <f t="shared" si="56"/>
        <v>248208.48929976157</v>
      </c>
      <c r="L480" s="158">
        <f t="shared" si="56"/>
        <v>248208.48929976157</v>
      </c>
      <c r="M480" s="158">
        <f t="shared" si="56"/>
        <v>248208.48929976157</v>
      </c>
      <c r="N480" s="158">
        <f t="shared" si="56"/>
        <v>248208.48929976157</v>
      </c>
      <c r="P480" s="2"/>
    </row>
    <row r="481" spans="1:16" x14ac:dyDescent="0.25">
      <c r="B481" s="17">
        <v>6590000007</v>
      </c>
      <c r="C481" s="160" t="s">
        <v>177</v>
      </c>
      <c r="D481" s="160" t="s">
        <v>38</v>
      </c>
      <c r="E481" s="160" t="s">
        <v>171</v>
      </c>
      <c r="F481" s="154">
        <v>0</v>
      </c>
      <c r="G481" s="161">
        <f>+VLOOKUP(B481,'5.3 Var OPEX 2023-25'!$B$4:$D$160,3,0)</f>
        <v>4.4009396000000096E-2</v>
      </c>
      <c r="H481" s="162" t="s">
        <v>190</v>
      </c>
      <c r="I481" s="297">
        <f t="shared" si="54"/>
        <v>0</v>
      </c>
      <c r="J481" s="158">
        <f t="shared" si="56"/>
        <v>0</v>
      </c>
      <c r="K481" s="158">
        <f t="shared" si="56"/>
        <v>0</v>
      </c>
      <c r="L481" s="158">
        <f t="shared" si="56"/>
        <v>0</v>
      </c>
      <c r="M481" s="158">
        <f t="shared" si="56"/>
        <v>0</v>
      </c>
      <c r="N481" s="158">
        <f t="shared" si="56"/>
        <v>0</v>
      </c>
      <c r="P481" s="2"/>
    </row>
    <row r="482" spans="1:16" x14ac:dyDescent="0.25">
      <c r="B482" s="17">
        <v>6590000010</v>
      </c>
      <c r="C482" s="160" t="s">
        <v>177</v>
      </c>
      <c r="D482" s="160" t="s">
        <v>38</v>
      </c>
      <c r="E482" s="160" t="s">
        <v>172</v>
      </c>
      <c r="F482" s="154">
        <v>0</v>
      </c>
      <c r="G482" s="161">
        <f>+VLOOKUP(B482,'5.3 Var OPEX 2023-25'!$B$4:$D$160,3,0)</f>
        <v>4.4009396000000096E-2</v>
      </c>
      <c r="H482" s="162" t="s">
        <v>190</v>
      </c>
      <c r="I482" s="297">
        <f t="shared" si="54"/>
        <v>0</v>
      </c>
      <c r="J482" s="158">
        <f t="shared" si="56"/>
        <v>0</v>
      </c>
      <c r="K482" s="158">
        <f t="shared" si="56"/>
        <v>0</v>
      </c>
      <c r="L482" s="158">
        <f t="shared" si="56"/>
        <v>0</v>
      </c>
      <c r="M482" s="158">
        <f t="shared" si="56"/>
        <v>0</v>
      </c>
      <c r="N482" s="158">
        <f t="shared" si="56"/>
        <v>0</v>
      </c>
      <c r="P482" s="2"/>
    </row>
    <row r="483" spans="1:16" x14ac:dyDescent="0.25">
      <c r="B483" s="17">
        <v>6590000011</v>
      </c>
      <c r="C483" s="160" t="s">
        <v>177</v>
      </c>
      <c r="D483" s="160" t="s">
        <v>38</v>
      </c>
      <c r="E483" s="160" t="s">
        <v>173</v>
      </c>
      <c r="F483" s="154">
        <v>1847.5408505141309</v>
      </c>
      <c r="G483" s="161">
        <f>+VLOOKUP(B483,'5.3 Var OPEX 2023-25'!$B$4:$D$160,3,0)</f>
        <v>4.4009396000000096E-2</v>
      </c>
      <c r="H483" s="162" t="s">
        <v>190</v>
      </c>
      <c r="I483" s="297">
        <f t="shared" si="54"/>
        <v>1893.0801602732381</v>
      </c>
      <c r="J483" s="158">
        <f t="shared" si="56"/>
        <v>1893.0801602732381</v>
      </c>
      <c r="K483" s="158">
        <f t="shared" si="56"/>
        <v>1893.0801602732381</v>
      </c>
      <c r="L483" s="158">
        <f t="shared" si="56"/>
        <v>1893.0801602732381</v>
      </c>
      <c r="M483" s="158">
        <f t="shared" si="56"/>
        <v>1893.0801602732381</v>
      </c>
      <c r="N483" s="158">
        <f t="shared" si="56"/>
        <v>1893.0801602732381</v>
      </c>
      <c r="P483" s="2"/>
    </row>
    <row r="484" spans="1:16" x14ac:dyDescent="0.25">
      <c r="A484" s="37"/>
      <c r="B484" s="17">
        <v>6840000001</v>
      </c>
      <c r="C484" s="9" t="s">
        <v>177</v>
      </c>
      <c r="D484" s="160" t="s">
        <v>38</v>
      </c>
      <c r="E484" s="160" t="s">
        <v>174</v>
      </c>
      <c r="F484" s="154">
        <v>0</v>
      </c>
      <c r="G484" s="161">
        <f>+VLOOKUP(B484,'5.3 Var OPEX 2023-25'!$B$4:$D$160,3,0)</f>
        <v>4.4009396000000096E-2</v>
      </c>
      <c r="H484" s="162" t="s">
        <v>190</v>
      </c>
      <c r="I484" s="297">
        <f t="shared" si="54"/>
        <v>0</v>
      </c>
      <c r="J484" s="158">
        <f t="shared" si="56"/>
        <v>0</v>
      </c>
      <c r="K484" s="158">
        <f t="shared" si="56"/>
        <v>0</v>
      </c>
      <c r="L484" s="158">
        <f t="shared" si="56"/>
        <v>0</v>
      </c>
      <c r="M484" s="158">
        <f t="shared" si="56"/>
        <v>0</v>
      </c>
      <c r="N484" s="158">
        <f t="shared" si="56"/>
        <v>0</v>
      </c>
      <c r="P484" s="2"/>
    </row>
    <row r="485" spans="1:16" x14ac:dyDescent="0.25">
      <c r="A485" s="37"/>
      <c r="B485" s="17">
        <v>8710000001</v>
      </c>
      <c r="C485" s="9" t="s">
        <v>177</v>
      </c>
      <c r="D485" s="160" t="s">
        <v>14</v>
      </c>
      <c r="E485" s="160" t="s">
        <v>175</v>
      </c>
      <c r="F485" s="154">
        <v>0</v>
      </c>
      <c r="G485" s="161">
        <f>+VLOOKUP(B485,'5.3 Var OPEX 2023-25'!$B$4:$D$160,3,0)</f>
        <v>0</v>
      </c>
      <c r="H485" s="162" t="s">
        <v>190</v>
      </c>
      <c r="I485" s="297">
        <f t="shared" si="54"/>
        <v>0</v>
      </c>
      <c r="J485" s="158">
        <f t="shared" ref="J485:N485" si="57">+IF(OR($C485="No Imputables",$H485="m2 fijo"),I485,I485*(1+J$6*J$7))</f>
        <v>0</v>
      </c>
      <c r="K485" s="158">
        <f t="shared" si="57"/>
        <v>0</v>
      </c>
      <c r="L485" s="158">
        <f t="shared" si="57"/>
        <v>0</v>
      </c>
      <c r="M485" s="158">
        <f t="shared" si="57"/>
        <v>0</v>
      </c>
      <c r="N485" s="158">
        <f t="shared" si="57"/>
        <v>0</v>
      </c>
      <c r="P485" s="2"/>
    </row>
    <row r="486" spans="1:16" x14ac:dyDescent="0.25">
      <c r="I486" s="6"/>
      <c r="J486" s="6"/>
      <c r="K486" s="6"/>
      <c r="L486" s="6"/>
      <c r="M486" s="6"/>
      <c r="N486" s="6"/>
    </row>
  </sheetData>
  <mergeCells count="8">
    <mergeCell ref="B12:B13"/>
    <mergeCell ref="C12:C13"/>
    <mergeCell ref="D12:D13"/>
    <mergeCell ref="E12:E13"/>
    <mergeCell ref="I12:N12"/>
    <mergeCell ref="H12:H13"/>
    <mergeCell ref="F12:F13"/>
    <mergeCell ref="G12:G13"/>
  </mergeCells>
  <phoneticPr fontId="5" type="noConversion"/>
  <hyperlinks>
    <hyperlink ref="N1" location="Índice!A1" display="ÍNDICE" xr:uid="{7C1E58D2-B477-4474-9BAC-72AC49DFC27B}"/>
  </hyperlinks>
  <pageMargins left="0.7" right="0.7" top="0.75" bottom="0.75" header="0.3" footer="0.3"/>
  <pageSetup paperSize="9" orientation="portrait" horizontalDpi="0" verticalDpi="0" r:id="rId1"/>
  <ignoredErrors>
    <ignoredError sqref="J15:N485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Caratula</vt:lpstr>
      <vt:lpstr>Índice</vt:lpstr>
      <vt:lpstr>Tarifa</vt:lpstr>
      <vt:lpstr>0. Flujo DOM-DOM</vt:lpstr>
      <vt:lpstr>0. Flujo INT-INT</vt:lpstr>
      <vt:lpstr>1. Demanda</vt:lpstr>
      <vt:lpstr>2. OPEX</vt:lpstr>
      <vt:lpstr>2.1 OPEX TUUA</vt:lpstr>
      <vt:lpstr>2.2 OPEX LAP 2023</vt:lpstr>
      <vt:lpstr>3. CAPEX</vt:lpstr>
      <vt:lpstr>3.1.1 CAPEX-Exclusivas</vt:lpstr>
      <vt:lpstr>3.1.2 CAPEX-Exclusivas</vt:lpstr>
      <vt:lpstr>3.2.1 CAPEX-Comunes</vt:lpstr>
      <vt:lpstr>3.2.2 CAPEX-Comunes</vt:lpstr>
      <vt:lpstr>3.2.3 CAPEX-Comunes</vt:lpstr>
      <vt:lpstr>3.3 CAPEX Indirecto</vt:lpstr>
      <vt:lpstr>4. WACC</vt:lpstr>
      <vt:lpstr>4.1 Betas</vt:lpstr>
      <vt:lpstr>4.2 Deuda</vt:lpstr>
      <vt:lpstr>5.1 Var-Macro</vt:lpstr>
      <vt:lpstr>5.2 Asignación de Áreas</vt:lpstr>
      <vt:lpstr>5.3 Var OPEX 2023-25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Zavaleta</dc:creator>
  <cp:lastModifiedBy>Maria Alejandra Mendez Vega</cp:lastModifiedBy>
  <dcterms:created xsi:type="dcterms:W3CDTF">2025-01-23T20:39:31Z</dcterms:created>
  <dcterms:modified xsi:type="dcterms:W3CDTF">2025-11-21T21:38:26Z</dcterms:modified>
</cp:coreProperties>
</file>