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ositranperu-my.sharepoint.com/personal/mmendezv_ositran_gob_pe/Documents/TUUA Transferencia/0.2 New propuesta/Para web/"/>
    </mc:Choice>
  </mc:AlternateContent>
  <xr:revisionPtr revIDLastSave="0" documentId="8_{E9D14AEA-BCE4-434D-876B-CB5B6EB8E916}" xr6:coauthVersionLast="47" xr6:coauthVersionMax="47" xr10:uidLastSave="{00000000-0000-0000-0000-000000000000}"/>
  <bookViews>
    <workbookView xWindow="-108" yWindow="-108" windowWidth="23256" windowHeight="12456" tabRatio="847" activeTab="2" xr2:uid="{B71EDA0F-CCFE-418A-9CC3-97EE26DF2C30}"/>
  </bookViews>
  <sheets>
    <sheet name="Caratula" sheetId="13" r:id="rId1"/>
    <sheet name="Índice" sheetId="14" r:id="rId2"/>
    <sheet name="Tarifa" sheetId="15" r:id="rId3"/>
    <sheet name="0. Flujo DOM-DOM" sheetId="11" r:id="rId4"/>
    <sheet name="0. Flujo INT-INT" sheetId="12" r:id="rId5"/>
    <sheet name="1. Demanda" sheetId="1" r:id="rId6"/>
    <sheet name="2. OPEX" sheetId="6" r:id="rId7"/>
    <sheet name="2.1 OPEX TUUA" sheetId="4" r:id="rId8"/>
    <sheet name="2.2 OPEX LAP 2023" sheetId="2" r:id="rId9"/>
    <sheet name="3. CAPEX" sheetId="10" r:id="rId10"/>
    <sheet name="3.1.1 CAPEX-Exclusivas" sheetId="7" r:id="rId11"/>
    <sheet name="3.1.2 CAPEX-Exclusivas" sheetId="20" r:id="rId12"/>
    <sheet name="3.2.1 CAPEX-Comunes" sheetId="8" r:id="rId13"/>
    <sheet name="3.2.2 CAPEX-Comunes" sheetId="23" r:id="rId14"/>
    <sheet name="3.2.3 CAPEX-Comunes" sheetId="24" r:id="rId15"/>
    <sheet name="3.3 CAPEX Indirecto" sheetId="9" r:id="rId16"/>
    <sheet name="4. WACC" sheetId="16" r:id="rId17"/>
    <sheet name="4.1 Betas" sheetId="17" r:id="rId18"/>
    <sheet name="4.2 Deuda" sheetId="18" r:id="rId19"/>
    <sheet name="5.1 Var-Macro" sheetId="19" r:id="rId20"/>
    <sheet name="5.2 Asignación de Áreas" sheetId="5" r:id="rId21"/>
    <sheet name="5.3 Var OPEX 2023-25" sheetId="3" r:id="rId22"/>
  </sheets>
  <externalReferences>
    <externalReference r:id="rId23"/>
    <externalReference r:id="rId24"/>
  </externalReferences>
  <definedNames>
    <definedName name="_xlnm._FilterDatabase" localSheetId="7" hidden="1">'2.1 OPEX TUUA'!$B$13:$L$486</definedName>
    <definedName name="_xlnm._FilterDatabase" localSheetId="8" hidden="1">'2.2 OPEX LAP 2023'!$A$13:$A$485</definedName>
    <definedName name="DiasOper_2025">'[1]0. FC-Counter'!$F$5</definedName>
    <definedName name="DiasOper_2030">'[1]0. FC-Counter'!$K$5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0" l="1"/>
  <c r="J19" i="10"/>
  <c r="J18" i="10"/>
  <c r="J15" i="10"/>
  <c r="J14" i="10"/>
  <c r="J13" i="10"/>
  <c r="I20" i="10"/>
  <c r="I19" i="10"/>
  <c r="I18" i="10"/>
  <c r="I15" i="10"/>
  <c r="I14" i="10"/>
  <c r="I13" i="10"/>
  <c r="H20" i="10"/>
  <c r="H19" i="10"/>
  <c r="H18" i="10"/>
  <c r="H15" i="10"/>
  <c r="H14" i="10"/>
  <c r="H13" i="10"/>
  <c r="D6" i="15"/>
  <c r="D5" i="15"/>
  <c r="C148" i="19"/>
  <c r="C12" i="23"/>
  <c r="C12" i="7"/>
  <c r="J4" i="10"/>
  <c r="J5" i="10" s="1"/>
  <c r="K4" i="10"/>
  <c r="L4" i="10"/>
  <c r="M4" i="10"/>
  <c r="N4" i="10"/>
  <c r="I4" i="10"/>
  <c r="I5" i="10" s="1"/>
  <c r="I484" i="2"/>
  <c r="I483" i="2"/>
  <c r="I452" i="2"/>
  <c r="I451" i="2"/>
  <c r="I420" i="2"/>
  <c r="I419" i="2"/>
  <c r="I388" i="2"/>
  <c r="I387" i="2"/>
  <c r="I356" i="2"/>
  <c r="I355" i="2"/>
  <c r="I324" i="2"/>
  <c r="I323" i="2"/>
  <c r="I292" i="2"/>
  <c r="I291" i="2"/>
  <c r="I260" i="2"/>
  <c r="I259" i="2"/>
  <c r="I228" i="2"/>
  <c r="I227" i="2"/>
  <c r="I196" i="2"/>
  <c r="I195" i="2"/>
  <c r="I164" i="2"/>
  <c r="I163" i="2"/>
  <c r="I139" i="2"/>
  <c r="I135" i="2"/>
  <c r="I132" i="2"/>
  <c r="I116" i="2"/>
  <c r="I115" i="2"/>
  <c r="I111" i="2"/>
  <c r="I95" i="2"/>
  <c r="I92" i="2"/>
  <c r="I91" i="2"/>
  <c r="I75" i="2"/>
  <c r="I73" i="2"/>
  <c r="I71" i="2"/>
  <c r="I59" i="2"/>
  <c r="I57" i="2"/>
  <c r="I56" i="2"/>
  <c r="I47" i="2"/>
  <c r="I44" i="2"/>
  <c r="I43" i="2"/>
  <c r="I33" i="2"/>
  <c r="I32" i="2"/>
  <c r="I31" i="2"/>
  <c r="I20" i="2"/>
  <c r="I19" i="2"/>
  <c r="I17" i="2"/>
  <c r="I8" i="2"/>
  <c r="I482" i="2" s="1"/>
  <c r="C18" i="16"/>
  <c r="I140" i="19"/>
  <c r="H140" i="19"/>
  <c r="G140" i="19"/>
  <c r="F140" i="19"/>
  <c r="E140" i="19"/>
  <c r="D140" i="19"/>
  <c r="C7" i="18"/>
  <c r="I156" i="2" l="1"/>
  <c r="I188" i="2"/>
  <c r="I220" i="2"/>
  <c r="I252" i="2"/>
  <c r="I284" i="2"/>
  <c r="I316" i="2"/>
  <c r="I348" i="2"/>
  <c r="I380" i="2"/>
  <c r="I412" i="2"/>
  <c r="I444" i="2"/>
  <c r="I476" i="2"/>
  <c r="I23" i="2"/>
  <c r="I35" i="2"/>
  <c r="I48" i="2"/>
  <c r="I60" i="2"/>
  <c r="I76" i="2"/>
  <c r="I99" i="2"/>
  <c r="I119" i="2"/>
  <c r="I140" i="2"/>
  <c r="I171" i="2"/>
  <c r="I203" i="2"/>
  <c r="I235" i="2"/>
  <c r="I267" i="2"/>
  <c r="I299" i="2"/>
  <c r="I331" i="2"/>
  <c r="I363" i="2"/>
  <c r="I395" i="2"/>
  <c r="I427" i="2"/>
  <c r="I459" i="2"/>
  <c r="I24" i="2"/>
  <c r="I36" i="2"/>
  <c r="I49" i="2"/>
  <c r="I63" i="2"/>
  <c r="I79" i="2"/>
  <c r="I100" i="2"/>
  <c r="I123" i="2"/>
  <c r="I143" i="2"/>
  <c r="I172" i="2"/>
  <c r="I204" i="2"/>
  <c r="I236" i="2"/>
  <c r="I268" i="2"/>
  <c r="I300" i="2"/>
  <c r="I332" i="2"/>
  <c r="I364" i="2"/>
  <c r="I396" i="2"/>
  <c r="I428" i="2"/>
  <c r="I460" i="2"/>
  <c r="I51" i="2"/>
  <c r="I65" i="2"/>
  <c r="I83" i="2"/>
  <c r="I103" i="2"/>
  <c r="I124" i="2"/>
  <c r="I147" i="2"/>
  <c r="I179" i="2"/>
  <c r="I211" i="2"/>
  <c r="I243" i="2"/>
  <c r="I275" i="2"/>
  <c r="I307" i="2"/>
  <c r="I339" i="2"/>
  <c r="I371" i="2"/>
  <c r="I403" i="2"/>
  <c r="I435" i="2"/>
  <c r="I467" i="2"/>
  <c r="I25" i="2"/>
  <c r="I15" i="2"/>
  <c r="I27" i="2"/>
  <c r="I40" i="2"/>
  <c r="I52" i="2"/>
  <c r="I67" i="2"/>
  <c r="I84" i="2"/>
  <c r="I107" i="2"/>
  <c r="I127" i="2"/>
  <c r="I148" i="2"/>
  <c r="I180" i="2"/>
  <c r="I212" i="2"/>
  <c r="I244" i="2"/>
  <c r="I276" i="2"/>
  <c r="I308" i="2"/>
  <c r="I340" i="2"/>
  <c r="I372" i="2"/>
  <c r="I404" i="2"/>
  <c r="I436" i="2"/>
  <c r="I468" i="2"/>
  <c r="I39" i="2"/>
  <c r="I16" i="2"/>
  <c r="I28" i="2"/>
  <c r="I41" i="2"/>
  <c r="I55" i="2"/>
  <c r="I68" i="2"/>
  <c r="I87" i="2"/>
  <c r="I108" i="2"/>
  <c r="I131" i="2"/>
  <c r="I155" i="2"/>
  <c r="I187" i="2"/>
  <c r="I219" i="2"/>
  <c r="I251" i="2"/>
  <c r="I283" i="2"/>
  <c r="I315" i="2"/>
  <c r="I347" i="2"/>
  <c r="I379" i="2"/>
  <c r="I411" i="2"/>
  <c r="I443" i="2"/>
  <c r="I475" i="2"/>
  <c r="I21" i="2"/>
  <c r="I29" i="2"/>
  <c r="I37" i="2"/>
  <c r="I45" i="2"/>
  <c r="I53" i="2"/>
  <c r="I61" i="2"/>
  <c r="I69" i="2"/>
  <c r="I77" i="2"/>
  <c r="I85" i="2"/>
  <c r="I93" i="2"/>
  <c r="I101" i="2"/>
  <c r="I109" i="2"/>
  <c r="I117" i="2"/>
  <c r="I125" i="2"/>
  <c r="I133" i="2"/>
  <c r="I141" i="2"/>
  <c r="I149" i="2"/>
  <c r="I157" i="2"/>
  <c r="I165" i="2"/>
  <c r="I173" i="2"/>
  <c r="I181" i="2"/>
  <c r="I189" i="2"/>
  <c r="I197" i="2"/>
  <c r="I205" i="2"/>
  <c r="I213" i="2"/>
  <c r="I221" i="2"/>
  <c r="I229" i="2"/>
  <c r="I237" i="2"/>
  <c r="I245" i="2"/>
  <c r="I253" i="2"/>
  <c r="I261" i="2"/>
  <c r="I269" i="2"/>
  <c r="I277" i="2"/>
  <c r="I285" i="2"/>
  <c r="I293" i="2"/>
  <c r="I301" i="2"/>
  <c r="I309" i="2"/>
  <c r="I317" i="2"/>
  <c r="I325" i="2"/>
  <c r="I333" i="2"/>
  <c r="I341" i="2"/>
  <c r="I349" i="2"/>
  <c r="I357" i="2"/>
  <c r="I365" i="2"/>
  <c r="I373" i="2"/>
  <c r="I381" i="2"/>
  <c r="I389" i="2"/>
  <c r="I397" i="2"/>
  <c r="I405" i="2"/>
  <c r="I413" i="2"/>
  <c r="I421" i="2"/>
  <c r="I429" i="2"/>
  <c r="I437" i="2"/>
  <c r="I445" i="2"/>
  <c r="I453" i="2"/>
  <c r="I461" i="2"/>
  <c r="I469" i="2"/>
  <c r="I477" i="2"/>
  <c r="I485" i="2"/>
  <c r="I22" i="2"/>
  <c r="I30" i="2"/>
  <c r="I38" i="2"/>
  <c r="I46" i="2"/>
  <c r="I54" i="2"/>
  <c r="I62" i="2"/>
  <c r="I70" i="2"/>
  <c r="I78" i="2"/>
  <c r="I86" i="2"/>
  <c r="I94" i="2"/>
  <c r="I102" i="2"/>
  <c r="I110" i="2"/>
  <c r="I118" i="2"/>
  <c r="I126" i="2"/>
  <c r="I134" i="2"/>
  <c r="I142" i="2"/>
  <c r="I150" i="2"/>
  <c r="I158" i="2"/>
  <c r="I166" i="2"/>
  <c r="I174" i="2"/>
  <c r="I182" i="2"/>
  <c r="I190" i="2"/>
  <c r="I198" i="2"/>
  <c r="I206" i="2"/>
  <c r="I214" i="2"/>
  <c r="I222" i="2"/>
  <c r="I230" i="2"/>
  <c r="I238" i="2"/>
  <c r="I246" i="2"/>
  <c r="I254" i="2"/>
  <c r="I262" i="2"/>
  <c r="I270" i="2"/>
  <c r="I278" i="2"/>
  <c r="I286" i="2"/>
  <c r="I294" i="2"/>
  <c r="I302" i="2"/>
  <c r="I310" i="2"/>
  <c r="I318" i="2"/>
  <c r="I326" i="2"/>
  <c r="I334" i="2"/>
  <c r="I342" i="2"/>
  <c r="I350" i="2"/>
  <c r="I358" i="2"/>
  <c r="I366" i="2"/>
  <c r="I374" i="2"/>
  <c r="I382" i="2"/>
  <c r="I390" i="2"/>
  <c r="I398" i="2"/>
  <c r="I406" i="2"/>
  <c r="I414" i="2"/>
  <c r="I422" i="2"/>
  <c r="I430" i="2"/>
  <c r="I438" i="2"/>
  <c r="I446" i="2"/>
  <c r="I454" i="2"/>
  <c r="I462" i="2"/>
  <c r="I470" i="2"/>
  <c r="I478" i="2"/>
  <c r="I151" i="2"/>
  <c r="I159" i="2"/>
  <c r="I167" i="2"/>
  <c r="I175" i="2"/>
  <c r="I183" i="2"/>
  <c r="I191" i="2"/>
  <c r="I199" i="2"/>
  <c r="I207" i="2"/>
  <c r="I215" i="2"/>
  <c r="I223" i="2"/>
  <c r="I231" i="2"/>
  <c r="I239" i="2"/>
  <c r="I247" i="2"/>
  <c r="I255" i="2"/>
  <c r="I263" i="2"/>
  <c r="I271" i="2"/>
  <c r="I279" i="2"/>
  <c r="I287" i="2"/>
  <c r="I295" i="2"/>
  <c r="I303" i="2"/>
  <c r="I311" i="2"/>
  <c r="I319" i="2"/>
  <c r="I327" i="2"/>
  <c r="I335" i="2"/>
  <c r="I343" i="2"/>
  <c r="I351" i="2"/>
  <c r="I359" i="2"/>
  <c r="I367" i="2"/>
  <c r="I375" i="2"/>
  <c r="I383" i="2"/>
  <c r="I391" i="2"/>
  <c r="I399" i="2"/>
  <c r="I407" i="2"/>
  <c r="I415" i="2"/>
  <c r="I423" i="2"/>
  <c r="I431" i="2"/>
  <c r="I439" i="2"/>
  <c r="I447" i="2"/>
  <c r="I455" i="2"/>
  <c r="I463" i="2"/>
  <c r="I471" i="2"/>
  <c r="I479" i="2"/>
  <c r="I64" i="2"/>
  <c r="I72" i="2"/>
  <c r="I80" i="2"/>
  <c r="I88" i="2"/>
  <c r="I96" i="2"/>
  <c r="I104" i="2"/>
  <c r="I112" i="2"/>
  <c r="I120" i="2"/>
  <c r="I128" i="2"/>
  <c r="I136" i="2"/>
  <c r="I144" i="2"/>
  <c r="I152" i="2"/>
  <c r="I160" i="2"/>
  <c r="I168" i="2"/>
  <c r="I176" i="2"/>
  <c r="I184" i="2"/>
  <c r="I192" i="2"/>
  <c r="I200" i="2"/>
  <c r="I208" i="2"/>
  <c r="I216" i="2"/>
  <c r="I224" i="2"/>
  <c r="I232" i="2"/>
  <c r="I240" i="2"/>
  <c r="I248" i="2"/>
  <c r="I256" i="2"/>
  <c r="I264" i="2"/>
  <c r="I272" i="2"/>
  <c r="I280" i="2"/>
  <c r="I288" i="2"/>
  <c r="I296" i="2"/>
  <c r="I304" i="2"/>
  <c r="I312" i="2"/>
  <c r="I320" i="2"/>
  <c r="I328" i="2"/>
  <c r="I336" i="2"/>
  <c r="I344" i="2"/>
  <c r="I352" i="2"/>
  <c r="I360" i="2"/>
  <c r="I368" i="2"/>
  <c r="I376" i="2"/>
  <c r="I384" i="2"/>
  <c r="I392" i="2"/>
  <c r="I400" i="2"/>
  <c r="I408" i="2"/>
  <c r="I416" i="2"/>
  <c r="I424" i="2"/>
  <c r="I432" i="2"/>
  <c r="I440" i="2"/>
  <c r="I448" i="2"/>
  <c r="I456" i="2"/>
  <c r="I464" i="2"/>
  <c r="I472" i="2"/>
  <c r="I480" i="2"/>
  <c r="I89" i="2"/>
  <c r="I145" i="2"/>
  <c r="I153" i="2"/>
  <c r="I161" i="2"/>
  <c r="I169" i="2"/>
  <c r="I177" i="2"/>
  <c r="I185" i="2"/>
  <c r="I193" i="2"/>
  <c r="I201" i="2"/>
  <c r="I209" i="2"/>
  <c r="I217" i="2"/>
  <c r="I225" i="2"/>
  <c r="I233" i="2"/>
  <c r="I241" i="2"/>
  <c r="I249" i="2"/>
  <c r="I257" i="2"/>
  <c r="I265" i="2"/>
  <c r="I273" i="2"/>
  <c r="I281" i="2"/>
  <c r="I289" i="2"/>
  <c r="I297" i="2"/>
  <c r="I305" i="2"/>
  <c r="I313" i="2"/>
  <c r="I321" i="2"/>
  <c r="I329" i="2"/>
  <c r="I337" i="2"/>
  <c r="I345" i="2"/>
  <c r="I353" i="2"/>
  <c r="I361" i="2"/>
  <c r="I369" i="2"/>
  <c r="I377" i="2"/>
  <c r="I385" i="2"/>
  <c r="I393" i="2"/>
  <c r="I401" i="2"/>
  <c r="I409" i="2"/>
  <c r="I417" i="2"/>
  <c r="I425" i="2"/>
  <c r="I433" i="2"/>
  <c r="I441" i="2"/>
  <c r="I449" i="2"/>
  <c r="I457" i="2"/>
  <c r="I465" i="2"/>
  <c r="I473" i="2"/>
  <c r="I481" i="2"/>
  <c r="I81" i="2"/>
  <c r="I97" i="2"/>
  <c r="I105" i="2"/>
  <c r="I113" i="2"/>
  <c r="I121" i="2"/>
  <c r="I129" i="2"/>
  <c r="I137" i="2"/>
  <c r="I18" i="2"/>
  <c r="I26" i="2"/>
  <c r="I34" i="2"/>
  <c r="I42" i="2"/>
  <c r="I50" i="2"/>
  <c r="I58" i="2"/>
  <c r="I66" i="2"/>
  <c r="I74" i="2"/>
  <c r="I82" i="2"/>
  <c r="I90" i="2"/>
  <c r="I98" i="2"/>
  <c r="I106" i="2"/>
  <c r="I114" i="2"/>
  <c r="I122" i="2"/>
  <c r="I130" i="2"/>
  <c r="I138" i="2"/>
  <c r="I146" i="2"/>
  <c r="I154" i="2"/>
  <c r="I162" i="2"/>
  <c r="I170" i="2"/>
  <c r="I178" i="2"/>
  <c r="I186" i="2"/>
  <c r="I194" i="2"/>
  <c r="I202" i="2"/>
  <c r="I210" i="2"/>
  <c r="I218" i="2"/>
  <c r="I226" i="2"/>
  <c r="I234" i="2"/>
  <c r="I242" i="2"/>
  <c r="I250" i="2"/>
  <c r="I258" i="2"/>
  <c r="I266" i="2"/>
  <c r="I274" i="2"/>
  <c r="I282" i="2"/>
  <c r="I290" i="2"/>
  <c r="I298" i="2"/>
  <c r="I306" i="2"/>
  <c r="I314" i="2"/>
  <c r="I322" i="2"/>
  <c r="I330" i="2"/>
  <c r="I338" i="2"/>
  <c r="I346" i="2"/>
  <c r="I354" i="2"/>
  <c r="I362" i="2"/>
  <c r="I370" i="2"/>
  <c r="I378" i="2"/>
  <c r="I386" i="2"/>
  <c r="I394" i="2"/>
  <c r="I402" i="2"/>
  <c r="I410" i="2"/>
  <c r="I418" i="2"/>
  <c r="I426" i="2"/>
  <c r="I434" i="2"/>
  <c r="I442" i="2"/>
  <c r="I450" i="2"/>
  <c r="I458" i="2"/>
  <c r="I466" i="2"/>
  <c r="I474" i="2"/>
  <c r="K5" i="10"/>
  <c r="L5" i="10" s="1"/>
  <c r="M5" i="10" s="1"/>
  <c r="N5" i="10" s="1"/>
  <c r="C16" i="24"/>
  <c r="C15" i="24"/>
  <c r="D8" i="24"/>
  <c r="C8" i="24"/>
  <c r="C27" i="24"/>
  <c r="C26" i="24"/>
  <c r="C23" i="24"/>
  <c r="E22" i="24"/>
  <c r="F22" i="24" s="1"/>
  <c r="F77" i="23"/>
  <c r="F76" i="23"/>
  <c r="F75" i="23"/>
  <c r="F74" i="23"/>
  <c r="F68" i="23"/>
  <c r="F67" i="23"/>
  <c r="F66" i="23"/>
  <c r="F65" i="23"/>
  <c r="D59" i="23"/>
  <c r="C59" i="23"/>
  <c r="D57" i="23"/>
  <c r="C57" i="23"/>
  <c r="C46" i="23"/>
  <c r="D47" i="23" s="1"/>
  <c r="E39" i="23"/>
  <c r="E38" i="23"/>
  <c r="E37" i="23"/>
  <c r="E36" i="23"/>
  <c r="E35" i="23"/>
  <c r="E34" i="23"/>
  <c r="E33" i="23"/>
  <c r="E32" i="23"/>
  <c r="D20" i="23"/>
  <c r="C26" i="23" s="1"/>
  <c r="D7" i="24" s="1"/>
  <c r="C20" i="23"/>
  <c r="K105" i="8"/>
  <c r="L105" i="8"/>
  <c r="M105" i="8"/>
  <c r="N105" i="8"/>
  <c r="O105" i="8"/>
  <c r="K106" i="8"/>
  <c r="L106" i="8"/>
  <c r="M106" i="8"/>
  <c r="N106" i="8"/>
  <c r="O106" i="8"/>
  <c r="J106" i="8"/>
  <c r="J105" i="8"/>
  <c r="K98" i="8"/>
  <c r="L98" i="8"/>
  <c r="M98" i="8"/>
  <c r="N98" i="8"/>
  <c r="O98" i="8"/>
  <c r="K99" i="8"/>
  <c r="L99" i="8"/>
  <c r="M99" i="8"/>
  <c r="N99" i="8"/>
  <c r="O99" i="8"/>
  <c r="K100" i="8"/>
  <c r="L100" i="8"/>
  <c r="M100" i="8"/>
  <c r="N100" i="8"/>
  <c r="O100" i="8"/>
  <c r="J100" i="8"/>
  <c r="J99" i="8"/>
  <c r="J98" i="8"/>
  <c r="K96" i="8"/>
  <c r="L96" i="8"/>
  <c r="M96" i="8"/>
  <c r="N96" i="8"/>
  <c r="O96" i="8"/>
  <c r="J96" i="8"/>
  <c r="K91" i="8"/>
  <c r="L91" i="8"/>
  <c r="M91" i="8"/>
  <c r="N91" i="8"/>
  <c r="O91" i="8"/>
  <c r="J91" i="8"/>
  <c r="K84" i="8"/>
  <c r="L84" i="8"/>
  <c r="M84" i="8"/>
  <c r="N84" i="8"/>
  <c r="O84" i="8"/>
  <c r="J84" i="8"/>
  <c r="K80" i="8"/>
  <c r="L80" i="8"/>
  <c r="M80" i="8"/>
  <c r="N80" i="8"/>
  <c r="O80" i="8"/>
  <c r="K81" i="8"/>
  <c r="L81" i="8"/>
  <c r="M81" i="8"/>
  <c r="N81" i="8"/>
  <c r="O81" i="8"/>
  <c r="J81" i="8"/>
  <c r="J80" i="8"/>
  <c r="K77" i="8"/>
  <c r="L77" i="8"/>
  <c r="M77" i="8"/>
  <c r="N77" i="8"/>
  <c r="O77" i="8"/>
  <c r="K78" i="8"/>
  <c r="L78" i="8"/>
  <c r="M78" i="8"/>
  <c r="N78" i="8"/>
  <c r="O78" i="8"/>
  <c r="J78" i="8"/>
  <c r="J77" i="8"/>
  <c r="D105" i="8"/>
  <c r="E105" i="8"/>
  <c r="F105" i="8"/>
  <c r="G105" i="8"/>
  <c r="H105" i="8"/>
  <c r="D107" i="8"/>
  <c r="E107" i="8"/>
  <c r="F107" i="8"/>
  <c r="G107" i="8"/>
  <c r="H107" i="8"/>
  <c r="D109" i="8"/>
  <c r="E109" i="8"/>
  <c r="F109" i="8"/>
  <c r="G109" i="8"/>
  <c r="H109" i="8"/>
  <c r="C109" i="8"/>
  <c r="C107" i="8"/>
  <c r="C105" i="8"/>
  <c r="D102" i="8"/>
  <c r="E102" i="8"/>
  <c r="F102" i="8"/>
  <c r="G102" i="8"/>
  <c r="H102" i="8"/>
  <c r="D103" i="8"/>
  <c r="E103" i="8"/>
  <c r="F103" i="8"/>
  <c r="G103" i="8"/>
  <c r="H103" i="8"/>
  <c r="C103" i="8"/>
  <c r="C102" i="8"/>
  <c r="D94" i="8"/>
  <c r="E94" i="8"/>
  <c r="F94" i="8"/>
  <c r="G94" i="8"/>
  <c r="H94" i="8"/>
  <c r="C94" i="8"/>
  <c r="D90" i="8"/>
  <c r="E90" i="8"/>
  <c r="F90" i="8"/>
  <c r="G90" i="8"/>
  <c r="H90" i="8"/>
  <c r="D92" i="8"/>
  <c r="E92" i="8"/>
  <c r="F92" i="8"/>
  <c r="G92" i="8"/>
  <c r="H92" i="8"/>
  <c r="C92" i="8"/>
  <c r="C90" i="8"/>
  <c r="D86" i="8"/>
  <c r="E86" i="8"/>
  <c r="F86" i="8"/>
  <c r="G86" i="8"/>
  <c r="H86" i="8"/>
  <c r="D87" i="8"/>
  <c r="E87" i="8"/>
  <c r="F87" i="8"/>
  <c r="G87" i="8"/>
  <c r="H87" i="8"/>
  <c r="D88" i="8"/>
  <c r="E88" i="8"/>
  <c r="F88" i="8"/>
  <c r="G88" i="8"/>
  <c r="H88" i="8"/>
  <c r="C88" i="8"/>
  <c r="C87" i="8"/>
  <c r="C86" i="8"/>
  <c r="D83" i="8"/>
  <c r="E83" i="8"/>
  <c r="F83" i="8"/>
  <c r="G83" i="8"/>
  <c r="H83" i="8"/>
  <c r="C83" i="8"/>
  <c r="D81" i="8"/>
  <c r="E81" i="8"/>
  <c r="F81" i="8"/>
  <c r="G81" i="8"/>
  <c r="H81" i="8"/>
  <c r="C81" i="8"/>
  <c r="D80" i="8"/>
  <c r="E80" i="8"/>
  <c r="F80" i="8"/>
  <c r="G80" i="8"/>
  <c r="H80" i="8"/>
  <c r="C80" i="8"/>
  <c r="D76" i="8"/>
  <c r="E76" i="8"/>
  <c r="F76" i="8"/>
  <c r="G76" i="8"/>
  <c r="H76" i="8"/>
  <c r="C76" i="8"/>
  <c r="D75" i="8"/>
  <c r="E75" i="8"/>
  <c r="F75" i="8"/>
  <c r="G75" i="8"/>
  <c r="H75" i="8"/>
  <c r="C75" i="8"/>
  <c r="H70" i="8"/>
  <c r="G70" i="8"/>
  <c r="F70" i="8"/>
  <c r="E70" i="8"/>
  <c r="D70" i="8"/>
  <c r="C70" i="8"/>
  <c r="D58" i="20"/>
  <c r="C47" i="20"/>
  <c r="C39" i="20"/>
  <c r="C38" i="20"/>
  <c r="C35" i="20"/>
  <c r="E34" i="20"/>
  <c r="F34" i="20" s="1"/>
  <c r="F28" i="20"/>
  <c r="D60" i="20" s="1"/>
  <c r="F27" i="20"/>
  <c r="D59" i="20" s="1"/>
  <c r="F26" i="20"/>
  <c r="C58" i="20" s="1"/>
  <c r="C25" i="20"/>
  <c r="F19" i="20"/>
  <c r="C49" i="20" s="1"/>
  <c r="F18" i="20"/>
  <c r="D48" i="20" s="1"/>
  <c r="F17" i="20"/>
  <c r="E47" i="20" s="1"/>
  <c r="F16" i="20"/>
  <c r="D46" i="20" s="1"/>
  <c r="C15" i="20"/>
  <c r="G7" i="4"/>
  <c r="E47" i="23" l="1"/>
  <c r="E49" i="23" s="1"/>
  <c r="C75" i="23" s="1"/>
  <c r="F47" i="23"/>
  <c r="F49" i="23" s="1"/>
  <c r="E40" i="23"/>
  <c r="D56" i="23"/>
  <c r="D58" i="23" s="1"/>
  <c r="D60" i="23" s="1"/>
  <c r="D77" i="23" s="1"/>
  <c r="D50" i="23"/>
  <c r="D49" i="23"/>
  <c r="D51" i="23"/>
  <c r="D48" i="23"/>
  <c r="C66" i="23"/>
  <c r="C25" i="23"/>
  <c r="C7" i="24" s="1"/>
  <c r="F50" i="23"/>
  <c r="E50" i="23"/>
  <c r="F48" i="23"/>
  <c r="E51" i="23"/>
  <c r="C47" i="23"/>
  <c r="C56" i="23"/>
  <c r="C58" i="23" s="1"/>
  <c r="C60" i="23" s="1"/>
  <c r="F51" i="23"/>
  <c r="C59" i="20"/>
  <c r="D47" i="20"/>
  <c r="C48" i="20"/>
  <c r="E58" i="20"/>
  <c r="E49" i="20"/>
  <c r="E59" i="20"/>
  <c r="D49" i="20"/>
  <c r="C46" i="20"/>
  <c r="E48" i="20"/>
  <c r="C60" i="20"/>
  <c r="E46" i="20"/>
  <c r="E60" i="20"/>
  <c r="D65" i="7"/>
  <c r="C65" i="7"/>
  <c r="C63" i="7"/>
  <c r="C52" i="7"/>
  <c r="D74" i="23" l="1"/>
  <c r="D75" i="23"/>
  <c r="E75" i="23" s="1"/>
  <c r="G75" i="23" s="1"/>
  <c r="D76" i="23"/>
  <c r="E48" i="23"/>
  <c r="C68" i="23"/>
  <c r="C77" i="23"/>
  <c r="E77" i="23" s="1"/>
  <c r="G77" i="23" s="1"/>
  <c r="C65" i="23"/>
  <c r="C74" i="23"/>
  <c r="E74" i="23" s="1"/>
  <c r="G74" i="23" s="1"/>
  <c r="C76" i="23"/>
  <c r="C67" i="23"/>
  <c r="D68" i="23"/>
  <c r="D66" i="23"/>
  <c r="E66" i="23" s="1"/>
  <c r="G66" i="23" s="1"/>
  <c r="D67" i="23"/>
  <c r="D65" i="23"/>
  <c r="C28" i="9"/>
  <c r="E27" i="9"/>
  <c r="F27" i="9" s="1"/>
  <c r="G96" i="10"/>
  <c r="H96" i="10"/>
  <c r="I96" i="10"/>
  <c r="J96" i="10"/>
  <c r="G78" i="10"/>
  <c r="G90" i="10" s="1"/>
  <c r="G25" i="12" s="1"/>
  <c r="H78" i="10"/>
  <c r="H79" i="10" s="1"/>
  <c r="I78" i="10"/>
  <c r="I79" i="10" s="1"/>
  <c r="J78" i="10"/>
  <c r="J90" i="10" s="1"/>
  <c r="J25" i="12" s="1"/>
  <c r="K22" i="10"/>
  <c r="L22" i="10"/>
  <c r="M22" i="10"/>
  <c r="N22" i="10"/>
  <c r="F73" i="10"/>
  <c r="G73" i="10" s="1"/>
  <c r="H73" i="10" s="1"/>
  <c r="I73" i="10" s="1"/>
  <c r="J73" i="10" s="1"/>
  <c r="C65" i="10"/>
  <c r="H62" i="10"/>
  <c r="H57" i="10"/>
  <c r="C55" i="10"/>
  <c r="C54" i="10"/>
  <c r="C53" i="10"/>
  <c r="H52" i="10"/>
  <c r="I49" i="10"/>
  <c r="J49" i="10" s="1"/>
  <c r="K49" i="10" s="1"/>
  <c r="L49" i="10" s="1"/>
  <c r="M49" i="10" s="1"/>
  <c r="N49" i="10" s="1"/>
  <c r="I28" i="10"/>
  <c r="J28" i="10" s="1"/>
  <c r="K28" i="10" s="1"/>
  <c r="L28" i="10" s="1"/>
  <c r="M28" i="10" s="1"/>
  <c r="N28" i="10" s="1"/>
  <c r="C44" i="10"/>
  <c r="C34" i="10"/>
  <c r="C33" i="10"/>
  <c r="C32" i="10"/>
  <c r="H41" i="10"/>
  <c r="H36" i="10"/>
  <c r="H31" i="10"/>
  <c r="J27" i="10"/>
  <c r="K27" i="10" s="1"/>
  <c r="L27" i="10" s="1"/>
  <c r="M27" i="10" s="1"/>
  <c r="N27" i="10" s="1"/>
  <c r="J11" i="10"/>
  <c r="K11" i="10" s="1"/>
  <c r="L11" i="10" s="1"/>
  <c r="M11" i="10" s="1"/>
  <c r="N11" i="10" s="1"/>
  <c r="E67" i="23" l="1"/>
  <c r="G67" i="23" s="1"/>
  <c r="E76" i="23"/>
  <c r="G76" i="23" s="1"/>
  <c r="G78" i="23" s="1"/>
  <c r="D9" i="24" s="1"/>
  <c r="D10" i="24" s="1"/>
  <c r="E16" i="24" s="1"/>
  <c r="F16" i="24" s="1"/>
  <c r="E68" i="23"/>
  <c r="G68" i="23" s="1"/>
  <c r="E65" i="23"/>
  <c r="G65" i="23" s="1"/>
  <c r="J79" i="10"/>
  <c r="G79" i="10"/>
  <c r="H90" i="10"/>
  <c r="H25" i="12" s="1"/>
  <c r="I90" i="10"/>
  <c r="I25" i="12" s="1"/>
  <c r="H67" i="10"/>
  <c r="H46" i="10"/>
  <c r="D41" i="24" l="1"/>
  <c r="C40" i="24"/>
  <c r="E41" i="24"/>
  <c r="C41" i="24"/>
  <c r="D40" i="24"/>
  <c r="E40" i="24"/>
  <c r="E42" i="24" s="1"/>
  <c r="G69" i="23"/>
  <c r="C9" i="24" s="1"/>
  <c r="C10" i="24" s="1"/>
  <c r="E15" i="24" s="1"/>
  <c r="F15" i="24" s="1"/>
  <c r="H69" i="10"/>
  <c r="D100" i="10"/>
  <c r="D101" i="10" s="1"/>
  <c r="D104" i="10" s="1"/>
  <c r="H48" i="10"/>
  <c r="D82" i="10"/>
  <c r="D83" i="10" s="1"/>
  <c r="D86" i="10" s="1"/>
  <c r="E32" i="24" l="1"/>
  <c r="E34" i="24" s="1"/>
  <c r="C32" i="24"/>
  <c r="D32" i="24"/>
  <c r="D33" i="24"/>
  <c r="F17" i="24"/>
  <c r="E33" i="24"/>
  <c r="C33" i="24"/>
  <c r="D42" i="24"/>
  <c r="C42" i="24"/>
  <c r="H108" i="10"/>
  <c r="H25" i="11" s="1"/>
  <c r="H97" i="10"/>
  <c r="J108" i="10"/>
  <c r="J25" i="11" s="1"/>
  <c r="J97" i="10"/>
  <c r="G108" i="10"/>
  <c r="G25" i="11" s="1"/>
  <c r="G97" i="10"/>
  <c r="I108" i="10"/>
  <c r="I25" i="11" s="1"/>
  <c r="I97" i="10"/>
  <c r="D34" i="24" l="1"/>
  <c r="C34" i="24"/>
  <c r="O5" i="4"/>
  <c r="P5" i="4" s="1"/>
  <c r="Q5" i="4" s="1"/>
  <c r="R5" i="4" s="1"/>
  <c r="S5" i="4" s="1"/>
  <c r="H5" i="4"/>
  <c r="I5" i="4" s="1"/>
  <c r="J5" i="4" s="1"/>
  <c r="K5" i="4" s="1"/>
  <c r="L5" i="4" s="1"/>
  <c r="K7" i="2" l="1"/>
  <c r="L7" i="2" s="1"/>
  <c r="M7" i="2" s="1"/>
  <c r="N7" i="2" s="1"/>
  <c r="J13" i="2"/>
  <c r="K13" i="2" s="1"/>
  <c r="L13" i="2" s="1"/>
  <c r="M13" i="2" s="1"/>
  <c r="N13" i="2" s="1"/>
  <c r="C20" i="1" l="1"/>
  <c r="C21" i="6" s="1"/>
  <c r="D20" i="1"/>
  <c r="D19" i="1" s="1"/>
  <c r="E20" i="1"/>
  <c r="E19" i="1" s="1"/>
  <c r="F20" i="1"/>
  <c r="F19" i="1" s="1"/>
  <c r="G20" i="1"/>
  <c r="G19" i="1" s="1"/>
  <c r="H20" i="1"/>
  <c r="H21" i="6" s="1"/>
  <c r="C14" i="1"/>
  <c r="C133" i="19"/>
  <c r="D104" i="19"/>
  <c r="C104" i="19"/>
  <c r="C6" i="16" s="1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C84" i="18"/>
  <c r="C15" i="16" s="1"/>
  <c r="G78" i="18"/>
  <c r="F78" i="18"/>
  <c r="E78" i="18"/>
  <c r="D78" i="18"/>
  <c r="C78" i="18"/>
  <c r="G77" i="18"/>
  <c r="F77" i="18"/>
  <c r="E77" i="18"/>
  <c r="D77" i="18"/>
  <c r="C77" i="18"/>
  <c r="H77" i="18" s="1"/>
  <c r="G76" i="18"/>
  <c r="F76" i="18"/>
  <c r="E76" i="18"/>
  <c r="D76" i="18"/>
  <c r="C76" i="18"/>
  <c r="H76" i="18" s="1"/>
  <c r="G75" i="18"/>
  <c r="F75" i="18"/>
  <c r="H75" i="18" s="1"/>
  <c r="E75" i="18"/>
  <c r="D75" i="18"/>
  <c r="C75" i="18"/>
  <c r="G74" i="18"/>
  <c r="F74" i="18"/>
  <c r="E74" i="18"/>
  <c r="D74" i="18"/>
  <c r="C74" i="18"/>
  <c r="H74" i="18" s="1"/>
  <c r="G73" i="18"/>
  <c r="F73" i="18"/>
  <c r="E73" i="18"/>
  <c r="D73" i="18"/>
  <c r="C73" i="18"/>
  <c r="G72" i="18"/>
  <c r="F72" i="18"/>
  <c r="E72" i="18"/>
  <c r="D72" i="18"/>
  <c r="C72" i="18"/>
  <c r="H72" i="18" s="1"/>
  <c r="G71" i="18"/>
  <c r="F71" i="18"/>
  <c r="E71" i="18"/>
  <c r="D71" i="18"/>
  <c r="C71" i="18"/>
  <c r="G70" i="18"/>
  <c r="F70" i="18"/>
  <c r="E70" i="18"/>
  <c r="D70" i="18"/>
  <c r="C70" i="18"/>
  <c r="G69" i="18"/>
  <c r="F69" i="18"/>
  <c r="E69" i="18"/>
  <c r="D69" i="18"/>
  <c r="C69" i="18"/>
  <c r="G68" i="18"/>
  <c r="F68" i="18"/>
  <c r="E68" i="18"/>
  <c r="D68" i="18"/>
  <c r="C68" i="18"/>
  <c r="H68" i="18" s="1"/>
  <c r="G67" i="18"/>
  <c r="F67" i="18"/>
  <c r="E67" i="18"/>
  <c r="D67" i="18"/>
  <c r="C67" i="18"/>
  <c r="G66" i="18"/>
  <c r="F66" i="18"/>
  <c r="E66" i="18"/>
  <c r="D66" i="18"/>
  <c r="C66" i="18"/>
  <c r="G65" i="18"/>
  <c r="F65" i="18"/>
  <c r="E65" i="18"/>
  <c r="D65" i="18"/>
  <c r="C65" i="18"/>
  <c r="H64" i="18"/>
  <c r="G64" i="18"/>
  <c r="F64" i="18"/>
  <c r="E64" i="18"/>
  <c r="D64" i="18"/>
  <c r="C64" i="18"/>
  <c r="G63" i="18"/>
  <c r="F63" i="18"/>
  <c r="E63" i="18"/>
  <c r="D63" i="18"/>
  <c r="C63" i="18"/>
  <c r="G62" i="18"/>
  <c r="F62" i="18"/>
  <c r="E62" i="18"/>
  <c r="D62" i="18"/>
  <c r="C62" i="18"/>
  <c r="G61" i="18"/>
  <c r="F61" i="18"/>
  <c r="E61" i="18"/>
  <c r="D61" i="18"/>
  <c r="C61" i="18"/>
  <c r="G60" i="18"/>
  <c r="F60" i="18"/>
  <c r="E60" i="18"/>
  <c r="D60" i="18"/>
  <c r="C60" i="18"/>
  <c r="H60" i="18" s="1"/>
  <c r="G59" i="18"/>
  <c r="F59" i="18"/>
  <c r="H59" i="18" s="1"/>
  <c r="E59" i="18"/>
  <c r="D59" i="18"/>
  <c r="C59" i="18"/>
  <c r="G58" i="18"/>
  <c r="F58" i="18"/>
  <c r="E58" i="18"/>
  <c r="D58" i="18"/>
  <c r="C58" i="18"/>
  <c r="G57" i="18"/>
  <c r="F57" i="18"/>
  <c r="E57" i="18"/>
  <c r="D57" i="18"/>
  <c r="C57" i="18"/>
  <c r="G56" i="18"/>
  <c r="F56" i="18"/>
  <c r="E56" i="18"/>
  <c r="D56" i="18"/>
  <c r="C56" i="18"/>
  <c r="H56" i="18" s="1"/>
  <c r="G55" i="18"/>
  <c r="F55" i="18"/>
  <c r="E55" i="18"/>
  <c r="D55" i="18"/>
  <c r="C55" i="18"/>
  <c r="G54" i="18"/>
  <c r="F54" i="18"/>
  <c r="E54" i="18"/>
  <c r="D54" i="18"/>
  <c r="C54" i="18"/>
  <c r="G53" i="18"/>
  <c r="F53" i="18"/>
  <c r="E53" i="18"/>
  <c r="D53" i="18"/>
  <c r="C53" i="18"/>
  <c r="G52" i="18"/>
  <c r="F52" i="18"/>
  <c r="E52" i="18"/>
  <c r="D52" i="18"/>
  <c r="C52" i="18"/>
  <c r="H52" i="18" s="1"/>
  <c r="G51" i="18"/>
  <c r="F51" i="18"/>
  <c r="E51" i="18"/>
  <c r="D51" i="18"/>
  <c r="C51" i="18"/>
  <c r="G50" i="18"/>
  <c r="F50" i="18"/>
  <c r="E50" i="18"/>
  <c r="D50" i="18"/>
  <c r="C50" i="18"/>
  <c r="C9" i="16"/>
  <c r="I24" i="17"/>
  <c r="I23" i="17"/>
  <c r="I22" i="17"/>
  <c r="I21" i="17"/>
  <c r="I20" i="17"/>
  <c r="I19" i="17"/>
  <c r="I18" i="17"/>
  <c r="I17" i="17"/>
  <c r="I25" i="17" s="1"/>
  <c r="C8" i="16" s="1"/>
  <c r="C14" i="16"/>
  <c r="C11" i="16"/>
  <c r="D36" i="12"/>
  <c r="D37" i="12"/>
  <c r="G38" i="12"/>
  <c r="H38" i="12"/>
  <c r="I38" i="12"/>
  <c r="J38" i="12"/>
  <c r="G38" i="11"/>
  <c r="H38" i="11"/>
  <c r="I38" i="11"/>
  <c r="J38" i="11"/>
  <c r="D36" i="11"/>
  <c r="D37" i="11"/>
  <c r="C10" i="16" l="1"/>
  <c r="H58" i="18"/>
  <c r="H66" i="18"/>
  <c r="H67" i="18"/>
  <c r="H69" i="18"/>
  <c r="H54" i="18"/>
  <c r="H55" i="18"/>
  <c r="H57" i="18"/>
  <c r="H62" i="18"/>
  <c r="H63" i="18"/>
  <c r="H65" i="18"/>
  <c r="H50" i="18"/>
  <c r="H51" i="18"/>
  <c r="H53" i="18"/>
  <c r="H70" i="18"/>
  <c r="H71" i="18"/>
  <c r="H73" i="18"/>
  <c r="H61" i="18"/>
  <c r="H78" i="18"/>
  <c r="D23" i="1"/>
  <c r="D24" i="1"/>
  <c r="D20" i="6"/>
  <c r="G20" i="6"/>
  <c r="G24" i="1"/>
  <c r="G23" i="1"/>
  <c r="F20" i="6"/>
  <c r="F24" i="1"/>
  <c r="F23" i="1"/>
  <c r="E23" i="1"/>
  <c r="E24" i="1"/>
  <c r="G21" i="6"/>
  <c r="E21" i="6"/>
  <c r="D21" i="6"/>
  <c r="C19" i="1"/>
  <c r="F21" i="6"/>
  <c r="E104" i="19"/>
  <c r="C7" i="16" s="1"/>
  <c r="E20" i="6"/>
  <c r="H19" i="1"/>
  <c r="H79" i="18"/>
  <c r="C13" i="16"/>
  <c r="C16" i="16"/>
  <c r="C12" i="16" l="1"/>
  <c r="C17" i="16" s="1"/>
  <c r="C19" i="16" s="1"/>
  <c r="C23" i="1"/>
  <c r="C24" i="1"/>
  <c r="H24" i="1"/>
  <c r="H23" i="1"/>
  <c r="H20" i="6"/>
  <c r="F6" i="12"/>
  <c r="G6" i="12" s="1"/>
  <c r="H6" i="12" s="1"/>
  <c r="I6" i="12" s="1"/>
  <c r="J6" i="12" s="1"/>
  <c r="F6" i="11"/>
  <c r="G6" i="11" s="1"/>
  <c r="H6" i="11" s="1"/>
  <c r="I6" i="11" s="1"/>
  <c r="J6" i="11" s="1"/>
  <c r="C30" i="12" l="1"/>
  <c r="C30" i="11"/>
  <c r="D20" i="12" l="1"/>
  <c r="D20" i="11"/>
  <c r="C19" i="9" l="1"/>
  <c r="C16" i="9"/>
  <c r="C15" i="9"/>
  <c r="C14" i="9"/>
  <c r="C9" i="9"/>
  <c r="C29" i="9" s="1"/>
  <c r="P109" i="8"/>
  <c r="D150" i="8" s="1"/>
  <c r="P107" i="8"/>
  <c r="D148" i="8" s="1"/>
  <c r="P106" i="8"/>
  <c r="P105" i="8"/>
  <c r="P103" i="8"/>
  <c r="D144" i="8" s="1"/>
  <c r="P102" i="8"/>
  <c r="D143" i="8" s="1"/>
  <c r="P100" i="8"/>
  <c r="P99" i="8"/>
  <c r="P98" i="8"/>
  <c r="P96" i="8"/>
  <c r="P95" i="8"/>
  <c r="D136" i="8" s="1"/>
  <c r="P94" i="8"/>
  <c r="D135" i="8" s="1"/>
  <c r="P92" i="8"/>
  <c r="D133" i="8" s="1"/>
  <c r="P91" i="8"/>
  <c r="P90" i="8"/>
  <c r="D131" i="8" s="1"/>
  <c r="P88" i="8"/>
  <c r="D129" i="8" s="1"/>
  <c r="P87" i="8"/>
  <c r="D128" i="8" s="1"/>
  <c r="P86" i="8"/>
  <c r="D127" i="8" s="1"/>
  <c r="P84" i="8"/>
  <c r="P83" i="8"/>
  <c r="D124" i="8" s="1"/>
  <c r="P81" i="8"/>
  <c r="P80" i="8"/>
  <c r="P78" i="8"/>
  <c r="P77" i="8"/>
  <c r="P76" i="8"/>
  <c r="D117" i="8" s="1"/>
  <c r="P75" i="8"/>
  <c r="D116" i="8" s="1"/>
  <c r="I76" i="8"/>
  <c r="I77" i="8"/>
  <c r="I78" i="8"/>
  <c r="I80" i="8"/>
  <c r="I81" i="8"/>
  <c r="I83" i="8"/>
  <c r="I84" i="8"/>
  <c r="I86" i="8"/>
  <c r="I87" i="8"/>
  <c r="I88" i="8"/>
  <c r="I90" i="8"/>
  <c r="I91" i="8"/>
  <c r="I92" i="8"/>
  <c r="I94" i="8"/>
  <c r="I95" i="8"/>
  <c r="I96" i="8"/>
  <c r="I98" i="8"/>
  <c r="I99" i="8"/>
  <c r="I100" i="8"/>
  <c r="I102" i="8"/>
  <c r="I103" i="8"/>
  <c r="I105" i="8"/>
  <c r="I106" i="8"/>
  <c r="I107" i="8"/>
  <c r="I109" i="8"/>
  <c r="I75" i="8"/>
  <c r="E65" i="10"/>
  <c r="E43" i="10"/>
  <c r="F83" i="7"/>
  <c r="F82" i="7"/>
  <c r="F81" i="7"/>
  <c r="F80" i="7"/>
  <c r="F72" i="7"/>
  <c r="F73" i="7"/>
  <c r="F74" i="7"/>
  <c r="F71" i="7"/>
  <c r="D63" i="7"/>
  <c r="C20" i="9"/>
  <c r="F53" i="7"/>
  <c r="F54" i="7" s="1"/>
  <c r="E53" i="7"/>
  <c r="E55" i="7" s="1"/>
  <c r="D53" i="7"/>
  <c r="D54" i="7" s="1"/>
  <c r="C53" i="7"/>
  <c r="E39" i="7"/>
  <c r="E40" i="7"/>
  <c r="E41" i="7"/>
  <c r="E42" i="7"/>
  <c r="E43" i="7"/>
  <c r="E44" i="7"/>
  <c r="E45" i="7"/>
  <c r="E38" i="7"/>
  <c r="D26" i="7"/>
  <c r="D62" i="7" s="1"/>
  <c r="C26" i="7"/>
  <c r="C62" i="7" s="1"/>
  <c r="C64" i="7" s="1"/>
  <c r="C66" i="7" s="1"/>
  <c r="E5" i="5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J139" i="2" s="1"/>
  <c r="K139" i="2" s="1"/>
  <c r="L139" i="2" s="1"/>
  <c r="M139" i="2" s="1"/>
  <c r="N139" i="2" s="1"/>
  <c r="G140" i="2"/>
  <c r="J140" i="2" s="1"/>
  <c r="K140" i="2" s="1"/>
  <c r="L140" i="2" s="1"/>
  <c r="M140" i="2" s="1"/>
  <c r="N140" i="2" s="1"/>
  <c r="G141" i="2"/>
  <c r="G142" i="2"/>
  <c r="J142" i="2" s="1"/>
  <c r="K142" i="2" s="1"/>
  <c r="L142" i="2" s="1"/>
  <c r="M142" i="2" s="1"/>
  <c r="N142" i="2" s="1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J296" i="2" s="1"/>
  <c r="K296" i="2" s="1"/>
  <c r="L296" i="2" s="1"/>
  <c r="M296" i="2" s="1"/>
  <c r="N296" i="2" s="1"/>
  <c r="G297" i="2"/>
  <c r="J297" i="2" s="1"/>
  <c r="K297" i="2" s="1"/>
  <c r="L297" i="2" s="1"/>
  <c r="M297" i="2" s="1"/>
  <c r="N297" i="2" s="1"/>
  <c r="G298" i="2"/>
  <c r="G299" i="2"/>
  <c r="J299" i="2" s="1"/>
  <c r="K299" i="2" s="1"/>
  <c r="L299" i="2" s="1"/>
  <c r="M299" i="2" s="1"/>
  <c r="N299" i="2" s="1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J329" i="2" s="1"/>
  <c r="K329" i="2" s="1"/>
  <c r="L329" i="2" s="1"/>
  <c r="M329" i="2" s="1"/>
  <c r="N329" i="2" s="1"/>
  <c r="G330" i="2"/>
  <c r="J330" i="2" s="1"/>
  <c r="K330" i="2" s="1"/>
  <c r="L330" i="2" s="1"/>
  <c r="M330" i="2" s="1"/>
  <c r="N330" i="2" s="1"/>
  <c r="G331" i="2"/>
  <c r="J331" i="2" s="1"/>
  <c r="K331" i="2" s="1"/>
  <c r="L331" i="2" s="1"/>
  <c r="M331" i="2" s="1"/>
  <c r="N331" i="2" s="1"/>
  <c r="G332" i="2"/>
  <c r="J332" i="2" s="1"/>
  <c r="K332" i="2" s="1"/>
  <c r="L332" i="2" s="1"/>
  <c r="M332" i="2" s="1"/>
  <c r="N332" i="2" s="1"/>
  <c r="G333" i="2"/>
  <c r="J333" i="2" s="1"/>
  <c r="K333" i="2" s="1"/>
  <c r="L333" i="2" s="1"/>
  <c r="M333" i="2" s="1"/>
  <c r="N333" i="2" s="1"/>
  <c r="G334" i="2"/>
  <c r="J334" i="2" s="1"/>
  <c r="K334" i="2" s="1"/>
  <c r="L334" i="2" s="1"/>
  <c r="M334" i="2" s="1"/>
  <c r="N334" i="2" s="1"/>
  <c r="G335" i="2"/>
  <c r="J335" i="2" s="1"/>
  <c r="K335" i="2" s="1"/>
  <c r="L335" i="2" s="1"/>
  <c r="M335" i="2" s="1"/>
  <c r="N335" i="2" s="1"/>
  <c r="G336" i="2"/>
  <c r="J336" i="2" s="1"/>
  <c r="K336" i="2" s="1"/>
  <c r="L336" i="2" s="1"/>
  <c r="M336" i="2" s="1"/>
  <c r="N336" i="2" s="1"/>
  <c r="G337" i="2"/>
  <c r="J337" i="2" s="1"/>
  <c r="K337" i="2" s="1"/>
  <c r="L337" i="2" s="1"/>
  <c r="M337" i="2" s="1"/>
  <c r="N337" i="2" s="1"/>
  <c r="G338" i="2"/>
  <c r="J338" i="2" s="1"/>
  <c r="K338" i="2" s="1"/>
  <c r="L338" i="2" s="1"/>
  <c r="M338" i="2" s="1"/>
  <c r="N338" i="2" s="1"/>
  <c r="G339" i="2"/>
  <c r="J339" i="2" s="1"/>
  <c r="K339" i="2" s="1"/>
  <c r="L339" i="2" s="1"/>
  <c r="M339" i="2" s="1"/>
  <c r="N339" i="2" s="1"/>
  <c r="G340" i="2"/>
  <c r="J340" i="2" s="1"/>
  <c r="K340" i="2" s="1"/>
  <c r="L340" i="2" s="1"/>
  <c r="M340" i="2" s="1"/>
  <c r="N340" i="2" s="1"/>
  <c r="G341" i="2"/>
  <c r="J341" i="2" s="1"/>
  <c r="K341" i="2" s="1"/>
  <c r="L341" i="2" s="1"/>
  <c r="M341" i="2" s="1"/>
  <c r="N341" i="2" s="1"/>
  <c r="G342" i="2"/>
  <c r="J342" i="2" s="1"/>
  <c r="K342" i="2" s="1"/>
  <c r="L342" i="2" s="1"/>
  <c r="M342" i="2" s="1"/>
  <c r="N342" i="2" s="1"/>
  <c r="G343" i="2"/>
  <c r="J343" i="2" s="1"/>
  <c r="K343" i="2" s="1"/>
  <c r="L343" i="2" s="1"/>
  <c r="M343" i="2" s="1"/>
  <c r="N343" i="2" s="1"/>
  <c r="G344" i="2"/>
  <c r="J344" i="2" s="1"/>
  <c r="K344" i="2" s="1"/>
  <c r="L344" i="2" s="1"/>
  <c r="M344" i="2" s="1"/>
  <c r="N344" i="2" s="1"/>
  <c r="G345" i="2"/>
  <c r="J345" i="2" s="1"/>
  <c r="K345" i="2" s="1"/>
  <c r="L345" i="2" s="1"/>
  <c r="M345" i="2" s="1"/>
  <c r="N345" i="2" s="1"/>
  <c r="G346" i="2"/>
  <c r="J346" i="2" s="1"/>
  <c r="K346" i="2" s="1"/>
  <c r="L346" i="2" s="1"/>
  <c r="M346" i="2" s="1"/>
  <c r="N346" i="2" s="1"/>
  <c r="G347" i="2"/>
  <c r="J347" i="2" s="1"/>
  <c r="K347" i="2" s="1"/>
  <c r="L347" i="2" s="1"/>
  <c r="M347" i="2" s="1"/>
  <c r="N347" i="2" s="1"/>
  <c r="G348" i="2"/>
  <c r="J348" i="2" s="1"/>
  <c r="K348" i="2" s="1"/>
  <c r="L348" i="2" s="1"/>
  <c r="M348" i="2" s="1"/>
  <c r="N348" i="2" s="1"/>
  <c r="G349" i="2"/>
  <c r="J349" i="2" s="1"/>
  <c r="K349" i="2" s="1"/>
  <c r="L349" i="2" s="1"/>
  <c r="M349" i="2" s="1"/>
  <c r="N349" i="2" s="1"/>
  <c r="G350" i="2"/>
  <c r="J350" i="2" s="1"/>
  <c r="K350" i="2" s="1"/>
  <c r="L350" i="2" s="1"/>
  <c r="M350" i="2" s="1"/>
  <c r="N350" i="2" s="1"/>
  <c r="G351" i="2"/>
  <c r="J351" i="2" s="1"/>
  <c r="K351" i="2" s="1"/>
  <c r="L351" i="2" s="1"/>
  <c r="M351" i="2" s="1"/>
  <c r="N351" i="2" s="1"/>
  <c r="G352" i="2"/>
  <c r="J352" i="2" s="1"/>
  <c r="K352" i="2" s="1"/>
  <c r="L352" i="2" s="1"/>
  <c r="M352" i="2" s="1"/>
  <c r="N352" i="2" s="1"/>
  <c r="G353" i="2"/>
  <c r="J353" i="2" s="1"/>
  <c r="K353" i="2" s="1"/>
  <c r="L353" i="2" s="1"/>
  <c r="M353" i="2" s="1"/>
  <c r="N353" i="2" s="1"/>
  <c r="G354" i="2"/>
  <c r="J354" i="2" s="1"/>
  <c r="K354" i="2" s="1"/>
  <c r="L354" i="2" s="1"/>
  <c r="M354" i="2" s="1"/>
  <c r="N354" i="2" s="1"/>
  <c r="G355" i="2"/>
  <c r="J355" i="2" s="1"/>
  <c r="K355" i="2" s="1"/>
  <c r="L355" i="2" s="1"/>
  <c r="M355" i="2" s="1"/>
  <c r="N355" i="2" s="1"/>
  <c r="G356" i="2"/>
  <c r="J356" i="2" s="1"/>
  <c r="K356" i="2" s="1"/>
  <c r="L356" i="2" s="1"/>
  <c r="M356" i="2" s="1"/>
  <c r="N356" i="2" s="1"/>
  <c r="G357" i="2"/>
  <c r="J357" i="2" s="1"/>
  <c r="K357" i="2" s="1"/>
  <c r="L357" i="2" s="1"/>
  <c r="M357" i="2" s="1"/>
  <c r="N357" i="2" s="1"/>
  <c r="G358" i="2"/>
  <c r="J358" i="2" s="1"/>
  <c r="K358" i="2" s="1"/>
  <c r="L358" i="2" s="1"/>
  <c r="M358" i="2" s="1"/>
  <c r="N358" i="2" s="1"/>
  <c r="G359" i="2"/>
  <c r="J359" i="2" s="1"/>
  <c r="K359" i="2" s="1"/>
  <c r="L359" i="2" s="1"/>
  <c r="M359" i="2" s="1"/>
  <c r="N359" i="2" s="1"/>
  <c r="G360" i="2"/>
  <c r="J360" i="2" s="1"/>
  <c r="K360" i="2" s="1"/>
  <c r="L360" i="2" s="1"/>
  <c r="M360" i="2" s="1"/>
  <c r="N360" i="2" s="1"/>
  <c r="G361" i="2"/>
  <c r="J361" i="2" s="1"/>
  <c r="K361" i="2" s="1"/>
  <c r="L361" i="2" s="1"/>
  <c r="M361" i="2" s="1"/>
  <c r="N361" i="2" s="1"/>
  <c r="G362" i="2"/>
  <c r="J362" i="2" s="1"/>
  <c r="K362" i="2" s="1"/>
  <c r="L362" i="2" s="1"/>
  <c r="M362" i="2" s="1"/>
  <c r="N362" i="2" s="1"/>
  <c r="G363" i="2"/>
  <c r="J363" i="2" s="1"/>
  <c r="K363" i="2" s="1"/>
  <c r="L363" i="2" s="1"/>
  <c r="M363" i="2" s="1"/>
  <c r="N363" i="2" s="1"/>
  <c r="G364" i="2"/>
  <c r="J364" i="2" s="1"/>
  <c r="K364" i="2" s="1"/>
  <c r="L364" i="2" s="1"/>
  <c r="M364" i="2" s="1"/>
  <c r="N364" i="2" s="1"/>
  <c r="G365" i="2"/>
  <c r="J365" i="2" s="1"/>
  <c r="K365" i="2" s="1"/>
  <c r="L365" i="2" s="1"/>
  <c r="M365" i="2" s="1"/>
  <c r="N365" i="2" s="1"/>
  <c r="G366" i="2"/>
  <c r="J366" i="2" s="1"/>
  <c r="K366" i="2" s="1"/>
  <c r="L366" i="2" s="1"/>
  <c r="M366" i="2" s="1"/>
  <c r="N366" i="2" s="1"/>
  <c r="G367" i="2"/>
  <c r="J367" i="2" s="1"/>
  <c r="K367" i="2" s="1"/>
  <c r="L367" i="2" s="1"/>
  <c r="M367" i="2" s="1"/>
  <c r="N367" i="2" s="1"/>
  <c r="G368" i="2"/>
  <c r="J368" i="2" s="1"/>
  <c r="K368" i="2" s="1"/>
  <c r="L368" i="2" s="1"/>
  <c r="M368" i="2" s="1"/>
  <c r="N368" i="2" s="1"/>
  <c r="G369" i="2"/>
  <c r="J369" i="2" s="1"/>
  <c r="K369" i="2" s="1"/>
  <c r="L369" i="2" s="1"/>
  <c r="M369" i="2" s="1"/>
  <c r="N369" i="2" s="1"/>
  <c r="G370" i="2"/>
  <c r="J370" i="2" s="1"/>
  <c r="K370" i="2" s="1"/>
  <c r="L370" i="2" s="1"/>
  <c r="M370" i="2" s="1"/>
  <c r="N370" i="2" s="1"/>
  <c r="G371" i="2"/>
  <c r="J371" i="2" s="1"/>
  <c r="K371" i="2" s="1"/>
  <c r="L371" i="2" s="1"/>
  <c r="M371" i="2" s="1"/>
  <c r="N371" i="2" s="1"/>
  <c r="G372" i="2"/>
  <c r="J372" i="2" s="1"/>
  <c r="K372" i="2" s="1"/>
  <c r="L372" i="2" s="1"/>
  <c r="M372" i="2" s="1"/>
  <c r="N372" i="2" s="1"/>
  <c r="G373" i="2"/>
  <c r="J373" i="2" s="1"/>
  <c r="K373" i="2" s="1"/>
  <c r="L373" i="2" s="1"/>
  <c r="M373" i="2" s="1"/>
  <c r="N373" i="2" s="1"/>
  <c r="G374" i="2"/>
  <c r="J374" i="2" s="1"/>
  <c r="K374" i="2" s="1"/>
  <c r="L374" i="2" s="1"/>
  <c r="M374" i="2" s="1"/>
  <c r="N374" i="2" s="1"/>
  <c r="G375" i="2"/>
  <c r="J375" i="2" s="1"/>
  <c r="K375" i="2" s="1"/>
  <c r="L375" i="2" s="1"/>
  <c r="M375" i="2" s="1"/>
  <c r="N375" i="2" s="1"/>
  <c r="G376" i="2"/>
  <c r="J376" i="2" s="1"/>
  <c r="K376" i="2" s="1"/>
  <c r="L376" i="2" s="1"/>
  <c r="M376" i="2" s="1"/>
  <c r="N376" i="2" s="1"/>
  <c r="G377" i="2"/>
  <c r="J377" i="2" s="1"/>
  <c r="K377" i="2" s="1"/>
  <c r="L377" i="2" s="1"/>
  <c r="M377" i="2" s="1"/>
  <c r="N377" i="2" s="1"/>
  <c r="G378" i="2"/>
  <c r="J378" i="2" s="1"/>
  <c r="K378" i="2" s="1"/>
  <c r="L378" i="2" s="1"/>
  <c r="M378" i="2" s="1"/>
  <c r="N378" i="2" s="1"/>
  <c r="G379" i="2"/>
  <c r="J379" i="2" s="1"/>
  <c r="K379" i="2" s="1"/>
  <c r="L379" i="2" s="1"/>
  <c r="M379" i="2" s="1"/>
  <c r="N379" i="2" s="1"/>
  <c r="G380" i="2"/>
  <c r="J380" i="2" s="1"/>
  <c r="K380" i="2" s="1"/>
  <c r="L380" i="2" s="1"/>
  <c r="M380" i="2" s="1"/>
  <c r="N380" i="2" s="1"/>
  <c r="G381" i="2"/>
  <c r="J381" i="2" s="1"/>
  <c r="K381" i="2" s="1"/>
  <c r="L381" i="2" s="1"/>
  <c r="M381" i="2" s="1"/>
  <c r="N381" i="2" s="1"/>
  <c r="G382" i="2"/>
  <c r="J382" i="2" s="1"/>
  <c r="K382" i="2" s="1"/>
  <c r="L382" i="2" s="1"/>
  <c r="M382" i="2" s="1"/>
  <c r="N382" i="2" s="1"/>
  <c r="G383" i="2"/>
  <c r="J383" i="2" s="1"/>
  <c r="K383" i="2" s="1"/>
  <c r="L383" i="2" s="1"/>
  <c r="M383" i="2" s="1"/>
  <c r="N383" i="2" s="1"/>
  <c r="G384" i="2"/>
  <c r="J384" i="2" s="1"/>
  <c r="K384" i="2" s="1"/>
  <c r="L384" i="2" s="1"/>
  <c r="M384" i="2" s="1"/>
  <c r="N384" i="2" s="1"/>
  <c r="G385" i="2"/>
  <c r="J385" i="2" s="1"/>
  <c r="K385" i="2" s="1"/>
  <c r="L385" i="2" s="1"/>
  <c r="M385" i="2" s="1"/>
  <c r="N385" i="2" s="1"/>
  <c r="G386" i="2"/>
  <c r="J386" i="2" s="1"/>
  <c r="K386" i="2" s="1"/>
  <c r="L386" i="2" s="1"/>
  <c r="M386" i="2" s="1"/>
  <c r="N386" i="2" s="1"/>
  <c r="G387" i="2"/>
  <c r="J387" i="2" s="1"/>
  <c r="K387" i="2" s="1"/>
  <c r="L387" i="2" s="1"/>
  <c r="M387" i="2" s="1"/>
  <c r="N387" i="2" s="1"/>
  <c r="G388" i="2"/>
  <c r="J388" i="2" s="1"/>
  <c r="K388" i="2" s="1"/>
  <c r="L388" i="2" s="1"/>
  <c r="M388" i="2" s="1"/>
  <c r="N388" i="2" s="1"/>
  <c r="G389" i="2"/>
  <c r="J389" i="2" s="1"/>
  <c r="K389" i="2" s="1"/>
  <c r="L389" i="2" s="1"/>
  <c r="M389" i="2" s="1"/>
  <c r="N389" i="2" s="1"/>
  <c r="G390" i="2"/>
  <c r="J390" i="2" s="1"/>
  <c r="K390" i="2" s="1"/>
  <c r="L390" i="2" s="1"/>
  <c r="M390" i="2" s="1"/>
  <c r="N390" i="2" s="1"/>
  <c r="G391" i="2"/>
  <c r="J391" i="2" s="1"/>
  <c r="K391" i="2" s="1"/>
  <c r="L391" i="2" s="1"/>
  <c r="M391" i="2" s="1"/>
  <c r="N391" i="2" s="1"/>
  <c r="G392" i="2"/>
  <c r="J392" i="2" s="1"/>
  <c r="K392" i="2" s="1"/>
  <c r="L392" i="2" s="1"/>
  <c r="M392" i="2" s="1"/>
  <c r="N392" i="2" s="1"/>
  <c r="G393" i="2"/>
  <c r="J393" i="2" s="1"/>
  <c r="K393" i="2" s="1"/>
  <c r="L393" i="2" s="1"/>
  <c r="M393" i="2" s="1"/>
  <c r="N393" i="2" s="1"/>
  <c r="G394" i="2"/>
  <c r="J394" i="2" s="1"/>
  <c r="K394" i="2" s="1"/>
  <c r="L394" i="2" s="1"/>
  <c r="M394" i="2" s="1"/>
  <c r="N394" i="2" s="1"/>
  <c r="G395" i="2"/>
  <c r="J395" i="2" s="1"/>
  <c r="K395" i="2" s="1"/>
  <c r="L395" i="2" s="1"/>
  <c r="M395" i="2" s="1"/>
  <c r="N395" i="2" s="1"/>
  <c r="G396" i="2"/>
  <c r="J396" i="2" s="1"/>
  <c r="K396" i="2" s="1"/>
  <c r="L396" i="2" s="1"/>
  <c r="M396" i="2" s="1"/>
  <c r="N396" i="2" s="1"/>
  <c r="G397" i="2"/>
  <c r="J397" i="2" s="1"/>
  <c r="K397" i="2" s="1"/>
  <c r="L397" i="2" s="1"/>
  <c r="M397" i="2" s="1"/>
  <c r="N397" i="2" s="1"/>
  <c r="G398" i="2"/>
  <c r="J398" i="2" s="1"/>
  <c r="K398" i="2" s="1"/>
  <c r="L398" i="2" s="1"/>
  <c r="M398" i="2" s="1"/>
  <c r="N398" i="2" s="1"/>
  <c r="G399" i="2"/>
  <c r="J399" i="2" s="1"/>
  <c r="K399" i="2" s="1"/>
  <c r="L399" i="2" s="1"/>
  <c r="M399" i="2" s="1"/>
  <c r="N399" i="2" s="1"/>
  <c r="G400" i="2"/>
  <c r="J400" i="2" s="1"/>
  <c r="K400" i="2" s="1"/>
  <c r="L400" i="2" s="1"/>
  <c r="M400" i="2" s="1"/>
  <c r="N400" i="2" s="1"/>
  <c r="G401" i="2"/>
  <c r="J401" i="2" s="1"/>
  <c r="K401" i="2" s="1"/>
  <c r="L401" i="2" s="1"/>
  <c r="M401" i="2" s="1"/>
  <c r="N401" i="2" s="1"/>
  <c r="G402" i="2"/>
  <c r="J402" i="2" s="1"/>
  <c r="K402" i="2" s="1"/>
  <c r="L402" i="2" s="1"/>
  <c r="M402" i="2" s="1"/>
  <c r="N402" i="2" s="1"/>
  <c r="G403" i="2"/>
  <c r="J403" i="2" s="1"/>
  <c r="K403" i="2" s="1"/>
  <c r="L403" i="2" s="1"/>
  <c r="M403" i="2" s="1"/>
  <c r="N403" i="2" s="1"/>
  <c r="G404" i="2"/>
  <c r="J404" i="2" s="1"/>
  <c r="K404" i="2" s="1"/>
  <c r="L404" i="2" s="1"/>
  <c r="M404" i="2" s="1"/>
  <c r="N404" i="2" s="1"/>
  <c r="G405" i="2"/>
  <c r="J405" i="2" s="1"/>
  <c r="K405" i="2" s="1"/>
  <c r="L405" i="2" s="1"/>
  <c r="M405" i="2" s="1"/>
  <c r="N405" i="2" s="1"/>
  <c r="G406" i="2"/>
  <c r="J406" i="2" s="1"/>
  <c r="K406" i="2" s="1"/>
  <c r="L406" i="2" s="1"/>
  <c r="M406" i="2" s="1"/>
  <c r="N406" i="2" s="1"/>
  <c r="G407" i="2"/>
  <c r="J407" i="2" s="1"/>
  <c r="K407" i="2" s="1"/>
  <c r="L407" i="2" s="1"/>
  <c r="M407" i="2" s="1"/>
  <c r="N407" i="2" s="1"/>
  <c r="G408" i="2"/>
  <c r="J408" i="2" s="1"/>
  <c r="K408" i="2" s="1"/>
  <c r="L408" i="2" s="1"/>
  <c r="M408" i="2" s="1"/>
  <c r="N408" i="2" s="1"/>
  <c r="G409" i="2"/>
  <c r="J409" i="2" s="1"/>
  <c r="K409" i="2" s="1"/>
  <c r="L409" i="2" s="1"/>
  <c r="M409" i="2" s="1"/>
  <c r="N409" i="2" s="1"/>
  <c r="G410" i="2"/>
  <c r="J410" i="2" s="1"/>
  <c r="K410" i="2" s="1"/>
  <c r="L410" i="2" s="1"/>
  <c r="M410" i="2" s="1"/>
  <c r="N410" i="2" s="1"/>
  <c r="G411" i="2"/>
  <c r="J411" i="2" s="1"/>
  <c r="K411" i="2" s="1"/>
  <c r="L411" i="2" s="1"/>
  <c r="M411" i="2" s="1"/>
  <c r="N411" i="2" s="1"/>
  <c r="G412" i="2"/>
  <c r="J412" i="2" s="1"/>
  <c r="K412" i="2" s="1"/>
  <c r="L412" i="2" s="1"/>
  <c r="M412" i="2" s="1"/>
  <c r="N412" i="2" s="1"/>
  <c r="G413" i="2"/>
  <c r="J413" i="2" s="1"/>
  <c r="K413" i="2" s="1"/>
  <c r="L413" i="2" s="1"/>
  <c r="M413" i="2" s="1"/>
  <c r="N413" i="2" s="1"/>
  <c r="G414" i="2"/>
  <c r="J414" i="2" s="1"/>
  <c r="K414" i="2" s="1"/>
  <c r="L414" i="2" s="1"/>
  <c r="M414" i="2" s="1"/>
  <c r="N414" i="2" s="1"/>
  <c r="G415" i="2"/>
  <c r="J415" i="2" s="1"/>
  <c r="K415" i="2" s="1"/>
  <c r="L415" i="2" s="1"/>
  <c r="M415" i="2" s="1"/>
  <c r="N415" i="2" s="1"/>
  <c r="G416" i="2"/>
  <c r="J416" i="2" s="1"/>
  <c r="K416" i="2" s="1"/>
  <c r="L416" i="2" s="1"/>
  <c r="M416" i="2" s="1"/>
  <c r="N416" i="2" s="1"/>
  <c r="G417" i="2"/>
  <c r="J417" i="2" s="1"/>
  <c r="K417" i="2" s="1"/>
  <c r="L417" i="2" s="1"/>
  <c r="M417" i="2" s="1"/>
  <c r="N417" i="2" s="1"/>
  <c r="G418" i="2"/>
  <c r="J418" i="2" s="1"/>
  <c r="K418" i="2" s="1"/>
  <c r="L418" i="2" s="1"/>
  <c r="M418" i="2" s="1"/>
  <c r="N418" i="2" s="1"/>
  <c r="G419" i="2"/>
  <c r="J419" i="2" s="1"/>
  <c r="K419" i="2" s="1"/>
  <c r="L419" i="2" s="1"/>
  <c r="M419" i="2" s="1"/>
  <c r="N419" i="2" s="1"/>
  <c r="G420" i="2"/>
  <c r="J420" i="2" s="1"/>
  <c r="K420" i="2" s="1"/>
  <c r="L420" i="2" s="1"/>
  <c r="M420" i="2" s="1"/>
  <c r="N420" i="2" s="1"/>
  <c r="G421" i="2"/>
  <c r="J421" i="2" s="1"/>
  <c r="K421" i="2" s="1"/>
  <c r="L421" i="2" s="1"/>
  <c r="M421" i="2" s="1"/>
  <c r="N421" i="2" s="1"/>
  <c r="G422" i="2"/>
  <c r="J422" i="2" s="1"/>
  <c r="K422" i="2" s="1"/>
  <c r="L422" i="2" s="1"/>
  <c r="M422" i="2" s="1"/>
  <c r="N422" i="2" s="1"/>
  <c r="G423" i="2"/>
  <c r="J423" i="2" s="1"/>
  <c r="K423" i="2" s="1"/>
  <c r="L423" i="2" s="1"/>
  <c r="M423" i="2" s="1"/>
  <c r="N423" i="2" s="1"/>
  <c r="G424" i="2"/>
  <c r="J424" i="2" s="1"/>
  <c r="K424" i="2" s="1"/>
  <c r="L424" i="2" s="1"/>
  <c r="M424" i="2" s="1"/>
  <c r="N424" i="2" s="1"/>
  <c r="G425" i="2"/>
  <c r="J425" i="2" s="1"/>
  <c r="K425" i="2" s="1"/>
  <c r="L425" i="2" s="1"/>
  <c r="M425" i="2" s="1"/>
  <c r="N425" i="2" s="1"/>
  <c r="G426" i="2"/>
  <c r="J426" i="2" s="1"/>
  <c r="K426" i="2" s="1"/>
  <c r="L426" i="2" s="1"/>
  <c r="M426" i="2" s="1"/>
  <c r="N426" i="2" s="1"/>
  <c r="G427" i="2"/>
  <c r="J427" i="2" s="1"/>
  <c r="K427" i="2" s="1"/>
  <c r="L427" i="2" s="1"/>
  <c r="M427" i="2" s="1"/>
  <c r="N427" i="2" s="1"/>
  <c r="G428" i="2"/>
  <c r="J428" i="2" s="1"/>
  <c r="K428" i="2" s="1"/>
  <c r="L428" i="2" s="1"/>
  <c r="M428" i="2" s="1"/>
  <c r="N428" i="2" s="1"/>
  <c r="G429" i="2"/>
  <c r="J429" i="2" s="1"/>
  <c r="K429" i="2" s="1"/>
  <c r="L429" i="2" s="1"/>
  <c r="M429" i="2" s="1"/>
  <c r="N429" i="2" s="1"/>
  <c r="G430" i="2"/>
  <c r="J430" i="2" s="1"/>
  <c r="K430" i="2" s="1"/>
  <c r="L430" i="2" s="1"/>
  <c r="M430" i="2" s="1"/>
  <c r="N430" i="2" s="1"/>
  <c r="G431" i="2"/>
  <c r="J431" i="2" s="1"/>
  <c r="K431" i="2" s="1"/>
  <c r="L431" i="2" s="1"/>
  <c r="M431" i="2" s="1"/>
  <c r="N431" i="2" s="1"/>
  <c r="G432" i="2"/>
  <c r="J432" i="2" s="1"/>
  <c r="K432" i="2" s="1"/>
  <c r="L432" i="2" s="1"/>
  <c r="M432" i="2" s="1"/>
  <c r="N432" i="2" s="1"/>
  <c r="G433" i="2"/>
  <c r="J433" i="2" s="1"/>
  <c r="K433" i="2" s="1"/>
  <c r="L433" i="2" s="1"/>
  <c r="M433" i="2" s="1"/>
  <c r="N433" i="2" s="1"/>
  <c r="G434" i="2"/>
  <c r="J434" i="2" s="1"/>
  <c r="K434" i="2" s="1"/>
  <c r="L434" i="2" s="1"/>
  <c r="M434" i="2" s="1"/>
  <c r="N434" i="2" s="1"/>
  <c r="G435" i="2"/>
  <c r="J435" i="2" s="1"/>
  <c r="K435" i="2" s="1"/>
  <c r="L435" i="2" s="1"/>
  <c r="M435" i="2" s="1"/>
  <c r="N435" i="2" s="1"/>
  <c r="G436" i="2"/>
  <c r="J436" i="2" s="1"/>
  <c r="K436" i="2" s="1"/>
  <c r="L436" i="2" s="1"/>
  <c r="M436" i="2" s="1"/>
  <c r="N436" i="2" s="1"/>
  <c r="G437" i="2"/>
  <c r="J437" i="2" s="1"/>
  <c r="K437" i="2" s="1"/>
  <c r="L437" i="2" s="1"/>
  <c r="M437" i="2" s="1"/>
  <c r="N437" i="2" s="1"/>
  <c r="G438" i="2"/>
  <c r="J438" i="2" s="1"/>
  <c r="K438" i="2" s="1"/>
  <c r="L438" i="2" s="1"/>
  <c r="M438" i="2" s="1"/>
  <c r="N438" i="2" s="1"/>
  <c r="G439" i="2"/>
  <c r="J439" i="2" s="1"/>
  <c r="K439" i="2" s="1"/>
  <c r="L439" i="2" s="1"/>
  <c r="M439" i="2" s="1"/>
  <c r="N439" i="2" s="1"/>
  <c r="G440" i="2"/>
  <c r="J440" i="2" s="1"/>
  <c r="K440" i="2" s="1"/>
  <c r="L440" i="2" s="1"/>
  <c r="M440" i="2" s="1"/>
  <c r="N440" i="2" s="1"/>
  <c r="G441" i="2"/>
  <c r="J441" i="2" s="1"/>
  <c r="K441" i="2" s="1"/>
  <c r="L441" i="2" s="1"/>
  <c r="M441" i="2" s="1"/>
  <c r="N441" i="2" s="1"/>
  <c r="G442" i="2"/>
  <c r="J442" i="2" s="1"/>
  <c r="K442" i="2" s="1"/>
  <c r="L442" i="2" s="1"/>
  <c r="M442" i="2" s="1"/>
  <c r="N442" i="2" s="1"/>
  <c r="G443" i="2"/>
  <c r="J443" i="2" s="1"/>
  <c r="K443" i="2" s="1"/>
  <c r="L443" i="2" s="1"/>
  <c r="M443" i="2" s="1"/>
  <c r="N443" i="2" s="1"/>
  <c r="G444" i="2"/>
  <c r="J444" i="2" s="1"/>
  <c r="K444" i="2" s="1"/>
  <c r="L444" i="2" s="1"/>
  <c r="M444" i="2" s="1"/>
  <c r="N444" i="2" s="1"/>
  <c r="G445" i="2"/>
  <c r="J445" i="2" s="1"/>
  <c r="K445" i="2" s="1"/>
  <c r="L445" i="2" s="1"/>
  <c r="M445" i="2" s="1"/>
  <c r="N445" i="2" s="1"/>
  <c r="G446" i="2"/>
  <c r="J446" i="2" s="1"/>
  <c r="K446" i="2" s="1"/>
  <c r="L446" i="2" s="1"/>
  <c r="M446" i="2" s="1"/>
  <c r="N446" i="2" s="1"/>
  <c r="G447" i="2"/>
  <c r="J447" i="2" s="1"/>
  <c r="K447" i="2" s="1"/>
  <c r="L447" i="2" s="1"/>
  <c r="M447" i="2" s="1"/>
  <c r="N447" i="2" s="1"/>
  <c r="G448" i="2"/>
  <c r="J448" i="2" s="1"/>
  <c r="K448" i="2" s="1"/>
  <c r="L448" i="2" s="1"/>
  <c r="M448" i="2" s="1"/>
  <c r="N448" i="2" s="1"/>
  <c r="G449" i="2"/>
  <c r="J449" i="2" s="1"/>
  <c r="K449" i="2" s="1"/>
  <c r="L449" i="2" s="1"/>
  <c r="M449" i="2" s="1"/>
  <c r="N449" i="2" s="1"/>
  <c r="G450" i="2"/>
  <c r="J450" i="2" s="1"/>
  <c r="K450" i="2" s="1"/>
  <c r="L450" i="2" s="1"/>
  <c r="M450" i="2" s="1"/>
  <c r="N450" i="2" s="1"/>
  <c r="G451" i="2"/>
  <c r="J451" i="2" s="1"/>
  <c r="K451" i="2" s="1"/>
  <c r="L451" i="2" s="1"/>
  <c r="M451" i="2" s="1"/>
  <c r="N451" i="2" s="1"/>
  <c r="G452" i="2"/>
  <c r="J452" i="2" s="1"/>
  <c r="K452" i="2" s="1"/>
  <c r="L452" i="2" s="1"/>
  <c r="M452" i="2" s="1"/>
  <c r="N452" i="2" s="1"/>
  <c r="G453" i="2"/>
  <c r="J453" i="2" s="1"/>
  <c r="K453" i="2" s="1"/>
  <c r="L453" i="2" s="1"/>
  <c r="M453" i="2" s="1"/>
  <c r="N453" i="2" s="1"/>
  <c r="G454" i="2"/>
  <c r="J454" i="2" s="1"/>
  <c r="K454" i="2" s="1"/>
  <c r="L454" i="2" s="1"/>
  <c r="M454" i="2" s="1"/>
  <c r="N454" i="2" s="1"/>
  <c r="G455" i="2"/>
  <c r="J455" i="2" s="1"/>
  <c r="K455" i="2" s="1"/>
  <c r="L455" i="2" s="1"/>
  <c r="M455" i="2" s="1"/>
  <c r="N455" i="2" s="1"/>
  <c r="G456" i="2"/>
  <c r="J456" i="2" s="1"/>
  <c r="K456" i="2" s="1"/>
  <c r="L456" i="2" s="1"/>
  <c r="M456" i="2" s="1"/>
  <c r="N456" i="2" s="1"/>
  <c r="G457" i="2"/>
  <c r="J457" i="2" s="1"/>
  <c r="K457" i="2" s="1"/>
  <c r="L457" i="2" s="1"/>
  <c r="M457" i="2" s="1"/>
  <c r="N457" i="2" s="1"/>
  <c r="G458" i="2"/>
  <c r="J458" i="2" s="1"/>
  <c r="K458" i="2" s="1"/>
  <c r="L458" i="2" s="1"/>
  <c r="M458" i="2" s="1"/>
  <c r="N458" i="2" s="1"/>
  <c r="G459" i="2"/>
  <c r="J459" i="2" s="1"/>
  <c r="K459" i="2" s="1"/>
  <c r="L459" i="2" s="1"/>
  <c r="M459" i="2" s="1"/>
  <c r="N459" i="2" s="1"/>
  <c r="G460" i="2"/>
  <c r="J460" i="2" s="1"/>
  <c r="K460" i="2" s="1"/>
  <c r="L460" i="2" s="1"/>
  <c r="M460" i="2" s="1"/>
  <c r="N460" i="2" s="1"/>
  <c r="G461" i="2"/>
  <c r="J461" i="2" s="1"/>
  <c r="K461" i="2" s="1"/>
  <c r="L461" i="2" s="1"/>
  <c r="M461" i="2" s="1"/>
  <c r="N461" i="2" s="1"/>
  <c r="G462" i="2"/>
  <c r="J462" i="2" s="1"/>
  <c r="K462" i="2" s="1"/>
  <c r="L462" i="2" s="1"/>
  <c r="M462" i="2" s="1"/>
  <c r="N462" i="2" s="1"/>
  <c r="G463" i="2"/>
  <c r="J463" i="2" s="1"/>
  <c r="K463" i="2" s="1"/>
  <c r="L463" i="2" s="1"/>
  <c r="M463" i="2" s="1"/>
  <c r="N463" i="2" s="1"/>
  <c r="G464" i="2"/>
  <c r="J464" i="2" s="1"/>
  <c r="K464" i="2" s="1"/>
  <c r="L464" i="2" s="1"/>
  <c r="M464" i="2" s="1"/>
  <c r="N464" i="2" s="1"/>
  <c r="G465" i="2"/>
  <c r="J465" i="2" s="1"/>
  <c r="K465" i="2" s="1"/>
  <c r="L465" i="2" s="1"/>
  <c r="M465" i="2" s="1"/>
  <c r="N465" i="2" s="1"/>
  <c r="G466" i="2"/>
  <c r="J466" i="2" s="1"/>
  <c r="K466" i="2" s="1"/>
  <c r="L466" i="2" s="1"/>
  <c r="M466" i="2" s="1"/>
  <c r="N466" i="2" s="1"/>
  <c r="G467" i="2"/>
  <c r="J467" i="2" s="1"/>
  <c r="K467" i="2" s="1"/>
  <c r="L467" i="2" s="1"/>
  <c r="M467" i="2" s="1"/>
  <c r="N467" i="2" s="1"/>
  <c r="G468" i="2"/>
  <c r="J468" i="2" s="1"/>
  <c r="K468" i="2" s="1"/>
  <c r="L468" i="2" s="1"/>
  <c r="M468" i="2" s="1"/>
  <c r="N468" i="2" s="1"/>
  <c r="G469" i="2"/>
  <c r="J469" i="2" s="1"/>
  <c r="K469" i="2" s="1"/>
  <c r="L469" i="2" s="1"/>
  <c r="M469" i="2" s="1"/>
  <c r="N469" i="2" s="1"/>
  <c r="G470" i="2"/>
  <c r="J470" i="2" s="1"/>
  <c r="K470" i="2" s="1"/>
  <c r="L470" i="2" s="1"/>
  <c r="M470" i="2" s="1"/>
  <c r="N470" i="2" s="1"/>
  <c r="G471" i="2"/>
  <c r="J471" i="2" s="1"/>
  <c r="K471" i="2" s="1"/>
  <c r="L471" i="2" s="1"/>
  <c r="M471" i="2" s="1"/>
  <c r="N471" i="2" s="1"/>
  <c r="G472" i="2"/>
  <c r="J472" i="2" s="1"/>
  <c r="K472" i="2" s="1"/>
  <c r="L472" i="2" s="1"/>
  <c r="M472" i="2" s="1"/>
  <c r="N472" i="2" s="1"/>
  <c r="G473" i="2"/>
  <c r="J473" i="2" s="1"/>
  <c r="K473" i="2" s="1"/>
  <c r="L473" i="2" s="1"/>
  <c r="M473" i="2" s="1"/>
  <c r="N473" i="2" s="1"/>
  <c r="G474" i="2"/>
  <c r="J474" i="2" s="1"/>
  <c r="K474" i="2" s="1"/>
  <c r="L474" i="2" s="1"/>
  <c r="M474" i="2" s="1"/>
  <c r="N474" i="2" s="1"/>
  <c r="G475" i="2"/>
  <c r="J475" i="2" s="1"/>
  <c r="K475" i="2" s="1"/>
  <c r="L475" i="2" s="1"/>
  <c r="M475" i="2" s="1"/>
  <c r="N475" i="2" s="1"/>
  <c r="G476" i="2"/>
  <c r="J476" i="2" s="1"/>
  <c r="K476" i="2" s="1"/>
  <c r="L476" i="2" s="1"/>
  <c r="M476" i="2" s="1"/>
  <c r="N476" i="2" s="1"/>
  <c r="G477" i="2"/>
  <c r="J477" i="2" s="1"/>
  <c r="K477" i="2" s="1"/>
  <c r="L477" i="2" s="1"/>
  <c r="M477" i="2" s="1"/>
  <c r="N477" i="2" s="1"/>
  <c r="G478" i="2"/>
  <c r="J478" i="2" s="1"/>
  <c r="K478" i="2" s="1"/>
  <c r="L478" i="2" s="1"/>
  <c r="M478" i="2" s="1"/>
  <c r="N478" i="2" s="1"/>
  <c r="G479" i="2"/>
  <c r="J479" i="2" s="1"/>
  <c r="K479" i="2" s="1"/>
  <c r="L479" i="2" s="1"/>
  <c r="M479" i="2" s="1"/>
  <c r="N479" i="2" s="1"/>
  <c r="G480" i="2"/>
  <c r="J480" i="2" s="1"/>
  <c r="K480" i="2" s="1"/>
  <c r="L480" i="2" s="1"/>
  <c r="M480" i="2" s="1"/>
  <c r="N480" i="2" s="1"/>
  <c r="G481" i="2"/>
  <c r="J481" i="2" s="1"/>
  <c r="K481" i="2" s="1"/>
  <c r="L481" i="2" s="1"/>
  <c r="M481" i="2" s="1"/>
  <c r="N481" i="2" s="1"/>
  <c r="G482" i="2"/>
  <c r="J482" i="2" s="1"/>
  <c r="K482" i="2" s="1"/>
  <c r="L482" i="2" s="1"/>
  <c r="M482" i="2" s="1"/>
  <c r="N482" i="2" s="1"/>
  <c r="G483" i="2"/>
  <c r="J483" i="2" s="1"/>
  <c r="K483" i="2" s="1"/>
  <c r="L483" i="2" s="1"/>
  <c r="M483" i="2" s="1"/>
  <c r="N483" i="2" s="1"/>
  <c r="G484" i="2"/>
  <c r="J484" i="2" s="1"/>
  <c r="K484" i="2" s="1"/>
  <c r="L484" i="2" s="1"/>
  <c r="M484" i="2" s="1"/>
  <c r="N484" i="2" s="1"/>
  <c r="G485" i="2"/>
  <c r="J485" i="2" s="1"/>
  <c r="K485" i="2" s="1"/>
  <c r="L485" i="2" s="1"/>
  <c r="M485" i="2" s="1"/>
  <c r="N485" i="2" s="1"/>
  <c r="G15" i="2"/>
  <c r="F5" i="11"/>
  <c r="F7" i="11" s="1"/>
  <c r="G5" i="11"/>
  <c r="G7" i="11" s="1"/>
  <c r="H5" i="11"/>
  <c r="H7" i="11" s="1"/>
  <c r="I5" i="11"/>
  <c r="I7" i="11" s="1"/>
  <c r="J5" i="11"/>
  <c r="J7" i="11" s="1"/>
  <c r="F5" i="12"/>
  <c r="F7" i="12" s="1"/>
  <c r="G5" i="12"/>
  <c r="G7" i="12" s="1"/>
  <c r="H5" i="12"/>
  <c r="H7" i="12" s="1"/>
  <c r="I5" i="12"/>
  <c r="I7" i="12" s="1"/>
  <c r="J5" i="12"/>
  <c r="J7" i="12" s="1"/>
  <c r="H14" i="1"/>
  <c r="G14" i="1"/>
  <c r="F14" i="1"/>
  <c r="E14" i="1"/>
  <c r="D14" i="1"/>
  <c r="D147" i="8" l="1"/>
  <c r="D146" i="8"/>
  <c r="D141" i="8"/>
  <c r="D140" i="8"/>
  <c r="D139" i="8"/>
  <c r="D137" i="8"/>
  <c r="D132" i="8"/>
  <c r="D125" i="8"/>
  <c r="D122" i="8"/>
  <c r="D121" i="8"/>
  <c r="D119" i="8"/>
  <c r="D118" i="8"/>
  <c r="C139" i="8"/>
  <c r="C117" i="8"/>
  <c r="C148" i="8"/>
  <c r="C147" i="8"/>
  <c r="C136" i="8"/>
  <c r="C125" i="8"/>
  <c r="C150" i="8"/>
  <c r="C128" i="8"/>
  <c r="C137" i="8"/>
  <c r="C127" i="8"/>
  <c r="C146" i="8"/>
  <c r="C135" i="8"/>
  <c r="C124" i="8"/>
  <c r="C144" i="8"/>
  <c r="C133" i="8"/>
  <c r="C122" i="8"/>
  <c r="C143" i="8"/>
  <c r="C132" i="8"/>
  <c r="C121" i="8"/>
  <c r="C141" i="8"/>
  <c r="C131" i="8"/>
  <c r="C119" i="8"/>
  <c r="C140" i="8"/>
  <c r="C129" i="8"/>
  <c r="C118" i="8"/>
  <c r="C116" i="8"/>
  <c r="D64" i="7"/>
  <c r="D66" i="7" s="1"/>
  <c r="D81" i="7" s="1"/>
  <c r="E81" i="7" s="1"/>
  <c r="G81" i="7" s="1"/>
  <c r="E46" i="7"/>
  <c r="F57" i="7"/>
  <c r="D57" i="7"/>
  <c r="F55" i="7"/>
  <c r="E63" i="10"/>
  <c r="N63" i="10" s="1"/>
  <c r="J43" i="10"/>
  <c r="K43" i="10"/>
  <c r="M43" i="10"/>
  <c r="N43" i="10"/>
  <c r="L43" i="10"/>
  <c r="L65" i="10"/>
  <c r="K65" i="10"/>
  <c r="M65" i="10"/>
  <c r="N65" i="10"/>
  <c r="C81" i="7"/>
  <c r="C72" i="7"/>
  <c r="C31" i="7"/>
  <c r="C7" i="20" s="1"/>
  <c r="D56" i="7"/>
  <c r="F56" i="7"/>
  <c r="D55" i="7"/>
  <c r="E44" i="10"/>
  <c r="E54" i="7"/>
  <c r="D71" i="7"/>
  <c r="E64" i="10"/>
  <c r="E57" i="7"/>
  <c r="E56" i="7"/>
  <c r="E42" i="10"/>
  <c r="C17" i="9"/>
  <c r="C21" i="9"/>
  <c r="C32" i="7"/>
  <c r="D7" i="20" s="1"/>
  <c r="N6" i="2"/>
  <c r="E5" i="12"/>
  <c r="E7" i="12" s="1"/>
  <c r="E36" i="12" s="1"/>
  <c r="C20" i="6"/>
  <c r="K6" i="2"/>
  <c r="M6" i="2"/>
  <c r="G43" i="12"/>
  <c r="G36" i="12"/>
  <c r="G10" i="12"/>
  <c r="G9" i="12"/>
  <c r="Q7" i="4"/>
  <c r="J7" i="4"/>
  <c r="J482" i="4" s="1"/>
  <c r="AD482" i="4" s="1"/>
  <c r="F43" i="12"/>
  <c r="F9" i="12"/>
  <c r="F10" i="12"/>
  <c r="F36" i="12"/>
  <c r="R7" i="4"/>
  <c r="K7" i="4"/>
  <c r="K361" i="4" s="1"/>
  <c r="AE361" i="4" s="1"/>
  <c r="E5" i="11"/>
  <c r="E7" i="11" s="1"/>
  <c r="E36" i="11" s="1"/>
  <c r="L6" i="2"/>
  <c r="S7" i="4"/>
  <c r="L7" i="4"/>
  <c r="L444" i="4" s="1"/>
  <c r="AF444" i="4" s="1"/>
  <c r="J43" i="11"/>
  <c r="J10" i="11"/>
  <c r="J9" i="11"/>
  <c r="I43" i="11"/>
  <c r="I10" i="11"/>
  <c r="I9" i="11"/>
  <c r="J43" i="12"/>
  <c r="J36" i="12"/>
  <c r="J10" i="12"/>
  <c r="J9" i="12"/>
  <c r="H43" i="11"/>
  <c r="H10" i="11"/>
  <c r="H9" i="11"/>
  <c r="P7" i="4"/>
  <c r="I7" i="4"/>
  <c r="I415" i="4" s="1"/>
  <c r="AC415" i="4" s="1"/>
  <c r="N7" i="4"/>
  <c r="G480" i="4"/>
  <c r="AA480" i="4" s="1"/>
  <c r="I43" i="12"/>
  <c r="I9" i="12"/>
  <c r="I36" i="12"/>
  <c r="I10" i="12"/>
  <c r="G43" i="11"/>
  <c r="G9" i="11"/>
  <c r="G10" i="11"/>
  <c r="O7" i="4"/>
  <c r="H7" i="4"/>
  <c r="H439" i="4" s="1"/>
  <c r="AB439" i="4" s="1"/>
  <c r="H43" i="12"/>
  <c r="H9" i="12"/>
  <c r="H36" i="12"/>
  <c r="H10" i="12"/>
  <c r="F43" i="11"/>
  <c r="F9" i="11"/>
  <c r="F10" i="11"/>
  <c r="J6" i="2"/>
  <c r="H36" i="11"/>
  <c r="F36" i="11"/>
  <c r="I36" i="11"/>
  <c r="J36" i="11"/>
  <c r="G36" i="11"/>
  <c r="G477" i="4"/>
  <c r="AA477" i="4" s="1"/>
  <c r="G362" i="4"/>
  <c r="AA362" i="4" s="1"/>
  <c r="G418" i="4"/>
  <c r="AA418" i="4" s="1"/>
  <c r="G323" i="4"/>
  <c r="AA323" i="4" s="1"/>
  <c r="G281" i="4"/>
  <c r="AA281" i="4" s="1"/>
  <c r="G15" i="4"/>
  <c r="AA15" i="4" s="1"/>
  <c r="G19" i="4"/>
  <c r="AA19" i="4" s="1"/>
  <c r="G47" i="4"/>
  <c r="AA47" i="4" s="1"/>
  <c r="G51" i="4"/>
  <c r="AA51" i="4" s="1"/>
  <c r="G79" i="4"/>
  <c r="AA79" i="4" s="1"/>
  <c r="G115" i="4"/>
  <c r="AA115" i="4" s="1"/>
  <c r="G119" i="4"/>
  <c r="AA119" i="4" s="1"/>
  <c r="G34" i="4"/>
  <c r="AA34" i="4" s="1"/>
  <c r="G38" i="4"/>
  <c r="AA38" i="4" s="1"/>
  <c r="G66" i="4"/>
  <c r="AA66" i="4" s="1"/>
  <c r="G70" i="4"/>
  <c r="AA70" i="4" s="1"/>
  <c r="G98" i="4"/>
  <c r="AA98" i="4" s="1"/>
  <c r="G106" i="4"/>
  <c r="AA106" i="4" s="1"/>
  <c r="G21" i="4"/>
  <c r="AA21" i="4" s="1"/>
  <c r="G25" i="4"/>
  <c r="AA25" i="4" s="1"/>
  <c r="G53" i="4"/>
  <c r="AA53" i="4" s="1"/>
  <c r="G57" i="4"/>
  <c r="AA57" i="4" s="1"/>
  <c r="G85" i="4"/>
  <c r="AA85" i="4" s="1"/>
  <c r="G89" i="4"/>
  <c r="AA89" i="4" s="1"/>
  <c r="G117" i="4"/>
  <c r="AA117" i="4" s="1"/>
  <c r="G121" i="4"/>
  <c r="AA121" i="4" s="1"/>
  <c r="G152" i="4"/>
  <c r="AA152" i="4" s="1"/>
  <c r="G156" i="4"/>
  <c r="AA156" i="4" s="1"/>
  <c r="G184" i="4"/>
  <c r="AA184" i="4" s="1"/>
  <c r="G188" i="4"/>
  <c r="AA188" i="4" s="1"/>
  <c r="G216" i="4"/>
  <c r="AA216" i="4" s="1"/>
  <c r="G220" i="4"/>
  <c r="AA220" i="4" s="1"/>
  <c r="G252" i="4"/>
  <c r="AA252" i="4" s="1"/>
  <c r="G256" i="4"/>
  <c r="AA256" i="4" s="1"/>
  <c r="G284" i="4"/>
  <c r="AA284" i="4" s="1"/>
  <c r="G288" i="4"/>
  <c r="AA288" i="4" s="1"/>
  <c r="G48" i="4"/>
  <c r="AA48" i="4" s="1"/>
  <c r="G64" i="4"/>
  <c r="AA64" i="4" s="1"/>
  <c r="G143" i="4"/>
  <c r="AA143" i="4" s="1"/>
  <c r="G147" i="4"/>
  <c r="AA147" i="4" s="1"/>
  <c r="G175" i="4"/>
  <c r="AA175" i="4" s="1"/>
  <c r="G179" i="4"/>
  <c r="AA179" i="4" s="1"/>
  <c r="G207" i="4"/>
  <c r="AA207" i="4" s="1"/>
  <c r="G211" i="4"/>
  <c r="AA211" i="4" s="1"/>
  <c r="G239" i="4"/>
  <c r="AA239" i="4" s="1"/>
  <c r="G243" i="4"/>
  <c r="AA243" i="4" s="1"/>
  <c r="G275" i="4"/>
  <c r="AA275" i="4" s="1"/>
  <c r="G279" i="4"/>
  <c r="AA279" i="4" s="1"/>
  <c r="G311" i="4"/>
  <c r="AA311" i="4" s="1"/>
  <c r="G28" i="4"/>
  <c r="AA28" i="4" s="1"/>
  <c r="G134" i="4"/>
  <c r="AA134" i="4" s="1"/>
  <c r="G142" i="4"/>
  <c r="AA142" i="4" s="1"/>
  <c r="G170" i="4"/>
  <c r="AA170" i="4" s="1"/>
  <c r="G174" i="4"/>
  <c r="AA174" i="4" s="1"/>
  <c r="G202" i="4"/>
  <c r="AA202" i="4" s="1"/>
  <c r="G206" i="4"/>
  <c r="AA206" i="4" s="1"/>
  <c r="G234" i="4"/>
  <c r="AA234" i="4" s="1"/>
  <c r="G238" i="4"/>
  <c r="AA238" i="4" s="1"/>
  <c r="G266" i="4"/>
  <c r="AA266" i="4" s="1"/>
  <c r="G270" i="4"/>
  <c r="AA270" i="4" s="1"/>
  <c r="G302" i="4"/>
  <c r="AA302" i="4" s="1"/>
  <c r="G306" i="4"/>
  <c r="AA306" i="4" s="1"/>
  <c r="G289" i="4"/>
  <c r="AA289" i="4" s="1"/>
  <c r="G310" i="4"/>
  <c r="AA310" i="4" s="1"/>
  <c r="G353" i="4"/>
  <c r="AA353" i="4" s="1"/>
  <c r="G357" i="4"/>
  <c r="AA357" i="4" s="1"/>
  <c r="G385" i="4"/>
  <c r="AA385" i="4" s="1"/>
  <c r="G389" i="4"/>
  <c r="AA389" i="4" s="1"/>
  <c r="G421" i="4"/>
  <c r="AA421" i="4" s="1"/>
  <c r="G425" i="4"/>
  <c r="AA425" i="4" s="1"/>
  <c r="G457" i="4"/>
  <c r="AA457" i="4" s="1"/>
  <c r="G120" i="4"/>
  <c r="AA120" i="4" s="1"/>
  <c r="G312" i="4"/>
  <c r="AA312" i="4" s="1"/>
  <c r="G319" i="4"/>
  <c r="AA319" i="4" s="1"/>
  <c r="G233" i="4"/>
  <c r="AA233" i="4" s="1"/>
  <c r="G265" i="4"/>
  <c r="AA265" i="4" s="1"/>
  <c r="G344" i="4"/>
  <c r="AA344" i="4" s="1"/>
  <c r="G348" i="4"/>
  <c r="AA348" i="4" s="1"/>
  <c r="G376" i="4"/>
  <c r="AA376" i="4" s="1"/>
  <c r="G380" i="4"/>
  <c r="AA380" i="4" s="1"/>
  <c r="G408" i="4"/>
  <c r="AA408" i="4" s="1"/>
  <c r="G412" i="4"/>
  <c r="AA412" i="4" s="1"/>
  <c r="G444" i="4"/>
  <c r="AA444" i="4" s="1"/>
  <c r="G448" i="4"/>
  <c r="AA448" i="4" s="1"/>
  <c r="G237" i="4"/>
  <c r="AA237" i="4" s="1"/>
  <c r="G269" i="4"/>
  <c r="AA269" i="4" s="1"/>
  <c r="G241" i="4"/>
  <c r="AA241" i="4" s="1"/>
  <c r="G273" i="4"/>
  <c r="AA273" i="4" s="1"/>
  <c r="G327" i="4"/>
  <c r="AA327" i="4" s="1"/>
  <c r="G331" i="4"/>
  <c r="AA331" i="4" s="1"/>
  <c r="G359" i="4"/>
  <c r="AA359" i="4" s="1"/>
  <c r="G363" i="4"/>
  <c r="AA363" i="4" s="1"/>
  <c r="G391" i="4"/>
  <c r="AA391" i="4" s="1"/>
  <c r="G395" i="4"/>
  <c r="AA395" i="4" s="1"/>
  <c r="G467" i="4"/>
  <c r="AA467" i="4" s="1"/>
  <c r="G461" i="4"/>
  <c r="AA461" i="4" s="1"/>
  <c r="G427" i="4"/>
  <c r="AA427" i="4" s="1"/>
  <c r="G419" i="4"/>
  <c r="AA419" i="4" s="1"/>
  <c r="D80" i="7" l="1"/>
  <c r="D83" i="7"/>
  <c r="D82" i="7"/>
  <c r="D151" i="8"/>
  <c r="D5" i="5" s="1"/>
  <c r="F5" i="5" s="1"/>
  <c r="C151" i="8"/>
  <c r="D4" i="5" s="1"/>
  <c r="F4" i="5" s="1"/>
  <c r="D8" i="20"/>
  <c r="C8" i="20"/>
  <c r="D72" i="7"/>
  <c r="E72" i="7" s="1"/>
  <c r="G72" i="7" s="1"/>
  <c r="I63" i="10"/>
  <c r="I62" i="10" s="1"/>
  <c r="K63" i="10"/>
  <c r="L63" i="10"/>
  <c r="M63" i="10"/>
  <c r="D74" i="7"/>
  <c r="J63" i="10"/>
  <c r="D73" i="7"/>
  <c r="N64" i="10"/>
  <c r="N62" i="10" s="1"/>
  <c r="K64" i="10"/>
  <c r="L64" i="10"/>
  <c r="M64" i="10"/>
  <c r="J64" i="10"/>
  <c r="C80" i="7"/>
  <c r="E80" i="7" s="1"/>
  <c r="G80" i="7" s="1"/>
  <c r="C71" i="7"/>
  <c r="E71" i="7" s="1"/>
  <c r="G71" i="7" s="1"/>
  <c r="J42" i="10"/>
  <c r="J41" i="10" s="1"/>
  <c r="E41" i="10"/>
  <c r="M42" i="10"/>
  <c r="L42" i="10"/>
  <c r="K42" i="10"/>
  <c r="N42" i="10"/>
  <c r="I42" i="10"/>
  <c r="I41" i="10" s="1"/>
  <c r="L44" i="10"/>
  <c r="K44" i="10"/>
  <c r="N44" i="10"/>
  <c r="M44" i="10"/>
  <c r="C23" i="9"/>
  <c r="C30" i="9" s="1"/>
  <c r="C31" i="9" s="1"/>
  <c r="E62" i="10"/>
  <c r="C82" i="7"/>
  <c r="C73" i="7"/>
  <c r="C83" i="7"/>
  <c r="E83" i="7" s="1"/>
  <c r="G83" i="7" s="1"/>
  <c r="C74" i="7"/>
  <c r="G410" i="4"/>
  <c r="AA410" i="4" s="1"/>
  <c r="G382" i="4"/>
  <c r="AA382" i="4" s="1"/>
  <c r="G426" i="4"/>
  <c r="AA426" i="4" s="1"/>
  <c r="G482" i="4"/>
  <c r="AA482" i="4" s="1"/>
  <c r="G438" i="4"/>
  <c r="AA438" i="4" s="1"/>
  <c r="G83" i="4"/>
  <c r="AA83" i="4" s="1"/>
  <c r="G423" i="4"/>
  <c r="AA423" i="4" s="1"/>
  <c r="G472" i="4"/>
  <c r="AA472" i="4" s="1"/>
  <c r="G431" i="4"/>
  <c r="AA431" i="4" s="1"/>
  <c r="G454" i="4"/>
  <c r="AA454" i="4" s="1"/>
  <c r="E43" i="12"/>
  <c r="L402" i="4"/>
  <c r="AF402" i="4" s="1"/>
  <c r="L394" i="4"/>
  <c r="AF394" i="4" s="1"/>
  <c r="G430" i="4"/>
  <c r="AA430" i="4" s="1"/>
  <c r="L398" i="4"/>
  <c r="AF398" i="4" s="1"/>
  <c r="L432" i="4"/>
  <c r="AF432" i="4" s="1"/>
  <c r="L335" i="4"/>
  <c r="AF335" i="4" s="1"/>
  <c r="J54" i="2"/>
  <c r="K54" i="2" s="1"/>
  <c r="L54" i="2" s="1"/>
  <c r="M54" i="2" s="1"/>
  <c r="N54" i="2" s="1"/>
  <c r="S53" i="4" s="1"/>
  <c r="J65" i="2"/>
  <c r="K65" i="2" s="1"/>
  <c r="L65" i="2" s="1"/>
  <c r="M65" i="2" s="1"/>
  <c r="N65" i="2" s="1"/>
  <c r="S64" i="4" s="1"/>
  <c r="J70" i="2"/>
  <c r="K70" i="2" s="1"/>
  <c r="L70" i="2" s="1"/>
  <c r="M70" i="2" s="1"/>
  <c r="N70" i="2" s="1"/>
  <c r="S69" i="4" s="1"/>
  <c r="J76" i="2"/>
  <c r="K76" i="2" s="1"/>
  <c r="L76" i="2" s="1"/>
  <c r="M76" i="2" s="1"/>
  <c r="N76" i="2" s="1"/>
  <c r="S75" i="4" s="1"/>
  <c r="J82" i="2"/>
  <c r="K82" i="2" s="1"/>
  <c r="L82" i="2" s="1"/>
  <c r="M82" i="2" s="1"/>
  <c r="N82" i="2" s="1"/>
  <c r="S81" i="4" s="1"/>
  <c r="J91" i="2"/>
  <c r="K91" i="2" s="1"/>
  <c r="L91" i="2" s="1"/>
  <c r="M91" i="2" s="1"/>
  <c r="N91" i="2" s="1"/>
  <c r="S90" i="4" s="1"/>
  <c r="J95" i="2"/>
  <c r="J100" i="2"/>
  <c r="K100" i="2" s="1"/>
  <c r="L100" i="2" s="1"/>
  <c r="M100" i="2" s="1"/>
  <c r="N100" i="2" s="1"/>
  <c r="S99" i="4" s="1"/>
  <c r="J105" i="2"/>
  <c r="K105" i="2" s="1"/>
  <c r="L105" i="2" s="1"/>
  <c r="M105" i="2" s="1"/>
  <c r="N105" i="2" s="1"/>
  <c r="S104" i="4" s="1"/>
  <c r="J109" i="2"/>
  <c r="K109" i="2" s="1"/>
  <c r="L109" i="2" s="1"/>
  <c r="M109" i="2" s="1"/>
  <c r="N109" i="2" s="1"/>
  <c r="S108" i="4" s="1"/>
  <c r="J118" i="2"/>
  <c r="K118" i="2" s="1"/>
  <c r="L118" i="2" s="1"/>
  <c r="M118" i="2" s="1"/>
  <c r="N118" i="2" s="1"/>
  <c r="S117" i="4" s="1"/>
  <c r="J127" i="2"/>
  <c r="K127" i="2" s="1"/>
  <c r="L127" i="2" s="1"/>
  <c r="M127" i="2" s="1"/>
  <c r="N127" i="2" s="1"/>
  <c r="S126" i="4" s="1"/>
  <c r="J137" i="2"/>
  <c r="K137" i="2" s="1"/>
  <c r="L137" i="2" s="1"/>
  <c r="M137" i="2" s="1"/>
  <c r="N137" i="2" s="1"/>
  <c r="S136" i="4" s="1"/>
  <c r="J141" i="2"/>
  <c r="K141" i="2" s="1"/>
  <c r="L141" i="2" s="1"/>
  <c r="M141" i="2" s="1"/>
  <c r="N141" i="2" s="1"/>
  <c r="S140" i="4" s="1"/>
  <c r="J150" i="2"/>
  <c r="J160" i="2"/>
  <c r="K160" i="2" s="1"/>
  <c r="L160" i="2" s="1"/>
  <c r="M160" i="2" s="1"/>
  <c r="N160" i="2" s="1"/>
  <c r="S159" i="4" s="1"/>
  <c r="J170" i="2"/>
  <c r="K170" i="2" s="1"/>
  <c r="L170" i="2" s="1"/>
  <c r="M170" i="2" s="1"/>
  <c r="N170" i="2" s="1"/>
  <c r="S169" i="4" s="1"/>
  <c r="J179" i="2"/>
  <c r="K179" i="2" s="1"/>
  <c r="L179" i="2" s="1"/>
  <c r="M179" i="2" s="1"/>
  <c r="N179" i="2" s="1"/>
  <c r="S178" i="4" s="1"/>
  <c r="J183" i="2"/>
  <c r="K183" i="2" s="1"/>
  <c r="L183" i="2" s="1"/>
  <c r="M183" i="2" s="1"/>
  <c r="N183" i="2" s="1"/>
  <c r="S182" i="4" s="1"/>
  <c r="J192" i="2"/>
  <c r="K192" i="2" s="1"/>
  <c r="L192" i="2" s="1"/>
  <c r="M192" i="2" s="1"/>
  <c r="N192" i="2" s="1"/>
  <c r="S191" i="4" s="1"/>
  <c r="J201" i="2"/>
  <c r="K201" i="2" s="1"/>
  <c r="L201" i="2" s="1"/>
  <c r="M201" i="2" s="1"/>
  <c r="N201" i="2" s="1"/>
  <c r="S200" i="4" s="1"/>
  <c r="J209" i="2"/>
  <c r="K209" i="2" s="1"/>
  <c r="L209" i="2" s="1"/>
  <c r="M209" i="2" s="1"/>
  <c r="N209" i="2" s="1"/>
  <c r="S208" i="4" s="1"/>
  <c r="J227" i="2"/>
  <c r="J231" i="2"/>
  <c r="K231" i="2" s="1"/>
  <c r="L231" i="2" s="1"/>
  <c r="M231" i="2" s="1"/>
  <c r="N231" i="2" s="1"/>
  <c r="S230" i="4" s="1"/>
  <c r="J237" i="2"/>
  <c r="K237" i="2" s="1"/>
  <c r="L237" i="2" s="1"/>
  <c r="M237" i="2" s="1"/>
  <c r="N237" i="2" s="1"/>
  <c r="S236" i="4" s="1"/>
  <c r="J246" i="2"/>
  <c r="K246" i="2" s="1"/>
  <c r="L246" i="2" s="1"/>
  <c r="M246" i="2" s="1"/>
  <c r="N246" i="2" s="1"/>
  <c r="S245" i="4" s="1"/>
  <c r="J251" i="2"/>
  <c r="K251" i="2" s="1"/>
  <c r="L251" i="2" s="1"/>
  <c r="M251" i="2" s="1"/>
  <c r="N251" i="2" s="1"/>
  <c r="S250" i="4" s="1"/>
  <c r="J256" i="2"/>
  <c r="K256" i="2" s="1"/>
  <c r="L256" i="2" s="1"/>
  <c r="M256" i="2" s="1"/>
  <c r="N256" i="2" s="1"/>
  <c r="S255" i="4" s="1"/>
  <c r="J269" i="2"/>
  <c r="K269" i="2" s="1"/>
  <c r="L269" i="2" s="1"/>
  <c r="M269" i="2" s="1"/>
  <c r="N269" i="2" s="1"/>
  <c r="S268" i="4" s="1"/>
  <c r="J275" i="2"/>
  <c r="K275" i="2" s="1"/>
  <c r="L275" i="2" s="1"/>
  <c r="M275" i="2" s="1"/>
  <c r="N275" i="2" s="1"/>
  <c r="J278" i="2"/>
  <c r="J284" i="2"/>
  <c r="K284" i="2" s="1"/>
  <c r="L284" i="2" s="1"/>
  <c r="M284" i="2" s="1"/>
  <c r="N284" i="2" s="1"/>
  <c r="S283" i="4" s="1"/>
  <c r="J289" i="2"/>
  <c r="K289" i="2" s="1"/>
  <c r="L289" i="2" s="1"/>
  <c r="M289" i="2" s="1"/>
  <c r="N289" i="2" s="1"/>
  <c r="S288" i="4" s="1"/>
  <c r="J294" i="2"/>
  <c r="K294" i="2" s="1"/>
  <c r="L294" i="2" s="1"/>
  <c r="M294" i="2" s="1"/>
  <c r="N294" i="2" s="1"/>
  <c r="S293" i="4" s="1"/>
  <c r="J304" i="2"/>
  <c r="K304" i="2" s="1"/>
  <c r="L304" i="2" s="1"/>
  <c r="M304" i="2" s="1"/>
  <c r="N304" i="2" s="1"/>
  <c r="S303" i="4" s="1"/>
  <c r="J314" i="2"/>
  <c r="K314" i="2" s="1"/>
  <c r="L314" i="2" s="1"/>
  <c r="M314" i="2" s="1"/>
  <c r="N314" i="2" s="1"/>
  <c r="S313" i="4" s="1"/>
  <c r="J328" i="2"/>
  <c r="K328" i="2" s="1"/>
  <c r="L328" i="2" s="1"/>
  <c r="M328" i="2" s="1"/>
  <c r="N328" i="2" s="1"/>
  <c r="S327" i="4" s="1"/>
  <c r="J49" i="2"/>
  <c r="K49" i="2" s="1"/>
  <c r="L49" i="2" s="1"/>
  <c r="M49" i="2" s="1"/>
  <c r="N49" i="2" s="1"/>
  <c r="J55" i="2"/>
  <c r="J60" i="2"/>
  <c r="K60" i="2" s="1"/>
  <c r="L60" i="2" s="1"/>
  <c r="M60" i="2" s="1"/>
  <c r="N60" i="2" s="1"/>
  <c r="J66" i="2"/>
  <c r="K66" i="2" s="1"/>
  <c r="L66" i="2" s="1"/>
  <c r="M66" i="2" s="1"/>
  <c r="N66" i="2" s="1"/>
  <c r="S65" i="4" s="1"/>
  <c r="J71" i="2"/>
  <c r="K71" i="2" s="1"/>
  <c r="L71" i="2" s="1"/>
  <c r="M71" i="2" s="1"/>
  <c r="N71" i="2" s="1"/>
  <c r="S70" i="4" s="1"/>
  <c r="J86" i="2"/>
  <c r="K86" i="2" s="1"/>
  <c r="L86" i="2" s="1"/>
  <c r="M86" i="2" s="1"/>
  <c r="N86" i="2" s="1"/>
  <c r="S85" i="4" s="1"/>
  <c r="J96" i="2"/>
  <c r="K96" i="2" s="1"/>
  <c r="L96" i="2" s="1"/>
  <c r="M96" i="2" s="1"/>
  <c r="N96" i="2" s="1"/>
  <c r="S95" i="4" s="1"/>
  <c r="J106" i="2"/>
  <c r="K106" i="2" s="1"/>
  <c r="L106" i="2" s="1"/>
  <c r="M106" i="2" s="1"/>
  <c r="N106" i="2" s="1"/>
  <c r="S105" i="4" s="1"/>
  <c r="J115" i="2"/>
  <c r="K115" i="2" s="1"/>
  <c r="L115" i="2" s="1"/>
  <c r="M115" i="2" s="1"/>
  <c r="N115" i="2" s="1"/>
  <c r="S114" i="4" s="1"/>
  <c r="J119" i="2"/>
  <c r="J128" i="2"/>
  <c r="K128" i="2" s="1"/>
  <c r="L128" i="2" s="1"/>
  <c r="M128" i="2" s="1"/>
  <c r="N128" i="2" s="1"/>
  <c r="S127" i="4" s="1"/>
  <c r="J133" i="2"/>
  <c r="K133" i="2" s="1"/>
  <c r="L133" i="2" s="1"/>
  <c r="M133" i="2" s="1"/>
  <c r="N133" i="2" s="1"/>
  <c r="S132" i="4" s="1"/>
  <c r="J138" i="2"/>
  <c r="K138" i="2" s="1"/>
  <c r="L138" i="2" s="1"/>
  <c r="M138" i="2" s="1"/>
  <c r="N138" i="2" s="1"/>
  <c r="S137" i="4" s="1"/>
  <c r="J147" i="2"/>
  <c r="K147" i="2" s="1"/>
  <c r="L147" i="2" s="1"/>
  <c r="M147" i="2" s="1"/>
  <c r="N147" i="2" s="1"/>
  <c r="S146" i="4" s="1"/>
  <c r="J151" i="2"/>
  <c r="K151" i="2" s="1"/>
  <c r="L151" i="2" s="1"/>
  <c r="M151" i="2" s="1"/>
  <c r="N151" i="2" s="1"/>
  <c r="S150" i="4" s="1"/>
  <c r="J156" i="2"/>
  <c r="K156" i="2" s="1"/>
  <c r="L156" i="2" s="1"/>
  <c r="M156" i="2" s="1"/>
  <c r="N156" i="2" s="1"/>
  <c r="S155" i="4" s="1"/>
  <c r="J161" i="2"/>
  <c r="K161" i="2" s="1"/>
  <c r="L161" i="2" s="1"/>
  <c r="M161" i="2" s="1"/>
  <c r="N161" i="2" s="1"/>
  <c r="S160" i="4" s="1"/>
  <c r="J165" i="2"/>
  <c r="J184" i="2"/>
  <c r="K184" i="2" s="1"/>
  <c r="L184" i="2" s="1"/>
  <c r="M184" i="2" s="1"/>
  <c r="N184" i="2" s="1"/>
  <c r="S183" i="4" s="1"/>
  <c r="J188" i="2"/>
  <c r="K188" i="2" s="1"/>
  <c r="L188" i="2" s="1"/>
  <c r="M188" i="2" s="1"/>
  <c r="N188" i="2" s="1"/>
  <c r="S187" i="4" s="1"/>
  <c r="J193" i="2"/>
  <c r="K193" i="2" s="1"/>
  <c r="L193" i="2" s="1"/>
  <c r="M193" i="2" s="1"/>
  <c r="N193" i="2" s="1"/>
  <c r="S192" i="4" s="1"/>
  <c r="J197" i="2"/>
  <c r="K197" i="2" s="1"/>
  <c r="L197" i="2" s="1"/>
  <c r="M197" i="2" s="1"/>
  <c r="N197" i="2" s="1"/>
  <c r="S196" i="4" s="1"/>
  <c r="J202" i="2"/>
  <c r="K202" i="2" s="1"/>
  <c r="L202" i="2" s="1"/>
  <c r="M202" i="2" s="1"/>
  <c r="N202" i="2" s="1"/>
  <c r="S201" i="4" s="1"/>
  <c r="J205" i="2"/>
  <c r="K205" i="2" s="1"/>
  <c r="L205" i="2" s="1"/>
  <c r="M205" i="2" s="1"/>
  <c r="N205" i="2" s="1"/>
  <c r="S204" i="4" s="1"/>
  <c r="J210" i="2"/>
  <c r="K210" i="2" s="1"/>
  <c r="L210" i="2" s="1"/>
  <c r="M210" i="2" s="1"/>
  <c r="N210" i="2" s="1"/>
  <c r="J213" i="2"/>
  <c r="J222" i="2"/>
  <c r="K222" i="2" s="1"/>
  <c r="L222" i="2" s="1"/>
  <c r="M222" i="2" s="1"/>
  <c r="N222" i="2" s="1"/>
  <c r="S221" i="4" s="1"/>
  <c r="J232" i="2"/>
  <c r="K232" i="2" s="1"/>
  <c r="L232" i="2" s="1"/>
  <c r="M232" i="2" s="1"/>
  <c r="N232" i="2" s="1"/>
  <c r="S231" i="4" s="1"/>
  <c r="J242" i="2"/>
  <c r="K242" i="2" s="1"/>
  <c r="L242" i="2" s="1"/>
  <c r="M242" i="2" s="1"/>
  <c r="N242" i="2" s="1"/>
  <c r="S241" i="4" s="1"/>
  <c r="J257" i="2"/>
  <c r="K257" i="2" s="1"/>
  <c r="L257" i="2" s="1"/>
  <c r="M257" i="2" s="1"/>
  <c r="N257" i="2" s="1"/>
  <c r="S256" i="4" s="1"/>
  <c r="J266" i="2"/>
  <c r="K266" i="2" s="1"/>
  <c r="L266" i="2" s="1"/>
  <c r="M266" i="2" s="1"/>
  <c r="N266" i="2" s="1"/>
  <c r="S265" i="4" s="1"/>
  <c r="J279" i="2"/>
  <c r="K279" i="2" s="1"/>
  <c r="L279" i="2" s="1"/>
  <c r="M279" i="2" s="1"/>
  <c r="N279" i="2" s="1"/>
  <c r="S278" i="4" s="1"/>
  <c r="J300" i="2"/>
  <c r="K300" i="2" s="1"/>
  <c r="L300" i="2" s="1"/>
  <c r="M300" i="2" s="1"/>
  <c r="N300" i="2" s="1"/>
  <c r="S299" i="4" s="1"/>
  <c r="J305" i="2"/>
  <c r="J309" i="2"/>
  <c r="K309" i="2" s="1"/>
  <c r="L309" i="2" s="1"/>
  <c r="M309" i="2" s="1"/>
  <c r="N309" i="2" s="1"/>
  <c r="S308" i="4" s="1"/>
  <c r="J315" i="2"/>
  <c r="K315" i="2" s="1"/>
  <c r="L315" i="2" s="1"/>
  <c r="M315" i="2" s="1"/>
  <c r="N315" i="2" s="1"/>
  <c r="S314" i="4" s="1"/>
  <c r="J319" i="2"/>
  <c r="K319" i="2" s="1"/>
  <c r="L319" i="2" s="1"/>
  <c r="M319" i="2" s="1"/>
  <c r="N319" i="2" s="1"/>
  <c r="S318" i="4" s="1"/>
  <c r="J324" i="2"/>
  <c r="K324" i="2" s="1"/>
  <c r="L324" i="2" s="1"/>
  <c r="M324" i="2" s="1"/>
  <c r="N324" i="2" s="1"/>
  <c r="S323" i="4" s="1"/>
  <c r="J20" i="2"/>
  <c r="K20" i="2" s="1"/>
  <c r="L20" i="2" s="1"/>
  <c r="M20" i="2" s="1"/>
  <c r="N20" i="2" s="1"/>
  <c r="S19" i="4" s="1"/>
  <c r="J24" i="2"/>
  <c r="K24" i="2" s="1"/>
  <c r="L24" i="2" s="1"/>
  <c r="M24" i="2" s="1"/>
  <c r="N24" i="2" s="1"/>
  <c r="S23" i="4" s="1"/>
  <c r="J30" i="2"/>
  <c r="K30" i="2" s="1"/>
  <c r="L30" i="2" s="1"/>
  <c r="M30" i="2" s="1"/>
  <c r="N30" i="2" s="1"/>
  <c r="S29" i="4" s="1"/>
  <c r="J34" i="2"/>
  <c r="J15" i="2"/>
  <c r="K15" i="2" s="1"/>
  <c r="L15" i="2" s="1"/>
  <c r="M15" i="2" s="1"/>
  <c r="N15" i="2" s="1"/>
  <c r="S14" i="4" s="1"/>
  <c r="J52" i="2"/>
  <c r="K52" i="2" s="1"/>
  <c r="L52" i="2" s="1"/>
  <c r="M52" i="2" s="1"/>
  <c r="N52" i="2" s="1"/>
  <c r="S51" i="4" s="1"/>
  <c r="J99" i="2"/>
  <c r="K99" i="2" s="1"/>
  <c r="L99" i="2" s="1"/>
  <c r="M99" i="2" s="1"/>
  <c r="N99" i="2" s="1"/>
  <c r="S98" i="4" s="1"/>
  <c r="J44" i="2"/>
  <c r="K44" i="2" s="1"/>
  <c r="L44" i="2" s="1"/>
  <c r="M44" i="2" s="1"/>
  <c r="N44" i="2" s="1"/>
  <c r="S43" i="4" s="1"/>
  <c r="J50" i="2"/>
  <c r="K50" i="2" s="1"/>
  <c r="L50" i="2" s="1"/>
  <c r="M50" i="2" s="1"/>
  <c r="N50" i="2" s="1"/>
  <c r="S49" i="4" s="1"/>
  <c r="J56" i="2"/>
  <c r="K56" i="2" s="1"/>
  <c r="L56" i="2" s="1"/>
  <c r="M56" i="2" s="1"/>
  <c r="N56" i="2" s="1"/>
  <c r="S55" i="4" s="1"/>
  <c r="J72" i="2"/>
  <c r="K72" i="2" s="1"/>
  <c r="L72" i="2" s="1"/>
  <c r="M72" i="2" s="1"/>
  <c r="N72" i="2" s="1"/>
  <c r="J77" i="2"/>
  <c r="K77" i="2" s="1"/>
  <c r="L77" i="2" s="1"/>
  <c r="M77" i="2" s="1"/>
  <c r="J83" i="2"/>
  <c r="K83" i="2" s="1"/>
  <c r="L83" i="2" s="1"/>
  <c r="M83" i="2" s="1"/>
  <c r="N83" i="2" s="1"/>
  <c r="S82" i="4" s="1"/>
  <c r="J87" i="2"/>
  <c r="K87" i="2" s="1"/>
  <c r="L87" i="2" s="1"/>
  <c r="M87" i="2" s="1"/>
  <c r="N87" i="2" s="1"/>
  <c r="S86" i="4" s="1"/>
  <c r="J92" i="2"/>
  <c r="K92" i="2" s="1"/>
  <c r="L92" i="2" s="1"/>
  <c r="M92" i="2" s="1"/>
  <c r="N92" i="2" s="1"/>
  <c r="J97" i="2"/>
  <c r="K97" i="2" s="1"/>
  <c r="L97" i="2" s="1"/>
  <c r="M97" i="2" s="1"/>
  <c r="N97" i="2" s="1"/>
  <c r="S96" i="4" s="1"/>
  <c r="J101" i="2"/>
  <c r="K101" i="2" s="1"/>
  <c r="L101" i="2" s="1"/>
  <c r="M101" i="2" s="1"/>
  <c r="N101" i="2" s="1"/>
  <c r="J120" i="2"/>
  <c r="K120" i="2" s="1"/>
  <c r="L120" i="2" s="1"/>
  <c r="M120" i="2" s="1"/>
  <c r="N120" i="2" s="1"/>
  <c r="S119" i="4" s="1"/>
  <c r="J124" i="2"/>
  <c r="K124" i="2" s="1"/>
  <c r="L124" i="2" s="1"/>
  <c r="M124" i="2" s="1"/>
  <c r="N124" i="2" s="1"/>
  <c r="J129" i="2"/>
  <c r="J152" i="2"/>
  <c r="K152" i="2" s="1"/>
  <c r="L152" i="2" s="1"/>
  <c r="M152" i="2" s="1"/>
  <c r="N152" i="2" s="1"/>
  <c r="S151" i="4" s="1"/>
  <c r="J162" i="2"/>
  <c r="K162" i="2" s="1"/>
  <c r="L162" i="2" s="1"/>
  <c r="M162" i="2" s="1"/>
  <c r="N162" i="2" s="1"/>
  <c r="S161" i="4" s="1"/>
  <c r="J171" i="2"/>
  <c r="K171" i="2" s="1"/>
  <c r="L171" i="2" s="1"/>
  <c r="M171" i="2" s="1"/>
  <c r="N171" i="2" s="1"/>
  <c r="S170" i="4" s="1"/>
  <c r="J174" i="2"/>
  <c r="K174" i="2" s="1"/>
  <c r="L174" i="2" s="1"/>
  <c r="M174" i="2" s="1"/>
  <c r="N174" i="2" s="1"/>
  <c r="S173" i="4" s="1"/>
  <c r="J180" i="2"/>
  <c r="K180" i="2" s="1"/>
  <c r="L180" i="2" s="1"/>
  <c r="M180" i="2" s="1"/>
  <c r="N180" i="2" s="1"/>
  <c r="S179" i="4" s="1"/>
  <c r="J194" i="2"/>
  <c r="K194" i="2" s="1"/>
  <c r="L194" i="2" s="1"/>
  <c r="M194" i="2" s="1"/>
  <c r="N194" i="2" s="1"/>
  <c r="S193" i="4" s="1"/>
  <c r="J218" i="2"/>
  <c r="K218" i="2" s="1"/>
  <c r="L218" i="2" s="1"/>
  <c r="M218" i="2" s="1"/>
  <c r="N218" i="2" s="1"/>
  <c r="S217" i="4" s="1"/>
  <c r="J223" i="2"/>
  <c r="J228" i="2"/>
  <c r="K228" i="2" s="1"/>
  <c r="L228" i="2" s="1"/>
  <c r="M228" i="2" s="1"/>
  <c r="N228" i="2" s="1"/>
  <c r="S227" i="4" s="1"/>
  <c r="J233" i="2"/>
  <c r="K233" i="2" s="1"/>
  <c r="L233" i="2" s="1"/>
  <c r="M233" i="2" s="1"/>
  <c r="N233" i="2" s="1"/>
  <c r="S232" i="4" s="1"/>
  <c r="J238" i="2"/>
  <c r="K238" i="2" s="1"/>
  <c r="L238" i="2" s="1"/>
  <c r="M238" i="2" s="1"/>
  <c r="N238" i="2" s="1"/>
  <c r="S237" i="4" s="1"/>
  <c r="J243" i="2"/>
  <c r="K243" i="2" s="1"/>
  <c r="L243" i="2" s="1"/>
  <c r="M243" i="2" s="1"/>
  <c r="N243" i="2" s="1"/>
  <c r="S242" i="4" s="1"/>
  <c r="J247" i="2"/>
  <c r="K247" i="2" s="1"/>
  <c r="L247" i="2" s="1"/>
  <c r="M247" i="2" s="1"/>
  <c r="N247" i="2" s="1"/>
  <c r="S246" i="4" s="1"/>
  <c r="J252" i="2"/>
  <c r="K252" i="2" s="1"/>
  <c r="L252" i="2" s="1"/>
  <c r="M252" i="2" s="1"/>
  <c r="N252" i="2" s="1"/>
  <c r="S251" i="4" s="1"/>
  <c r="J261" i="2"/>
  <c r="K261" i="2" s="1"/>
  <c r="L261" i="2" s="1"/>
  <c r="M261" i="2" s="1"/>
  <c r="N261" i="2" s="1"/>
  <c r="S260" i="4" s="1"/>
  <c r="J267" i="2"/>
  <c r="K267" i="2" s="1"/>
  <c r="J270" i="2"/>
  <c r="K270" i="2" s="1"/>
  <c r="L270" i="2" s="1"/>
  <c r="M270" i="2" s="1"/>
  <c r="N270" i="2" s="1"/>
  <c r="S269" i="4" s="1"/>
  <c r="J276" i="2"/>
  <c r="K276" i="2" s="1"/>
  <c r="L276" i="2" s="1"/>
  <c r="M276" i="2" s="1"/>
  <c r="N276" i="2" s="1"/>
  <c r="S275" i="4" s="1"/>
  <c r="J280" i="2"/>
  <c r="K280" i="2" s="1"/>
  <c r="L280" i="2" s="1"/>
  <c r="M280" i="2" s="1"/>
  <c r="N280" i="2" s="1"/>
  <c r="S279" i="4" s="1"/>
  <c r="J285" i="2"/>
  <c r="K285" i="2" s="1"/>
  <c r="L285" i="2" s="1"/>
  <c r="M285" i="2" s="1"/>
  <c r="N285" i="2" s="1"/>
  <c r="S284" i="4" s="1"/>
  <c r="J290" i="2"/>
  <c r="K290" i="2" s="1"/>
  <c r="L290" i="2" s="1"/>
  <c r="M290" i="2" s="1"/>
  <c r="N290" i="2" s="1"/>
  <c r="S289" i="4" s="1"/>
  <c r="J295" i="2"/>
  <c r="K295" i="2" s="1"/>
  <c r="L295" i="2" s="1"/>
  <c r="M295" i="2" s="1"/>
  <c r="N295" i="2" s="1"/>
  <c r="S294" i="4" s="1"/>
  <c r="J320" i="2"/>
  <c r="K320" i="2" s="1"/>
  <c r="L320" i="2" s="1"/>
  <c r="M320" i="2" s="1"/>
  <c r="N320" i="2" s="1"/>
  <c r="S319" i="4" s="1"/>
  <c r="J35" i="2"/>
  <c r="J16" i="2"/>
  <c r="K16" i="2" s="1"/>
  <c r="L16" i="2" s="1"/>
  <c r="M16" i="2" s="1"/>
  <c r="N16" i="2" s="1"/>
  <c r="S15" i="4" s="1"/>
  <c r="J57" i="2"/>
  <c r="K57" i="2" s="1"/>
  <c r="L57" i="2" s="1"/>
  <c r="M57" i="2" s="1"/>
  <c r="N57" i="2" s="1"/>
  <c r="S56" i="4" s="1"/>
  <c r="J61" i="2"/>
  <c r="K61" i="2" s="1"/>
  <c r="L61" i="2" s="1"/>
  <c r="M61" i="2" s="1"/>
  <c r="N61" i="2" s="1"/>
  <c r="S60" i="4" s="1"/>
  <c r="J67" i="2"/>
  <c r="K67" i="2" s="1"/>
  <c r="L67" i="2" s="1"/>
  <c r="M67" i="2" s="1"/>
  <c r="N67" i="2" s="1"/>
  <c r="S66" i="4" s="1"/>
  <c r="J73" i="2"/>
  <c r="K73" i="2" s="1"/>
  <c r="L73" i="2" s="1"/>
  <c r="M73" i="2" s="1"/>
  <c r="N73" i="2" s="1"/>
  <c r="S72" i="4" s="1"/>
  <c r="J88" i="2"/>
  <c r="K88" i="2" s="1"/>
  <c r="L88" i="2" s="1"/>
  <c r="M88" i="2" s="1"/>
  <c r="N88" i="2" s="1"/>
  <c r="S87" i="4" s="1"/>
  <c r="J98" i="2"/>
  <c r="K98" i="2" s="1"/>
  <c r="L98" i="2" s="1"/>
  <c r="M98" i="2" s="1"/>
  <c r="N98" i="2" s="1"/>
  <c r="J107" i="2"/>
  <c r="J110" i="2"/>
  <c r="K110" i="2" s="1"/>
  <c r="L110" i="2" s="1"/>
  <c r="M110" i="2" s="1"/>
  <c r="N110" i="2" s="1"/>
  <c r="S109" i="4" s="1"/>
  <c r="J116" i="2"/>
  <c r="J130" i="2"/>
  <c r="K130" i="2" s="1"/>
  <c r="L130" i="2" s="1"/>
  <c r="M130" i="2" s="1"/>
  <c r="N130" i="2" s="1"/>
  <c r="S129" i="4" s="1"/>
  <c r="J148" i="2"/>
  <c r="K148" i="2" s="1"/>
  <c r="L148" i="2" s="1"/>
  <c r="M148" i="2" s="1"/>
  <c r="N148" i="2" s="1"/>
  <c r="S147" i="4" s="1"/>
  <c r="J157" i="2"/>
  <c r="K157" i="2" s="1"/>
  <c r="L157" i="2" s="1"/>
  <c r="M157" i="2" s="1"/>
  <c r="N157" i="2" s="1"/>
  <c r="S156" i="4" s="1"/>
  <c r="J175" i="2"/>
  <c r="K175" i="2" s="1"/>
  <c r="L175" i="2" s="1"/>
  <c r="M175" i="2" s="1"/>
  <c r="N175" i="2" s="1"/>
  <c r="S174" i="4" s="1"/>
  <c r="J185" i="2"/>
  <c r="K185" i="2" s="1"/>
  <c r="L185" i="2" s="1"/>
  <c r="M185" i="2" s="1"/>
  <c r="N185" i="2" s="1"/>
  <c r="S184" i="4" s="1"/>
  <c r="J189" i="2"/>
  <c r="J214" i="2"/>
  <c r="K214" i="2" s="1"/>
  <c r="L214" i="2" s="1"/>
  <c r="M214" i="2" s="1"/>
  <c r="N214" i="2" s="1"/>
  <c r="S213" i="4" s="1"/>
  <c r="J219" i="2"/>
  <c r="J224" i="2"/>
  <c r="K224" i="2" s="1"/>
  <c r="L224" i="2" s="1"/>
  <c r="M224" i="2" s="1"/>
  <c r="N224" i="2" s="1"/>
  <c r="S223" i="4" s="1"/>
  <c r="J248" i="2"/>
  <c r="K248" i="2" s="1"/>
  <c r="L248" i="2" s="1"/>
  <c r="M248" i="2" s="1"/>
  <c r="N248" i="2" s="1"/>
  <c r="S247" i="4" s="1"/>
  <c r="J258" i="2"/>
  <c r="K258" i="2" s="1"/>
  <c r="L258" i="2" s="1"/>
  <c r="M258" i="2" s="1"/>
  <c r="N258" i="2" s="1"/>
  <c r="J271" i="2"/>
  <c r="K271" i="2" s="1"/>
  <c r="L271" i="2" s="1"/>
  <c r="M271" i="2" s="1"/>
  <c r="N271" i="2" s="1"/>
  <c r="S270" i="4" s="1"/>
  <c r="J281" i="2"/>
  <c r="K281" i="2" s="1"/>
  <c r="L281" i="2" s="1"/>
  <c r="M281" i="2" s="1"/>
  <c r="N281" i="2" s="1"/>
  <c r="S280" i="4" s="1"/>
  <c r="J291" i="2"/>
  <c r="J301" i="2"/>
  <c r="K301" i="2" s="1"/>
  <c r="L301" i="2" s="1"/>
  <c r="M301" i="2" s="1"/>
  <c r="N301" i="2" s="1"/>
  <c r="S300" i="4" s="1"/>
  <c r="J310" i="2"/>
  <c r="K310" i="2" s="1"/>
  <c r="L310" i="2" s="1"/>
  <c r="J316" i="2"/>
  <c r="K316" i="2" s="1"/>
  <c r="L316" i="2" s="1"/>
  <c r="M316" i="2" s="1"/>
  <c r="N316" i="2" s="1"/>
  <c r="S315" i="4" s="1"/>
  <c r="J321" i="2"/>
  <c r="K321" i="2" s="1"/>
  <c r="L321" i="2" s="1"/>
  <c r="M321" i="2" s="1"/>
  <c r="N321" i="2" s="1"/>
  <c r="S320" i="4" s="1"/>
  <c r="J325" i="2"/>
  <c r="K325" i="2" s="1"/>
  <c r="L325" i="2" s="1"/>
  <c r="M325" i="2" s="1"/>
  <c r="N325" i="2" s="1"/>
  <c r="S324" i="4" s="1"/>
  <c r="J21" i="2"/>
  <c r="K21" i="2" s="1"/>
  <c r="L21" i="2" s="1"/>
  <c r="M21" i="2" s="1"/>
  <c r="N21" i="2" s="1"/>
  <c r="S20" i="4" s="1"/>
  <c r="J25" i="2"/>
  <c r="K25" i="2" s="1"/>
  <c r="L25" i="2" s="1"/>
  <c r="M25" i="2" s="1"/>
  <c r="N25" i="2" s="1"/>
  <c r="S24" i="4" s="1"/>
  <c r="J31" i="2"/>
  <c r="J36" i="2"/>
  <c r="K36" i="2" s="1"/>
  <c r="L36" i="2" s="1"/>
  <c r="M36" i="2" s="1"/>
  <c r="N36" i="2" s="1"/>
  <c r="S35" i="4" s="1"/>
  <c r="J40" i="2"/>
  <c r="J311" i="2"/>
  <c r="K311" i="2" s="1"/>
  <c r="L311" i="2" s="1"/>
  <c r="M311" i="2" s="1"/>
  <c r="N311" i="2" s="1"/>
  <c r="S310" i="4" s="1"/>
  <c r="J22" i="2"/>
  <c r="K22" i="2" s="1"/>
  <c r="L22" i="2" s="1"/>
  <c r="M22" i="2" s="1"/>
  <c r="N22" i="2" s="1"/>
  <c r="S21" i="4" s="1"/>
  <c r="J46" i="2"/>
  <c r="K46" i="2" s="1"/>
  <c r="L46" i="2" s="1"/>
  <c r="M46" i="2" s="1"/>
  <c r="N46" i="2" s="1"/>
  <c r="S45" i="4" s="1"/>
  <c r="J89" i="2"/>
  <c r="K89" i="2" s="1"/>
  <c r="L89" i="2" s="1"/>
  <c r="M89" i="2" s="1"/>
  <c r="N89" i="2" s="1"/>
  <c r="S88" i="4" s="1"/>
  <c r="J112" i="2"/>
  <c r="K112" i="2" s="1"/>
  <c r="L112" i="2" s="1"/>
  <c r="M112" i="2" s="1"/>
  <c r="N112" i="2" s="1"/>
  <c r="S111" i="4" s="1"/>
  <c r="J45" i="2"/>
  <c r="K45" i="2" s="1"/>
  <c r="L45" i="2" s="1"/>
  <c r="M45" i="2" s="1"/>
  <c r="J51" i="2"/>
  <c r="K51" i="2" s="1"/>
  <c r="L51" i="2" s="1"/>
  <c r="M51" i="2" s="1"/>
  <c r="N51" i="2" s="1"/>
  <c r="S50" i="4" s="1"/>
  <c r="J58" i="2"/>
  <c r="J62" i="2"/>
  <c r="K62" i="2" s="1"/>
  <c r="L62" i="2" s="1"/>
  <c r="M62" i="2" s="1"/>
  <c r="N62" i="2" s="1"/>
  <c r="S61" i="4" s="1"/>
  <c r="J74" i="2"/>
  <c r="K74" i="2" s="1"/>
  <c r="L74" i="2" s="1"/>
  <c r="M74" i="2" s="1"/>
  <c r="N74" i="2" s="1"/>
  <c r="S73" i="4" s="1"/>
  <c r="J78" i="2"/>
  <c r="K78" i="2" s="1"/>
  <c r="L78" i="2" s="1"/>
  <c r="M78" i="2" s="1"/>
  <c r="N78" i="2" s="1"/>
  <c r="S77" i="4" s="1"/>
  <c r="J84" i="2"/>
  <c r="K84" i="2" s="1"/>
  <c r="L84" i="2" s="1"/>
  <c r="M84" i="2" s="1"/>
  <c r="N84" i="2" s="1"/>
  <c r="S83" i="4" s="1"/>
  <c r="J93" i="2"/>
  <c r="K93" i="2" s="1"/>
  <c r="L93" i="2" s="1"/>
  <c r="M93" i="2" s="1"/>
  <c r="N93" i="2" s="1"/>
  <c r="J111" i="2"/>
  <c r="K111" i="2" s="1"/>
  <c r="L111" i="2" s="1"/>
  <c r="M111" i="2" s="1"/>
  <c r="J121" i="2"/>
  <c r="K121" i="2" s="1"/>
  <c r="L121" i="2" s="1"/>
  <c r="M121" i="2" s="1"/>
  <c r="N121" i="2" s="1"/>
  <c r="S120" i="4" s="1"/>
  <c r="J125" i="2"/>
  <c r="K125" i="2" s="1"/>
  <c r="L125" i="2" s="1"/>
  <c r="J134" i="2"/>
  <c r="K134" i="2" s="1"/>
  <c r="L134" i="2" s="1"/>
  <c r="M134" i="2" s="1"/>
  <c r="N134" i="2" s="1"/>
  <c r="S133" i="4" s="1"/>
  <c r="J143" i="2"/>
  <c r="K143" i="2" s="1"/>
  <c r="L143" i="2" s="1"/>
  <c r="M143" i="2" s="1"/>
  <c r="N143" i="2" s="1"/>
  <c r="S142" i="4" s="1"/>
  <c r="J153" i="2"/>
  <c r="K153" i="2" s="1"/>
  <c r="L153" i="2" s="1"/>
  <c r="M153" i="2" s="1"/>
  <c r="N153" i="2" s="1"/>
  <c r="S152" i="4" s="1"/>
  <c r="J163" i="2"/>
  <c r="K163" i="2" s="1"/>
  <c r="L163" i="2" s="1"/>
  <c r="M163" i="2" s="1"/>
  <c r="N163" i="2" s="1"/>
  <c r="S162" i="4" s="1"/>
  <c r="J166" i="2"/>
  <c r="K166" i="2" s="1"/>
  <c r="L166" i="2" s="1"/>
  <c r="M166" i="2" s="1"/>
  <c r="N166" i="2" s="1"/>
  <c r="S165" i="4" s="1"/>
  <c r="J176" i="2"/>
  <c r="K176" i="2" s="1"/>
  <c r="L176" i="2" s="1"/>
  <c r="J181" i="2"/>
  <c r="K181" i="2" s="1"/>
  <c r="L181" i="2" s="1"/>
  <c r="M181" i="2" s="1"/>
  <c r="N181" i="2" s="1"/>
  <c r="S180" i="4" s="1"/>
  <c r="J186" i="2"/>
  <c r="J195" i="2"/>
  <c r="K195" i="2" s="1"/>
  <c r="L195" i="2" s="1"/>
  <c r="M195" i="2" s="1"/>
  <c r="N195" i="2" s="1"/>
  <c r="S194" i="4" s="1"/>
  <c r="J198" i="2"/>
  <c r="K198" i="2" s="1"/>
  <c r="L198" i="2" s="1"/>
  <c r="M198" i="2" s="1"/>
  <c r="N198" i="2" s="1"/>
  <c r="S197" i="4" s="1"/>
  <c r="J203" i="2"/>
  <c r="K203" i="2" s="1"/>
  <c r="L203" i="2" s="1"/>
  <c r="M203" i="2" s="1"/>
  <c r="N203" i="2" s="1"/>
  <c r="S202" i="4" s="1"/>
  <c r="J206" i="2"/>
  <c r="K206" i="2" s="1"/>
  <c r="L206" i="2" s="1"/>
  <c r="M206" i="2" s="1"/>
  <c r="N206" i="2" s="1"/>
  <c r="S205" i="4" s="1"/>
  <c r="J211" i="2"/>
  <c r="K211" i="2" s="1"/>
  <c r="L211" i="2" s="1"/>
  <c r="M211" i="2" s="1"/>
  <c r="N211" i="2" s="1"/>
  <c r="S210" i="4" s="1"/>
  <c r="J225" i="2"/>
  <c r="J229" i="2"/>
  <c r="K229" i="2" s="1"/>
  <c r="L229" i="2" s="1"/>
  <c r="M229" i="2" s="1"/>
  <c r="N229" i="2" s="1"/>
  <c r="S228" i="4" s="1"/>
  <c r="J234" i="2"/>
  <c r="J239" i="2"/>
  <c r="K239" i="2" s="1"/>
  <c r="L239" i="2" s="1"/>
  <c r="M239" i="2" s="1"/>
  <c r="N239" i="2" s="1"/>
  <c r="S238" i="4" s="1"/>
  <c r="J244" i="2"/>
  <c r="K244" i="2" s="1"/>
  <c r="L244" i="2" s="1"/>
  <c r="M244" i="2" s="1"/>
  <c r="N244" i="2" s="1"/>
  <c r="S243" i="4" s="1"/>
  <c r="J249" i="2"/>
  <c r="K249" i="2" s="1"/>
  <c r="L249" i="2" s="1"/>
  <c r="M249" i="2" s="1"/>
  <c r="N249" i="2" s="1"/>
  <c r="J253" i="2"/>
  <c r="K253" i="2" s="1"/>
  <c r="L253" i="2" s="1"/>
  <c r="M253" i="2" s="1"/>
  <c r="N253" i="2" s="1"/>
  <c r="S252" i="4" s="1"/>
  <c r="J259" i="2"/>
  <c r="K259" i="2" s="1"/>
  <c r="L259" i="2" s="1"/>
  <c r="M259" i="2" s="1"/>
  <c r="N259" i="2" s="1"/>
  <c r="S258" i="4" s="1"/>
  <c r="J262" i="2"/>
  <c r="J268" i="2"/>
  <c r="K268" i="2" s="1"/>
  <c r="L268" i="2" s="1"/>
  <c r="M268" i="2" s="1"/>
  <c r="N268" i="2" s="1"/>
  <c r="S267" i="4" s="1"/>
  <c r="J272" i="2"/>
  <c r="K272" i="2" s="1"/>
  <c r="L272" i="2" s="1"/>
  <c r="M272" i="2" s="1"/>
  <c r="N272" i="2" s="1"/>
  <c r="S271" i="4" s="1"/>
  <c r="J286" i="2"/>
  <c r="K286" i="2" s="1"/>
  <c r="L286" i="2" s="1"/>
  <c r="M286" i="2" s="1"/>
  <c r="N286" i="2" s="1"/>
  <c r="S285" i="4" s="1"/>
  <c r="J306" i="2"/>
  <c r="K306" i="2" s="1"/>
  <c r="L306" i="2" s="1"/>
  <c r="M306" i="2" s="1"/>
  <c r="N306" i="2" s="1"/>
  <c r="S305" i="4" s="1"/>
  <c r="J26" i="2"/>
  <c r="K26" i="2" s="1"/>
  <c r="L26" i="2" s="1"/>
  <c r="M26" i="2" s="1"/>
  <c r="N26" i="2" s="1"/>
  <c r="S25" i="4" s="1"/>
  <c r="J68" i="2"/>
  <c r="K68" i="2" s="1"/>
  <c r="L68" i="2" s="1"/>
  <c r="M68" i="2" s="1"/>
  <c r="N68" i="2" s="1"/>
  <c r="S67" i="4" s="1"/>
  <c r="J79" i="2"/>
  <c r="K79" i="2" s="1"/>
  <c r="L79" i="2" s="1"/>
  <c r="M79" i="2" s="1"/>
  <c r="N79" i="2" s="1"/>
  <c r="S78" i="4" s="1"/>
  <c r="J102" i="2"/>
  <c r="J47" i="2"/>
  <c r="K47" i="2" s="1"/>
  <c r="L47" i="2" s="1"/>
  <c r="M47" i="2" s="1"/>
  <c r="N47" i="2" s="1"/>
  <c r="S46" i="4" s="1"/>
  <c r="J59" i="2"/>
  <c r="K59" i="2" s="1"/>
  <c r="L59" i="2" s="1"/>
  <c r="J64" i="2"/>
  <c r="K64" i="2" s="1"/>
  <c r="L64" i="2" s="1"/>
  <c r="M64" i="2" s="1"/>
  <c r="N64" i="2" s="1"/>
  <c r="S63" i="4" s="1"/>
  <c r="J75" i="2"/>
  <c r="K75" i="2" s="1"/>
  <c r="L75" i="2" s="1"/>
  <c r="M75" i="2" s="1"/>
  <c r="N75" i="2" s="1"/>
  <c r="S74" i="4" s="1"/>
  <c r="J80" i="2"/>
  <c r="K80" i="2" s="1"/>
  <c r="L80" i="2" s="1"/>
  <c r="M80" i="2" s="1"/>
  <c r="N80" i="2" s="1"/>
  <c r="S79" i="4" s="1"/>
  <c r="J85" i="2"/>
  <c r="K85" i="2" s="1"/>
  <c r="L85" i="2" s="1"/>
  <c r="M85" i="2" s="1"/>
  <c r="N85" i="2" s="1"/>
  <c r="S84" i="4" s="1"/>
  <c r="J90" i="2"/>
  <c r="K90" i="2" s="1"/>
  <c r="L90" i="2" s="1"/>
  <c r="M90" i="2" s="1"/>
  <c r="N90" i="2" s="1"/>
  <c r="S89" i="4" s="1"/>
  <c r="J103" i="2"/>
  <c r="K103" i="2" s="1"/>
  <c r="L103" i="2" s="1"/>
  <c r="M103" i="2" s="1"/>
  <c r="N103" i="2" s="1"/>
  <c r="J108" i="2"/>
  <c r="K108" i="2" s="1"/>
  <c r="L108" i="2" s="1"/>
  <c r="M108" i="2" s="1"/>
  <c r="N108" i="2" s="1"/>
  <c r="S107" i="4" s="1"/>
  <c r="J113" i="2"/>
  <c r="J136" i="2"/>
  <c r="K136" i="2" s="1"/>
  <c r="L136" i="2" s="1"/>
  <c r="M136" i="2" s="1"/>
  <c r="N136" i="2" s="1"/>
  <c r="S135" i="4" s="1"/>
  <c r="J145" i="2"/>
  <c r="K145" i="2" s="1"/>
  <c r="L145" i="2" s="1"/>
  <c r="M145" i="2" s="1"/>
  <c r="N145" i="2" s="1"/>
  <c r="S144" i="4" s="1"/>
  <c r="J158" i="2"/>
  <c r="K158" i="2" s="1"/>
  <c r="L158" i="2" s="1"/>
  <c r="M158" i="2" s="1"/>
  <c r="N158" i="2" s="1"/>
  <c r="S157" i="4" s="1"/>
  <c r="J168" i="2"/>
  <c r="K168" i="2" s="1"/>
  <c r="L168" i="2" s="1"/>
  <c r="M168" i="2" s="1"/>
  <c r="N168" i="2" s="1"/>
  <c r="S167" i="4" s="1"/>
  <c r="J178" i="2"/>
  <c r="K178" i="2" s="1"/>
  <c r="L178" i="2" s="1"/>
  <c r="M178" i="2" s="1"/>
  <c r="N178" i="2" s="1"/>
  <c r="S177" i="4" s="1"/>
  <c r="J187" i="2"/>
  <c r="J190" i="2"/>
  <c r="K190" i="2" s="1"/>
  <c r="L190" i="2" s="1"/>
  <c r="M190" i="2" s="1"/>
  <c r="N190" i="2" s="1"/>
  <c r="S189" i="4" s="1"/>
  <c r="J114" i="2"/>
  <c r="J132" i="2"/>
  <c r="K132" i="2" s="1"/>
  <c r="L132" i="2" s="1"/>
  <c r="M132" i="2" s="1"/>
  <c r="N132" i="2" s="1"/>
  <c r="S131" i="4" s="1"/>
  <c r="J159" i="2"/>
  <c r="K159" i="2" s="1"/>
  <c r="L159" i="2" s="1"/>
  <c r="M159" i="2" s="1"/>
  <c r="N159" i="2" s="1"/>
  <c r="S158" i="4" s="1"/>
  <c r="J207" i="2"/>
  <c r="K207" i="2" s="1"/>
  <c r="L207" i="2" s="1"/>
  <c r="M207" i="2" s="1"/>
  <c r="N207" i="2" s="1"/>
  <c r="S206" i="4" s="1"/>
  <c r="J217" i="2"/>
  <c r="K217" i="2" s="1"/>
  <c r="L217" i="2" s="1"/>
  <c r="M217" i="2" s="1"/>
  <c r="N217" i="2" s="1"/>
  <c r="S216" i="4" s="1"/>
  <c r="J230" i="2"/>
  <c r="K230" i="2" s="1"/>
  <c r="L230" i="2" s="1"/>
  <c r="M230" i="2" s="1"/>
  <c r="N230" i="2" s="1"/>
  <c r="S229" i="4" s="1"/>
  <c r="J255" i="2"/>
  <c r="J282" i="2"/>
  <c r="K282" i="2" s="1"/>
  <c r="L282" i="2" s="1"/>
  <c r="M282" i="2" s="1"/>
  <c r="N282" i="2" s="1"/>
  <c r="S281" i="4" s="1"/>
  <c r="J303" i="2"/>
  <c r="J18" i="2"/>
  <c r="K18" i="2" s="1"/>
  <c r="L18" i="2" s="1"/>
  <c r="M18" i="2" s="1"/>
  <c r="N18" i="2" s="1"/>
  <c r="S17" i="4" s="1"/>
  <c r="J196" i="2"/>
  <c r="K196" i="2" s="1"/>
  <c r="L196" i="2" s="1"/>
  <c r="M196" i="2" s="1"/>
  <c r="N196" i="2" s="1"/>
  <c r="S195" i="4" s="1"/>
  <c r="J220" i="2"/>
  <c r="K220" i="2" s="1"/>
  <c r="L220" i="2" s="1"/>
  <c r="M220" i="2" s="1"/>
  <c r="N220" i="2" s="1"/>
  <c r="S219" i="4" s="1"/>
  <c r="J245" i="2"/>
  <c r="K245" i="2" s="1"/>
  <c r="L245" i="2" s="1"/>
  <c r="M245" i="2" s="1"/>
  <c r="N245" i="2" s="1"/>
  <c r="S244" i="4" s="1"/>
  <c r="J283" i="2"/>
  <c r="K283" i="2" s="1"/>
  <c r="L283" i="2" s="1"/>
  <c r="M283" i="2" s="1"/>
  <c r="N283" i="2" s="1"/>
  <c r="S282" i="4" s="1"/>
  <c r="J307" i="2"/>
  <c r="J318" i="2"/>
  <c r="K318" i="2" s="1"/>
  <c r="L318" i="2" s="1"/>
  <c r="M318" i="2" s="1"/>
  <c r="N318" i="2" s="1"/>
  <c r="S317" i="4" s="1"/>
  <c r="J27" i="2"/>
  <c r="J131" i="2"/>
  <c r="K131" i="2" s="1"/>
  <c r="L131" i="2" s="1"/>
  <c r="M131" i="2" s="1"/>
  <c r="N131" i="2" s="1"/>
  <c r="S130" i="4" s="1"/>
  <c r="J204" i="2"/>
  <c r="K204" i="2" s="1"/>
  <c r="L204" i="2" s="1"/>
  <c r="M204" i="2" s="1"/>
  <c r="N204" i="2" s="1"/>
  <c r="S203" i="4" s="1"/>
  <c r="J293" i="2"/>
  <c r="K293" i="2" s="1"/>
  <c r="L293" i="2" s="1"/>
  <c r="M293" i="2" s="1"/>
  <c r="N293" i="2" s="1"/>
  <c r="S292" i="4" s="1"/>
  <c r="J327" i="2"/>
  <c r="K327" i="2" s="1"/>
  <c r="L327" i="2" s="1"/>
  <c r="M327" i="2" s="1"/>
  <c r="N327" i="2" s="1"/>
  <c r="S326" i="4" s="1"/>
  <c r="J81" i="2"/>
  <c r="K81" i="2" s="1"/>
  <c r="L81" i="2" s="1"/>
  <c r="M81" i="2" s="1"/>
  <c r="N81" i="2" s="1"/>
  <c r="S80" i="4" s="1"/>
  <c r="J117" i="2"/>
  <c r="J135" i="2"/>
  <c r="K135" i="2" s="1"/>
  <c r="L135" i="2" s="1"/>
  <c r="M135" i="2" s="1"/>
  <c r="N135" i="2" s="1"/>
  <c r="S134" i="4" s="1"/>
  <c r="J144" i="2"/>
  <c r="J19" i="2"/>
  <c r="K19" i="2" s="1"/>
  <c r="L19" i="2" s="1"/>
  <c r="M19" i="2" s="1"/>
  <c r="N19" i="2" s="1"/>
  <c r="S18" i="4" s="1"/>
  <c r="J29" i="2"/>
  <c r="K29" i="2" s="1"/>
  <c r="L29" i="2" s="1"/>
  <c r="M29" i="2" s="1"/>
  <c r="N29" i="2" s="1"/>
  <c r="S28" i="4" s="1"/>
  <c r="J39" i="2"/>
  <c r="K39" i="2" s="1"/>
  <c r="L39" i="2" s="1"/>
  <c r="M39" i="2" s="1"/>
  <c r="N39" i="2" s="1"/>
  <c r="S38" i="4" s="1"/>
  <c r="J33" i="2"/>
  <c r="K33" i="2" s="1"/>
  <c r="L33" i="2" s="1"/>
  <c r="M33" i="2" s="1"/>
  <c r="N33" i="2" s="1"/>
  <c r="S32" i="4" s="1"/>
  <c r="J177" i="2"/>
  <c r="K177" i="2" s="1"/>
  <c r="L177" i="2" s="1"/>
  <c r="M177" i="2" s="1"/>
  <c r="N177" i="2" s="1"/>
  <c r="S176" i="4" s="1"/>
  <c r="J216" i="2"/>
  <c r="K216" i="2" s="1"/>
  <c r="J317" i="2"/>
  <c r="K317" i="2" s="1"/>
  <c r="L317" i="2" s="1"/>
  <c r="M317" i="2" s="1"/>
  <c r="N317" i="2" s="1"/>
  <c r="S316" i="4" s="1"/>
  <c r="J48" i="2"/>
  <c r="O47" i="4" s="1"/>
  <c r="J146" i="2"/>
  <c r="K146" i="2" s="1"/>
  <c r="L146" i="2" s="1"/>
  <c r="M146" i="2" s="1"/>
  <c r="N146" i="2" s="1"/>
  <c r="S145" i="4" s="1"/>
  <c r="J164" i="2"/>
  <c r="K164" i="2" s="1"/>
  <c r="L164" i="2" s="1"/>
  <c r="M164" i="2" s="1"/>
  <c r="N164" i="2" s="1"/>
  <c r="S163" i="4" s="1"/>
  <c r="J182" i="2"/>
  <c r="K182" i="2" s="1"/>
  <c r="L182" i="2" s="1"/>
  <c r="M182" i="2" s="1"/>
  <c r="N182" i="2" s="1"/>
  <c r="S181" i="4" s="1"/>
  <c r="J199" i="2"/>
  <c r="K199" i="2" s="1"/>
  <c r="L199" i="2" s="1"/>
  <c r="M199" i="2" s="1"/>
  <c r="N199" i="2" s="1"/>
  <c r="S198" i="4" s="1"/>
  <c r="J208" i="2"/>
  <c r="K208" i="2" s="1"/>
  <c r="L208" i="2" s="1"/>
  <c r="M208" i="2" s="1"/>
  <c r="N208" i="2" s="1"/>
  <c r="S207" i="4" s="1"/>
  <c r="J235" i="2"/>
  <c r="K235" i="2" s="1"/>
  <c r="L235" i="2" s="1"/>
  <c r="J260" i="2"/>
  <c r="K260" i="2" s="1"/>
  <c r="L260" i="2" s="1"/>
  <c r="M260" i="2" s="1"/>
  <c r="N260" i="2" s="1"/>
  <c r="J273" i="2"/>
  <c r="J41" i="2"/>
  <c r="K41" i="2" s="1"/>
  <c r="L41" i="2" s="1"/>
  <c r="M41" i="2" s="1"/>
  <c r="N41" i="2" s="1"/>
  <c r="S40" i="4" s="1"/>
  <c r="J23" i="2"/>
  <c r="K23" i="2" s="1"/>
  <c r="L23" i="2" s="1"/>
  <c r="M23" i="2" s="1"/>
  <c r="N23" i="2" s="1"/>
  <c r="S22" i="4" s="1"/>
  <c r="J32" i="2"/>
  <c r="K32" i="2" s="1"/>
  <c r="L32" i="2" s="1"/>
  <c r="M32" i="2" s="1"/>
  <c r="N32" i="2" s="1"/>
  <c r="S31" i="4" s="1"/>
  <c r="J42" i="2"/>
  <c r="K42" i="2" s="1"/>
  <c r="L42" i="2" s="1"/>
  <c r="M42" i="2" s="1"/>
  <c r="N42" i="2" s="1"/>
  <c r="S41" i="4" s="1"/>
  <c r="J264" i="2"/>
  <c r="K264" i="2" s="1"/>
  <c r="L264" i="2" s="1"/>
  <c r="M264" i="2" s="1"/>
  <c r="N264" i="2" s="1"/>
  <c r="S263" i="4" s="1"/>
  <c r="J313" i="2"/>
  <c r="J53" i="2"/>
  <c r="K53" i="2" s="1"/>
  <c r="L53" i="2" s="1"/>
  <c r="M53" i="2" s="1"/>
  <c r="N53" i="2" s="1"/>
  <c r="S52" i="4" s="1"/>
  <c r="J122" i="2"/>
  <c r="J149" i="2"/>
  <c r="K149" i="2" s="1"/>
  <c r="L149" i="2" s="1"/>
  <c r="M149" i="2" s="1"/>
  <c r="N149" i="2" s="1"/>
  <c r="S148" i="4" s="1"/>
  <c r="J167" i="2"/>
  <c r="K167" i="2" s="1"/>
  <c r="L167" i="2" s="1"/>
  <c r="M167" i="2" s="1"/>
  <c r="N167" i="2" s="1"/>
  <c r="S166" i="4" s="1"/>
  <c r="J221" i="2"/>
  <c r="K221" i="2" s="1"/>
  <c r="L221" i="2" s="1"/>
  <c r="M221" i="2" s="1"/>
  <c r="N221" i="2" s="1"/>
  <c r="S220" i="4" s="1"/>
  <c r="J308" i="2"/>
  <c r="K308" i="2" s="1"/>
  <c r="L308" i="2" s="1"/>
  <c r="M308" i="2" s="1"/>
  <c r="N308" i="2" s="1"/>
  <c r="S307" i="4" s="1"/>
  <c r="J322" i="2"/>
  <c r="K322" i="2" s="1"/>
  <c r="L322" i="2" s="1"/>
  <c r="M322" i="2" s="1"/>
  <c r="N322" i="2" s="1"/>
  <c r="S321" i="4" s="1"/>
  <c r="J154" i="2"/>
  <c r="J172" i="2"/>
  <c r="K172" i="2" s="1"/>
  <c r="L172" i="2" s="1"/>
  <c r="M172" i="2" s="1"/>
  <c r="N172" i="2" s="1"/>
  <c r="S171" i="4" s="1"/>
  <c r="J240" i="2"/>
  <c r="J288" i="2"/>
  <c r="K288" i="2" s="1"/>
  <c r="L288" i="2" s="1"/>
  <c r="M288" i="2" s="1"/>
  <c r="N288" i="2" s="1"/>
  <c r="S287" i="4" s="1"/>
  <c r="J37" i="2"/>
  <c r="K37" i="2" s="1"/>
  <c r="L37" i="2" s="1"/>
  <c r="M37" i="2" s="1"/>
  <c r="N37" i="2" s="1"/>
  <c r="S36" i="4" s="1"/>
  <c r="J254" i="2"/>
  <c r="K254" i="2" s="1"/>
  <c r="L254" i="2" s="1"/>
  <c r="M254" i="2" s="1"/>
  <c r="N254" i="2" s="1"/>
  <c r="S253" i="4" s="1"/>
  <c r="J17" i="2"/>
  <c r="K17" i="2" s="1"/>
  <c r="L17" i="2" s="1"/>
  <c r="M17" i="2" s="1"/>
  <c r="N17" i="2" s="1"/>
  <c r="S16" i="4" s="1"/>
  <c r="J38" i="2"/>
  <c r="K38" i="2" s="1"/>
  <c r="L38" i="2" s="1"/>
  <c r="M38" i="2" s="1"/>
  <c r="N38" i="2" s="1"/>
  <c r="S37" i="4" s="1"/>
  <c r="J94" i="2"/>
  <c r="K94" i="2" s="1"/>
  <c r="J123" i="2"/>
  <c r="K123" i="2" s="1"/>
  <c r="L123" i="2" s="1"/>
  <c r="M123" i="2" s="1"/>
  <c r="N123" i="2" s="1"/>
  <c r="S122" i="4" s="1"/>
  <c r="J169" i="2"/>
  <c r="K169" i="2" s="1"/>
  <c r="L169" i="2" s="1"/>
  <c r="J200" i="2"/>
  <c r="K200" i="2" s="1"/>
  <c r="L200" i="2" s="1"/>
  <c r="M200" i="2" s="1"/>
  <c r="N200" i="2" s="1"/>
  <c r="S199" i="4" s="1"/>
  <c r="J212" i="2"/>
  <c r="K212" i="2" s="1"/>
  <c r="L212" i="2" s="1"/>
  <c r="M212" i="2" s="1"/>
  <c r="N212" i="2" s="1"/>
  <c r="S211" i="4" s="1"/>
  <c r="J236" i="2"/>
  <c r="K236" i="2" s="1"/>
  <c r="L236" i="2" s="1"/>
  <c r="M236" i="2" s="1"/>
  <c r="N236" i="2" s="1"/>
  <c r="S235" i="4" s="1"/>
  <c r="J263" i="2"/>
  <c r="K263" i="2" s="1"/>
  <c r="L263" i="2" s="1"/>
  <c r="M263" i="2" s="1"/>
  <c r="N263" i="2" s="1"/>
  <c r="S262" i="4" s="1"/>
  <c r="J274" i="2"/>
  <c r="K274" i="2" s="1"/>
  <c r="L274" i="2" s="1"/>
  <c r="M274" i="2" s="1"/>
  <c r="N274" i="2" s="1"/>
  <c r="S273" i="4" s="1"/>
  <c r="J287" i="2"/>
  <c r="J298" i="2"/>
  <c r="K298" i="2" s="1"/>
  <c r="L298" i="2" s="1"/>
  <c r="M298" i="2" s="1"/>
  <c r="N298" i="2" s="1"/>
  <c r="S297" i="4" s="1"/>
  <c r="J312" i="2"/>
  <c r="K312" i="2" s="1"/>
  <c r="J323" i="2"/>
  <c r="K323" i="2" s="1"/>
  <c r="L323" i="2" s="1"/>
  <c r="M323" i="2" s="1"/>
  <c r="N323" i="2" s="1"/>
  <c r="S322" i="4" s="1"/>
  <c r="J43" i="2"/>
  <c r="K43" i="2" s="1"/>
  <c r="L43" i="2" s="1"/>
  <c r="M43" i="2" s="1"/>
  <c r="N43" i="2" s="1"/>
  <c r="S42" i="4" s="1"/>
  <c r="J63" i="2"/>
  <c r="K63" i="2" s="1"/>
  <c r="L63" i="2" s="1"/>
  <c r="M63" i="2" s="1"/>
  <c r="N63" i="2" s="1"/>
  <c r="S62" i="4" s="1"/>
  <c r="J250" i="2"/>
  <c r="K250" i="2" s="1"/>
  <c r="L250" i="2" s="1"/>
  <c r="M250" i="2" s="1"/>
  <c r="N250" i="2" s="1"/>
  <c r="J326" i="2"/>
  <c r="K326" i="2" s="1"/>
  <c r="L326" i="2" s="1"/>
  <c r="M326" i="2" s="1"/>
  <c r="N326" i="2" s="1"/>
  <c r="S325" i="4" s="1"/>
  <c r="J69" i="2"/>
  <c r="J104" i="2"/>
  <c r="K104" i="2" s="1"/>
  <c r="L104" i="2" s="1"/>
  <c r="M104" i="2" s="1"/>
  <c r="N104" i="2" s="1"/>
  <c r="S103" i="4" s="1"/>
  <c r="J126" i="2"/>
  <c r="J155" i="2"/>
  <c r="K155" i="2" s="1"/>
  <c r="L155" i="2" s="1"/>
  <c r="M155" i="2" s="1"/>
  <c r="N155" i="2" s="1"/>
  <c r="S154" i="4" s="1"/>
  <c r="J173" i="2"/>
  <c r="K173" i="2" s="1"/>
  <c r="L173" i="2" s="1"/>
  <c r="M173" i="2" s="1"/>
  <c r="N173" i="2" s="1"/>
  <c r="S172" i="4" s="1"/>
  <c r="J191" i="2"/>
  <c r="K191" i="2" s="1"/>
  <c r="L191" i="2" s="1"/>
  <c r="M191" i="2" s="1"/>
  <c r="N191" i="2" s="1"/>
  <c r="S190" i="4" s="1"/>
  <c r="J215" i="2"/>
  <c r="K215" i="2" s="1"/>
  <c r="L215" i="2" s="1"/>
  <c r="M215" i="2" s="1"/>
  <c r="N215" i="2" s="1"/>
  <c r="S214" i="4" s="1"/>
  <c r="J226" i="2"/>
  <c r="K226" i="2" s="1"/>
  <c r="L226" i="2" s="1"/>
  <c r="M226" i="2" s="1"/>
  <c r="N226" i="2" s="1"/>
  <c r="S225" i="4" s="1"/>
  <c r="J241" i="2"/>
  <c r="K241" i="2" s="1"/>
  <c r="J265" i="2"/>
  <c r="K265" i="2" s="1"/>
  <c r="L265" i="2" s="1"/>
  <c r="M265" i="2" s="1"/>
  <c r="N265" i="2" s="1"/>
  <c r="S264" i="4" s="1"/>
  <c r="J277" i="2"/>
  <c r="J292" i="2"/>
  <c r="K292" i="2" s="1"/>
  <c r="L292" i="2" s="1"/>
  <c r="M292" i="2" s="1"/>
  <c r="N292" i="2" s="1"/>
  <c r="S291" i="4" s="1"/>
  <c r="J302" i="2"/>
  <c r="K302" i="2" s="1"/>
  <c r="L302" i="2" s="1"/>
  <c r="M302" i="2" s="1"/>
  <c r="N302" i="2" s="1"/>
  <c r="S301" i="4" s="1"/>
  <c r="J28" i="2"/>
  <c r="K28" i="2" s="1"/>
  <c r="L28" i="2" s="1"/>
  <c r="M28" i="2" s="1"/>
  <c r="N28" i="2" s="1"/>
  <c r="S27" i="4" s="1"/>
  <c r="Q209" i="4"/>
  <c r="Q184" i="4"/>
  <c r="Q330" i="4"/>
  <c r="Q334" i="4"/>
  <c r="Q338" i="4"/>
  <c r="Q342" i="4"/>
  <c r="Q346" i="4"/>
  <c r="Q350" i="4"/>
  <c r="Q354" i="4"/>
  <c r="Q358" i="4"/>
  <c r="Q362" i="4"/>
  <c r="Q366" i="4"/>
  <c r="Q370" i="4"/>
  <c r="Q374" i="4"/>
  <c r="Q378" i="4"/>
  <c r="Q382" i="4"/>
  <c r="Q386" i="4"/>
  <c r="Q390" i="4"/>
  <c r="Q394" i="4"/>
  <c r="Q398" i="4"/>
  <c r="Q402" i="4"/>
  <c r="Q410" i="4"/>
  <c r="Q418" i="4"/>
  <c r="Q422" i="4"/>
  <c r="Q426" i="4"/>
  <c r="Q430" i="4"/>
  <c r="Q329" i="4"/>
  <c r="Q333" i="4"/>
  <c r="Q337" i="4"/>
  <c r="Q341" i="4"/>
  <c r="Q345" i="4"/>
  <c r="Q349" i="4"/>
  <c r="Q353" i="4"/>
  <c r="Q357" i="4"/>
  <c r="Q361" i="4"/>
  <c r="Q365" i="4"/>
  <c r="Q369" i="4"/>
  <c r="Q373" i="4"/>
  <c r="Q377" i="4"/>
  <c r="Q381" i="4"/>
  <c r="Q385" i="4"/>
  <c r="Q389" i="4"/>
  <c r="Q393" i="4"/>
  <c r="Q397" i="4"/>
  <c r="Q401" i="4"/>
  <c r="Q409" i="4"/>
  <c r="Q413" i="4"/>
  <c r="Q417" i="4"/>
  <c r="Q421" i="4"/>
  <c r="Q425" i="4"/>
  <c r="Q429" i="4"/>
  <c r="Q260" i="4"/>
  <c r="Q328" i="4"/>
  <c r="Q332" i="4"/>
  <c r="Q336" i="4"/>
  <c r="Q340" i="4"/>
  <c r="Q344" i="4"/>
  <c r="Q348" i="4"/>
  <c r="Q352" i="4"/>
  <c r="Q356" i="4"/>
  <c r="Q360" i="4"/>
  <c r="Q364" i="4"/>
  <c r="Q368" i="4"/>
  <c r="Q372" i="4"/>
  <c r="Q376" i="4"/>
  <c r="Q380" i="4"/>
  <c r="Q384" i="4"/>
  <c r="Q388" i="4"/>
  <c r="Q392" i="4"/>
  <c r="Q396" i="4"/>
  <c r="Q400" i="4"/>
  <c r="Q404" i="4"/>
  <c r="Q408" i="4"/>
  <c r="Q412" i="4"/>
  <c r="Q420" i="4"/>
  <c r="Q424" i="4"/>
  <c r="Q428" i="4"/>
  <c r="Q331" i="4"/>
  <c r="Q335" i="4"/>
  <c r="Q339" i="4"/>
  <c r="Q343" i="4"/>
  <c r="Q347" i="4"/>
  <c r="Q351" i="4"/>
  <c r="Q355" i="4"/>
  <c r="Q359" i="4"/>
  <c r="Q363" i="4"/>
  <c r="Q367" i="4"/>
  <c r="Q371" i="4"/>
  <c r="Q375" i="4"/>
  <c r="Q379" i="4"/>
  <c r="Q383" i="4"/>
  <c r="Q387" i="4"/>
  <c r="Q391" i="4"/>
  <c r="Q395" i="4"/>
  <c r="Q399" i="4"/>
  <c r="Q403" i="4"/>
  <c r="Q407" i="4"/>
  <c r="Q411" i="4"/>
  <c r="Q415" i="4"/>
  <c r="Q419" i="4"/>
  <c r="Q423" i="4"/>
  <c r="Q427" i="4"/>
  <c r="Q445" i="4"/>
  <c r="Q457" i="4"/>
  <c r="Q465" i="4"/>
  <c r="Q473" i="4"/>
  <c r="Q481" i="4"/>
  <c r="Q434" i="4"/>
  <c r="Q482" i="4"/>
  <c r="Q433" i="4"/>
  <c r="Q437" i="4"/>
  <c r="Q441" i="4"/>
  <c r="Q449" i="4"/>
  <c r="Q461" i="4"/>
  <c r="Q469" i="4"/>
  <c r="Q477" i="4"/>
  <c r="Q438" i="4"/>
  <c r="Q470" i="4"/>
  <c r="Q478" i="4"/>
  <c r="Q463" i="4"/>
  <c r="Q479" i="4"/>
  <c r="Q462" i="4"/>
  <c r="Q432" i="4"/>
  <c r="Q436" i="4"/>
  <c r="Q440" i="4"/>
  <c r="Q444" i="4"/>
  <c r="Q448" i="4"/>
  <c r="Q456" i="4"/>
  <c r="Q460" i="4"/>
  <c r="Q464" i="4"/>
  <c r="Q468" i="4"/>
  <c r="Q472" i="4"/>
  <c r="Q476" i="4"/>
  <c r="Q480" i="4"/>
  <c r="Q484" i="4"/>
  <c r="Q467" i="4"/>
  <c r="Q483" i="4"/>
  <c r="Q446" i="4"/>
  <c r="Q447" i="4"/>
  <c r="Q459" i="4"/>
  <c r="Q475" i="4"/>
  <c r="Q450" i="4"/>
  <c r="Q458" i="4"/>
  <c r="Q466" i="4"/>
  <c r="Q431" i="4"/>
  <c r="Q435" i="4"/>
  <c r="Q439" i="4"/>
  <c r="Q443" i="4"/>
  <c r="Q451" i="4"/>
  <c r="Q471" i="4"/>
  <c r="Q474" i="4"/>
  <c r="Q442" i="4"/>
  <c r="Q454" i="4"/>
  <c r="I457" i="4"/>
  <c r="AC457" i="4" s="1"/>
  <c r="S97" i="4"/>
  <c r="S48" i="4"/>
  <c r="S59" i="4"/>
  <c r="S123" i="4"/>
  <c r="S209" i="4"/>
  <c r="S71" i="4"/>
  <c r="S331" i="4"/>
  <c r="S335" i="4"/>
  <c r="S339" i="4"/>
  <c r="S343" i="4"/>
  <c r="S347" i="4"/>
  <c r="S351" i="4"/>
  <c r="S355" i="4"/>
  <c r="S359" i="4"/>
  <c r="S363" i="4"/>
  <c r="S367" i="4"/>
  <c r="S371" i="4"/>
  <c r="S375" i="4"/>
  <c r="S379" i="4"/>
  <c r="S383" i="4"/>
  <c r="S387" i="4"/>
  <c r="S391" i="4"/>
  <c r="S395" i="4"/>
  <c r="S399" i="4"/>
  <c r="S403" i="4"/>
  <c r="S407" i="4"/>
  <c r="S411" i="4"/>
  <c r="S415" i="4"/>
  <c r="S419" i="4"/>
  <c r="S423" i="4"/>
  <c r="S427" i="4"/>
  <c r="S274" i="4"/>
  <c r="S330" i="4"/>
  <c r="S334" i="4"/>
  <c r="S338" i="4"/>
  <c r="S342" i="4"/>
  <c r="S346" i="4"/>
  <c r="S350" i="4"/>
  <c r="S354" i="4"/>
  <c r="S358" i="4"/>
  <c r="S362" i="4"/>
  <c r="S366" i="4"/>
  <c r="S370" i="4"/>
  <c r="S374" i="4"/>
  <c r="S378" i="4"/>
  <c r="S382" i="4"/>
  <c r="S386" i="4"/>
  <c r="S390" i="4"/>
  <c r="S394" i="4"/>
  <c r="S398" i="4"/>
  <c r="S402" i="4"/>
  <c r="S410" i="4"/>
  <c r="S418" i="4"/>
  <c r="S422" i="4"/>
  <c r="S426" i="4"/>
  <c r="S329" i="4"/>
  <c r="S333" i="4"/>
  <c r="S337" i="4"/>
  <c r="S341" i="4"/>
  <c r="S345" i="4"/>
  <c r="S349" i="4"/>
  <c r="S353" i="4"/>
  <c r="S357" i="4"/>
  <c r="S361" i="4"/>
  <c r="S365" i="4"/>
  <c r="S369" i="4"/>
  <c r="S373" i="4"/>
  <c r="S377" i="4"/>
  <c r="S381" i="4"/>
  <c r="S385" i="4"/>
  <c r="S389" i="4"/>
  <c r="S393" i="4"/>
  <c r="S397" i="4"/>
  <c r="S401" i="4"/>
  <c r="S409" i="4"/>
  <c r="S413" i="4"/>
  <c r="S417" i="4"/>
  <c r="S421" i="4"/>
  <c r="S425" i="4"/>
  <c r="S429" i="4"/>
  <c r="S328" i="4"/>
  <c r="S332" i="4"/>
  <c r="S336" i="4"/>
  <c r="S340" i="4"/>
  <c r="S344" i="4"/>
  <c r="S348" i="4"/>
  <c r="S352" i="4"/>
  <c r="S356" i="4"/>
  <c r="S360" i="4"/>
  <c r="S364" i="4"/>
  <c r="S368" i="4"/>
  <c r="S372" i="4"/>
  <c r="S376" i="4"/>
  <c r="S380" i="4"/>
  <c r="S384" i="4"/>
  <c r="S388" i="4"/>
  <c r="S392" i="4"/>
  <c r="S396" i="4"/>
  <c r="S400" i="4"/>
  <c r="S404" i="4"/>
  <c r="S408" i="4"/>
  <c r="S412" i="4"/>
  <c r="S420" i="4"/>
  <c r="S424" i="4"/>
  <c r="S428" i="4"/>
  <c r="S454" i="4"/>
  <c r="S462" i="4"/>
  <c r="S470" i="4"/>
  <c r="S478" i="4"/>
  <c r="S471" i="4"/>
  <c r="S430" i="4"/>
  <c r="S434" i="4"/>
  <c r="S438" i="4"/>
  <c r="S442" i="4"/>
  <c r="S446" i="4"/>
  <c r="S450" i="4"/>
  <c r="S458" i="4"/>
  <c r="S466" i="4"/>
  <c r="S474" i="4"/>
  <c r="S482" i="4"/>
  <c r="S468" i="4"/>
  <c r="S484" i="4"/>
  <c r="S439" i="4"/>
  <c r="S447" i="4"/>
  <c r="S467" i="4"/>
  <c r="S479" i="4"/>
  <c r="S433" i="4"/>
  <c r="S437" i="4"/>
  <c r="S441" i="4"/>
  <c r="S445" i="4"/>
  <c r="S449" i="4"/>
  <c r="S457" i="4"/>
  <c r="S461" i="4"/>
  <c r="S465" i="4"/>
  <c r="S469" i="4"/>
  <c r="S473" i="4"/>
  <c r="S477" i="4"/>
  <c r="S481" i="4"/>
  <c r="S448" i="4"/>
  <c r="S472" i="4"/>
  <c r="S431" i="4"/>
  <c r="S463" i="4"/>
  <c r="S464" i="4"/>
  <c r="S480" i="4"/>
  <c r="S443" i="4"/>
  <c r="S475" i="4"/>
  <c r="S483" i="4"/>
  <c r="S432" i="4"/>
  <c r="S436" i="4"/>
  <c r="S440" i="4"/>
  <c r="S444" i="4"/>
  <c r="S456" i="4"/>
  <c r="S460" i="4"/>
  <c r="S476" i="4"/>
  <c r="S435" i="4"/>
  <c r="S451" i="4"/>
  <c r="S459" i="4"/>
  <c r="I438" i="4"/>
  <c r="AC438" i="4" s="1"/>
  <c r="O123" i="4"/>
  <c r="O29" i="4"/>
  <c r="O137" i="4"/>
  <c r="O209" i="4"/>
  <c r="O140" i="4"/>
  <c r="O97" i="4"/>
  <c r="O210" i="4"/>
  <c r="O289" i="4"/>
  <c r="O329" i="4"/>
  <c r="O333" i="4"/>
  <c r="O337" i="4"/>
  <c r="O341" i="4"/>
  <c r="O345" i="4"/>
  <c r="O349" i="4"/>
  <c r="O353" i="4"/>
  <c r="O357" i="4"/>
  <c r="O361" i="4"/>
  <c r="O365" i="4"/>
  <c r="O369" i="4"/>
  <c r="O373" i="4"/>
  <c r="O377" i="4"/>
  <c r="O381" i="4"/>
  <c r="O385" i="4"/>
  <c r="O389" i="4"/>
  <c r="O393" i="4"/>
  <c r="O397" i="4"/>
  <c r="O401" i="4"/>
  <c r="O409" i="4"/>
  <c r="O413" i="4"/>
  <c r="O417" i="4"/>
  <c r="O421" i="4"/>
  <c r="O425" i="4"/>
  <c r="O429" i="4"/>
  <c r="O256" i="4"/>
  <c r="O280" i="4"/>
  <c r="O328" i="4"/>
  <c r="O332" i="4"/>
  <c r="O336" i="4"/>
  <c r="O340" i="4"/>
  <c r="O344" i="4"/>
  <c r="O348" i="4"/>
  <c r="O352" i="4"/>
  <c r="O356" i="4"/>
  <c r="O360" i="4"/>
  <c r="O364" i="4"/>
  <c r="O368" i="4"/>
  <c r="O372" i="4"/>
  <c r="O376" i="4"/>
  <c r="O380" i="4"/>
  <c r="O384" i="4"/>
  <c r="O388" i="4"/>
  <c r="O392" i="4"/>
  <c r="O396" i="4"/>
  <c r="O400" i="4"/>
  <c r="O404" i="4"/>
  <c r="O408" i="4"/>
  <c r="O412" i="4"/>
  <c r="O420" i="4"/>
  <c r="O424" i="4"/>
  <c r="O428" i="4"/>
  <c r="O319" i="4"/>
  <c r="O331" i="4"/>
  <c r="O335" i="4"/>
  <c r="O339" i="4"/>
  <c r="O343" i="4"/>
  <c r="O347" i="4"/>
  <c r="O351" i="4"/>
  <c r="O355" i="4"/>
  <c r="O359" i="4"/>
  <c r="O363" i="4"/>
  <c r="O367" i="4"/>
  <c r="O371" i="4"/>
  <c r="O375" i="4"/>
  <c r="O379" i="4"/>
  <c r="O383" i="4"/>
  <c r="O387" i="4"/>
  <c r="O391" i="4"/>
  <c r="O395" i="4"/>
  <c r="O399" i="4"/>
  <c r="O403" i="4"/>
  <c r="O407" i="4"/>
  <c r="O411" i="4"/>
  <c r="O415" i="4"/>
  <c r="O419" i="4"/>
  <c r="O423" i="4"/>
  <c r="O427" i="4"/>
  <c r="O230" i="4"/>
  <c r="O274" i="4"/>
  <c r="O330" i="4"/>
  <c r="O334" i="4"/>
  <c r="O338" i="4"/>
  <c r="O342" i="4"/>
  <c r="O346" i="4"/>
  <c r="O350" i="4"/>
  <c r="O354" i="4"/>
  <c r="O358" i="4"/>
  <c r="O362" i="4"/>
  <c r="O366" i="4"/>
  <c r="O370" i="4"/>
  <c r="O374" i="4"/>
  <c r="O378" i="4"/>
  <c r="O382" i="4"/>
  <c r="O386" i="4"/>
  <c r="O390" i="4"/>
  <c r="O394" i="4"/>
  <c r="O398" i="4"/>
  <c r="O402" i="4"/>
  <c r="O410" i="4"/>
  <c r="O418" i="4"/>
  <c r="O422" i="4"/>
  <c r="O426" i="4"/>
  <c r="O430" i="4"/>
  <c r="O460" i="4"/>
  <c r="O468" i="4"/>
  <c r="O476" i="4"/>
  <c r="O484" i="4"/>
  <c r="O432" i="4"/>
  <c r="O436" i="4"/>
  <c r="O440" i="4"/>
  <c r="O444" i="4"/>
  <c r="O448" i="4"/>
  <c r="O456" i="4"/>
  <c r="O464" i="4"/>
  <c r="O472" i="4"/>
  <c r="O480" i="4"/>
  <c r="O446" i="4"/>
  <c r="O474" i="4"/>
  <c r="O473" i="4"/>
  <c r="O431" i="4"/>
  <c r="O435" i="4"/>
  <c r="O439" i="4"/>
  <c r="O443" i="4"/>
  <c r="O447" i="4"/>
  <c r="O451" i="4"/>
  <c r="O459" i="4"/>
  <c r="O463" i="4"/>
  <c r="O467" i="4"/>
  <c r="O471" i="4"/>
  <c r="O475" i="4"/>
  <c r="O479" i="4"/>
  <c r="O483" i="4"/>
  <c r="O458" i="4"/>
  <c r="O462" i="4"/>
  <c r="O478" i="4"/>
  <c r="O441" i="4"/>
  <c r="O457" i="4"/>
  <c r="O469" i="4"/>
  <c r="O477" i="4"/>
  <c r="O470" i="4"/>
  <c r="O433" i="4"/>
  <c r="O434" i="4"/>
  <c r="O438" i="4"/>
  <c r="O442" i="4"/>
  <c r="O450" i="4"/>
  <c r="O454" i="4"/>
  <c r="O466" i="4"/>
  <c r="O482" i="4"/>
  <c r="O445" i="4"/>
  <c r="O465" i="4"/>
  <c r="O481" i="4"/>
  <c r="O437" i="4"/>
  <c r="O449" i="4"/>
  <c r="O461" i="4"/>
  <c r="R24" i="4"/>
  <c r="R71" i="4"/>
  <c r="R111" i="4"/>
  <c r="R123" i="4"/>
  <c r="R90" i="4"/>
  <c r="R209" i="4"/>
  <c r="R184" i="4"/>
  <c r="R114" i="4"/>
  <c r="R258" i="4"/>
  <c r="R330" i="4"/>
  <c r="R334" i="4"/>
  <c r="R338" i="4"/>
  <c r="R342" i="4"/>
  <c r="R346" i="4"/>
  <c r="R350" i="4"/>
  <c r="R354" i="4"/>
  <c r="R358" i="4"/>
  <c r="R362" i="4"/>
  <c r="R366" i="4"/>
  <c r="R370" i="4"/>
  <c r="R374" i="4"/>
  <c r="R378" i="4"/>
  <c r="R382" i="4"/>
  <c r="R386" i="4"/>
  <c r="R390" i="4"/>
  <c r="R394" i="4"/>
  <c r="R398" i="4"/>
  <c r="R402" i="4"/>
  <c r="R410" i="4"/>
  <c r="R418" i="4"/>
  <c r="R422" i="4"/>
  <c r="R329" i="4"/>
  <c r="R333" i="4"/>
  <c r="R337" i="4"/>
  <c r="R341" i="4"/>
  <c r="R345" i="4"/>
  <c r="R349" i="4"/>
  <c r="R353" i="4"/>
  <c r="R357" i="4"/>
  <c r="R361" i="4"/>
  <c r="R365" i="4"/>
  <c r="R369" i="4"/>
  <c r="R373" i="4"/>
  <c r="R377" i="4"/>
  <c r="R381" i="4"/>
  <c r="R385" i="4"/>
  <c r="R389" i="4"/>
  <c r="R393" i="4"/>
  <c r="R397" i="4"/>
  <c r="R401" i="4"/>
  <c r="R409" i="4"/>
  <c r="R413" i="4"/>
  <c r="R417" i="4"/>
  <c r="R421" i="4"/>
  <c r="R425" i="4"/>
  <c r="R260" i="4"/>
  <c r="R328" i="4"/>
  <c r="R332" i="4"/>
  <c r="R336" i="4"/>
  <c r="R340" i="4"/>
  <c r="R344" i="4"/>
  <c r="R348" i="4"/>
  <c r="R352" i="4"/>
  <c r="R356" i="4"/>
  <c r="R360" i="4"/>
  <c r="R364" i="4"/>
  <c r="R368" i="4"/>
  <c r="R372" i="4"/>
  <c r="R376" i="4"/>
  <c r="R380" i="4"/>
  <c r="R384" i="4"/>
  <c r="R388" i="4"/>
  <c r="R392" i="4"/>
  <c r="R396" i="4"/>
  <c r="R400" i="4"/>
  <c r="R404" i="4"/>
  <c r="R408" i="4"/>
  <c r="R412" i="4"/>
  <c r="R420" i="4"/>
  <c r="R424" i="4"/>
  <c r="R428" i="4"/>
  <c r="R331" i="4"/>
  <c r="R363" i="4"/>
  <c r="R395" i="4"/>
  <c r="R426" i="4"/>
  <c r="R430" i="4"/>
  <c r="R434" i="4"/>
  <c r="R438" i="4"/>
  <c r="R442" i="4"/>
  <c r="R446" i="4"/>
  <c r="R450" i="4"/>
  <c r="R454" i="4"/>
  <c r="R458" i="4"/>
  <c r="R462" i="4"/>
  <c r="R466" i="4"/>
  <c r="R470" i="4"/>
  <c r="R474" i="4"/>
  <c r="R478" i="4"/>
  <c r="R482" i="4"/>
  <c r="R343" i="4"/>
  <c r="R375" i="4"/>
  <c r="R407" i="4"/>
  <c r="R427" i="4"/>
  <c r="R227" i="4"/>
  <c r="R355" i="4"/>
  <c r="R387" i="4"/>
  <c r="R419" i="4"/>
  <c r="R433" i="4"/>
  <c r="R437" i="4"/>
  <c r="R441" i="4"/>
  <c r="R445" i="4"/>
  <c r="R449" i="4"/>
  <c r="R457" i="4"/>
  <c r="R461" i="4"/>
  <c r="R465" i="4"/>
  <c r="R469" i="4"/>
  <c r="R473" i="4"/>
  <c r="R477" i="4"/>
  <c r="R481" i="4"/>
  <c r="R335" i="4"/>
  <c r="R367" i="4"/>
  <c r="R399" i="4"/>
  <c r="R351" i="4"/>
  <c r="R347" i="4"/>
  <c r="R379" i="4"/>
  <c r="R411" i="4"/>
  <c r="R432" i="4"/>
  <c r="R436" i="4"/>
  <c r="R440" i="4"/>
  <c r="R444" i="4"/>
  <c r="R448" i="4"/>
  <c r="R456" i="4"/>
  <c r="R460" i="4"/>
  <c r="R464" i="4"/>
  <c r="R468" i="4"/>
  <c r="R472" i="4"/>
  <c r="R476" i="4"/>
  <c r="R480" i="4"/>
  <c r="R484" i="4"/>
  <c r="R263" i="4"/>
  <c r="R359" i="4"/>
  <c r="R391" i="4"/>
  <c r="R423" i="4"/>
  <c r="R383" i="4"/>
  <c r="R339" i="4"/>
  <c r="R371" i="4"/>
  <c r="R403" i="4"/>
  <c r="R429" i="4"/>
  <c r="R431" i="4"/>
  <c r="R435" i="4"/>
  <c r="R439" i="4"/>
  <c r="R443" i="4"/>
  <c r="R447" i="4"/>
  <c r="R451" i="4"/>
  <c r="R459" i="4"/>
  <c r="R463" i="4"/>
  <c r="R467" i="4"/>
  <c r="R471" i="4"/>
  <c r="R475" i="4"/>
  <c r="R479" i="4"/>
  <c r="R483" i="4"/>
  <c r="R415" i="4"/>
  <c r="I423" i="4"/>
  <c r="AC423" i="4" s="1"/>
  <c r="N15" i="4"/>
  <c r="N19" i="4"/>
  <c r="N23" i="4"/>
  <c r="N27" i="4"/>
  <c r="N31" i="4"/>
  <c r="N35" i="4"/>
  <c r="N39" i="4"/>
  <c r="N43" i="4"/>
  <c r="N47" i="4"/>
  <c r="N51" i="4"/>
  <c r="N55" i="4"/>
  <c r="N59" i="4"/>
  <c r="N63" i="4"/>
  <c r="N67" i="4"/>
  <c r="N71" i="4"/>
  <c r="N75" i="4"/>
  <c r="N79" i="4"/>
  <c r="N83" i="4"/>
  <c r="N87" i="4"/>
  <c r="N95" i="4"/>
  <c r="N99" i="4"/>
  <c r="N103" i="4"/>
  <c r="N107" i="4"/>
  <c r="N111" i="4"/>
  <c r="N115" i="4"/>
  <c r="N119" i="4"/>
  <c r="N123" i="4"/>
  <c r="N127" i="4"/>
  <c r="N18" i="4"/>
  <c r="N22" i="4"/>
  <c r="N26" i="4"/>
  <c r="N30" i="4"/>
  <c r="N34" i="4"/>
  <c r="N38" i="4"/>
  <c r="N42" i="4"/>
  <c r="N46" i="4"/>
  <c r="N50" i="4"/>
  <c r="N54" i="4"/>
  <c r="N58" i="4"/>
  <c r="N62" i="4"/>
  <c r="N66" i="4"/>
  <c r="N70" i="4"/>
  <c r="N74" i="4"/>
  <c r="N78" i="4"/>
  <c r="N82" i="4"/>
  <c r="N86" i="4"/>
  <c r="N90" i="4"/>
  <c r="N94" i="4"/>
  <c r="N98" i="4"/>
  <c r="N106" i="4"/>
  <c r="N110" i="4"/>
  <c r="N114" i="4"/>
  <c r="N118" i="4"/>
  <c r="N122" i="4"/>
  <c r="N126" i="4"/>
  <c r="N17" i="4"/>
  <c r="N21" i="4"/>
  <c r="N25" i="4"/>
  <c r="N29" i="4"/>
  <c r="N33" i="4"/>
  <c r="N37" i="4"/>
  <c r="N41" i="4"/>
  <c r="N45" i="4"/>
  <c r="N49" i="4"/>
  <c r="N53" i="4"/>
  <c r="N57" i="4"/>
  <c r="N61" i="4"/>
  <c r="N65" i="4"/>
  <c r="N69" i="4"/>
  <c r="N73" i="4"/>
  <c r="N77" i="4"/>
  <c r="N81" i="4"/>
  <c r="N85" i="4"/>
  <c r="N89" i="4"/>
  <c r="N93" i="4"/>
  <c r="N97" i="4"/>
  <c r="N101" i="4"/>
  <c r="N105" i="4"/>
  <c r="N109" i="4"/>
  <c r="N113" i="4"/>
  <c r="N117" i="4"/>
  <c r="N121" i="4"/>
  <c r="N125" i="4"/>
  <c r="N36" i="4"/>
  <c r="N52" i="4"/>
  <c r="N68" i="4"/>
  <c r="N84" i="4"/>
  <c r="N116" i="4"/>
  <c r="N16" i="4"/>
  <c r="N132" i="4"/>
  <c r="N136" i="4"/>
  <c r="N140" i="4"/>
  <c r="N144" i="4"/>
  <c r="N148" i="4"/>
  <c r="N152" i="4"/>
  <c r="N156" i="4"/>
  <c r="N160" i="4"/>
  <c r="N164" i="4"/>
  <c r="N168" i="4"/>
  <c r="N172" i="4"/>
  <c r="N176" i="4"/>
  <c r="N180" i="4"/>
  <c r="N184" i="4"/>
  <c r="N188" i="4"/>
  <c r="N192" i="4"/>
  <c r="N196" i="4"/>
  <c r="N200" i="4"/>
  <c r="N204" i="4"/>
  <c r="N208" i="4"/>
  <c r="N212" i="4"/>
  <c r="N216" i="4"/>
  <c r="N28" i="4"/>
  <c r="N48" i="4"/>
  <c r="N64" i="4"/>
  <c r="N80" i="4"/>
  <c r="N96" i="4"/>
  <c r="N112" i="4"/>
  <c r="N128" i="4"/>
  <c r="N40" i="4"/>
  <c r="N131" i="4"/>
  <c r="N135" i="4"/>
  <c r="N143" i="4"/>
  <c r="N147" i="4"/>
  <c r="N151" i="4"/>
  <c r="N155" i="4"/>
  <c r="N159" i="4"/>
  <c r="N163" i="4"/>
  <c r="N167" i="4"/>
  <c r="N171" i="4"/>
  <c r="N175" i="4"/>
  <c r="N179" i="4"/>
  <c r="N183" i="4"/>
  <c r="N187" i="4"/>
  <c r="N191" i="4"/>
  <c r="N195" i="4"/>
  <c r="N199" i="4"/>
  <c r="N203" i="4"/>
  <c r="N207" i="4"/>
  <c r="N211" i="4"/>
  <c r="N215" i="4"/>
  <c r="N20" i="4"/>
  <c r="N60" i="4"/>
  <c r="N76" i="4"/>
  <c r="N108" i="4"/>
  <c r="N124" i="4"/>
  <c r="N32" i="4"/>
  <c r="N130" i="4"/>
  <c r="N134" i="4"/>
  <c r="N142" i="4"/>
  <c r="N146" i="4"/>
  <c r="N150" i="4"/>
  <c r="N154" i="4"/>
  <c r="N158" i="4"/>
  <c r="N162" i="4"/>
  <c r="N166" i="4"/>
  <c r="N170" i="4"/>
  <c r="N174" i="4"/>
  <c r="N178" i="4"/>
  <c r="N182" i="4"/>
  <c r="N186" i="4"/>
  <c r="N190" i="4"/>
  <c r="N194" i="4"/>
  <c r="N198" i="4"/>
  <c r="N202" i="4"/>
  <c r="N206" i="4"/>
  <c r="N210" i="4"/>
  <c r="N214" i="4"/>
  <c r="N218" i="4"/>
  <c r="N44" i="4"/>
  <c r="N56" i="4"/>
  <c r="N72" i="4"/>
  <c r="N88" i="4"/>
  <c r="N104" i="4"/>
  <c r="N120" i="4"/>
  <c r="N157" i="4"/>
  <c r="N189" i="4"/>
  <c r="N24" i="4"/>
  <c r="N137" i="4"/>
  <c r="N169" i="4"/>
  <c r="N201" i="4"/>
  <c r="N220" i="4"/>
  <c r="N224" i="4"/>
  <c r="N228" i="4"/>
  <c r="N232" i="4"/>
  <c r="N236" i="4"/>
  <c r="N240" i="4"/>
  <c r="N244" i="4"/>
  <c r="N252" i="4"/>
  <c r="N256" i="4"/>
  <c r="N260" i="4"/>
  <c r="N264" i="4"/>
  <c r="N268" i="4"/>
  <c r="N272" i="4"/>
  <c r="N276" i="4"/>
  <c r="N280" i="4"/>
  <c r="N284" i="4"/>
  <c r="N288" i="4"/>
  <c r="N292" i="4"/>
  <c r="N300" i="4"/>
  <c r="N304" i="4"/>
  <c r="N308" i="4"/>
  <c r="N312" i="4"/>
  <c r="N316" i="4"/>
  <c r="N320" i="4"/>
  <c r="N324" i="4"/>
  <c r="N328" i="4"/>
  <c r="N332" i="4"/>
  <c r="N336" i="4"/>
  <c r="N340" i="4"/>
  <c r="N344" i="4"/>
  <c r="N348" i="4"/>
  <c r="N352" i="4"/>
  <c r="N356" i="4"/>
  <c r="N360" i="4"/>
  <c r="N364" i="4"/>
  <c r="N368" i="4"/>
  <c r="N372" i="4"/>
  <c r="N376" i="4"/>
  <c r="N380" i="4"/>
  <c r="N384" i="4"/>
  <c r="N388" i="4"/>
  <c r="N392" i="4"/>
  <c r="N396" i="4"/>
  <c r="N400" i="4"/>
  <c r="N404" i="4"/>
  <c r="N408" i="4"/>
  <c r="N412" i="4"/>
  <c r="N420" i="4"/>
  <c r="N424" i="4"/>
  <c r="N149" i="4"/>
  <c r="N181" i="4"/>
  <c r="N213" i="4"/>
  <c r="N129" i="4"/>
  <c r="N161" i="4"/>
  <c r="N193" i="4"/>
  <c r="N219" i="4"/>
  <c r="N223" i="4"/>
  <c r="N227" i="4"/>
  <c r="N231" i="4"/>
  <c r="N235" i="4"/>
  <c r="N239" i="4"/>
  <c r="N243" i="4"/>
  <c r="N247" i="4"/>
  <c r="N251" i="4"/>
  <c r="N255" i="4"/>
  <c r="N263" i="4"/>
  <c r="N267" i="4"/>
  <c r="N271" i="4"/>
  <c r="N275" i="4"/>
  <c r="N279" i="4"/>
  <c r="N283" i="4"/>
  <c r="N287" i="4"/>
  <c r="N291" i="4"/>
  <c r="N299" i="4"/>
  <c r="N303" i="4"/>
  <c r="N307" i="4"/>
  <c r="N311" i="4"/>
  <c r="N315" i="4"/>
  <c r="N319" i="4"/>
  <c r="N323" i="4"/>
  <c r="N327" i="4"/>
  <c r="N331" i="4"/>
  <c r="N335" i="4"/>
  <c r="N339" i="4"/>
  <c r="N343" i="4"/>
  <c r="N347" i="4"/>
  <c r="N351" i="4"/>
  <c r="N355" i="4"/>
  <c r="N359" i="4"/>
  <c r="N363" i="4"/>
  <c r="N367" i="4"/>
  <c r="N371" i="4"/>
  <c r="N375" i="4"/>
  <c r="N379" i="4"/>
  <c r="N383" i="4"/>
  <c r="N387" i="4"/>
  <c r="N391" i="4"/>
  <c r="N395" i="4"/>
  <c r="N399" i="4"/>
  <c r="N403" i="4"/>
  <c r="N407" i="4"/>
  <c r="N411" i="4"/>
  <c r="N415" i="4"/>
  <c r="N419" i="4"/>
  <c r="N423" i="4"/>
  <c r="N427" i="4"/>
  <c r="N173" i="4"/>
  <c r="N205" i="4"/>
  <c r="N153" i="4"/>
  <c r="N185" i="4"/>
  <c r="N217" i="4"/>
  <c r="N222" i="4"/>
  <c r="N226" i="4"/>
  <c r="N230" i="4"/>
  <c r="N234" i="4"/>
  <c r="N238" i="4"/>
  <c r="N242" i="4"/>
  <c r="N246" i="4"/>
  <c r="N250" i="4"/>
  <c r="N254" i="4"/>
  <c r="N258" i="4"/>
  <c r="N262" i="4"/>
  <c r="N266" i="4"/>
  <c r="N270" i="4"/>
  <c r="N274" i="4"/>
  <c r="N278" i="4"/>
  <c r="N282" i="4"/>
  <c r="N286" i="4"/>
  <c r="N290" i="4"/>
  <c r="N294" i="4"/>
  <c r="N302" i="4"/>
  <c r="N306" i="4"/>
  <c r="N310" i="4"/>
  <c r="N314" i="4"/>
  <c r="N318" i="4"/>
  <c r="N322" i="4"/>
  <c r="N326" i="4"/>
  <c r="N330" i="4"/>
  <c r="N334" i="4"/>
  <c r="N338" i="4"/>
  <c r="N342" i="4"/>
  <c r="N346" i="4"/>
  <c r="N350" i="4"/>
  <c r="N354" i="4"/>
  <c r="N358" i="4"/>
  <c r="N362" i="4"/>
  <c r="N366" i="4"/>
  <c r="N370" i="4"/>
  <c r="N374" i="4"/>
  <c r="N378" i="4"/>
  <c r="N382" i="4"/>
  <c r="N386" i="4"/>
  <c r="N390" i="4"/>
  <c r="N394" i="4"/>
  <c r="N398" i="4"/>
  <c r="N402" i="4"/>
  <c r="N410" i="4"/>
  <c r="N418" i="4"/>
  <c r="N422" i="4"/>
  <c r="N426" i="4"/>
  <c r="N430" i="4"/>
  <c r="N133" i="4"/>
  <c r="N165" i="4"/>
  <c r="N197" i="4"/>
  <c r="N225" i="4"/>
  <c r="N289" i="4"/>
  <c r="N321" i="4"/>
  <c r="N353" i="4"/>
  <c r="N385" i="4"/>
  <c r="N417" i="4"/>
  <c r="N432" i="4"/>
  <c r="N436" i="4"/>
  <c r="N440" i="4"/>
  <c r="N444" i="4"/>
  <c r="N448" i="4"/>
  <c r="N456" i="4"/>
  <c r="N460" i="4"/>
  <c r="N464" i="4"/>
  <c r="N468" i="4"/>
  <c r="N472" i="4"/>
  <c r="N476" i="4"/>
  <c r="N480" i="4"/>
  <c r="N484" i="4"/>
  <c r="N237" i="4"/>
  <c r="N269" i="4"/>
  <c r="N301" i="4"/>
  <c r="N333" i="4"/>
  <c r="N365" i="4"/>
  <c r="N397" i="4"/>
  <c r="N209" i="4"/>
  <c r="N281" i="4"/>
  <c r="N313" i="4"/>
  <c r="N345" i="4"/>
  <c r="N377" i="4"/>
  <c r="N409" i="4"/>
  <c r="N428" i="4"/>
  <c r="N431" i="4"/>
  <c r="N435" i="4"/>
  <c r="N439" i="4"/>
  <c r="N443" i="4"/>
  <c r="N447" i="4"/>
  <c r="N451" i="4"/>
  <c r="N459" i="4"/>
  <c r="N463" i="4"/>
  <c r="N467" i="4"/>
  <c r="N471" i="4"/>
  <c r="N475" i="4"/>
  <c r="N479" i="4"/>
  <c r="N483" i="4"/>
  <c r="N229" i="4"/>
  <c r="N261" i="4"/>
  <c r="N293" i="4"/>
  <c r="N325" i="4"/>
  <c r="N357" i="4"/>
  <c r="N389" i="4"/>
  <c r="N421" i="4"/>
  <c r="N14" i="4"/>
  <c r="N145" i="4"/>
  <c r="N241" i="4"/>
  <c r="N273" i="4"/>
  <c r="N305" i="4"/>
  <c r="N337" i="4"/>
  <c r="N369" i="4"/>
  <c r="N401" i="4"/>
  <c r="N429" i="4"/>
  <c r="N434" i="4"/>
  <c r="N438" i="4"/>
  <c r="N442" i="4"/>
  <c r="N446" i="4"/>
  <c r="N450" i="4"/>
  <c r="N454" i="4"/>
  <c r="N458" i="4"/>
  <c r="N462" i="4"/>
  <c r="N466" i="4"/>
  <c r="N470" i="4"/>
  <c r="N474" i="4"/>
  <c r="N478" i="4"/>
  <c r="N482" i="4"/>
  <c r="N341" i="4"/>
  <c r="N221" i="4"/>
  <c r="N253" i="4"/>
  <c r="N285" i="4"/>
  <c r="N317" i="4"/>
  <c r="N349" i="4"/>
  <c r="N381" i="4"/>
  <c r="N413" i="4"/>
  <c r="N233" i="4"/>
  <c r="N265" i="4"/>
  <c r="N297" i="4"/>
  <c r="N329" i="4"/>
  <c r="N361" i="4"/>
  <c r="N393" i="4"/>
  <c r="N425" i="4"/>
  <c r="N433" i="4"/>
  <c r="N437" i="4"/>
  <c r="N441" i="4"/>
  <c r="N445" i="4"/>
  <c r="N449" i="4"/>
  <c r="N457" i="4"/>
  <c r="N461" i="4"/>
  <c r="N465" i="4"/>
  <c r="N469" i="4"/>
  <c r="N473" i="4"/>
  <c r="N477" i="4"/>
  <c r="N481" i="4"/>
  <c r="N177" i="4"/>
  <c r="N245" i="4"/>
  <c r="N277" i="4"/>
  <c r="N309" i="4"/>
  <c r="N373" i="4"/>
  <c r="P71" i="4"/>
  <c r="P46" i="4"/>
  <c r="P90" i="4"/>
  <c r="P165" i="4"/>
  <c r="P209" i="4"/>
  <c r="P160" i="4"/>
  <c r="P208" i="4"/>
  <c r="P210" i="4"/>
  <c r="P329" i="4"/>
  <c r="P333" i="4"/>
  <c r="P337" i="4"/>
  <c r="P341" i="4"/>
  <c r="P345" i="4"/>
  <c r="P349" i="4"/>
  <c r="P353" i="4"/>
  <c r="P357" i="4"/>
  <c r="P361" i="4"/>
  <c r="P365" i="4"/>
  <c r="P369" i="4"/>
  <c r="P373" i="4"/>
  <c r="P377" i="4"/>
  <c r="P381" i="4"/>
  <c r="P385" i="4"/>
  <c r="P389" i="4"/>
  <c r="P393" i="4"/>
  <c r="P397" i="4"/>
  <c r="P401" i="4"/>
  <c r="P409" i="4"/>
  <c r="P413" i="4"/>
  <c r="P417" i="4"/>
  <c r="P421" i="4"/>
  <c r="P425" i="4"/>
  <c r="P220" i="4"/>
  <c r="P260" i="4"/>
  <c r="P328" i="4"/>
  <c r="P332" i="4"/>
  <c r="P336" i="4"/>
  <c r="P340" i="4"/>
  <c r="P344" i="4"/>
  <c r="P348" i="4"/>
  <c r="P352" i="4"/>
  <c r="P356" i="4"/>
  <c r="P360" i="4"/>
  <c r="P364" i="4"/>
  <c r="P368" i="4"/>
  <c r="P372" i="4"/>
  <c r="P376" i="4"/>
  <c r="P380" i="4"/>
  <c r="P384" i="4"/>
  <c r="P388" i="4"/>
  <c r="P392" i="4"/>
  <c r="P396" i="4"/>
  <c r="P400" i="4"/>
  <c r="P404" i="4"/>
  <c r="P408" i="4"/>
  <c r="P412" i="4"/>
  <c r="P420" i="4"/>
  <c r="P424" i="4"/>
  <c r="P299" i="4"/>
  <c r="P327" i="4"/>
  <c r="P331" i="4"/>
  <c r="P335" i="4"/>
  <c r="P339" i="4"/>
  <c r="P343" i="4"/>
  <c r="P347" i="4"/>
  <c r="P351" i="4"/>
  <c r="P355" i="4"/>
  <c r="P359" i="4"/>
  <c r="P363" i="4"/>
  <c r="P367" i="4"/>
  <c r="P371" i="4"/>
  <c r="P375" i="4"/>
  <c r="P379" i="4"/>
  <c r="P383" i="4"/>
  <c r="P387" i="4"/>
  <c r="P391" i="4"/>
  <c r="P395" i="4"/>
  <c r="P399" i="4"/>
  <c r="P403" i="4"/>
  <c r="P407" i="4"/>
  <c r="P411" i="4"/>
  <c r="P415" i="4"/>
  <c r="P419" i="4"/>
  <c r="P423" i="4"/>
  <c r="P427" i="4"/>
  <c r="P342" i="4"/>
  <c r="P374" i="4"/>
  <c r="P433" i="4"/>
  <c r="P437" i="4"/>
  <c r="P441" i="4"/>
  <c r="P445" i="4"/>
  <c r="P449" i="4"/>
  <c r="P457" i="4"/>
  <c r="P461" i="4"/>
  <c r="P465" i="4"/>
  <c r="P469" i="4"/>
  <c r="P473" i="4"/>
  <c r="P477" i="4"/>
  <c r="P481" i="4"/>
  <c r="P354" i="4"/>
  <c r="P386" i="4"/>
  <c r="P418" i="4"/>
  <c r="P334" i="4"/>
  <c r="P366" i="4"/>
  <c r="P398" i="4"/>
  <c r="P432" i="4"/>
  <c r="P436" i="4"/>
  <c r="P440" i="4"/>
  <c r="P444" i="4"/>
  <c r="P448" i="4"/>
  <c r="P456" i="4"/>
  <c r="P460" i="4"/>
  <c r="P464" i="4"/>
  <c r="P468" i="4"/>
  <c r="P472" i="4"/>
  <c r="P476" i="4"/>
  <c r="P480" i="4"/>
  <c r="P484" i="4"/>
  <c r="P362" i="4"/>
  <c r="P346" i="4"/>
  <c r="P378" i="4"/>
  <c r="P410" i="4"/>
  <c r="P428" i="4"/>
  <c r="P358" i="4"/>
  <c r="P390" i="4"/>
  <c r="P422" i="4"/>
  <c r="P431" i="4"/>
  <c r="P435" i="4"/>
  <c r="P439" i="4"/>
  <c r="P443" i="4"/>
  <c r="P447" i="4"/>
  <c r="P451" i="4"/>
  <c r="P459" i="4"/>
  <c r="P463" i="4"/>
  <c r="P467" i="4"/>
  <c r="P471" i="4"/>
  <c r="P475" i="4"/>
  <c r="P479" i="4"/>
  <c r="P483" i="4"/>
  <c r="P338" i="4"/>
  <c r="P370" i="4"/>
  <c r="P402" i="4"/>
  <c r="P429" i="4"/>
  <c r="P350" i="4"/>
  <c r="P382" i="4"/>
  <c r="P434" i="4"/>
  <c r="P438" i="4"/>
  <c r="P442" i="4"/>
  <c r="P446" i="4"/>
  <c r="P450" i="4"/>
  <c r="P454" i="4"/>
  <c r="P458" i="4"/>
  <c r="P462" i="4"/>
  <c r="P466" i="4"/>
  <c r="P470" i="4"/>
  <c r="P474" i="4"/>
  <c r="P478" i="4"/>
  <c r="P482" i="4"/>
  <c r="P330" i="4"/>
  <c r="P394" i="4"/>
  <c r="P426" i="4"/>
  <c r="P430" i="4"/>
  <c r="K353" i="4"/>
  <c r="AE353" i="4" s="1"/>
  <c r="H411" i="4"/>
  <c r="AB411" i="4" s="1"/>
  <c r="H410" i="4"/>
  <c r="AB410" i="4" s="1"/>
  <c r="H356" i="4"/>
  <c r="AB356" i="4" s="1"/>
  <c r="G245" i="4"/>
  <c r="AA245" i="4" s="1"/>
  <c r="G435" i="4"/>
  <c r="AA435" i="4" s="1"/>
  <c r="G471" i="4"/>
  <c r="AA471" i="4" s="1"/>
  <c r="G387" i="4"/>
  <c r="AA387" i="4" s="1"/>
  <c r="G355" i="4"/>
  <c r="AA355" i="4" s="1"/>
  <c r="G324" i="4"/>
  <c r="AA324" i="4" s="1"/>
  <c r="G209" i="4"/>
  <c r="AA209" i="4" s="1"/>
  <c r="G205" i="4"/>
  <c r="AA205" i="4" s="1"/>
  <c r="G440" i="4"/>
  <c r="AA440" i="4" s="1"/>
  <c r="G404" i="4"/>
  <c r="AA404" i="4" s="1"/>
  <c r="G372" i="4"/>
  <c r="AA372" i="4" s="1"/>
  <c r="G340" i="4"/>
  <c r="AA340" i="4" s="1"/>
  <c r="G201" i="4"/>
  <c r="AA201" i="4" s="1"/>
  <c r="G293" i="4"/>
  <c r="AA293" i="4" s="1"/>
  <c r="G449" i="4"/>
  <c r="AA449" i="4" s="1"/>
  <c r="G417" i="4"/>
  <c r="AA417" i="4" s="1"/>
  <c r="G381" i="4"/>
  <c r="AA381" i="4" s="1"/>
  <c r="G349" i="4"/>
  <c r="AA349" i="4" s="1"/>
  <c r="G225" i="4"/>
  <c r="AA225" i="4" s="1"/>
  <c r="G294" i="4"/>
  <c r="AA294" i="4" s="1"/>
  <c r="G262" i="4"/>
  <c r="AA262" i="4" s="1"/>
  <c r="G230" i="4"/>
  <c r="AA230" i="4" s="1"/>
  <c r="G198" i="4"/>
  <c r="AA198" i="4" s="1"/>
  <c r="G166" i="4"/>
  <c r="AA166" i="4" s="1"/>
  <c r="G130" i="4"/>
  <c r="AA130" i="4" s="1"/>
  <c r="G307" i="4"/>
  <c r="AA307" i="4" s="1"/>
  <c r="G271" i="4"/>
  <c r="AA271" i="4" s="1"/>
  <c r="G235" i="4"/>
  <c r="AA235" i="4" s="1"/>
  <c r="G203" i="4"/>
  <c r="AA203" i="4" s="1"/>
  <c r="G171" i="4"/>
  <c r="AA171" i="4" s="1"/>
  <c r="G135" i="4"/>
  <c r="AA135" i="4" s="1"/>
  <c r="G32" i="4"/>
  <c r="AA32" i="4" s="1"/>
  <c r="G280" i="4"/>
  <c r="AA280" i="4" s="1"/>
  <c r="G244" i="4"/>
  <c r="AA244" i="4" s="1"/>
  <c r="G212" i="4"/>
  <c r="AA212" i="4" s="1"/>
  <c r="G180" i="4"/>
  <c r="AA180" i="4" s="1"/>
  <c r="G148" i="4"/>
  <c r="AA148" i="4" s="1"/>
  <c r="G113" i="4"/>
  <c r="AA113" i="4" s="1"/>
  <c r="G81" i="4"/>
  <c r="AA81" i="4" s="1"/>
  <c r="G49" i="4"/>
  <c r="AA49" i="4" s="1"/>
  <c r="G17" i="4"/>
  <c r="AA17" i="4" s="1"/>
  <c r="G94" i="4"/>
  <c r="AA94" i="4" s="1"/>
  <c r="G62" i="4"/>
  <c r="AA62" i="4" s="1"/>
  <c r="G30" i="4"/>
  <c r="AA30" i="4" s="1"/>
  <c r="G111" i="4"/>
  <c r="AA111" i="4" s="1"/>
  <c r="G75" i="4"/>
  <c r="AA75" i="4" s="1"/>
  <c r="G43" i="4"/>
  <c r="AA43" i="4" s="1"/>
  <c r="J476" i="4"/>
  <c r="AD476" i="4" s="1"/>
  <c r="G463" i="4"/>
  <c r="AA463" i="4" s="1"/>
  <c r="G439" i="4"/>
  <c r="AA439" i="4" s="1"/>
  <c r="G334" i="4"/>
  <c r="AA334" i="4" s="1"/>
  <c r="G469" i="4"/>
  <c r="AA469" i="4" s="1"/>
  <c r="G462" i="4"/>
  <c r="AA462" i="4" s="1"/>
  <c r="G88" i="4"/>
  <c r="AA88" i="4" s="1"/>
  <c r="G378" i="4"/>
  <c r="AA378" i="4" s="1"/>
  <c r="G476" i="4"/>
  <c r="AA476" i="4" s="1"/>
  <c r="G253" i="4"/>
  <c r="AA253" i="4" s="1"/>
  <c r="G443" i="4"/>
  <c r="AA443" i="4" s="1"/>
  <c r="G68" i="4"/>
  <c r="AA68" i="4" s="1"/>
  <c r="G475" i="4"/>
  <c r="AA475" i="4" s="1"/>
  <c r="G383" i="4"/>
  <c r="AA383" i="4" s="1"/>
  <c r="G351" i="4"/>
  <c r="AA351" i="4" s="1"/>
  <c r="G321" i="4"/>
  <c r="AA321" i="4" s="1"/>
  <c r="G177" i="4"/>
  <c r="AA177" i="4" s="1"/>
  <c r="G173" i="4"/>
  <c r="AA173" i="4" s="1"/>
  <c r="G436" i="4"/>
  <c r="AA436" i="4" s="1"/>
  <c r="G400" i="4"/>
  <c r="AA400" i="4" s="1"/>
  <c r="G368" i="4"/>
  <c r="AA368" i="4" s="1"/>
  <c r="G336" i="4"/>
  <c r="AA336" i="4" s="1"/>
  <c r="G169" i="4"/>
  <c r="AA169" i="4" s="1"/>
  <c r="G261" i="4"/>
  <c r="AA261" i="4" s="1"/>
  <c r="G445" i="4"/>
  <c r="AA445" i="4" s="1"/>
  <c r="G413" i="4"/>
  <c r="AA413" i="4" s="1"/>
  <c r="G377" i="4"/>
  <c r="AA377" i="4" s="1"/>
  <c r="G345" i="4"/>
  <c r="AA345" i="4" s="1"/>
  <c r="G193" i="4"/>
  <c r="AA193" i="4" s="1"/>
  <c r="G290" i="4"/>
  <c r="AA290" i="4" s="1"/>
  <c r="G258" i="4"/>
  <c r="AA258" i="4" s="1"/>
  <c r="G226" i="4"/>
  <c r="AA226" i="4" s="1"/>
  <c r="G194" i="4"/>
  <c r="AA194" i="4" s="1"/>
  <c r="G162" i="4"/>
  <c r="AA162" i="4" s="1"/>
  <c r="G124" i="4"/>
  <c r="AA124" i="4" s="1"/>
  <c r="G303" i="4"/>
  <c r="AA303" i="4" s="1"/>
  <c r="G267" i="4"/>
  <c r="AA267" i="4" s="1"/>
  <c r="G231" i="4"/>
  <c r="AA231" i="4" s="1"/>
  <c r="G199" i="4"/>
  <c r="AA199" i="4" s="1"/>
  <c r="G167" i="4"/>
  <c r="AA167" i="4" s="1"/>
  <c r="G131" i="4"/>
  <c r="AA131" i="4" s="1"/>
  <c r="G16" i="4"/>
  <c r="AA16" i="4" s="1"/>
  <c r="G276" i="4"/>
  <c r="AA276" i="4" s="1"/>
  <c r="G240" i="4"/>
  <c r="AA240" i="4" s="1"/>
  <c r="G208" i="4"/>
  <c r="AA208" i="4" s="1"/>
  <c r="G176" i="4"/>
  <c r="AA176" i="4" s="1"/>
  <c r="G144" i="4"/>
  <c r="AA144" i="4" s="1"/>
  <c r="G109" i="4"/>
  <c r="AA109" i="4" s="1"/>
  <c r="G77" i="4"/>
  <c r="AA77" i="4" s="1"/>
  <c r="G45" i="4"/>
  <c r="AA45" i="4" s="1"/>
  <c r="G126" i="4"/>
  <c r="AA126" i="4" s="1"/>
  <c r="G90" i="4"/>
  <c r="AA90" i="4" s="1"/>
  <c r="G58" i="4"/>
  <c r="AA58" i="4" s="1"/>
  <c r="G26" i="4"/>
  <c r="AA26" i="4" s="1"/>
  <c r="G107" i="4"/>
  <c r="AA107" i="4" s="1"/>
  <c r="G71" i="4"/>
  <c r="AA71" i="4" s="1"/>
  <c r="G39" i="4"/>
  <c r="AA39" i="4" s="1"/>
  <c r="J353" i="4"/>
  <c r="AD353" i="4" s="1"/>
  <c r="J464" i="4"/>
  <c r="AD464" i="4" s="1"/>
  <c r="G317" i="4"/>
  <c r="AA317" i="4" s="1"/>
  <c r="G447" i="4"/>
  <c r="AA447" i="4" s="1"/>
  <c r="G366" i="4"/>
  <c r="AA366" i="4" s="1"/>
  <c r="G72" i="4"/>
  <c r="AA72" i="4" s="1"/>
  <c r="G84" i="4"/>
  <c r="AA84" i="4" s="1"/>
  <c r="G189" i="4"/>
  <c r="AA189" i="4" s="1"/>
  <c r="G390" i="4"/>
  <c r="AA390" i="4" s="1"/>
  <c r="G481" i="4"/>
  <c r="AA481" i="4" s="1"/>
  <c r="G451" i="4"/>
  <c r="AA451" i="4" s="1"/>
  <c r="G379" i="4"/>
  <c r="AA379" i="4" s="1"/>
  <c r="G347" i="4"/>
  <c r="AA347" i="4" s="1"/>
  <c r="G318" i="4"/>
  <c r="AA318" i="4" s="1"/>
  <c r="G145" i="4"/>
  <c r="AA145" i="4" s="1"/>
  <c r="G36" i="4"/>
  <c r="AA36" i="4" s="1"/>
  <c r="G432" i="4"/>
  <c r="AA432" i="4" s="1"/>
  <c r="G396" i="4"/>
  <c r="AA396" i="4" s="1"/>
  <c r="G364" i="4"/>
  <c r="AA364" i="4" s="1"/>
  <c r="G332" i="4"/>
  <c r="AA332" i="4" s="1"/>
  <c r="G137" i="4"/>
  <c r="AA137" i="4" s="1"/>
  <c r="G229" i="4"/>
  <c r="AA229" i="4" s="1"/>
  <c r="G441" i="4"/>
  <c r="AA441" i="4" s="1"/>
  <c r="G409" i="4"/>
  <c r="AA409" i="4" s="1"/>
  <c r="G373" i="4"/>
  <c r="AA373" i="4" s="1"/>
  <c r="G341" i="4"/>
  <c r="AA341" i="4" s="1"/>
  <c r="G161" i="4"/>
  <c r="AA161" i="4" s="1"/>
  <c r="G286" i="4"/>
  <c r="AA286" i="4" s="1"/>
  <c r="G254" i="4"/>
  <c r="AA254" i="4" s="1"/>
  <c r="G222" i="4"/>
  <c r="AA222" i="4" s="1"/>
  <c r="G190" i="4"/>
  <c r="AA190" i="4" s="1"/>
  <c r="G158" i="4"/>
  <c r="AA158" i="4" s="1"/>
  <c r="G108" i="4"/>
  <c r="AA108" i="4" s="1"/>
  <c r="G299" i="4"/>
  <c r="AA299" i="4" s="1"/>
  <c r="G263" i="4"/>
  <c r="AA263" i="4" s="1"/>
  <c r="G227" i="4"/>
  <c r="AA227" i="4" s="1"/>
  <c r="G195" i="4"/>
  <c r="AA195" i="4" s="1"/>
  <c r="G163" i="4"/>
  <c r="AA163" i="4" s="1"/>
  <c r="G128" i="4"/>
  <c r="AA128" i="4" s="1"/>
  <c r="G308" i="4"/>
  <c r="AA308" i="4" s="1"/>
  <c r="G272" i="4"/>
  <c r="AA272" i="4" s="1"/>
  <c r="G236" i="4"/>
  <c r="AA236" i="4" s="1"/>
  <c r="G204" i="4"/>
  <c r="AA204" i="4" s="1"/>
  <c r="G172" i="4"/>
  <c r="AA172" i="4" s="1"/>
  <c r="G140" i="4"/>
  <c r="AA140" i="4" s="1"/>
  <c r="G105" i="4"/>
  <c r="AA105" i="4" s="1"/>
  <c r="G73" i="4"/>
  <c r="AA73" i="4" s="1"/>
  <c r="G41" i="4"/>
  <c r="AA41" i="4" s="1"/>
  <c r="G122" i="4"/>
  <c r="AA122" i="4" s="1"/>
  <c r="G86" i="4"/>
  <c r="AA86" i="4" s="1"/>
  <c r="G54" i="4"/>
  <c r="AA54" i="4" s="1"/>
  <c r="G22" i="4"/>
  <c r="AA22" i="4" s="1"/>
  <c r="G103" i="4"/>
  <c r="AA103" i="4" s="1"/>
  <c r="G67" i="4"/>
  <c r="AA67" i="4" s="1"/>
  <c r="G35" i="4"/>
  <c r="AA35" i="4" s="1"/>
  <c r="J398" i="4"/>
  <c r="AD398" i="4" s="1"/>
  <c r="G466" i="4"/>
  <c r="AA466" i="4" s="1"/>
  <c r="G354" i="4"/>
  <c r="AA354" i="4" s="1"/>
  <c r="G221" i="4"/>
  <c r="AA221" i="4" s="1"/>
  <c r="G185" i="4"/>
  <c r="AA185" i="4" s="1"/>
  <c r="G320" i="4"/>
  <c r="AA320" i="4" s="1"/>
  <c r="G398" i="4"/>
  <c r="AA398" i="4" s="1"/>
  <c r="G309" i="4"/>
  <c r="AA309" i="4" s="1"/>
  <c r="G479" i="4"/>
  <c r="AA479" i="4" s="1"/>
  <c r="G370" i="4"/>
  <c r="AA370" i="4" s="1"/>
  <c r="G459" i="4"/>
  <c r="AA459" i="4" s="1"/>
  <c r="G342" i="4"/>
  <c r="AA342" i="4" s="1"/>
  <c r="G483" i="4"/>
  <c r="AA483" i="4" s="1"/>
  <c r="G375" i="4"/>
  <c r="AA375" i="4" s="1"/>
  <c r="G343" i="4"/>
  <c r="AA343" i="4" s="1"/>
  <c r="G315" i="4"/>
  <c r="AA315" i="4" s="1"/>
  <c r="G52" i="4"/>
  <c r="AA52" i="4" s="1"/>
  <c r="G24" i="4"/>
  <c r="AA24" i="4" s="1"/>
  <c r="G428" i="4"/>
  <c r="AA428" i="4" s="1"/>
  <c r="G392" i="4"/>
  <c r="AA392" i="4" s="1"/>
  <c r="G360" i="4"/>
  <c r="AA360" i="4" s="1"/>
  <c r="G328" i="4"/>
  <c r="AA328" i="4" s="1"/>
  <c r="G20" i="4"/>
  <c r="AA20" i="4" s="1"/>
  <c r="G197" i="4"/>
  <c r="AA197" i="4" s="1"/>
  <c r="G437" i="4"/>
  <c r="AA437" i="4" s="1"/>
  <c r="G401" i="4"/>
  <c r="AA401" i="4" s="1"/>
  <c r="G369" i="4"/>
  <c r="AA369" i="4" s="1"/>
  <c r="G337" i="4"/>
  <c r="AA337" i="4" s="1"/>
  <c r="G129" i="4"/>
  <c r="AA129" i="4" s="1"/>
  <c r="G282" i="4"/>
  <c r="AA282" i="4" s="1"/>
  <c r="G250" i="4"/>
  <c r="AA250" i="4" s="1"/>
  <c r="G218" i="4"/>
  <c r="AA218" i="4" s="1"/>
  <c r="G186" i="4"/>
  <c r="AA186" i="4" s="1"/>
  <c r="G154" i="4"/>
  <c r="AA154" i="4" s="1"/>
  <c r="G76" i="4"/>
  <c r="AA76" i="4" s="1"/>
  <c r="G291" i="4"/>
  <c r="AA291" i="4" s="1"/>
  <c r="G255" i="4"/>
  <c r="AA255" i="4" s="1"/>
  <c r="G223" i="4"/>
  <c r="AA223" i="4" s="1"/>
  <c r="G191" i="4"/>
  <c r="AA191" i="4" s="1"/>
  <c r="G159" i="4"/>
  <c r="AA159" i="4" s="1"/>
  <c r="G112" i="4"/>
  <c r="AA112" i="4" s="1"/>
  <c r="G304" i="4"/>
  <c r="AA304" i="4" s="1"/>
  <c r="G268" i="4"/>
  <c r="AA268" i="4" s="1"/>
  <c r="G232" i="4"/>
  <c r="AA232" i="4" s="1"/>
  <c r="G200" i="4"/>
  <c r="AA200" i="4" s="1"/>
  <c r="G168" i="4"/>
  <c r="AA168" i="4" s="1"/>
  <c r="G136" i="4"/>
  <c r="AA136" i="4" s="1"/>
  <c r="G101" i="4"/>
  <c r="AA101" i="4" s="1"/>
  <c r="G69" i="4"/>
  <c r="AA69" i="4" s="1"/>
  <c r="G37" i="4"/>
  <c r="AA37" i="4" s="1"/>
  <c r="G118" i="4"/>
  <c r="AA118" i="4" s="1"/>
  <c r="G82" i="4"/>
  <c r="AA82" i="4" s="1"/>
  <c r="G50" i="4"/>
  <c r="AA50" i="4" s="1"/>
  <c r="G18" i="4"/>
  <c r="AA18" i="4" s="1"/>
  <c r="G99" i="4"/>
  <c r="AA99" i="4" s="1"/>
  <c r="G63" i="4"/>
  <c r="AA63" i="4" s="1"/>
  <c r="G31" i="4"/>
  <c r="AA31" i="4" s="1"/>
  <c r="G277" i="4"/>
  <c r="AA277" i="4" s="1"/>
  <c r="G470" i="4"/>
  <c r="AA470" i="4" s="1"/>
  <c r="G386" i="4"/>
  <c r="AA386" i="4" s="1"/>
  <c r="J444" i="4"/>
  <c r="AD444" i="4" s="1"/>
  <c r="G56" i="4"/>
  <c r="AA56" i="4" s="1"/>
  <c r="G330" i="4"/>
  <c r="AA330" i="4" s="1"/>
  <c r="G434" i="4"/>
  <c r="AA434" i="4" s="1"/>
  <c r="G442" i="4"/>
  <c r="AA442" i="4" s="1"/>
  <c r="G422" i="4"/>
  <c r="AA422" i="4" s="1"/>
  <c r="G326" i="4"/>
  <c r="AA326" i="4" s="1"/>
  <c r="G338" i="4"/>
  <c r="AA338" i="4" s="1"/>
  <c r="G402" i="4"/>
  <c r="AA402" i="4" s="1"/>
  <c r="G464" i="4"/>
  <c r="AA464" i="4" s="1"/>
  <c r="G374" i="4"/>
  <c r="AA374" i="4" s="1"/>
  <c r="G403" i="4"/>
  <c r="AA403" i="4" s="1"/>
  <c r="G371" i="4"/>
  <c r="AA371" i="4" s="1"/>
  <c r="G339" i="4"/>
  <c r="AA339" i="4" s="1"/>
  <c r="G313" i="4"/>
  <c r="AA313" i="4" s="1"/>
  <c r="G40" i="4"/>
  <c r="AA40" i="4" s="1"/>
  <c r="G460" i="4"/>
  <c r="AA460" i="4" s="1"/>
  <c r="G424" i="4"/>
  <c r="AA424" i="4" s="1"/>
  <c r="G388" i="4"/>
  <c r="AA388" i="4" s="1"/>
  <c r="G356" i="4"/>
  <c r="AA356" i="4" s="1"/>
  <c r="G316" i="4"/>
  <c r="AA316" i="4" s="1"/>
  <c r="G325" i="4"/>
  <c r="AA325" i="4" s="1"/>
  <c r="G165" i="4"/>
  <c r="AA165" i="4" s="1"/>
  <c r="G433" i="4"/>
  <c r="AA433" i="4" s="1"/>
  <c r="G397" i="4"/>
  <c r="AA397" i="4" s="1"/>
  <c r="G365" i="4"/>
  <c r="AA365" i="4" s="1"/>
  <c r="G333" i="4"/>
  <c r="AA333" i="4" s="1"/>
  <c r="G116" i="4"/>
  <c r="AA116" i="4" s="1"/>
  <c r="G278" i="4"/>
  <c r="AA278" i="4" s="1"/>
  <c r="G246" i="4"/>
  <c r="AA246" i="4" s="1"/>
  <c r="G214" i="4"/>
  <c r="AA214" i="4" s="1"/>
  <c r="G182" i="4"/>
  <c r="AA182" i="4" s="1"/>
  <c r="G150" i="4"/>
  <c r="AA150" i="4" s="1"/>
  <c r="G60" i="4"/>
  <c r="AA60" i="4" s="1"/>
  <c r="G287" i="4"/>
  <c r="AA287" i="4" s="1"/>
  <c r="G251" i="4"/>
  <c r="AA251" i="4" s="1"/>
  <c r="G219" i="4"/>
  <c r="AA219" i="4" s="1"/>
  <c r="G187" i="4"/>
  <c r="AA187" i="4" s="1"/>
  <c r="G155" i="4"/>
  <c r="AA155" i="4" s="1"/>
  <c r="G96" i="4"/>
  <c r="AA96" i="4" s="1"/>
  <c r="G300" i="4"/>
  <c r="AA300" i="4" s="1"/>
  <c r="G264" i="4"/>
  <c r="AA264" i="4" s="1"/>
  <c r="G228" i="4"/>
  <c r="AA228" i="4" s="1"/>
  <c r="G196" i="4"/>
  <c r="AA196" i="4" s="1"/>
  <c r="G164" i="4"/>
  <c r="AA164" i="4" s="1"/>
  <c r="G132" i="4"/>
  <c r="AA132" i="4" s="1"/>
  <c r="G97" i="4"/>
  <c r="AA97" i="4" s="1"/>
  <c r="G65" i="4"/>
  <c r="AA65" i="4" s="1"/>
  <c r="G33" i="4"/>
  <c r="AA33" i="4" s="1"/>
  <c r="G114" i="4"/>
  <c r="AA114" i="4" s="1"/>
  <c r="G78" i="4"/>
  <c r="AA78" i="4" s="1"/>
  <c r="G46" i="4"/>
  <c r="AA46" i="4" s="1"/>
  <c r="G127" i="4"/>
  <c r="AA127" i="4" s="1"/>
  <c r="G95" i="4"/>
  <c r="AA95" i="4" s="1"/>
  <c r="G59" i="4"/>
  <c r="AA59" i="4" s="1"/>
  <c r="G27" i="4"/>
  <c r="AA27" i="4" s="1"/>
  <c r="G285" i="4"/>
  <c r="AA285" i="4" s="1"/>
  <c r="G474" i="4"/>
  <c r="AA474" i="4" s="1"/>
  <c r="G407" i="4"/>
  <c r="AA407" i="4" s="1"/>
  <c r="G149" i="4"/>
  <c r="AA149" i="4" s="1"/>
  <c r="G181" i="4"/>
  <c r="AA181" i="4" s="1"/>
  <c r="G346" i="4"/>
  <c r="AA346" i="4" s="1"/>
  <c r="G465" i="4"/>
  <c r="AA465" i="4" s="1"/>
  <c r="G458" i="4"/>
  <c r="AA458" i="4" s="1"/>
  <c r="G450" i="4"/>
  <c r="AA450" i="4" s="1"/>
  <c r="G217" i="4"/>
  <c r="AA217" i="4" s="1"/>
  <c r="G411" i="4"/>
  <c r="AA411" i="4" s="1"/>
  <c r="G399" i="4"/>
  <c r="AA399" i="4" s="1"/>
  <c r="G367" i="4"/>
  <c r="AA367" i="4" s="1"/>
  <c r="G335" i="4"/>
  <c r="AA335" i="4" s="1"/>
  <c r="G305" i="4"/>
  <c r="AA305" i="4" s="1"/>
  <c r="G301" i="4"/>
  <c r="AA301" i="4" s="1"/>
  <c r="G456" i="4"/>
  <c r="AA456" i="4" s="1"/>
  <c r="G420" i="4"/>
  <c r="AA420" i="4" s="1"/>
  <c r="G384" i="4"/>
  <c r="AA384" i="4" s="1"/>
  <c r="G352" i="4"/>
  <c r="AA352" i="4" s="1"/>
  <c r="G297" i="4"/>
  <c r="AA297" i="4" s="1"/>
  <c r="G322" i="4"/>
  <c r="AA322" i="4" s="1"/>
  <c r="G133" i="4"/>
  <c r="AA133" i="4" s="1"/>
  <c r="G429" i="4"/>
  <c r="AA429" i="4" s="1"/>
  <c r="G393" i="4"/>
  <c r="AA393" i="4" s="1"/>
  <c r="G361" i="4"/>
  <c r="AA361" i="4" s="1"/>
  <c r="G329" i="4"/>
  <c r="AA329" i="4" s="1"/>
  <c r="G104" i="4"/>
  <c r="AA104" i="4" s="1"/>
  <c r="G274" i="4"/>
  <c r="AA274" i="4" s="1"/>
  <c r="G242" i="4"/>
  <c r="AA242" i="4" s="1"/>
  <c r="G210" i="4"/>
  <c r="AA210" i="4" s="1"/>
  <c r="G178" i="4"/>
  <c r="AA178" i="4" s="1"/>
  <c r="G146" i="4"/>
  <c r="AA146" i="4" s="1"/>
  <c r="G44" i="4"/>
  <c r="AA44" i="4" s="1"/>
  <c r="G283" i="4"/>
  <c r="AA283" i="4" s="1"/>
  <c r="G247" i="4"/>
  <c r="AA247" i="4" s="1"/>
  <c r="G215" i="4"/>
  <c r="AA215" i="4" s="1"/>
  <c r="G183" i="4"/>
  <c r="AA183" i="4" s="1"/>
  <c r="G151" i="4"/>
  <c r="AA151" i="4" s="1"/>
  <c r="G80" i="4"/>
  <c r="AA80" i="4" s="1"/>
  <c r="G292" i="4"/>
  <c r="AA292" i="4" s="1"/>
  <c r="G260" i="4"/>
  <c r="AA260" i="4" s="1"/>
  <c r="G224" i="4"/>
  <c r="AA224" i="4" s="1"/>
  <c r="G192" i="4"/>
  <c r="AA192" i="4" s="1"/>
  <c r="G160" i="4"/>
  <c r="AA160" i="4" s="1"/>
  <c r="G125" i="4"/>
  <c r="AA125" i="4" s="1"/>
  <c r="G93" i="4"/>
  <c r="AA93" i="4" s="1"/>
  <c r="G61" i="4"/>
  <c r="AA61" i="4" s="1"/>
  <c r="G29" i="4"/>
  <c r="AA29" i="4" s="1"/>
  <c r="G110" i="4"/>
  <c r="AA110" i="4" s="1"/>
  <c r="G74" i="4"/>
  <c r="AA74" i="4" s="1"/>
  <c r="G42" i="4"/>
  <c r="AA42" i="4" s="1"/>
  <c r="G123" i="4"/>
  <c r="AA123" i="4" s="1"/>
  <c r="G87" i="4"/>
  <c r="AA87" i="4" s="1"/>
  <c r="G55" i="4"/>
  <c r="AA55" i="4" s="1"/>
  <c r="G23" i="4"/>
  <c r="AA23" i="4" s="1"/>
  <c r="G350" i="4"/>
  <c r="AA350" i="4" s="1"/>
  <c r="G478" i="4"/>
  <c r="AA478" i="4" s="1"/>
  <c r="G415" i="4"/>
  <c r="AA415" i="4" s="1"/>
  <c r="G157" i="4"/>
  <c r="AA157" i="4" s="1"/>
  <c r="G394" i="4"/>
  <c r="AA394" i="4" s="1"/>
  <c r="G358" i="4"/>
  <c r="AA358" i="4" s="1"/>
  <c r="G213" i="4"/>
  <c r="AA213" i="4" s="1"/>
  <c r="G484" i="4"/>
  <c r="AA484" i="4" s="1"/>
  <c r="J394" i="4"/>
  <c r="AD394" i="4" s="1"/>
  <c r="J484" i="4"/>
  <c r="AD484" i="4" s="1"/>
  <c r="J333" i="4"/>
  <c r="AD333" i="4" s="1"/>
  <c r="J390" i="4"/>
  <c r="AD390" i="4" s="1"/>
  <c r="J335" i="4"/>
  <c r="AD335" i="4" s="1"/>
  <c r="K375" i="4"/>
  <c r="AE375" i="4" s="1"/>
  <c r="K444" i="4"/>
  <c r="AE444" i="4" s="1"/>
  <c r="J430" i="4"/>
  <c r="AD430" i="4" s="1"/>
  <c r="J440" i="4"/>
  <c r="AD440" i="4" s="1"/>
  <c r="J362" i="4"/>
  <c r="AD362" i="4" s="1"/>
  <c r="J468" i="4"/>
  <c r="AD468" i="4" s="1"/>
  <c r="J341" i="4"/>
  <c r="AD341" i="4" s="1"/>
  <c r="J408" i="4"/>
  <c r="AD408" i="4" s="1"/>
  <c r="K374" i="4"/>
  <c r="AE374" i="4" s="1"/>
  <c r="J424" i="4"/>
  <c r="AD424" i="4" s="1"/>
  <c r="J457" i="4"/>
  <c r="AD457" i="4" s="1"/>
  <c r="J438" i="4"/>
  <c r="AD438" i="4" s="1"/>
  <c r="J386" i="4"/>
  <c r="AD386" i="4" s="1"/>
  <c r="K457" i="4"/>
  <c r="AE457" i="4" s="1"/>
  <c r="K367" i="4"/>
  <c r="AE367" i="4" s="1"/>
  <c r="J446" i="4"/>
  <c r="AD446" i="4" s="1"/>
  <c r="J479" i="4"/>
  <c r="AD479" i="4" s="1"/>
  <c r="J456" i="4"/>
  <c r="AD456" i="4" s="1"/>
  <c r="J370" i="4"/>
  <c r="AD370" i="4" s="1"/>
  <c r="L476" i="4"/>
  <c r="AF476" i="4" s="1"/>
  <c r="J392" i="4"/>
  <c r="AD392" i="4" s="1"/>
  <c r="J432" i="4"/>
  <c r="AD432" i="4" s="1"/>
  <c r="J417" i="4"/>
  <c r="AD417" i="4" s="1"/>
  <c r="J434" i="4"/>
  <c r="AD434" i="4" s="1"/>
  <c r="J382" i="4"/>
  <c r="AD382" i="4" s="1"/>
  <c r="J367" i="4"/>
  <c r="AD367" i="4" s="1"/>
  <c r="J400" i="4"/>
  <c r="AD400" i="4" s="1"/>
  <c r="J475" i="4"/>
  <c r="AD475" i="4" s="1"/>
  <c r="J466" i="4"/>
  <c r="AD466" i="4" s="1"/>
  <c r="J454" i="4"/>
  <c r="AD454" i="4" s="1"/>
  <c r="J378" i="4"/>
  <c r="AD378" i="4" s="1"/>
  <c r="K344" i="4"/>
  <c r="AE344" i="4" s="1"/>
  <c r="J337" i="4"/>
  <c r="AD337" i="4" s="1"/>
  <c r="K422" i="4"/>
  <c r="AE422" i="4" s="1"/>
  <c r="J384" i="4"/>
  <c r="AD384" i="4" s="1"/>
  <c r="J409" i="4"/>
  <c r="AD409" i="4" s="1"/>
  <c r="J426" i="4"/>
  <c r="AD426" i="4" s="1"/>
  <c r="J374" i="4"/>
  <c r="AD374" i="4" s="1"/>
  <c r="I469" i="4"/>
  <c r="AC469" i="4" s="1"/>
  <c r="K441" i="4"/>
  <c r="AE441" i="4" s="1"/>
  <c r="J410" i="4"/>
  <c r="AD410" i="4" s="1"/>
  <c r="J401" i="4"/>
  <c r="AD401" i="4" s="1"/>
  <c r="J422" i="4"/>
  <c r="AD422" i="4" s="1"/>
  <c r="J366" i="4"/>
  <c r="AD366" i="4" s="1"/>
  <c r="J375" i="4"/>
  <c r="AD375" i="4" s="1"/>
  <c r="J343" i="4"/>
  <c r="AD343" i="4" s="1"/>
  <c r="J350" i="4"/>
  <c r="AD350" i="4" s="1"/>
  <c r="K351" i="4"/>
  <c r="AE351" i="4" s="1"/>
  <c r="J459" i="4"/>
  <c r="AD459" i="4" s="1"/>
  <c r="J480" i="4"/>
  <c r="AD480" i="4" s="1"/>
  <c r="J481" i="4"/>
  <c r="AD481" i="4" s="1"/>
  <c r="J360" i="4"/>
  <c r="AD360" i="4" s="1"/>
  <c r="J361" i="4"/>
  <c r="AD361" i="4" s="1"/>
  <c r="J402" i="4"/>
  <c r="AD402" i="4" s="1"/>
  <c r="J346" i="4"/>
  <c r="AD346" i="4" s="1"/>
  <c r="J428" i="4"/>
  <c r="AD428" i="4" s="1"/>
  <c r="J359" i="4"/>
  <c r="AD359" i="4" s="1"/>
  <c r="H350" i="4"/>
  <c r="AB350" i="4" s="1"/>
  <c r="H437" i="4"/>
  <c r="AB437" i="4" s="1"/>
  <c r="H369" i="4"/>
  <c r="AB369" i="4" s="1"/>
  <c r="I442" i="4"/>
  <c r="AC442" i="4" s="1"/>
  <c r="H337" i="4"/>
  <c r="AB337" i="4" s="1"/>
  <c r="H330" i="4"/>
  <c r="AB330" i="4" s="1"/>
  <c r="L393" i="4"/>
  <c r="AF393" i="4" s="1"/>
  <c r="I427" i="4"/>
  <c r="AC427" i="4" s="1"/>
  <c r="H367" i="4"/>
  <c r="AB367" i="4" s="1"/>
  <c r="H454" i="4"/>
  <c r="AB454" i="4" s="1"/>
  <c r="H460" i="4"/>
  <c r="AB460" i="4" s="1"/>
  <c r="H401" i="4"/>
  <c r="AB401" i="4" s="1"/>
  <c r="H424" i="4"/>
  <c r="AB424" i="4" s="1"/>
  <c r="H351" i="4"/>
  <c r="AB351" i="4" s="1"/>
  <c r="H334" i="4"/>
  <c r="AB334" i="4" s="1"/>
  <c r="H388" i="4"/>
  <c r="AB388" i="4" s="1"/>
  <c r="H475" i="4"/>
  <c r="AB475" i="4" s="1"/>
  <c r="N8" i="4"/>
  <c r="J376" i="4"/>
  <c r="AD376" i="4" s="1"/>
  <c r="K476" i="4"/>
  <c r="AE476" i="4" s="1"/>
  <c r="F11" i="12"/>
  <c r="I462" i="4"/>
  <c r="AC462" i="4" s="1"/>
  <c r="J462" i="4"/>
  <c r="AD462" i="4" s="1"/>
  <c r="J399" i="4"/>
  <c r="AD399" i="4" s="1"/>
  <c r="J458" i="4"/>
  <c r="AD458" i="4" s="1"/>
  <c r="J342" i="4"/>
  <c r="AD342" i="4" s="1"/>
  <c r="J423" i="4"/>
  <c r="AD423" i="4" s="1"/>
  <c r="J441" i="4"/>
  <c r="AD441" i="4" s="1"/>
  <c r="E10" i="12"/>
  <c r="E9" i="12"/>
  <c r="L466" i="4"/>
  <c r="AF466" i="4" s="1"/>
  <c r="L448" i="4"/>
  <c r="AF448" i="4" s="1"/>
  <c r="I449" i="4"/>
  <c r="AC449" i="4" s="1"/>
  <c r="I398" i="4"/>
  <c r="AC398" i="4" s="1"/>
  <c r="I473" i="4"/>
  <c r="AC473" i="4" s="1"/>
  <c r="I351" i="4"/>
  <c r="AC351" i="4" s="1"/>
  <c r="L401" i="4"/>
  <c r="AF401" i="4" s="1"/>
  <c r="L390" i="4"/>
  <c r="AF390" i="4" s="1"/>
  <c r="L386" i="4"/>
  <c r="AF386" i="4" s="1"/>
  <c r="I435" i="4"/>
  <c r="AC435" i="4" s="1"/>
  <c r="L353" i="4"/>
  <c r="AF353" i="4" s="1"/>
  <c r="I417" i="4"/>
  <c r="AC417" i="4" s="1"/>
  <c r="I394" i="4"/>
  <c r="AC394" i="4" s="1"/>
  <c r="L360" i="4"/>
  <c r="AF360" i="4" s="1"/>
  <c r="I428" i="4"/>
  <c r="AC428" i="4" s="1"/>
  <c r="L480" i="4"/>
  <c r="AF480" i="4" s="1"/>
  <c r="L457" i="4"/>
  <c r="AF457" i="4" s="1"/>
  <c r="L400" i="4"/>
  <c r="AF400" i="4" s="1"/>
  <c r="L409" i="4"/>
  <c r="AF409" i="4" s="1"/>
  <c r="L481" i="4"/>
  <c r="AF481" i="4" s="1"/>
  <c r="I432" i="4"/>
  <c r="AC432" i="4" s="1"/>
  <c r="L376" i="4"/>
  <c r="AF376" i="4" s="1"/>
  <c r="L458" i="4"/>
  <c r="AF458" i="4" s="1"/>
  <c r="L382" i="4"/>
  <c r="AF382" i="4" s="1"/>
  <c r="I484" i="4"/>
  <c r="AC484" i="4" s="1"/>
  <c r="J393" i="4"/>
  <c r="AD393" i="4" s="1"/>
  <c r="I413" i="4"/>
  <c r="AC413" i="4" s="1"/>
  <c r="I366" i="4"/>
  <c r="AC366" i="4" s="1"/>
  <c r="J368" i="4"/>
  <c r="AD368" i="4" s="1"/>
  <c r="L484" i="4"/>
  <c r="AF484" i="4" s="1"/>
  <c r="L333" i="4"/>
  <c r="AF333" i="4" s="1"/>
  <c r="L417" i="4"/>
  <c r="AF417" i="4" s="1"/>
  <c r="J448" i="4"/>
  <c r="AD448" i="4" s="1"/>
  <c r="L438" i="4"/>
  <c r="AF438" i="4" s="1"/>
  <c r="L374" i="4"/>
  <c r="AF374" i="4" s="1"/>
  <c r="I371" i="4"/>
  <c r="AC371" i="4" s="1"/>
  <c r="I460" i="4"/>
  <c r="AC460" i="4" s="1"/>
  <c r="I377" i="4"/>
  <c r="AC377" i="4" s="1"/>
  <c r="I362" i="4"/>
  <c r="AC362" i="4" s="1"/>
  <c r="I478" i="4"/>
  <c r="AC478" i="4" s="1"/>
  <c r="I391" i="4"/>
  <c r="AC391" i="4" s="1"/>
  <c r="L426" i="4"/>
  <c r="AF426" i="4" s="1"/>
  <c r="L343" i="4"/>
  <c r="AF343" i="4" s="1"/>
  <c r="I463" i="4"/>
  <c r="AC463" i="4" s="1"/>
  <c r="I345" i="4"/>
  <c r="AC345" i="4" s="1"/>
  <c r="I330" i="4"/>
  <c r="AC330" i="4" s="1"/>
  <c r="L392" i="4"/>
  <c r="AF392" i="4" s="1"/>
  <c r="L361" i="4"/>
  <c r="AF361" i="4" s="1"/>
  <c r="L475" i="4"/>
  <c r="AF475" i="4" s="1"/>
  <c r="L424" i="4"/>
  <c r="AF424" i="4" s="1"/>
  <c r="L467" i="4"/>
  <c r="AF467" i="4" s="1"/>
  <c r="L369" i="4"/>
  <c r="AF369" i="4" s="1"/>
  <c r="L339" i="4"/>
  <c r="AF339" i="4" s="1"/>
  <c r="I380" i="4"/>
  <c r="AC380" i="4" s="1"/>
  <c r="I461" i="4"/>
  <c r="AC461" i="4" s="1"/>
  <c r="I468" i="4"/>
  <c r="AC468" i="4" s="1"/>
  <c r="I384" i="4"/>
  <c r="AC384" i="4" s="1"/>
  <c r="I341" i="4"/>
  <c r="AC341" i="4" s="1"/>
  <c r="I381" i="4"/>
  <c r="AC381" i="4" s="1"/>
  <c r="L463" i="4"/>
  <c r="AF463" i="4" s="1"/>
  <c r="I329" i="4"/>
  <c r="AC329" i="4" s="1"/>
  <c r="L418" i="4"/>
  <c r="AF418" i="4" s="1"/>
  <c r="L347" i="4"/>
  <c r="AF347" i="4" s="1"/>
  <c r="I411" i="4"/>
  <c r="AC411" i="4" s="1"/>
  <c r="I477" i="4"/>
  <c r="AC477" i="4" s="1"/>
  <c r="L408" i="4"/>
  <c r="AF408" i="4" s="1"/>
  <c r="I348" i="4"/>
  <c r="AC348" i="4" s="1"/>
  <c r="J11" i="12"/>
  <c r="J433" i="4"/>
  <c r="AD433" i="4" s="1"/>
  <c r="I11" i="12"/>
  <c r="I355" i="4"/>
  <c r="AC355" i="4" s="1"/>
  <c r="I419" i="4"/>
  <c r="AC419" i="4" s="1"/>
  <c r="H11" i="12"/>
  <c r="I339" i="4"/>
  <c r="AC339" i="4" s="1"/>
  <c r="J369" i="4"/>
  <c r="AD369" i="4" s="1"/>
  <c r="J358" i="4"/>
  <c r="AD358" i="4" s="1"/>
  <c r="J339" i="4"/>
  <c r="AD339" i="4" s="1"/>
  <c r="J415" i="4"/>
  <c r="AD415" i="4" s="1"/>
  <c r="K399" i="4"/>
  <c r="AE399" i="4" s="1"/>
  <c r="H484" i="4"/>
  <c r="AB484" i="4" s="1"/>
  <c r="H451" i="4"/>
  <c r="AB451" i="4" s="1"/>
  <c r="H352" i="4"/>
  <c r="AB352" i="4" s="1"/>
  <c r="H397" i="4"/>
  <c r="AB397" i="4" s="1"/>
  <c r="H418" i="4"/>
  <c r="AB418" i="4" s="1"/>
  <c r="I359" i="4"/>
  <c r="AC359" i="4" s="1"/>
  <c r="H398" i="4"/>
  <c r="AB398" i="4" s="1"/>
  <c r="I331" i="4"/>
  <c r="AC331" i="4" s="1"/>
  <c r="I472" i="4"/>
  <c r="AC472" i="4" s="1"/>
  <c r="I443" i="4"/>
  <c r="AC443" i="4" s="1"/>
  <c r="H343" i="4"/>
  <c r="AB343" i="4" s="1"/>
  <c r="H378" i="4"/>
  <c r="AB378" i="4" s="1"/>
  <c r="I479" i="4"/>
  <c r="AC479" i="4" s="1"/>
  <c r="I466" i="4"/>
  <c r="AC466" i="4" s="1"/>
  <c r="I376" i="4"/>
  <c r="AC376" i="4" s="1"/>
  <c r="I340" i="4"/>
  <c r="AC340" i="4" s="1"/>
  <c r="I445" i="4"/>
  <c r="AC445" i="4" s="1"/>
  <c r="I409" i="4"/>
  <c r="AC409" i="4" s="1"/>
  <c r="I373" i="4"/>
  <c r="AC373" i="4" s="1"/>
  <c r="I337" i="4"/>
  <c r="AC337" i="4" s="1"/>
  <c r="I434" i="4"/>
  <c r="AC434" i="4" s="1"/>
  <c r="I390" i="4"/>
  <c r="AC390" i="4" s="1"/>
  <c r="I358" i="4"/>
  <c r="AC358" i="4" s="1"/>
  <c r="H463" i="4"/>
  <c r="AB463" i="4" s="1"/>
  <c r="H478" i="4"/>
  <c r="AB478" i="4" s="1"/>
  <c r="H448" i="4"/>
  <c r="AB448" i="4" s="1"/>
  <c r="H412" i="4"/>
  <c r="AB412" i="4" s="1"/>
  <c r="H380" i="4"/>
  <c r="AB380" i="4" s="1"/>
  <c r="H348" i="4"/>
  <c r="AB348" i="4" s="1"/>
  <c r="H465" i="4"/>
  <c r="AB465" i="4" s="1"/>
  <c r="H429" i="4"/>
  <c r="AB429" i="4" s="1"/>
  <c r="H393" i="4"/>
  <c r="AB393" i="4" s="1"/>
  <c r="H361" i="4"/>
  <c r="AB361" i="4" s="1"/>
  <c r="H329" i="4"/>
  <c r="AB329" i="4" s="1"/>
  <c r="I470" i="4"/>
  <c r="AC470" i="4" s="1"/>
  <c r="L337" i="4"/>
  <c r="AF337" i="4" s="1"/>
  <c r="K376" i="4"/>
  <c r="AE376" i="4" s="1"/>
  <c r="K337" i="4"/>
  <c r="AE337" i="4" s="1"/>
  <c r="K402" i="4"/>
  <c r="AE402" i="4" s="1"/>
  <c r="K358" i="4"/>
  <c r="AE358" i="4" s="1"/>
  <c r="K343" i="4"/>
  <c r="AE343" i="4" s="1"/>
  <c r="H387" i="4"/>
  <c r="AB387" i="4" s="1"/>
  <c r="H374" i="4"/>
  <c r="AB374" i="4" s="1"/>
  <c r="H390" i="4"/>
  <c r="AB390" i="4" s="1"/>
  <c r="L471" i="4"/>
  <c r="AF471" i="4" s="1"/>
  <c r="H342" i="4"/>
  <c r="AB342" i="4" s="1"/>
  <c r="H419" i="4"/>
  <c r="AB419" i="4" s="1"/>
  <c r="H433" i="4"/>
  <c r="AB433" i="4" s="1"/>
  <c r="K366" i="4"/>
  <c r="AE366" i="4" s="1"/>
  <c r="H363" i="4"/>
  <c r="AB363" i="4" s="1"/>
  <c r="I440" i="4"/>
  <c r="AC440" i="4" s="1"/>
  <c r="I335" i="4"/>
  <c r="AC335" i="4" s="1"/>
  <c r="H335" i="4"/>
  <c r="AB335" i="4" s="1"/>
  <c r="K384" i="4"/>
  <c r="AE384" i="4" s="1"/>
  <c r="H427" i="4"/>
  <c r="AB427" i="4" s="1"/>
  <c r="H459" i="4"/>
  <c r="AB459" i="4" s="1"/>
  <c r="I451" i="4"/>
  <c r="AC451" i="4" s="1"/>
  <c r="H346" i="4"/>
  <c r="AB346" i="4" s="1"/>
  <c r="H430" i="4"/>
  <c r="AB430" i="4" s="1"/>
  <c r="K480" i="4"/>
  <c r="AE480" i="4" s="1"/>
  <c r="I474" i="4"/>
  <c r="AC474" i="4" s="1"/>
  <c r="I372" i="4"/>
  <c r="AC372" i="4" s="1"/>
  <c r="I336" i="4"/>
  <c r="AC336" i="4" s="1"/>
  <c r="I441" i="4"/>
  <c r="AC441" i="4" s="1"/>
  <c r="I401" i="4"/>
  <c r="AC401" i="4" s="1"/>
  <c r="I369" i="4"/>
  <c r="AC369" i="4" s="1"/>
  <c r="I333" i="4"/>
  <c r="AC333" i="4" s="1"/>
  <c r="I430" i="4"/>
  <c r="AC430" i="4" s="1"/>
  <c r="I386" i="4"/>
  <c r="AC386" i="4" s="1"/>
  <c r="I354" i="4"/>
  <c r="AC354" i="4" s="1"/>
  <c r="K409" i="4"/>
  <c r="AE409" i="4" s="1"/>
  <c r="K433" i="4"/>
  <c r="AE433" i="4" s="1"/>
  <c r="K464" i="4"/>
  <c r="AE464" i="4" s="1"/>
  <c r="H444" i="4"/>
  <c r="AB444" i="4" s="1"/>
  <c r="H408" i="4"/>
  <c r="AB408" i="4" s="1"/>
  <c r="H376" i="4"/>
  <c r="AB376" i="4" s="1"/>
  <c r="H344" i="4"/>
  <c r="AB344" i="4" s="1"/>
  <c r="H461" i="4"/>
  <c r="AB461" i="4" s="1"/>
  <c r="H425" i="4"/>
  <c r="AB425" i="4" s="1"/>
  <c r="H389" i="4"/>
  <c r="AB389" i="4" s="1"/>
  <c r="H357" i="4"/>
  <c r="AB357" i="4" s="1"/>
  <c r="I387" i="4"/>
  <c r="AC387" i="4" s="1"/>
  <c r="I481" i="4"/>
  <c r="AC481" i="4" s="1"/>
  <c r="K333" i="4"/>
  <c r="AE333" i="4" s="1"/>
  <c r="K398" i="4"/>
  <c r="AE398" i="4" s="1"/>
  <c r="K342" i="4"/>
  <c r="AE342" i="4" s="1"/>
  <c r="K339" i="4"/>
  <c r="AE339" i="4" s="1"/>
  <c r="I447" i="4"/>
  <c r="AC447" i="4" s="1"/>
  <c r="H426" i="4"/>
  <c r="AB426" i="4" s="1"/>
  <c r="K428" i="4"/>
  <c r="AE428" i="4" s="1"/>
  <c r="K400" i="4"/>
  <c r="AE400" i="4" s="1"/>
  <c r="E10" i="11"/>
  <c r="H384" i="4"/>
  <c r="AB384" i="4" s="1"/>
  <c r="H333" i="4"/>
  <c r="AB333" i="4" s="1"/>
  <c r="K418" i="4"/>
  <c r="AE418" i="4" s="1"/>
  <c r="H358" i="4"/>
  <c r="AB358" i="4" s="1"/>
  <c r="H391" i="4"/>
  <c r="AB391" i="4" s="1"/>
  <c r="I388" i="4"/>
  <c r="AC388" i="4" s="1"/>
  <c r="H366" i="4"/>
  <c r="AB366" i="4" s="1"/>
  <c r="I408" i="4"/>
  <c r="AC408" i="4" s="1"/>
  <c r="H468" i="4"/>
  <c r="AB468" i="4" s="1"/>
  <c r="L434" i="4"/>
  <c r="AF434" i="4" s="1"/>
  <c r="H338" i="4"/>
  <c r="AB338" i="4" s="1"/>
  <c r="I395" i="4"/>
  <c r="AC395" i="4" s="1"/>
  <c r="I476" i="4"/>
  <c r="AC476" i="4" s="1"/>
  <c r="L385" i="4"/>
  <c r="AF385" i="4" s="1"/>
  <c r="I404" i="4"/>
  <c r="AC404" i="4" s="1"/>
  <c r="I368" i="4"/>
  <c r="AC368" i="4" s="1"/>
  <c r="I332" i="4"/>
  <c r="AC332" i="4" s="1"/>
  <c r="I437" i="4"/>
  <c r="AC437" i="4" s="1"/>
  <c r="I397" i="4"/>
  <c r="AC397" i="4" s="1"/>
  <c r="I361" i="4"/>
  <c r="AC361" i="4" s="1"/>
  <c r="I426" i="4"/>
  <c r="AC426" i="4" s="1"/>
  <c r="I382" i="4"/>
  <c r="AC382" i="4" s="1"/>
  <c r="I350" i="4"/>
  <c r="AC350" i="4" s="1"/>
  <c r="I375" i="4"/>
  <c r="AC375" i="4" s="1"/>
  <c r="I412" i="4"/>
  <c r="AC412" i="4" s="1"/>
  <c r="I436" i="4"/>
  <c r="AC436" i="4" s="1"/>
  <c r="H466" i="4"/>
  <c r="AB466" i="4" s="1"/>
  <c r="H440" i="4"/>
  <c r="AB440" i="4" s="1"/>
  <c r="H404" i="4"/>
  <c r="AB404" i="4" s="1"/>
  <c r="H372" i="4"/>
  <c r="AB372" i="4" s="1"/>
  <c r="H340" i="4"/>
  <c r="AB340" i="4" s="1"/>
  <c r="H457" i="4"/>
  <c r="AB457" i="4" s="1"/>
  <c r="H421" i="4"/>
  <c r="AB421" i="4" s="1"/>
  <c r="H385" i="4"/>
  <c r="AB385" i="4" s="1"/>
  <c r="H353" i="4"/>
  <c r="AB353" i="4" s="1"/>
  <c r="J351" i="4"/>
  <c r="AD351" i="4" s="1"/>
  <c r="K401" i="4"/>
  <c r="AE401" i="4" s="1"/>
  <c r="K458" i="4"/>
  <c r="AE458" i="4" s="1"/>
  <c r="K394" i="4"/>
  <c r="AE394" i="4" s="1"/>
  <c r="K334" i="4"/>
  <c r="AE334" i="4" s="1"/>
  <c r="K335" i="4"/>
  <c r="AE335" i="4" s="1"/>
  <c r="H469" i="4"/>
  <c r="AB469" i="4" s="1"/>
  <c r="I407" i="4"/>
  <c r="AC407" i="4" s="1"/>
  <c r="E43" i="11"/>
  <c r="E9" i="11"/>
  <c r="K349" i="4"/>
  <c r="AE349" i="4" s="1"/>
  <c r="H422" i="4"/>
  <c r="AB422" i="4" s="1"/>
  <c r="I448" i="4"/>
  <c r="AC448" i="4" s="1"/>
  <c r="H472" i="4"/>
  <c r="AB472" i="4" s="1"/>
  <c r="I399" i="4"/>
  <c r="AC399" i="4" s="1"/>
  <c r="H399" i="4"/>
  <c r="AB399" i="4" s="1"/>
  <c r="H435" i="4"/>
  <c r="AB435" i="4" s="1"/>
  <c r="K462" i="4"/>
  <c r="AE462" i="4" s="1"/>
  <c r="J418" i="4"/>
  <c r="AD418" i="4" s="1"/>
  <c r="J334" i="4"/>
  <c r="AD334" i="4" s="1"/>
  <c r="K392" i="4"/>
  <c r="AE392" i="4" s="1"/>
  <c r="H438" i="4"/>
  <c r="AB438" i="4" s="1"/>
  <c r="I471" i="4"/>
  <c r="AC471" i="4" s="1"/>
  <c r="I483" i="4"/>
  <c r="AC483" i="4" s="1"/>
  <c r="I400" i="4"/>
  <c r="AC400" i="4" s="1"/>
  <c r="I364" i="4"/>
  <c r="AC364" i="4" s="1"/>
  <c r="I328" i="4"/>
  <c r="AC328" i="4" s="1"/>
  <c r="I433" i="4"/>
  <c r="AC433" i="4" s="1"/>
  <c r="I393" i="4"/>
  <c r="AC393" i="4" s="1"/>
  <c r="I357" i="4"/>
  <c r="AC357" i="4" s="1"/>
  <c r="I458" i="4"/>
  <c r="AC458" i="4" s="1"/>
  <c r="I422" i="4"/>
  <c r="AC422" i="4" s="1"/>
  <c r="I378" i="4"/>
  <c r="AC378" i="4" s="1"/>
  <c r="I346" i="4"/>
  <c r="AC346" i="4" s="1"/>
  <c r="H379" i="4"/>
  <c r="AB379" i="4" s="1"/>
  <c r="H470" i="4"/>
  <c r="AB470" i="4" s="1"/>
  <c r="H482" i="4"/>
  <c r="AB482" i="4" s="1"/>
  <c r="H436" i="4"/>
  <c r="AB436" i="4" s="1"/>
  <c r="H400" i="4"/>
  <c r="AB400" i="4" s="1"/>
  <c r="H368" i="4"/>
  <c r="AB368" i="4" s="1"/>
  <c r="H336" i="4"/>
  <c r="AB336" i="4" s="1"/>
  <c r="H449" i="4"/>
  <c r="AB449" i="4" s="1"/>
  <c r="H417" i="4"/>
  <c r="AB417" i="4" s="1"/>
  <c r="H381" i="4"/>
  <c r="AB381" i="4" s="1"/>
  <c r="H349" i="4"/>
  <c r="AB349" i="4" s="1"/>
  <c r="K393" i="4"/>
  <c r="AE393" i="4" s="1"/>
  <c r="K438" i="4"/>
  <c r="AE438" i="4" s="1"/>
  <c r="K390" i="4"/>
  <c r="AE390" i="4" s="1"/>
  <c r="K423" i="4"/>
  <c r="AE423" i="4" s="1"/>
  <c r="H371" i="4"/>
  <c r="AB371" i="4" s="1"/>
  <c r="H479" i="4"/>
  <c r="AB479" i="4" s="1"/>
  <c r="K448" i="4"/>
  <c r="AE448" i="4" s="1"/>
  <c r="H415" i="4"/>
  <c r="AB415" i="4" s="1"/>
  <c r="H462" i="4"/>
  <c r="AB462" i="4" s="1"/>
  <c r="I365" i="4"/>
  <c r="AC365" i="4" s="1"/>
  <c r="H370" i="4"/>
  <c r="AB370" i="4" s="1"/>
  <c r="H375" i="4"/>
  <c r="AB375" i="4" s="1"/>
  <c r="I344" i="4"/>
  <c r="AC344" i="4" s="1"/>
  <c r="H456" i="4"/>
  <c r="AB456" i="4" s="1"/>
  <c r="H450" i="4"/>
  <c r="AB450" i="4" s="1"/>
  <c r="H476" i="4"/>
  <c r="AB476" i="4" s="1"/>
  <c r="L366" i="4"/>
  <c r="AF366" i="4" s="1"/>
  <c r="H402" i="4"/>
  <c r="AB402" i="4" s="1"/>
  <c r="H464" i="4"/>
  <c r="AB464" i="4" s="1"/>
  <c r="I480" i="4"/>
  <c r="AC480" i="4" s="1"/>
  <c r="J385" i="4"/>
  <c r="AD385" i="4" s="1"/>
  <c r="K360" i="4"/>
  <c r="AE360" i="4" s="1"/>
  <c r="H446" i="4"/>
  <c r="AB446" i="4" s="1"/>
  <c r="K484" i="4"/>
  <c r="AE484" i="4" s="1"/>
  <c r="I396" i="4"/>
  <c r="AC396" i="4" s="1"/>
  <c r="I360" i="4"/>
  <c r="AC360" i="4" s="1"/>
  <c r="I429" i="4"/>
  <c r="AC429" i="4" s="1"/>
  <c r="I389" i="4"/>
  <c r="AC389" i="4" s="1"/>
  <c r="I353" i="4"/>
  <c r="AC353" i="4" s="1"/>
  <c r="I450" i="4"/>
  <c r="AC450" i="4" s="1"/>
  <c r="I418" i="4"/>
  <c r="AC418" i="4" s="1"/>
  <c r="I374" i="4"/>
  <c r="AC374" i="4" s="1"/>
  <c r="I342" i="4"/>
  <c r="AC342" i="4" s="1"/>
  <c r="I343" i="4"/>
  <c r="AC343" i="4" s="1"/>
  <c r="H382" i="4"/>
  <c r="AB382" i="4" s="1"/>
  <c r="K417" i="4"/>
  <c r="AE417" i="4" s="1"/>
  <c r="J471" i="4"/>
  <c r="AD471" i="4" s="1"/>
  <c r="H432" i="4"/>
  <c r="AB432" i="4" s="1"/>
  <c r="H396" i="4"/>
  <c r="AB396" i="4" s="1"/>
  <c r="H364" i="4"/>
  <c r="AB364" i="4" s="1"/>
  <c r="H332" i="4"/>
  <c r="AB332" i="4" s="1"/>
  <c r="H445" i="4"/>
  <c r="AB445" i="4" s="1"/>
  <c r="H413" i="4"/>
  <c r="AB413" i="4" s="1"/>
  <c r="H377" i="4"/>
  <c r="AB377" i="4" s="1"/>
  <c r="H345" i="4"/>
  <c r="AB345" i="4" s="1"/>
  <c r="H359" i="4"/>
  <c r="AB359" i="4" s="1"/>
  <c r="I465" i="4"/>
  <c r="AC465" i="4" s="1"/>
  <c r="K385" i="4"/>
  <c r="AE385" i="4" s="1"/>
  <c r="K434" i="4"/>
  <c r="AE434" i="4" s="1"/>
  <c r="K386" i="4"/>
  <c r="AE386" i="4" s="1"/>
  <c r="K415" i="4"/>
  <c r="AE415" i="4" s="1"/>
  <c r="I464" i="4"/>
  <c r="AC464" i="4" s="1"/>
  <c r="K432" i="4"/>
  <c r="AE432" i="4" s="1"/>
  <c r="H386" i="4"/>
  <c r="AB386" i="4" s="1"/>
  <c r="K475" i="4"/>
  <c r="AE475" i="4" s="1"/>
  <c r="H423" i="4"/>
  <c r="AB423" i="4" s="1"/>
  <c r="K425" i="4"/>
  <c r="AE425" i="4" s="1"/>
  <c r="H395" i="4"/>
  <c r="AB395" i="4" s="1"/>
  <c r="H420" i="4"/>
  <c r="AB420" i="4" s="1"/>
  <c r="H365" i="4"/>
  <c r="AB365" i="4" s="1"/>
  <c r="H331" i="4"/>
  <c r="AB331" i="4" s="1"/>
  <c r="I424" i="4"/>
  <c r="AC424" i="4" s="1"/>
  <c r="I456" i="4"/>
  <c r="AC456" i="4" s="1"/>
  <c r="H480" i="4"/>
  <c r="AB480" i="4" s="1"/>
  <c r="L334" i="4"/>
  <c r="AF334" i="4" s="1"/>
  <c r="J344" i="4"/>
  <c r="AD344" i="4" s="1"/>
  <c r="I363" i="4"/>
  <c r="AC363" i="4" s="1"/>
  <c r="H443" i="4"/>
  <c r="AB443" i="4" s="1"/>
  <c r="K481" i="4"/>
  <c r="AE481" i="4" s="1"/>
  <c r="I367" i="4"/>
  <c r="AC367" i="4" s="1"/>
  <c r="I403" i="4"/>
  <c r="AC403" i="4" s="1"/>
  <c r="I475" i="4"/>
  <c r="AC475" i="4" s="1"/>
  <c r="I392" i="4"/>
  <c r="AC392" i="4" s="1"/>
  <c r="I356" i="4"/>
  <c r="AC356" i="4" s="1"/>
  <c r="I425" i="4"/>
  <c r="AC425" i="4" s="1"/>
  <c r="I385" i="4"/>
  <c r="AC385" i="4" s="1"/>
  <c r="I349" i="4"/>
  <c r="AC349" i="4" s="1"/>
  <c r="I446" i="4"/>
  <c r="AC446" i="4" s="1"/>
  <c r="I402" i="4"/>
  <c r="AC402" i="4" s="1"/>
  <c r="I370" i="4"/>
  <c r="AC370" i="4" s="1"/>
  <c r="I334" i="4"/>
  <c r="AC334" i="4" s="1"/>
  <c r="H347" i="4"/>
  <c r="AB347" i="4" s="1"/>
  <c r="I420" i="4"/>
  <c r="AC420" i="4" s="1"/>
  <c r="I444" i="4"/>
  <c r="AC444" i="4" s="1"/>
  <c r="H474" i="4"/>
  <c r="AB474" i="4" s="1"/>
  <c r="H428" i="4"/>
  <c r="AB428" i="4" s="1"/>
  <c r="H392" i="4"/>
  <c r="AB392" i="4" s="1"/>
  <c r="H360" i="4"/>
  <c r="AB360" i="4" s="1"/>
  <c r="H328" i="4"/>
  <c r="AB328" i="4" s="1"/>
  <c r="H441" i="4"/>
  <c r="AB441" i="4" s="1"/>
  <c r="H409" i="4"/>
  <c r="AB409" i="4" s="1"/>
  <c r="H373" i="4"/>
  <c r="AB373" i="4" s="1"/>
  <c r="H341" i="4"/>
  <c r="AB341" i="4" s="1"/>
  <c r="I379" i="4"/>
  <c r="AC379" i="4" s="1"/>
  <c r="H362" i="4"/>
  <c r="AB362" i="4" s="1"/>
  <c r="K466" i="4"/>
  <c r="AE466" i="4" s="1"/>
  <c r="K369" i="4"/>
  <c r="AE369" i="4" s="1"/>
  <c r="K426" i="4"/>
  <c r="AE426" i="4" s="1"/>
  <c r="K382" i="4"/>
  <c r="AE382" i="4" s="1"/>
  <c r="H394" i="4"/>
  <c r="AB394" i="4" s="1"/>
  <c r="K471" i="4"/>
  <c r="AE471" i="4" s="1"/>
  <c r="H383" i="4"/>
  <c r="AB383" i="4" s="1"/>
  <c r="I421" i="4"/>
  <c r="AC421" i="4" s="1"/>
  <c r="J425" i="4"/>
  <c r="AD425" i="4" s="1"/>
  <c r="I482" i="4"/>
  <c r="AC482" i="4" s="1"/>
  <c r="I410" i="4"/>
  <c r="AC410" i="4" s="1"/>
  <c r="J357" i="4"/>
  <c r="AD357" i="4" s="1"/>
  <c r="J467" i="4"/>
  <c r="AD467" i="4" s="1"/>
  <c r="K463" i="4"/>
  <c r="AE463" i="4" s="1"/>
  <c r="L346" i="4"/>
  <c r="AF346" i="4" s="1"/>
  <c r="L377" i="4"/>
  <c r="AF377" i="4" s="1"/>
  <c r="J347" i="4"/>
  <c r="AD347" i="4" s="1"/>
  <c r="I347" i="4"/>
  <c r="AC347" i="4" s="1"/>
  <c r="G11" i="12"/>
  <c r="J463" i="4"/>
  <c r="AD463" i="4" s="1"/>
  <c r="J349" i="4"/>
  <c r="AD349" i="4" s="1"/>
  <c r="K377" i="4"/>
  <c r="AE377" i="4" s="1"/>
  <c r="K346" i="4"/>
  <c r="AE346" i="4" s="1"/>
  <c r="L352" i="4"/>
  <c r="AF352" i="4" s="1"/>
  <c r="J352" i="4"/>
  <c r="AD352" i="4" s="1"/>
  <c r="K352" i="4"/>
  <c r="AE352" i="4" s="1"/>
  <c r="L357" i="4"/>
  <c r="AF357" i="4" s="1"/>
  <c r="K467" i="4"/>
  <c r="AE467" i="4" s="1"/>
  <c r="H274" i="4"/>
  <c r="AB274" i="4" s="1"/>
  <c r="K347" i="4"/>
  <c r="AE347" i="4" s="1"/>
  <c r="I459" i="4"/>
  <c r="AC459" i="4" s="1"/>
  <c r="J377" i="4"/>
  <c r="AD377" i="4" s="1"/>
  <c r="I467" i="4"/>
  <c r="AC467" i="4" s="1"/>
  <c r="I352" i="4"/>
  <c r="AC352" i="4" s="1"/>
  <c r="I454" i="4"/>
  <c r="AC454" i="4" s="1"/>
  <c r="K357" i="4"/>
  <c r="AE357" i="4" s="1"/>
  <c r="H165" i="4"/>
  <c r="AB165" i="4" s="1"/>
  <c r="I338" i="4"/>
  <c r="AC338" i="4" s="1"/>
  <c r="K424" i="4"/>
  <c r="AE424" i="4" s="1"/>
  <c r="K408" i="4"/>
  <c r="AE408" i="4" s="1"/>
  <c r="H442" i="4"/>
  <c r="AB442" i="4" s="1"/>
  <c r="H407" i="4"/>
  <c r="AB407" i="4" s="1"/>
  <c r="H431" i="4"/>
  <c r="AB431" i="4" s="1"/>
  <c r="H471" i="4"/>
  <c r="AB471" i="4" s="1"/>
  <c r="H481" i="4"/>
  <c r="AB481" i="4" s="1"/>
  <c r="H458" i="4"/>
  <c r="AB458" i="4" s="1"/>
  <c r="I431" i="4"/>
  <c r="AC431" i="4" s="1"/>
  <c r="K368" i="4"/>
  <c r="AE368" i="4" s="1"/>
  <c r="H467" i="4"/>
  <c r="AB467" i="4" s="1"/>
  <c r="H354" i="4"/>
  <c r="AB354" i="4" s="1"/>
  <c r="H434" i="4"/>
  <c r="AB434" i="4" s="1"/>
  <c r="H339" i="4"/>
  <c r="AB339" i="4" s="1"/>
  <c r="H403" i="4"/>
  <c r="AB403" i="4" s="1"/>
  <c r="I383" i="4"/>
  <c r="AC383" i="4" s="1"/>
  <c r="I439" i="4"/>
  <c r="AC439" i="4" s="1"/>
  <c r="G153" i="4"/>
  <c r="AA153" i="4" s="1"/>
  <c r="G446" i="4"/>
  <c r="AA446" i="4" s="1"/>
  <c r="G468" i="4"/>
  <c r="AA468" i="4" s="1"/>
  <c r="G473" i="4"/>
  <c r="AA473" i="4" s="1"/>
  <c r="G314" i="4"/>
  <c r="AA314" i="4" s="1"/>
  <c r="G14" i="4"/>
  <c r="AA14" i="4" s="1"/>
  <c r="H483" i="4"/>
  <c r="AB483" i="4" s="1"/>
  <c r="H477" i="4"/>
  <c r="AB477" i="4" s="1"/>
  <c r="L462" i="4"/>
  <c r="AF462" i="4" s="1"/>
  <c r="H447" i="4"/>
  <c r="AB447" i="4" s="1"/>
  <c r="H473" i="4"/>
  <c r="AB473" i="4" s="1"/>
  <c r="L384" i="4"/>
  <c r="AF384" i="4" s="1"/>
  <c r="H355" i="4"/>
  <c r="AB355" i="4" s="1"/>
  <c r="L428" i="4"/>
  <c r="AF428" i="4" s="1"/>
  <c r="G11" i="11"/>
  <c r="H11" i="11"/>
  <c r="F11" i="11"/>
  <c r="P8" i="4"/>
  <c r="S8" i="4"/>
  <c r="R8" i="4"/>
  <c r="Q8" i="4"/>
  <c r="O8" i="4"/>
  <c r="P183" i="4" l="1"/>
  <c r="P127" i="4"/>
  <c r="O14" i="4"/>
  <c r="O269" i="4"/>
  <c r="R221" i="4"/>
  <c r="R230" i="4"/>
  <c r="O221" i="4"/>
  <c r="Q127" i="4"/>
  <c r="P267" i="4"/>
  <c r="O283" i="4"/>
  <c r="Q308" i="4"/>
  <c r="Q120" i="4"/>
  <c r="P227" i="4"/>
  <c r="O183" i="4"/>
  <c r="O15" i="4"/>
  <c r="P189" i="4"/>
  <c r="R14" i="4"/>
  <c r="O151" i="4"/>
  <c r="P14" i="4"/>
  <c r="Q269" i="4"/>
  <c r="P269" i="4"/>
  <c r="Q82" i="4"/>
  <c r="R171" i="4"/>
  <c r="Q227" i="4"/>
  <c r="R317" i="4"/>
  <c r="E82" i="7"/>
  <c r="G82" i="7" s="1"/>
  <c r="G84" i="7" s="1"/>
  <c r="D9" i="20" s="1"/>
  <c r="D10" i="20" s="1"/>
  <c r="E25" i="20" s="1"/>
  <c r="F25" i="20" s="1"/>
  <c r="P130" i="4"/>
  <c r="R293" i="4"/>
  <c r="P310" i="4"/>
  <c r="O108" i="4"/>
  <c r="P108" i="4"/>
  <c r="Q250" i="4"/>
  <c r="Q243" i="4"/>
  <c r="P242" i="4"/>
  <c r="R37" i="4"/>
  <c r="O197" i="4"/>
  <c r="P211" i="4"/>
  <c r="O142" i="4"/>
  <c r="R301" i="4"/>
  <c r="R122" i="4"/>
  <c r="Q210" i="4"/>
  <c r="R229" i="4"/>
  <c r="O111" i="4"/>
  <c r="Q71" i="4"/>
  <c r="Q37" i="4"/>
  <c r="P147" i="4"/>
  <c r="P64" i="4"/>
  <c r="R303" i="4"/>
  <c r="R323" i="4"/>
  <c r="R245" i="4"/>
  <c r="R144" i="4"/>
  <c r="O293" i="4"/>
  <c r="O96" i="4"/>
  <c r="Q196" i="4"/>
  <c r="Q43" i="4"/>
  <c r="P318" i="4"/>
  <c r="P315" i="4"/>
  <c r="P182" i="4"/>
  <c r="P21" i="4"/>
  <c r="P74" i="4"/>
  <c r="P40" i="4"/>
  <c r="R108" i="4"/>
  <c r="O147" i="4"/>
  <c r="O21" i="4"/>
  <c r="O64" i="4"/>
  <c r="P70" i="4"/>
  <c r="R189" i="4"/>
  <c r="R60" i="4"/>
  <c r="O247" i="4"/>
  <c r="O98" i="4"/>
  <c r="Q180" i="4"/>
  <c r="Q64" i="4"/>
  <c r="P96" i="4"/>
  <c r="P237" i="4"/>
  <c r="R256" i="4"/>
  <c r="R203" i="4"/>
  <c r="O322" i="4"/>
  <c r="O243" i="4"/>
  <c r="O144" i="4"/>
  <c r="Q256" i="4"/>
  <c r="Q69" i="4"/>
  <c r="H195" i="4"/>
  <c r="AB195" i="4" s="1"/>
  <c r="P238" i="4"/>
  <c r="P144" i="4"/>
  <c r="R73" i="4"/>
  <c r="H303" i="4"/>
  <c r="AB303" i="4" s="1"/>
  <c r="H146" i="4"/>
  <c r="AB146" i="4" s="1"/>
  <c r="P142" i="4"/>
  <c r="P178" i="4"/>
  <c r="R305" i="4"/>
  <c r="R147" i="4"/>
  <c r="R158" i="4"/>
  <c r="R69" i="4"/>
  <c r="O238" i="4"/>
  <c r="O182" i="4"/>
  <c r="O63" i="4"/>
  <c r="Q279" i="4"/>
  <c r="Q146" i="4"/>
  <c r="K8" i="4"/>
  <c r="K452" i="4" s="1"/>
  <c r="AE452" i="4" s="1"/>
  <c r="I8" i="4"/>
  <c r="I414" i="4" s="1"/>
  <c r="AC414" i="4" s="1"/>
  <c r="L8" i="4"/>
  <c r="J8" i="4"/>
  <c r="J91" i="4" s="1"/>
  <c r="AD91" i="4" s="1"/>
  <c r="H8" i="4"/>
  <c r="H455" i="4" s="1"/>
  <c r="AB455" i="4" s="1"/>
  <c r="G8" i="4"/>
  <c r="G100" i="4" s="1"/>
  <c r="AA100" i="4" s="1"/>
  <c r="P289" i="4"/>
  <c r="R79" i="4"/>
  <c r="O202" i="4"/>
  <c r="O152" i="4"/>
  <c r="Q255" i="4"/>
  <c r="Q189" i="4"/>
  <c r="Q126" i="4"/>
  <c r="Q77" i="4"/>
  <c r="P152" i="4"/>
  <c r="R262" i="4"/>
  <c r="O321" i="4"/>
  <c r="O162" i="4"/>
  <c r="Q150" i="4"/>
  <c r="P77" i="4"/>
  <c r="R72" i="4"/>
  <c r="O95" i="4"/>
  <c r="H191" i="4"/>
  <c r="AB191" i="4" s="1"/>
  <c r="R75" i="4"/>
  <c r="O181" i="4"/>
  <c r="Q181" i="4"/>
  <c r="H166" i="4"/>
  <c r="AB166" i="4" s="1"/>
  <c r="P246" i="4"/>
  <c r="P255" i="4"/>
  <c r="P324" i="4"/>
  <c r="P150" i="4"/>
  <c r="P265" i="4"/>
  <c r="P203" i="4"/>
  <c r="P49" i="4"/>
  <c r="P117" i="4"/>
  <c r="P173" i="4"/>
  <c r="P79" i="4"/>
  <c r="P72" i="4"/>
  <c r="R220" i="4"/>
  <c r="R191" i="4"/>
  <c r="R66" i="4"/>
  <c r="R201" i="4"/>
  <c r="R74" i="4"/>
  <c r="R146" i="4"/>
  <c r="R28" i="4"/>
  <c r="R49" i="4"/>
  <c r="O219" i="4"/>
  <c r="O220" i="4"/>
  <c r="O265" i="4"/>
  <c r="O166" i="4"/>
  <c r="O203" i="4"/>
  <c r="O173" i="4"/>
  <c r="O75" i="4"/>
  <c r="O72" i="4"/>
  <c r="Q246" i="4"/>
  <c r="Q157" i="4"/>
  <c r="Q142" i="4"/>
  <c r="Q31" i="4"/>
  <c r="Q49" i="4"/>
  <c r="P95" i="4"/>
  <c r="O77" i="4"/>
  <c r="O79" i="4"/>
  <c r="R255" i="4"/>
  <c r="R219" i="4"/>
  <c r="R324" i="4"/>
  <c r="R195" i="4"/>
  <c r="R289" i="4"/>
  <c r="R250" i="4"/>
  <c r="R22" i="4"/>
  <c r="R197" i="4"/>
  <c r="R38" i="4"/>
  <c r="R142" i="4"/>
  <c r="R43" i="4"/>
  <c r="R45" i="4"/>
  <c r="O323" i="4"/>
  <c r="O253" i="4"/>
  <c r="O195" i="4"/>
  <c r="O49" i="4"/>
  <c r="O117" i="4"/>
  <c r="O157" i="4"/>
  <c r="O74" i="4"/>
  <c r="Q219" i="4"/>
  <c r="Q313" i="4"/>
  <c r="Q242" i="4"/>
  <c r="Q74" i="4"/>
  <c r="Q38" i="4"/>
  <c r="Q19" i="4"/>
  <c r="Q45" i="4"/>
  <c r="R150" i="4"/>
  <c r="Q220" i="4"/>
  <c r="P66" i="4"/>
  <c r="P243" i="4"/>
  <c r="R320" i="4"/>
  <c r="R163" i="4"/>
  <c r="R265" i="4"/>
  <c r="R246" i="4"/>
  <c r="R196" i="4"/>
  <c r="R206" i="4"/>
  <c r="R126" i="4"/>
  <c r="R31" i="4"/>
  <c r="R117" i="4"/>
  <c r="O324" i="4"/>
  <c r="O158" i="4"/>
  <c r="O191" i="4"/>
  <c r="O196" i="4"/>
  <c r="O85" i="4"/>
  <c r="O66" i="4"/>
  <c r="O43" i="4"/>
  <c r="Q305" i="4"/>
  <c r="Q211" i="4"/>
  <c r="Q156" i="4"/>
  <c r="P166" i="4"/>
  <c r="P247" i="4"/>
  <c r="P320" i="4"/>
  <c r="P75" i="4"/>
  <c r="P292" i="4"/>
  <c r="P202" i="4"/>
  <c r="P158" i="4"/>
  <c r="P191" i="4"/>
  <c r="P196" i="4"/>
  <c r="P69" i="4"/>
  <c r="P157" i="4"/>
  <c r="P250" i="4"/>
  <c r="P323" i="4"/>
  <c r="P284" i="4"/>
  <c r="P313" i="4"/>
  <c r="P172" i="4"/>
  <c r="P73" i="4"/>
  <c r="P42" i="4"/>
  <c r="P43" i="4"/>
  <c r="P36" i="4"/>
  <c r="R243" i="4"/>
  <c r="R292" i="4"/>
  <c r="R325" i="4"/>
  <c r="R242" i="4"/>
  <c r="R181" i="4"/>
  <c r="R202" i="4"/>
  <c r="R19" i="4"/>
  <c r="R89" i="4"/>
  <c r="R25" i="4"/>
  <c r="O250" i="4"/>
  <c r="O303" i="4"/>
  <c r="O320" i="4"/>
  <c r="O313" i="4"/>
  <c r="O73" i="4"/>
  <c r="O154" i="4"/>
  <c r="O176" i="4"/>
  <c r="O69" i="4"/>
  <c r="O45" i="4"/>
  <c r="O38" i="4"/>
  <c r="O31" i="4"/>
  <c r="Q323" i="4"/>
  <c r="Q324" i="4"/>
  <c r="Q289" i="4"/>
  <c r="Q191" i="4"/>
  <c r="Q152" i="4"/>
  <c r="Q202" i="4"/>
  <c r="Q123" i="4"/>
  <c r="Q96" i="4"/>
  <c r="Q29" i="4"/>
  <c r="P45" i="4"/>
  <c r="P195" i="4"/>
  <c r="P219" i="4"/>
  <c r="P305" i="4"/>
  <c r="P179" i="4"/>
  <c r="P201" i="4"/>
  <c r="P25" i="4"/>
  <c r="P38" i="4"/>
  <c r="P31" i="4"/>
  <c r="P28" i="4"/>
  <c r="R247" i="4"/>
  <c r="R284" i="4"/>
  <c r="R156" i="4"/>
  <c r="R173" i="4"/>
  <c r="R182" i="4"/>
  <c r="R85" i="4"/>
  <c r="R21" i="4"/>
  <c r="O246" i="4"/>
  <c r="O292" i="4"/>
  <c r="O305" i="4"/>
  <c r="O150" i="4"/>
  <c r="O179" i="4"/>
  <c r="O172" i="4"/>
  <c r="O19" i="4"/>
  <c r="Q303" i="4"/>
  <c r="Q179" i="4"/>
  <c r="Q182" i="4"/>
  <c r="Q95" i="4"/>
  <c r="Q25" i="4"/>
  <c r="P181" i="4"/>
  <c r="O126" i="4"/>
  <c r="P85" i="4"/>
  <c r="H74" i="4"/>
  <c r="AB74" i="4" s="1"/>
  <c r="H157" i="4"/>
  <c r="AB157" i="4" s="1"/>
  <c r="P303" i="4"/>
  <c r="P206" i="4"/>
  <c r="P256" i="4"/>
  <c r="P301" i="4"/>
  <c r="P146" i="4"/>
  <c r="P163" i="4"/>
  <c r="P156" i="4"/>
  <c r="P197" i="4"/>
  <c r="P126" i="4"/>
  <c r="P22" i="4"/>
  <c r="P19" i="4"/>
  <c r="R264" i="4"/>
  <c r="R313" i="4"/>
  <c r="R179" i="4"/>
  <c r="R152" i="4"/>
  <c r="R157" i="4"/>
  <c r="R166" i="4"/>
  <c r="R95" i="4"/>
  <c r="R96" i="4"/>
  <c r="R77" i="4"/>
  <c r="O242" i="4"/>
  <c r="O255" i="4"/>
  <c r="O284" i="4"/>
  <c r="O206" i="4"/>
  <c r="O146" i="4"/>
  <c r="O163" i="4"/>
  <c r="O156" i="4"/>
  <c r="O201" i="4"/>
  <c r="O25" i="4"/>
  <c r="Q265" i="4"/>
  <c r="Q171" i="4"/>
  <c r="Q201" i="4"/>
  <c r="Q158" i="4"/>
  <c r="Q75" i="4"/>
  <c r="Q117" i="4"/>
  <c r="P27" i="4"/>
  <c r="R253" i="4"/>
  <c r="Q27" i="4"/>
  <c r="P253" i="4"/>
  <c r="P235" i="4"/>
  <c r="Q235" i="4"/>
  <c r="Q190" i="4"/>
  <c r="J190" i="4"/>
  <c r="AD190" i="4" s="1"/>
  <c r="P190" i="4"/>
  <c r="R211" i="4"/>
  <c r="R172" i="4"/>
  <c r="O235" i="4"/>
  <c r="O190" i="4"/>
  <c r="O103" i="4"/>
  <c r="Q228" i="4"/>
  <c r="Q197" i="4"/>
  <c r="P62" i="4"/>
  <c r="R235" i="4"/>
  <c r="R190" i="4"/>
  <c r="R62" i="4"/>
  <c r="R27" i="4"/>
  <c r="Q62" i="4"/>
  <c r="J62" i="10"/>
  <c r="E74" i="7"/>
  <c r="G74" i="7" s="1"/>
  <c r="E73" i="7"/>
  <c r="G73" i="7" s="1"/>
  <c r="M62" i="10"/>
  <c r="K62" i="10"/>
  <c r="N41" i="10"/>
  <c r="L62" i="10"/>
  <c r="K41" i="10"/>
  <c r="L41" i="10"/>
  <c r="M41" i="10"/>
  <c r="R244" i="4"/>
  <c r="O193" i="4"/>
  <c r="O27" i="4"/>
  <c r="O20" i="4"/>
  <c r="Q264" i="4"/>
  <c r="Q122" i="4"/>
  <c r="Q79" i="4"/>
  <c r="R294" i="4"/>
  <c r="R83" i="4"/>
  <c r="R167" i="4"/>
  <c r="Q155" i="4"/>
  <c r="O84" i="4"/>
  <c r="Q119" i="4"/>
  <c r="P88" i="4"/>
  <c r="R119" i="4"/>
  <c r="O244" i="4"/>
  <c r="O273" i="4"/>
  <c r="O37" i="4"/>
  <c r="P205" i="4"/>
  <c r="R216" i="4"/>
  <c r="R205" i="4"/>
  <c r="Q83" i="4"/>
  <c r="P175" i="4"/>
  <c r="P76" i="4"/>
  <c r="O110" i="4"/>
  <c r="O93" i="4"/>
  <c r="O175" i="4"/>
  <c r="H240" i="4"/>
  <c r="AB240" i="4" s="1"/>
  <c r="O215" i="4"/>
  <c r="O76" i="4"/>
  <c r="R42" i="4"/>
  <c r="R36" i="4"/>
  <c r="O301" i="4"/>
  <c r="O207" i="4"/>
  <c r="Q316" i="4"/>
  <c r="Q325" i="4"/>
  <c r="Q147" i="4"/>
  <c r="Q206" i="4"/>
  <c r="Q134" i="4"/>
  <c r="Q72" i="4"/>
  <c r="P231" i="4"/>
  <c r="Q207" i="4"/>
  <c r="H169" i="4"/>
  <c r="AB169" i="4" s="1"/>
  <c r="E11" i="11"/>
  <c r="R231" i="4"/>
  <c r="R187" i="4"/>
  <c r="O232" i="4"/>
  <c r="O62" i="4"/>
  <c r="Q231" i="4"/>
  <c r="Q292" i="4"/>
  <c r="Q253" i="4"/>
  <c r="Q165" i="4"/>
  <c r="Q35" i="4"/>
  <c r="Q28" i="4"/>
  <c r="R132" i="4"/>
  <c r="Q288" i="4"/>
  <c r="P161" i="4"/>
  <c r="R169" i="4"/>
  <c r="O169" i="4"/>
  <c r="Q132" i="4"/>
  <c r="R314" i="4"/>
  <c r="R56" i="4"/>
  <c r="O288" i="4"/>
  <c r="O161" i="4"/>
  <c r="H231" i="4"/>
  <c r="AB231" i="4" s="1"/>
  <c r="P314" i="4"/>
  <c r="Q297" i="4"/>
  <c r="Q65" i="4"/>
  <c r="P51" i="4"/>
  <c r="R288" i="4"/>
  <c r="Q236" i="4"/>
  <c r="K277" i="2"/>
  <c r="I276" i="4" s="1"/>
  <c r="AC276" i="4" s="1"/>
  <c r="O276" i="4"/>
  <c r="K240" i="2"/>
  <c r="O239" i="4"/>
  <c r="K144" i="2"/>
  <c r="O143" i="4"/>
  <c r="M59" i="2"/>
  <c r="Q58" i="4"/>
  <c r="K186" i="2"/>
  <c r="O185" i="4"/>
  <c r="K58" i="2"/>
  <c r="O57" i="4"/>
  <c r="H57" i="4"/>
  <c r="AB57" i="4" s="1"/>
  <c r="K116" i="2"/>
  <c r="O115" i="4"/>
  <c r="P309" i="4"/>
  <c r="K69" i="2"/>
  <c r="O68" i="4"/>
  <c r="K287" i="2"/>
  <c r="H286" i="4"/>
  <c r="AB286" i="4" s="1"/>
  <c r="K154" i="2"/>
  <c r="O153" i="4"/>
  <c r="K313" i="2"/>
  <c r="O312" i="4"/>
  <c r="M235" i="2"/>
  <c r="Q234" i="4"/>
  <c r="L216" i="2"/>
  <c r="P215" i="4"/>
  <c r="K117" i="2"/>
  <c r="O116" i="4"/>
  <c r="K307" i="2"/>
  <c r="O306" i="4"/>
  <c r="K255" i="2"/>
  <c r="O254" i="4"/>
  <c r="K187" i="2"/>
  <c r="O186" i="4"/>
  <c r="K102" i="2"/>
  <c r="O101" i="4"/>
  <c r="K262" i="2"/>
  <c r="O261" i="4"/>
  <c r="M176" i="2"/>
  <c r="Q175" i="4"/>
  <c r="K291" i="2"/>
  <c r="O290" i="4"/>
  <c r="K189" i="2"/>
  <c r="O188" i="4"/>
  <c r="K107" i="2"/>
  <c r="O106" i="4"/>
  <c r="K35" i="2"/>
  <c r="O34" i="4"/>
  <c r="L267" i="2"/>
  <c r="P266" i="4"/>
  <c r="K223" i="2"/>
  <c r="H222" i="4"/>
  <c r="AB222" i="4" s="1"/>
  <c r="O222" i="4"/>
  <c r="K129" i="2"/>
  <c r="O128" i="4"/>
  <c r="N77" i="2"/>
  <c r="S76" i="4" s="1"/>
  <c r="R76" i="4"/>
  <c r="K34" i="2"/>
  <c r="O33" i="4"/>
  <c r="K305" i="2"/>
  <c r="O304" i="4"/>
  <c r="K213" i="2"/>
  <c r="I212" i="4" s="1"/>
  <c r="AC212" i="4" s="1"/>
  <c r="O212" i="4"/>
  <c r="K165" i="2"/>
  <c r="O164" i="4"/>
  <c r="K119" i="2"/>
  <c r="O118" i="4"/>
  <c r="K55" i="2"/>
  <c r="O54" i="4"/>
  <c r="K278" i="2"/>
  <c r="O277" i="4"/>
  <c r="K227" i="2"/>
  <c r="O226" i="4"/>
  <c r="K150" i="2"/>
  <c r="O149" i="4"/>
  <c r="K95" i="2"/>
  <c r="O94" i="4"/>
  <c r="P234" i="4"/>
  <c r="P110" i="4"/>
  <c r="P124" i="4"/>
  <c r="P44" i="4"/>
  <c r="O240" i="4"/>
  <c r="Q271" i="4"/>
  <c r="M310" i="2"/>
  <c r="Q309" i="4"/>
  <c r="K219" i="2"/>
  <c r="O218" i="4"/>
  <c r="P168" i="4"/>
  <c r="R271" i="4"/>
  <c r="O168" i="4"/>
  <c r="L241" i="2"/>
  <c r="P240" i="4"/>
  <c r="N45" i="2"/>
  <c r="S44" i="4" s="1"/>
  <c r="R44" i="4"/>
  <c r="H312" i="4"/>
  <c r="AB312" i="4" s="1"/>
  <c r="O234" i="4"/>
  <c r="O271" i="4"/>
  <c r="Q76" i="4"/>
  <c r="L312" i="2"/>
  <c r="P311" i="4"/>
  <c r="K122" i="2"/>
  <c r="O121" i="4"/>
  <c r="K27" i="2"/>
  <c r="O26" i="4"/>
  <c r="K303" i="2"/>
  <c r="O302" i="4"/>
  <c r="K113" i="2"/>
  <c r="O112" i="4"/>
  <c r="K40" i="2"/>
  <c r="O39" i="4"/>
  <c r="H39" i="4"/>
  <c r="AB39" i="4" s="1"/>
  <c r="O311" i="4"/>
  <c r="P58" i="4"/>
  <c r="N111" i="2"/>
  <c r="S110" i="4" s="1"/>
  <c r="R110" i="4"/>
  <c r="H175" i="4"/>
  <c r="AB175" i="4" s="1"/>
  <c r="O286" i="4"/>
  <c r="O44" i="4"/>
  <c r="Q110" i="4"/>
  <c r="K126" i="2"/>
  <c r="O125" i="4"/>
  <c r="K273" i="2"/>
  <c r="O272" i="4"/>
  <c r="K234" i="2"/>
  <c r="H233" i="4"/>
  <c r="AB233" i="4" s="1"/>
  <c r="O233" i="4"/>
  <c r="O309" i="4"/>
  <c r="K225" i="2"/>
  <c r="O224" i="4"/>
  <c r="P271" i="4"/>
  <c r="O124" i="4"/>
  <c r="M169" i="2"/>
  <c r="Q168" i="4"/>
  <c r="K48" i="2"/>
  <c r="H47" i="4"/>
  <c r="AB47" i="4" s="1"/>
  <c r="K114" i="2"/>
  <c r="O113" i="4"/>
  <c r="M125" i="2"/>
  <c r="Q124" i="4"/>
  <c r="L94" i="2"/>
  <c r="P93" i="4"/>
  <c r="K31" i="2"/>
  <c r="O30" i="4"/>
  <c r="H239" i="4"/>
  <c r="AB239" i="4" s="1"/>
  <c r="H276" i="4"/>
  <c r="AB276" i="4" s="1"/>
  <c r="O266" i="4"/>
  <c r="O58" i="4"/>
  <c r="Q44" i="4"/>
  <c r="H111" i="4"/>
  <c r="AB111" i="4" s="1"/>
  <c r="P275" i="4"/>
  <c r="P207" i="4"/>
  <c r="P29" i="4"/>
  <c r="P169" i="4"/>
  <c r="P89" i="4"/>
  <c r="P80" i="4"/>
  <c r="R319" i="4"/>
  <c r="R207" i="4"/>
  <c r="R176" i="4"/>
  <c r="R140" i="4"/>
  <c r="R217" i="4"/>
  <c r="R177" i="4"/>
  <c r="R51" i="4"/>
  <c r="O282" i="4"/>
  <c r="O263" i="4"/>
  <c r="O89" i="4"/>
  <c r="O236" i="4"/>
  <c r="O65" i="4"/>
  <c r="O132" i="4"/>
  <c r="O165" i="4"/>
  <c r="O51" i="4"/>
  <c r="O80" i="4"/>
  <c r="O24" i="4"/>
  <c r="Q275" i="4"/>
  <c r="Q273" i="4"/>
  <c r="Q314" i="4"/>
  <c r="Q140" i="4"/>
  <c r="Q161" i="4"/>
  <c r="Q80" i="4"/>
  <c r="Q51" i="4"/>
  <c r="Q263" i="4"/>
  <c r="H263" i="4"/>
  <c r="AB263" i="4" s="1"/>
  <c r="P282" i="4"/>
  <c r="P319" i="4"/>
  <c r="P263" i="4"/>
  <c r="P229" i="4"/>
  <c r="P86" i="4"/>
  <c r="P123" i="4"/>
  <c r="P24" i="4"/>
  <c r="R275" i="4"/>
  <c r="R280" i="4"/>
  <c r="R236" i="4"/>
  <c r="R321" i="4"/>
  <c r="R225" i="4"/>
  <c r="R165" i="4"/>
  <c r="R104" i="4"/>
  <c r="R48" i="4"/>
  <c r="R29" i="4"/>
  <c r="O314" i="4"/>
  <c r="O258" i="4"/>
  <c r="O208" i="4"/>
  <c r="O160" i="4"/>
  <c r="O90" i="4"/>
  <c r="Q319" i="4"/>
  <c r="Q280" i="4"/>
  <c r="Q232" i="4"/>
  <c r="Q114" i="4"/>
  <c r="P274" i="4"/>
  <c r="P288" i="4"/>
  <c r="P236" i="4"/>
  <c r="P325" i="4"/>
  <c r="P273" i="4"/>
  <c r="P225" i="4"/>
  <c r="P187" i="4"/>
  <c r="P184" i="4"/>
  <c r="P78" i="4"/>
  <c r="R232" i="4"/>
  <c r="R273" i="4"/>
  <c r="R208" i="4"/>
  <c r="R160" i="4"/>
  <c r="R161" i="4"/>
  <c r="R65" i="4"/>
  <c r="O299" i="4"/>
  <c r="O260" i="4"/>
  <c r="O86" i="4"/>
  <c r="Q187" i="4"/>
  <c r="Q86" i="4"/>
  <c r="Q111" i="4"/>
  <c r="Q53" i="4"/>
  <c r="H210" i="4"/>
  <c r="AB210" i="4" s="1"/>
  <c r="P258" i="4"/>
  <c r="P232" i="4"/>
  <c r="P321" i="4"/>
  <c r="P97" i="4"/>
  <c r="P176" i="4"/>
  <c r="P140" i="4"/>
  <c r="P53" i="4"/>
  <c r="P111" i="4"/>
  <c r="P104" i="4"/>
  <c r="P56" i="4"/>
  <c r="R299" i="4"/>
  <c r="R282" i="4"/>
  <c r="R86" i="4"/>
  <c r="R78" i="4"/>
  <c r="R80" i="4"/>
  <c r="R97" i="4"/>
  <c r="O229" i="4"/>
  <c r="O53" i="4"/>
  <c r="O177" i="4"/>
  <c r="O78" i="4"/>
  <c r="O104" i="4"/>
  <c r="O56" i="4"/>
  <c r="Q282" i="4"/>
  <c r="Q160" i="4"/>
  <c r="Q177" i="4"/>
  <c r="Q56" i="4"/>
  <c r="H176" i="4"/>
  <c r="AB176" i="4" s="1"/>
  <c r="H104" i="4"/>
  <c r="AB104" i="4" s="1"/>
  <c r="P280" i="4"/>
  <c r="P65" i="4"/>
  <c r="P132" i="4"/>
  <c r="P217" i="4"/>
  <c r="P177" i="4"/>
  <c r="P37" i="4"/>
  <c r="P114" i="4"/>
  <c r="P48" i="4"/>
  <c r="R274" i="4"/>
  <c r="R210" i="4"/>
  <c r="R53" i="4"/>
  <c r="O275" i="4"/>
  <c r="O231" i="4"/>
  <c r="O325" i="4"/>
  <c r="O225" i="4"/>
  <c r="O187" i="4"/>
  <c r="O184" i="4"/>
  <c r="O217" i="4"/>
  <c r="O114" i="4"/>
  <c r="O71" i="4"/>
  <c r="O48" i="4"/>
  <c r="Q299" i="4"/>
  <c r="Q225" i="4"/>
  <c r="Q274" i="4"/>
  <c r="Q208" i="4"/>
  <c r="Q217" i="4"/>
  <c r="Q169" i="4"/>
  <c r="Q90" i="4"/>
  <c r="Q104" i="4"/>
  <c r="Q48" i="4"/>
  <c r="Q97" i="4"/>
  <c r="H127" i="4"/>
  <c r="AB127" i="4" s="1"/>
  <c r="P135" i="4"/>
  <c r="P17" i="4"/>
  <c r="P35" i="4"/>
  <c r="R287" i="4"/>
  <c r="R300" i="4"/>
  <c r="R135" i="4"/>
  <c r="R194" i="4"/>
  <c r="R154" i="4"/>
  <c r="R35" i="4"/>
  <c r="R64" i="4"/>
  <c r="R61" i="4"/>
  <c r="O318" i="4"/>
  <c r="O279" i="4"/>
  <c r="O297" i="4"/>
  <c r="O213" i="4"/>
  <c r="O145" i="4"/>
  <c r="O70" i="4"/>
  <c r="O107" i="4"/>
  <c r="O59" i="4"/>
  <c r="O60" i="4"/>
  <c r="Q14" i="4"/>
  <c r="Q221" i="4"/>
  <c r="Q159" i="4"/>
  <c r="Q50" i="4"/>
  <c r="P131" i="4"/>
  <c r="P154" i="4"/>
  <c r="P223" i="4"/>
  <c r="P316" i="4"/>
  <c r="P170" i="4"/>
  <c r="P297" i="4"/>
  <c r="P109" i="4"/>
  <c r="P171" i="4"/>
  <c r="P192" i="4"/>
  <c r="P213" i="4"/>
  <c r="P145" i="4"/>
  <c r="P98" i="4"/>
  <c r="P63" i="4"/>
  <c r="P60" i="4"/>
  <c r="R223" i="4"/>
  <c r="R281" i="4"/>
  <c r="R241" i="4"/>
  <c r="R98" i="4"/>
  <c r="R213" i="4"/>
  <c r="R145" i="4"/>
  <c r="R107" i="4"/>
  <c r="R63" i="4"/>
  <c r="R17" i="4"/>
  <c r="O310" i="4"/>
  <c r="O316" i="4"/>
  <c r="O178" i="4"/>
  <c r="O135" i="4"/>
  <c r="O133" i="4"/>
  <c r="O17" i="4"/>
  <c r="O99" i="4"/>
  <c r="O52" i="4"/>
  <c r="Q315" i="4"/>
  <c r="Q267" i="4"/>
  <c r="Q223" i="4"/>
  <c r="Q293" i="4"/>
  <c r="Q322" i="4"/>
  <c r="Q151" i="4"/>
  <c r="Q70" i="4"/>
  <c r="Q178" i="4"/>
  <c r="Q46" i="4"/>
  <c r="Q108" i="4"/>
  <c r="Q60" i="4"/>
  <c r="R285" i="4"/>
  <c r="H297" i="4"/>
  <c r="AB297" i="4" s="1"/>
  <c r="P291" i="4"/>
  <c r="P228" i="4"/>
  <c r="P293" i="4"/>
  <c r="P221" i="4"/>
  <c r="P199" i="4"/>
  <c r="P137" i="4"/>
  <c r="P107" i="4"/>
  <c r="P59" i="4"/>
  <c r="R267" i="4"/>
  <c r="R131" i="4"/>
  <c r="R237" i="4"/>
  <c r="R159" i="4"/>
  <c r="R322" i="4"/>
  <c r="R82" i="4"/>
  <c r="R192" i="4"/>
  <c r="R137" i="4"/>
  <c r="R103" i="4"/>
  <c r="R59" i="4"/>
  <c r="R52" i="4"/>
  <c r="O267" i="4"/>
  <c r="O227" i="4"/>
  <c r="O317" i="4"/>
  <c r="O285" i="4"/>
  <c r="O245" i="4"/>
  <c r="O170" i="4"/>
  <c r="O134" i="4"/>
  <c r="O131" i="4"/>
  <c r="O192" i="4"/>
  <c r="O129" i="4"/>
  <c r="O18" i="4"/>
  <c r="Q300" i="4"/>
  <c r="Q245" i="4"/>
  <c r="Q318" i="4"/>
  <c r="Q230" i="4"/>
  <c r="Q145" i="4"/>
  <c r="Q170" i="4"/>
  <c r="Q17" i="4"/>
  <c r="Q238" i="4"/>
  <c r="H103" i="4"/>
  <c r="AB103" i="4" s="1"/>
  <c r="P287" i="4"/>
  <c r="P308" i="4"/>
  <c r="P159" i="4"/>
  <c r="P133" i="4"/>
  <c r="P103" i="4"/>
  <c r="P15" i="4"/>
  <c r="P52" i="4"/>
  <c r="R315" i="4"/>
  <c r="R316" i="4"/>
  <c r="R318" i="4"/>
  <c r="R133" i="4"/>
  <c r="R178" i="4"/>
  <c r="R134" i="4"/>
  <c r="R46" i="4"/>
  <c r="R99" i="4"/>
  <c r="R15" i="4"/>
  <c r="O223" i="4"/>
  <c r="O308" i="4"/>
  <c r="O228" i="4"/>
  <c r="O281" i="4"/>
  <c r="O241" i="4"/>
  <c r="O130" i="4"/>
  <c r="O171" i="4"/>
  <c r="O122" i="4"/>
  <c r="O127" i="4"/>
  <c r="O120" i="4"/>
  <c r="Q281" i="4"/>
  <c r="Q241" i="4"/>
  <c r="Q183" i="4"/>
  <c r="Q192" i="4"/>
  <c r="Q137" i="4"/>
  <c r="Q107" i="4"/>
  <c r="Q59" i="4"/>
  <c r="Q52" i="4"/>
  <c r="Q109" i="4"/>
  <c r="O61" i="4"/>
  <c r="H285" i="4"/>
  <c r="AB285" i="4" s="1"/>
  <c r="E11" i="12"/>
  <c r="P230" i="4"/>
  <c r="P322" i="4"/>
  <c r="P283" i="4"/>
  <c r="P264" i="4"/>
  <c r="P317" i="4"/>
  <c r="P285" i="4"/>
  <c r="P245" i="4"/>
  <c r="P61" i="4"/>
  <c r="P151" i="4"/>
  <c r="P180" i="4"/>
  <c r="P148" i="4"/>
  <c r="P129" i="4"/>
  <c r="P122" i="4"/>
  <c r="P99" i="4"/>
  <c r="R283" i="4"/>
  <c r="R279" i="4"/>
  <c r="R183" i="4"/>
  <c r="R269" i="4"/>
  <c r="R238" i="4"/>
  <c r="R50" i="4"/>
  <c r="R129" i="4"/>
  <c r="R170" i="4"/>
  <c r="R130" i="4"/>
  <c r="R127" i="4"/>
  <c r="O291" i="4"/>
  <c r="O264" i="4"/>
  <c r="O237" i="4"/>
  <c r="O199" i="4"/>
  <c r="O189" i="4"/>
  <c r="O82" i="4"/>
  <c r="O50" i="4"/>
  <c r="O35" i="4"/>
  <c r="O40" i="4"/>
  <c r="Q317" i="4"/>
  <c r="Q237" i="4"/>
  <c r="Q310" i="4"/>
  <c r="Q213" i="4"/>
  <c r="Q133" i="4"/>
  <c r="Q154" i="4"/>
  <c r="Q103" i="4"/>
  <c r="Q15" i="4"/>
  <c r="O315" i="4"/>
  <c r="H40" i="4"/>
  <c r="AB40" i="4" s="1"/>
  <c r="H148" i="4"/>
  <c r="AB148" i="4" s="1"/>
  <c r="P134" i="4"/>
  <c r="P279" i="4"/>
  <c r="P194" i="4"/>
  <c r="P300" i="4"/>
  <c r="P281" i="4"/>
  <c r="P241" i="4"/>
  <c r="P82" i="4"/>
  <c r="P50" i="4"/>
  <c r="P18" i="4"/>
  <c r="P120" i="4"/>
  <c r="R291" i="4"/>
  <c r="R308" i="4"/>
  <c r="R228" i="4"/>
  <c r="R151" i="4"/>
  <c r="R297" i="4"/>
  <c r="R310" i="4"/>
  <c r="R199" i="4"/>
  <c r="R180" i="4"/>
  <c r="R148" i="4"/>
  <c r="R70" i="4"/>
  <c r="R18" i="4"/>
  <c r="R120" i="4"/>
  <c r="R40" i="4"/>
  <c r="R109" i="4"/>
  <c r="O287" i="4"/>
  <c r="O300" i="4"/>
  <c r="O194" i="4"/>
  <c r="O109" i="4"/>
  <c r="O159" i="4"/>
  <c r="O180" i="4"/>
  <c r="O148" i="4"/>
  <c r="O46" i="4"/>
  <c r="Q283" i="4"/>
  <c r="Q98" i="4"/>
  <c r="Q129" i="4"/>
  <c r="Q99" i="4"/>
  <c r="H327" i="4"/>
  <c r="AB327" i="4" s="1"/>
  <c r="H41" i="4"/>
  <c r="AB41" i="4" s="1"/>
  <c r="P251" i="4"/>
  <c r="P252" i="4"/>
  <c r="P214" i="4"/>
  <c r="P84" i="4"/>
  <c r="P20" i="4"/>
  <c r="R251" i="4"/>
  <c r="R326" i="4"/>
  <c r="R88" i="4"/>
  <c r="R105" i="4"/>
  <c r="R41" i="4"/>
  <c r="O270" i="4"/>
  <c r="O167" i="4"/>
  <c r="O41" i="4"/>
  <c r="O22" i="4"/>
  <c r="O67" i="4"/>
  <c r="O16" i="4"/>
  <c r="Q307" i="4"/>
  <c r="Q320" i="4"/>
  <c r="Q284" i="4"/>
  <c r="Q252" i="4"/>
  <c r="Q301" i="4"/>
  <c r="Q229" i="4"/>
  <c r="Q278" i="4"/>
  <c r="Q66" i="4"/>
  <c r="Q205" i="4"/>
  <c r="Q173" i="4"/>
  <c r="Q214" i="4"/>
  <c r="Q88" i="4"/>
  <c r="Q24" i="4"/>
  <c r="Q105" i="4"/>
  <c r="Q73" i="4"/>
  <c r="Q41" i="4"/>
  <c r="P270" i="4"/>
  <c r="P244" i="4"/>
  <c r="P155" i="4"/>
  <c r="P204" i="4"/>
  <c r="P16" i="4"/>
  <c r="R214" i="4"/>
  <c r="R84" i="4"/>
  <c r="R20" i="4"/>
  <c r="O327" i="4"/>
  <c r="O204" i="4"/>
  <c r="Q244" i="4"/>
  <c r="Q84" i="4"/>
  <c r="Q20" i="4"/>
  <c r="P198" i="4"/>
  <c r="P278" i="4"/>
  <c r="P174" i="4"/>
  <c r="P81" i="4"/>
  <c r="P200" i="4"/>
  <c r="P136" i="4"/>
  <c r="P193" i="4"/>
  <c r="P67" i="4"/>
  <c r="R327" i="4"/>
  <c r="R268" i="4"/>
  <c r="R204" i="4"/>
  <c r="R193" i="4"/>
  <c r="R16" i="4"/>
  <c r="O294" i="4"/>
  <c r="O262" i="4"/>
  <c r="O251" i="4"/>
  <c r="O268" i="4"/>
  <c r="O214" i="4"/>
  <c r="O200" i="4"/>
  <c r="O136" i="4"/>
  <c r="Q270" i="4"/>
  <c r="Q216" i="4"/>
  <c r="Q174" i="4"/>
  <c r="Q16" i="4"/>
  <c r="P326" i="4"/>
  <c r="P294" i="4"/>
  <c r="R307" i="4"/>
  <c r="R278" i="4"/>
  <c r="R200" i="4"/>
  <c r="R136" i="4"/>
  <c r="R174" i="4"/>
  <c r="R67" i="4"/>
  <c r="O326" i="4"/>
  <c r="O155" i="4"/>
  <c r="O81" i="4"/>
  <c r="O42" i="4"/>
  <c r="O87" i="4"/>
  <c r="O55" i="4"/>
  <c r="O23" i="4"/>
  <c r="O36" i="4"/>
  <c r="Q327" i="4"/>
  <c r="Q291" i="4"/>
  <c r="Q321" i="4"/>
  <c r="Q203" i="4"/>
  <c r="Q135" i="4"/>
  <c r="Q148" i="4"/>
  <c r="Q193" i="4"/>
  <c r="Q22" i="4"/>
  <c r="Q67" i="4"/>
  <c r="Q61" i="4"/>
  <c r="H84" i="4"/>
  <c r="AB84" i="4" s="1"/>
  <c r="P262" i="4"/>
  <c r="P307" i="4"/>
  <c r="P268" i="4"/>
  <c r="P105" i="4"/>
  <c r="O174" i="4"/>
  <c r="O205" i="4"/>
  <c r="O119" i="4"/>
  <c r="O83" i="4"/>
  <c r="O32" i="4"/>
  <c r="Q287" i="4"/>
  <c r="Q251" i="4"/>
  <c r="Q268" i="4"/>
  <c r="Q285" i="4"/>
  <c r="Q78" i="4"/>
  <c r="Q294" i="4"/>
  <c r="Q262" i="4"/>
  <c r="Q199" i="4"/>
  <c r="Q167" i="4"/>
  <c r="Q131" i="4"/>
  <c r="Q176" i="4"/>
  <c r="Q144" i="4"/>
  <c r="Q198" i="4"/>
  <c r="Q166" i="4"/>
  <c r="Q130" i="4"/>
  <c r="Q18" i="4"/>
  <c r="Q63" i="4"/>
  <c r="Q40" i="4"/>
  <c r="Q89" i="4"/>
  <c r="H20" i="4"/>
  <c r="AB20" i="4" s="1"/>
  <c r="P162" i="4"/>
  <c r="P41" i="4"/>
  <c r="P87" i="4"/>
  <c r="P55" i="4"/>
  <c r="P23" i="4"/>
  <c r="P32" i="4"/>
  <c r="R155" i="4"/>
  <c r="R270" i="4"/>
  <c r="R198" i="4"/>
  <c r="O211" i="4"/>
  <c r="O28" i="4"/>
  <c r="Q247" i="4"/>
  <c r="Q326" i="4"/>
  <c r="Q258" i="4"/>
  <c r="Q195" i="4"/>
  <c r="Q163" i="4"/>
  <c r="Q204" i="4"/>
  <c r="Q172" i="4"/>
  <c r="Q194" i="4"/>
  <c r="Q162" i="4"/>
  <c r="Q36" i="4"/>
  <c r="Q85" i="4"/>
  <c r="Q21" i="4"/>
  <c r="P167" i="4"/>
  <c r="P216" i="4"/>
  <c r="P119" i="4"/>
  <c r="P83" i="4"/>
  <c r="R252" i="4"/>
  <c r="R162" i="4"/>
  <c r="R87" i="4"/>
  <c r="R55" i="4"/>
  <c r="R23" i="4"/>
  <c r="R32" i="4"/>
  <c r="R81" i="4"/>
  <c r="O278" i="4"/>
  <c r="O105" i="4"/>
  <c r="O307" i="4"/>
  <c r="O252" i="4"/>
  <c r="O198" i="4"/>
  <c r="O216" i="4"/>
  <c r="O88" i="4"/>
  <c r="Q200" i="4"/>
  <c r="Q136" i="4"/>
  <c r="Q42" i="4"/>
  <c r="Q87" i="4"/>
  <c r="Q55" i="4"/>
  <c r="Q23" i="4"/>
  <c r="Q32" i="4"/>
  <c r="Q81" i="4"/>
  <c r="D31" i="9"/>
  <c r="F31" i="9"/>
  <c r="E31" i="9"/>
  <c r="N91" i="4"/>
  <c r="N102" i="4"/>
  <c r="N100" i="4"/>
  <c r="N139" i="4"/>
  <c r="N92" i="4"/>
  <c r="N138" i="4"/>
  <c r="N248" i="4"/>
  <c r="N296" i="4"/>
  <c r="N416" i="4"/>
  <c r="N259" i="4"/>
  <c r="N295" i="4"/>
  <c r="N141" i="4"/>
  <c r="N298" i="4"/>
  <c r="N406" i="4"/>
  <c r="N414" i="4"/>
  <c r="N257" i="4"/>
  <c r="N452" i="4"/>
  <c r="N249" i="4"/>
  <c r="N455" i="4"/>
  <c r="N453" i="4"/>
  <c r="N405" i="4"/>
  <c r="R92" i="4"/>
  <c r="R100" i="4"/>
  <c r="R91" i="4"/>
  <c r="R138" i="4"/>
  <c r="R141" i="4"/>
  <c r="R102" i="4"/>
  <c r="R298" i="4"/>
  <c r="R406" i="4"/>
  <c r="R414" i="4"/>
  <c r="R139" i="4"/>
  <c r="R249" i="4"/>
  <c r="R257" i="4"/>
  <c r="R405" i="4"/>
  <c r="R248" i="4"/>
  <c r="R296" i="4"/>
  <c r="R416" i="4"/>
  <c r="R259" i="4"/>
  <c r="R453" i="4"/>
  <c r="R452" i="4"/>
  <c r="R295" i="4"/>
  <c r="R455" i="4"/>
  <c r="Q92" i="4"/>
  <c r="Q100" i="4"/>
  <c r="Q91" i="4"/>
  <c r="Q138" i="4"/>
  <c r="Q141" i="4"/>
  <c r="Q102" i="4"/>
  <c r="Q139" i="4"/>
  <c r="Q298" i="4"/>
  <c r="Q406" i="4"/>
  <c r="Q414" i="4"/>
  <c r="Q249" i="4"/>
  <c r="Q257" i="4"/>
  <c r="Q405" i="4"/>
  <c r="Q248" i="4"/>
  <c r="Q296" i="4"/>
  <c r="Q416" i="4"/>
  <c r="Q259" i="4"/>
  <c r="Q295" i="4"/>
  <c r="Q453" i="4"/>
  <c r="Q452" i="4"/>
  <c r="Q455" i="4"/>
  <c r="P92" i="4"/>
  <c r="P100" i="4"/>
  <c r="P91" i="4"/>
  <c r="P102" i="4"/>
  <c r="P141" i="4"/>
  <c r="P139" i="4"/>
  <c r="P249" i="4"/>
  <c r="P257" i="4"/>
  <c r="P405" i="4"/>
  <c r="P138" i="4"/>
  <c r="P248" i="4"/>
  <c r="P296" i="4"/>
  <c r="P416" i="4"/>
  <c r="P259" i="4"/>
  <c r="P295" i="4"/>
  <c r="P406" i="4"/>
  <c r="P453" i="4"/>
  <c r="P452" i="4"/>
  <c r="P455" i="4"/>
  <c r="P414" i="4"/>
  <c r="P298" i="4"/>
  <c r="S102" i="4"/>
  <c r="S92" i="4"/>
  <c r="S100" i="4"/>
  <c r="S139" i="4"/>
  <c r="S138" i="4"/>
  <c r="S91" i="4"/>
  <c r="S141" i="4"/>
  <c r="S259" i="4"/>
  <c r="S295" i="4"/>
  <c r="S298" i="4"/>
  <c r="S406" i="4"/>
  <c r="S414" i="4"/>
  <c r="S249" i="4"/>
  <c r="S257" i="4"/>
  <c r="S405" i="4"/>
  <c r="S248" i="4"/>
  <c r="S296" i="4"/>
  <c r="S416" i="4"/>
  <c r="S455" i="4"/>
  <c r="S453" i="4"/>
  <c r="S452" i="4"/>
  <c r="O92" i="4"/>
  <c r="O100" i="4"/>
  <c r="O91" i="4"/>
  <c r="O102" i="4"/>
  <c r="O141" i="4"/>
  <c r="O139" i="4"/>
  <c r="O138" i="4"/>
  <c r="O249" i="4"/>
  <c r="O257" i="4"/>
  <c r="O405" i="4"/>
  <c r="O248" i="4"/>
  <c r="O296" i="4"/>
  <c r="O416" i="4"/>
  <c r="O259" i="4"/>
  <c r="O295" i="4"/>
  <c r="O298" i="4"/>
  <c r="O406" i="4"/>
  <c r="O414" i="4"/>
  <c r="O452" i="4"/>
  <c r="O455" i="4"/>
  <c r="O453" i="4"/>
  <c r="I327" i="4"/>
  <c r="AC327" i="4" s="1"/>
  <c r="I104" i="4"/>
  <c r="AC104" i="4" s="1"/>
  <c r="I263" i="4"/>
  <c r="AC263" i="4" s="1"/>
  <c r="H190" i="4"/>
  <c r="AB190" i="4" s="1"/>
  <c r="I190" i="4"/>
  <c r="AC190" i="4" s="1"/>
  <c r="H30" i="4"/>
  <c r="AB30" i="4" s="1"/>
  <c r="I22" i="4"/>
  <c r="AC22" i="4" s="1"/>
  <c r="J22" i="4"/>
  <c r="AD22" i="4" s="1"/>
  <c r="H22" i="4"/>
  <c r="AB22" i="4" s="1"/>
  <c r="K22" i="4"/>
  <c r="AE22" i="4" s="1"/>
  <c r="L22" i="4"/>
  <c r="AF22" i="4" s="1"/>
  <c r="I41" i="4"/>
  <c r="AC41" i="4" s="1"/>
  <c r="I74" i="4"/>
  <c r="AC74" i="4" s="1"/>
  <c r="H212" i="4"/>
  <c r="AB212" i="4" s="1"/>
  <c r="I166" i="4"/>
  <c r="AC166" i="4" s="1"/>
  <c r="H278" i="4"/>
  <c r="AB278" i="4" s="1"/>
  <c r="H294" i="4"/>
  <c r="AB294" i="4" s="1"/>
  <c r="H93" i="4"/>
  <c r="AB93" i="4" s="1"/>
  <c r="H246" i="4"/>
  <c r="AB246" i="4" s="1"/>
  <c r="I303" i="4"/>
  <c r="AC303" i="4" s="1"/>
  <c r="I176" i="4"/>
  <c r="AC176" i="4" s="1"/>
  <c r="H198" i="4"/>
  <c r="AB198" i="4" s="1"/>
  <c r="H118" i="4"/>
  <c r="AB118" i="4" s="1"/>
  <c r="H21" i="4"/>
  <c r="AB21" i="4" s="1"/>
  <c r="H62" i="4"/>
  <c r="AB62" i="4" s="1"/>
  <c r="H123" i="4"/>
  <c r="AB123" i="4" s="1"/>
  <c r="H310" i="4"/>
  <c r="AB310" i="4" s="1"/>
  <c r="H150" i="4"/>
  <c r="AB150" i="4" s="1"/>
  <c r="H199" i="4"/>
  <c r="AB199" i="4" s="1"/>
  <c r="H254" i="4"/>
  <c r="AB254" i="4" s="1"/>
  <c r="H318" i="4"/>
  <c r="AB318" i="4" s="1"/>
  <c r="H214" i="4"/>
  <c r="AB214" i="4" s="1"/>
  <c r="H71" i="4"/>
  <c r="AB71" i="4" s="1"/>
  <c r="H323" i="4"/>
  <c r="AB323" i="4" s="1"/>
  <c r="H126" i="4"/>
  <c r="AB126" i="4" s="1"/>
  <c r="H14" i="4"/>
  <c r="AB14" i="4" s="1"/>
  <c r="I40" i="4"/>
  <c r="AC40" i="4" s="1"/>
  <c r="H86" i="4"/>
  <c r="AB86" i="4" s="1"/>
  <c r="H158" i="4"/>
  <c r="AB158" i="4" s="1"/>
  <c r="H134" i="4"/>
  <c r="AB134" i="4" s="1"/>
  <c r="H38" i="4"/>
  <c r="AB38" i="4" s="1"/>
  <c r="H311" i="4"/>
  <c r="AB311" i="4" s="1"/>
  <c r="H135" i="4"/>
  <c r="AB135" i="4" s="1"/>
  <c r="H182" i="4"/>
  <c r="AB182" i="4" s="1"/>
  <c r="H117" i="4"/>
  <c r="AB117" i="4" s="1"/>
  <c r="H70" i="4"/>
  <c r="AB70" i="4" s="1"/>
  <c r="H167" i="4"/>
  <c r="AB167" i="4" s="1"/>
  <c r="H54" i="4"/>
  <c r="AB54" i="4" s="1"/>
  <c r="H105" i="4"/>
  <c r="AB105" i="4" s="1"/>
  <c r="H94" i="4"/>
  <c r="AB94" i="4" s="1"/>
  <c r="H63" i="4"/>
  <c r="AB63" i="4" s="1"/>
  <c r="H29" i="4"/>
  <c r="AB29" i="4" s="1"/>
  <c r="H230" i="4"/>
  <c r="AB230" i="4" s="1"/>
  <c r="H255" i="4"/>
  <c r="AB255" i="4" s="1"/>
  <c r="H59" i="4"/>
  <c r="AB59" i="4" s="1"/>
  <c r="J477" i="4"/>
  <c r="AD477" i="4" s="1"/>
  <c r="H202" i="4"/>
  <c r="AB202" i="4" s="1"/>
  <c r="H96" i="4"/>
  <c r="AB96" i="4" s="1"/>
  <c r="J420" i="4"/>
  <c r="AD420" i="4" s="1"/>
  <c r="H132" i="4"/>
  <c r="AB132" i="4" s="1"/>
  <c r="H43" i="4"/>
  <c r="AB43" i="4" s="1"/>
  <c r="J330" i="4"/>
  <c r="AD330" i="4" s="1"/>
  <c r="H261" i="4"/>
  <c r="AB261" i="4" s="1"/>
  <c r="H152" i="4"/>
  <c r="AB152" i="4" s="1"/>
  <c r="H87" i="4"/>
  <c r="AB87" i="4" s="1"/>
  <c r="H78" i="4"/>
  <c r="AB78" i="4" s="1"/>
  <c r="H124" i="4"/>
  <c r="AB124" i="4" s="1"/>
  <c r="J435" i="4"/>
  <c r="AD435" i="4" s="1"/>
  <c r="H99" i="4"/>
  <c r="AB99" i="4" s="1"/>
  <c r="H145" i="4"/>
  <c r="AB145" i="4" s="1"/>
  <c r="H216" i="4"/>
  <c r="AB216" i="4" s="1"/>
  <c r="H79" i="4"/>
  <c r="AB79" i="4" s="1"/>
  <c r="H326" i="4"/>
  <c r="AB326" i="4" s="1"/>
  <c r="J421" i="4"/>
  <c r="AD421" i="4" s="1"/>
  <c r="H308" i="4"/>
  <c r="AB308" i="4" s="1"/>
  <c r="H163" i="4"/>
  <c r="AB163" i="4" s="1"/>
  <c r="H178" i="4"/>
  <c r="AB178" i="4" s="1"/>
  <c r="H236" i="4"/>
  <c r="AB236" i="4" s="1"/>
  <c r="K459" i="4"/>
  <c r="AE459" i="4" s="1"/>
  <c r="H219" i="4"/>
  <c r="AB219" i="4" s="1"/>
  <c r="H149" i="4"/>
  <c r="AB149" i="4" s="1"/>
  <c r="H200" i="4"/>
  <c r="AB200" i="4" s="1"/>
  <c r="L375" i="4"/>
  <c r="AF375" i="4" s="1"/>
  <c r="H36" i="4"/>
  <c r="AB36" i="4" s="1"/>
  <c r="J395" i="4"/>
  <c r="AD395" i="4" s="1"/>
  <c r="H75" i="4"/>
  <c r="AB75" i="4" s="1"/>
  <c r="H90" i="4"/>
  <c r="AB90" i="4" s="1"/>
  <c r="H256" i="4"/>
  <c r="AB256" i="4" s="1"/>
  <c r="H319" i="4"/>
  <c r="AB319" i="4" s="1"/>
  <c r="H46" i="4"/>
  <c r="AB46" i="4" s="1"/>
  <c r="J436" i="4"/>
  <c r="AD436" i="4" s="1"/>
  <c r="H28" i="4"/>
  <c r="AB28" i="4" s="1"/>
  <c r="H213" i="4"/>
  <c r="AB213" i="4" s="1"/>
  <c r="H177" i="4"/>
  <c r="AB177" i="4" s="1"/>
  <c r="H112" i="4"/>
  <c r="AB112" i="4" s="1"/>
  <c r="L367" i="4"/>
  <c r="AF367" i="4" s="1"/>
  <c r="L342" i="4"/>
  <c r="AF342" i="4" s="1"/>
  <c r="H25" i="4"/>
  <c r="AB25" i="4" s="1"/>
  <c r="H151" i="4"/>
  <c r="AB151" i="4" s="1"/>
  <c r="H188" i="4"/>
  <c r="AB188" i="4" s="1"/>
  <c r="H171" i="4"/>
  <c r="AB171" i="4" s="1"/>
  <c r="J354" i="4"/>
  <c r="AD354" i="4" s="1"/>
  <c r="H53" i="4"/>
  <c r="AB53" i="4" s="1"/>
  <c r="H209" i="4"/>
  <c r="AB209" i="4" s="1"/>
  <c r="H315" i="4"/>
  <c r="AB315" i="4" s="1"/>
  <c r="H130" i="4"/>
  <c r="AB130" i="4" s="1"/>
  <c r="H289" i="4"/>
  <c r="AB289" i="4" s="1"/>
  <c r="H32" i="4"/>
  <c r="AB32" i="4" s="1"/>
  <c r="H287" i="4"/>
  <c r="AB287" i="4" s="1"/>
  <c r="H68" i="4"/>
  <c r="AB68" i="4" s="1"/>
  <c r="H229" i="4"/>
  <c r="AB229" i="4" s="1"/>
  <c r="H258" i="4"/>
  <c r="AB258" i="4" s="1"/>
  <c r="H88" i="4"/>
  <c r="AB88" i="4" s="1"/>
  <c r="H23" i="4"/>
  <c r="AB23" i="4" s="1"/>
  <c r="H322" i="4"/>
  <c r="AB322" i="4" s="1"/>
  <c r="H60" i="4"/>
  <c r="AB60" i="4" s="1"/>
  <c r="H35" i="4"/>
  <c r="AB35" i="4" s="1"/>
  <c r="H250" i="4"/>
  <c r="AB250" i="4" s="1"/>
  <c r="J465" i="4"/>
  <c r="AD465" i="4" s="1"/>
  <c r="H81" i="4"/>
  <c r="AB81" i="4" s="1"/>
  <c r="H144" i="4"/>
  <c r="AB144" i="4" s="1"/>
  <c r="H15" i="4"/>
  <c r="AB15" i="4" s="1"/>
  <c r="H262" i="4"/>
  <c r="AB262" i="4" s="1"/>
  <c r="H101" i="4"/>
  <c r="AB101" i="4" s="1"/>
  <c r="H244" i="4"/>
  <c r="AB244" i="4" s="1"/>
  <c r="H106" i="4"/>
  <c r="AB106" i="4" s="1"/>
  <c r="H265" i="4"/>
  <c r="AB265" i="4" s="1"/>
  <c r="H172" i="4"/>
  <c r="AB172" i="4" s="1"/>
  <c r="H155" i="4"/>
  <c r="AB155" i="4" s="1"/>
  <c r="H306" i="4"/>
  <c r="AB306" i="4" s="1"/>
  <c r="J449" i="4"/>
  <c r="AD449" i="4" s="1"/>
  <c r="H128" i="4"/>
  <c r="AB128" i="4" s="1"/>
  <c r="J445" i="4"/>
  <c r="AD445" i="4" s="1"/>
  <c r="J372" i="4"/>
  <c r="AD372" i="4" s="1"/>
  <c r="H26" i="4"/>
  <c r="AB26" i="4" s="1"/>
  <c r="H185" i="4"/>
  <c r="AB185" i="4" s="1"/>
  <c r="H192" i="4"/>
  <c r="AB192" i="4" s="1"/>
  <c r="H247" i="4"/>
  <c r="AB247" i="4" s="1"/>
  <c r="J478" i="4"/>
  <c r="AD478" i="4" s="1"/>
  <c r="K370" i="4"/>
  <c r="AE370" i="4" s="1"/>
  <c r="H113" i="4"/>
  <c r="AB113" i="4" s="1"/>
  <c r="H48" i="4"/>
  <c r="AB48" i="4" s="1"/>
  <c r="J387" i="4"/>
  <c r="AD387" i="4" s="1"/>
  <c r="J473" i="4"/>
  <c r="AD473" i="4" s="1"/>
  <c r="J332" i="4"/>
  <c r="AD332" i="4" s="1"/>
  <c r="H64" i="4"/>
  <c r="AB64" i="4" s="1"/>
  <c r="K350" i="4"/>
  <c r="AE350" i="4" s="1"/>
  <c r="J389" i="4"/>
  <c r="AD389" i="4" s="1"/>
  <c r="J363" i="4"/>
  <c r="AD363" i="4" s="1"/>
  <c r="H253" i="4"/>
  <c r="AB253" i="4" s="1"/>
  <c r="H121" i="4"/>
  <c r="AB121" i="4" s="1"/>
  <c r="H120" i="4"/>
  <c r="AB120" i="4" s="1"/>
  <c r="H183" i="4"/>
  <c r="AB183" i="4" s="1"/>
  <c r="K446" i="4"/>
  <c r="AE446" i="4" s="1"/>
  <c r="H133" i="4"/>
  <c r="AB133" i="4" s="1"/>
  <c r="H267" i="4"/>
  <c r="AB267" i="4" s="1"/>
  <c r="L441" i="4"/>
  <c r="AF441" i="4" s="1"/>
  <c r="H49" i="4"/>
  <c r="AB49" i="4" s="1"/>
  <c r="K440" i="4"/>
  <c r="AE440" i="4" s="1"/>
  <c r="L433" i="4"/>
  <c r="AF433" i="4" s="1"/>
  <c r="H168" i="4"/>
  <c r="AB168" i="4" s="1"/>
  <c r="J381" i="4"/>
  <c r="AD381" i="4" s="1"/>
  <c r="H196" i="4"/>
  <c r="AB196" i="4" s="1"/>
  <c r="H107" i="4"/>
  <c r="AB107" i="4" s="1"/>
  <c r="H142" i="4"/>
  <c r="AB142" i="4" s="1"/>
  <c r="H251" i="4"/>
  <c r="AB251" i="4" s="1"/>
  <c r="J379" i="4"/>
  <c r="AD379" i="4" s="1"/>
  <c r="H186" i="4"/>
  <c r="AB186" i="4" s="1"/>
  <c r="H180" i="4"/>
  <c r="AB180" i="4" s="1"/>
  <c r="H42" i="4"/>
  <c r="AB42" i="4" s="1"/>
  <c r="H108" i="4"/>
  <c r="AB108" i="4" s="1"/>
  <c r="H83" i="4"/>
  <c r="AB83" i="4" s="1"/>
  <c r="H234" i="4"/>
  <c r="AB234" i="4" s="1"/>
  <c r="H325" i="4"/>
  <c r="AB325" i="4" s="1"/>
  <c r="L464" i="4"/>
  <c r="AF464" i="4" s="1"/>
  <c r="H269" i="4"/>
  <c r="AB269" i="4" s="1"/>
  <c r="H114" i="4"/>
  <c r="AB114" i="4" s="1"/>
  <c r="H221" i="4"/>
  <c r="AB221" i="4" s="1"/>
  <c r="H16" i="4"/>
  <c r="AB16" i="4" s="1"/>
  <c r="K479" i="4"/>
  <c r="AE479" i="4" s="1"/>
  <c r="L351" i="4"/>
  <c r="AF351" i="4" s="1"/>
  <c r="J412" i="4"/>
  <c r="AD412" i="4" s="1"/>
  <c r="H116" i="4"/>
  <c r="AB116" i="4" s="1"/>
  <c r="H137" i="4"/>
  <c r="AB137" i="4" s="1"/>
  <c r="H208" i="4"/>
  <c r="AB208" i="4" s="1"/>
  <c r="H44" i="4"/>
  <c r="AB44" i="4" s="1"/>
  <c r="J427" i="4"/>
  <c r="AD427" i="4" s="1"/>
  <c r="H19" i="4"/>
  <c r="AB19" i="4" s="1"/>
  <c r="H170" i="4"/>
  <c r="AB170" i="4" s="1"/>
  <c r="J340" i="4"/>
  <c r="AD340" i="4" s="1"/>
  <c r="H173" i="4"/>
  <c r="AB173" i="4" s="1"/>
  <c r="H56" i="4"/>
  <c r="AB56" i="4" s="1"/>
  <c r="H119" i="4"/>
  <c r="AB119" i="4" s="1"/>
  <c r="H203" i="4"/>
  <c r="AB203" i="4" s="1"/>
  <c r="H282" i="4"/>
  <c r="AB282" i="4" s="1"/>
  <c r="H77" i="4"/>
  <c r="AB77" i="4" s="1"/>
  <c r="H181" i="4"/>
  <c r="AB181" i="4" s="1"/>
  <c r="I157" i="4"/>
  <c r="AC157" i="4" s="1"/>
  <c r="J470" i="4"/>
  <c r="AD470" i="4" s="1"/>
  <c r="J355" i="4"/>
  <c r="AD355" i="4" s="1"/>
  <c r="J469" i="4"/>
  <c r="AD469" i="4" s="1"/>
  <c r="H266" i="4"/>
  <c r="AB266" i="4" s="1"/>
  <c r="K359" i="4"/>
  <c r="AE359" i="4" s="1"/>
  <c r="K410" i="4"/>
  <c r="AE410" i="4" s="1"/>
  <c r="H66" i="4"/>
  <c r="AB66" i="4" s="1"/>
  <c r="H225" i="4"/>
  <c r="AB225" i="4" s="1"/>
  <c r="H223" i="4"/>
  <c r="AB223" i="4" s="1"/>
  <c r="J388" i="4"/>
  <c r="AD388" i="4" s="1"/>
  <c r="H24" i="4"/>
  <c r="AB24" i="4" s="1"/>
  <c r="L415" i="4"/>
  <c r="AF415" i="4" s="1"/>
  <c r="H160" i="4"/>
  <c r="AB160" i="4" s="1"/>
  <c r="H61" i="4"/>
  <c r="AB61" i="4" s="1"/>
  <c r="H204" i="4"/>
  <c r="AB204" i="4" s="1"/>
  <c r="J443" i="4"/>
  <c r="AD443" i="4" s="1"/>
  <c r="H115" i="4"/>
  <c r="AB115" i="4" s="1"/>
  <c r="K362" i="4"/>
  <c r="AE362" i="4" s="1"/>
  <c r="J413" i="4"/>
  <c r="AD413" i="4" s="1"/>
  <c r="H97" i="4"/>
  <c r="AB97" i="4" s="1"/>
  <c r="L344" i="4"/>
  <c r="AF344" i="4" s="1"/>
  <c r="J447" i="4"/>
  <c r="AD447" i="4" s="1"/>
  <c r="H95" i="4"/>
  <c r="AB95" i="4" s="1"/>
  <c r="J356" i="4"/>
  <c r="AD356" i="4" s="1"/>
  <c r="H45" i="4"/>
  <c r="AB45" i="4" s="1"/>
  <c r="H307" i="4"/>
  <c r="AB307" i="4" s="1"/>
  <c r="J442" i="4"/>
  <c r="AD442" i="4" s="1"/>
  <c r="H58" i="4"/>
  <c r="AB58" i="4" s="1"/>
  <c r="H217" i="4"/>
  <c r="AB217" i="4" s="1"/>
  <c r="J429" i="4"/>
  <c r="AD429" i="4" s="1"/>
  <c r="K468" i="4"/>
  <c r="AE468" i="4" s="1"/>
  <c r="J474" i="4"/>
  <c r="AD474" i="4" s="1"/>
  <c r="H50" i="4"/>
  <c r="AB50" i="4" s="1"/>
  <c r="H52" i="4"/>
  <c r="AB52" i="4" s="1"/>
  <c r="H37" i="4"/>
  <c r="AB37" i="4" s="1"/>
  <c r="H73" i="4"/>
  <c r="AB73" i="4" s="1"/>
  <c r="H136" i="4"/>
  <c r="AB136" i="4" s="1"/>
  <c r="I14" i="4"/>
  <c r="AC14" i="4" s="1"/>
  <c r="H98" i="4"/>
  <c r="AB98" i="4" s="1"/>
  <c r="H193" i="4"/>
  <c r="AB193" i="4" s="1"/>
  <c r="L368" i="4"/>
  <c r="AF368" i="4" s="1"/>
  <c r="K341" i="4"/>
  <c r="AE341" i="4" s="1"/>
  <c r="H292" i="4"/>
  <c r="AB292" i="4" s="1"/>
  <c r="J331" i="4"/>
  <c r="AD331" i="4" s="1"/>
  <c r="H301" i="4"/>
  <c r="AB301" i="4" s="1"/>
  <c r="H55" i="4"/>
  <c r="AB55" i="4" s="1"/>
  <c r="H302" i="4"/>
  <c r="AB302" i="4" s="1"/>
  <c r="H284" i="4"/>
  <c r="AB284" i="4" s="1"/>
  <c r="J451" i="4"/>
  <c r="AD451" i="4" s="1"/>
  <c r="H131" i="4"/>
  <c r="AB131" i="4" s="1"/>
  <c r="H218" i="4"/>
  <c r="AB218" i="4" s="1"/>
  <c r="L423" i="4"/>
  <c r="AF423" i="4" s="1"/>
  <c r="J338" i="4"/>
  <c r="AD338" i="4" s="1"/>
  <c r="H245" i="4"/>
  <c r="AB245" i="4" s="1"/>
  <c r="K482" i="4"/>
  <c r="AE482" i="4" s="1"/>
  <c r="H224" i="4"/>
  <c r="AB224" i="4" s="1"/>
  <c r="H69" i="4"/>
  <c r="AB69" i="4" s="1"/>
  <c r="H194" i="4"/>
  <c r="AB194" i="4" s="1"/>
  <c r="J403" i="4"/>
  <c r="AD403" i="4" s="1"/>
  <c r="L425" i="4"/>
  <c r="AF425" i="4" s="1"/>
  <c r="H17" i="4"/>
  <c r="AB17" i="4" s="1"/>
  <c r="H80" i="4"/>
  <c r="AB80" i="4" s="1"/>
  <c r="J383" i="4"/>
  <c r="AD383" i="4" s="1"/>
  <c r="H317" i="4"/>
  <c r="AB317" i="4" s="1"/>
  <c r="H27" i="4"/>
  <c r="AB27" i="4" s="1"/>
  <c r="H201" i="4"/>
  <c r="AB201" i="4" s="1"/>
  <c r="H272" i="4"/>
  <c r="AB272" i="4" s="1"/>
  <c r="H321" i="4"/>
  <c r="AB321" i="4" s="1"/>
  <c r="H268" i="4"/>
  <c r="AB268" i="4" s="1"/>
  <c r="H159" i="4"/>
  <c r="AB159" i="4" s="1"/>
  <c r="H122" i="4"/>
  <c r="AB122" i="4" s="1"/>
  <c r="H140" i="4"/>
  <c r="AB140" i="4" s="1"/>
  <c r="H51" i="4"/>
  <c r="AB51" i="4" s="1"/>
  <c r="H125" i="4"/>
  <c r="AB125" i="4" s="1"/>
  <c r="H33" i="4"/>
  <c r="AB33" i="4" s="1"/>
  <c r="H304" i="4"/>
  <c r="AB304" i="4" s="1"/>
  <c r="H31" i="4"/>
  <c r="AB31" i="4" s="1"/>
  <c r="J461" i="4"/>
  <c r="AD461" i="4" s="1"/>
  <c r="H324" i="4"/>
  <c r="AB324" i="4" s="1"/>
  <c r="H243" i="4"/>
  <c r="AB243" i="4" s="1"/>
  <c r="H153" i="4"/>
  <c r="AB153" i="4" s="1"/>
  <c r="H279" i="4"/>
  <c r="AB279" i="4" s="1"/>
  <c r="H270" i="4"/>
  <c r="AB270" i="4" s="1"/>
  <c r="H316" i="4"/>
  <c r="AB316" i="4" s="1"/>
  <c r="H299" i="4"/>
  <c r="AB299" i="4" s="1"/>
  <c r="J329" i="4"/>
  <c r="AD329" i="4" s="1"/>
  <c r="H271" i="4"/>
  <c r="AB271" i="4" s="1"/>
  <c r="L422" i="4"/>
  <c r="AF422" i="4" s="1"/>
  <c r="J380" i="4"/>
  <c r="AD380" i="4" s="1"/>
  <c r="J371" i="4"/>
  <c r="AD371" i="4" s="1"/>
  <c r="H189" i="4"/>
  <c r="AB189" i="4" s="1"/>
  <c r="H72" i="4"/>
  <c r="AB72" i="4" s="1"/>
  <c r="H197" i="4"/>
  <c r="AB197" i="4" s="1"/>
  <c r="H34" i="4"/>
  <c r="AB34" i="4" s="1"/>
  <c r="H129" i="4"/>
  <c r="AB129" i="4" s="1"/>
  <c r="J431" i="4"/>
  <c r="AD431" i="4" s="1"/>
  <c r="I191" i="4"/>
  <c r="AC191" i="4" s="1"/>
  <c r="I246" i="4"/>
  <c r="AC246" i="4" s="1"/>
  <c r="H228" i="4"/>
  <c r="AB228" i="4" s="1"/>
  <c r="H275" i="4"/>
  <c r="AB275" i="4" s="1"/>
  <c r="H290" i="4"/>
  <c r="AB290" i="4" s="1"/>
  <c r="H109" i="4"/>
  <c r="AB109" i="4" s="1"/>
  <c r="H238" i="4"/>
  <c r="AB238" i="4" s="1"/>
  <c r="H220" i="4"/>
  <c r="AB220" i="4" s="1"/>
  <c r="H67" i="4"/>
  <c r="AB67" i="4" s="1"/>
  <c r="H154" i="4"/>
  <c r="AB154" i="4" s="1"/>
  <c r="J345" i="4"/>
  <c r="AD345" i="4" s="1"/>
  <c r="H320" i="4"/>
  <c r="AB320" i="4" s="1"/>
  <c r="J397" i="4"/>
  <c r="AD397" i="4" s="1"/>
  <c r="J364" i="4"/>
  <c r="AD364" i="4" s="1"/>
  <c r="J450" i="4"/>
  <c r="AD450" i="4" s="1"/>
  <c r="H187" i="4"/>
  <c r="AB187" i="4" s="1"/>
  <c r="H161" i="4"/>
  <c r="AB161" i="4" s="1"/>
  <c r="H281" i="4"/>
  <c r="AB281" i="4" s="1"/>
  <c r="H76" i="4"/>
  <c r="AB76" i="4" s="1"/>
  <c r="J411" i="4"/>
  <c r="AD411" i="4" s="1"/>
  <c r="H309" i="4"/>
  <c r="AB309" i="4" s="1"/>
  <c r="H277" i="4"/>
  <c r="AB277" i="4" s="1"/>
  <c r="H232" i="4"/>
  <c r="AB232" i="4" s="1"/>
  <c r="J391" i="4"/>
  <c r="AD391" i="4" s="1"/>
  <c r="H205" i="4"/>
  <c r="AB205" i="4" s="1"/>
  <c r="H260" i="4"/>
  <c r="AB260" i="4" s="1"/>
  <c r="J483" i="4"/>
  <c r="AD483" i="4" s="1"/>
  <c r="H179" i="4"/>
  <c r="AB179" i="4" s="1"/>
  <c r="H85" i="4"/>
  <c r="AB85" i="4" s="1"/>
  <c r="H89" i="4"/>
  <c r="AB89" i="4" s="1"/>
  <c r="H288" i="4"/>
  <c r="AB288" i="4" s="1"/>
  <c r="H215" i="4"/>
  <c r="AB215" i="4" s="1"/>
  <c r="H206" i="4"/>
  <c r="AB206" i="4" s="1"/>
  <c r="H252" i="4"/>
  <c r="AB252" i="4" s="1"/>
  <c r="H235" i="4"/>
  <c r="AB235" i="4" s="1"/>
  <c r="L349" i="4"/>
  <c r="AF349" i="4" s="1"/>
  <c r="H273" i="4"/>
  <c r="AB273" i="4" s="1"/>
  <c r="J336" i="4"/>
  <c r="AD336" i="4" s="1"/>
  <c r="H207" i="4"/>
  <c r="AB207" i="4" s="1"/>
  <c r="J437" i="4"/>
  <c r="AD437" i="4" s="1"/>
  <c r="H291" i="4"/>
  <c r="AB291" i="4" s="1"/>
  <c r="H314" i="4"/>
  <c r="AB314" i="4" s="1"/>
  <c r="K456" i="4"/>
  <c r="AE456" i="4" s="1"/>
  <c r="K378" i="4"/>
  <c r="AE378" i="4" s="1"/>
  <c r="H293" i="4"/>
  <c r="AB293" i="4" s="1"/>
  <c r="H65" i="4"/>
  <c r="AB65" i="4" s="1"/>
  <c r="J328" i="4"/>
  <c r="AD328" i="4" s="1"/>
  <c r="H164" i="4"/>
  <c r="AB164" i="4" s="1"/>
  <c r="H211" i="4"/>
  <c r="AB211" i="4" s="1"/>
  <c r="H226" i="4"/>
  <c r="AB226" i="4" s="1"/>
  <c r="H174" i="4"/>
  <c r="AB174" i="4" s="1"/>
  <c r="H156" i="4"/>
  <c r="AB156" i="4" s="1"/>
  <c r="J419" i="4"/>
  <c r="AD419" i="4" s="1"/>
  <c r="H82" i="4"/>
  <c r="AB82" i="4" s="1"/>
  <c r="H305" i="4"/>
  <c r="AB305" i="4" s="1"/>
  <c r="L399" i="4"/>
  <c r="AF399" i="4" s="1"/>
  <c r="J472" i="4"/>
  <c r="AD472" i="4" s="1"/>
  <c r="H280" i="4"/>
  <c r="AB280" i="4" s="1"/>
  <c r="J439" i="4"/>
  <c r="AD439" i="4" s="1"/>
  <c r="H143" i="4"/>
  <c r="AB143" i="4" s="1"/>
  <c r="L358" i="4"/>
  <c r="AF358" i="4" s="1"/>
  <c r="J348" i="4"/>
  <c r="AD348" i="4" s="1"/>
  <c r="H237" i="4"/>
  <c r="AB237" i="4" s="1"/>
  <c r="H227" i="4"/>
  <c r="AB227" i="4" s="1"/>
  <c r="H242" i="4"/>
  <c r="AB242" i="4" s="1"/>
  <c r="K454" i="4"/>
  <c r="AE454" i="4" s="1"/>
  <c r="H300" i="4"/>
  <c r="AB300" i="4" s="1"/>
  <c r="J460" i="4"/>
  <c r="AD460" i="4" s="1"/>
  <c r="H283" i="4"/>
  <c r="AB283" i="4" s="1"/>
  <c r="H264" i="4"/>
  <c r="AB264" i="4" s="1"/>
  <c r="J407" i="4"/>
  <c r="AD407" i="4" s="1"/>
  <c r="J404" i="4"/>
  <c r="AD404" i="4" s="1"/>
  <c r="I100" i="4"/>
  <c r="AC100" i="4" s="1"/>
  <c r="H147" i="4"/>
  <c r="AB147" i="4" s="1"/>
  <c r="H162" i="4"/>
  <c r="AB162" i="4" s="1"/>
  <c r="H313" i="4"/>
  <c r="AB313" i="4" s="1"/>
  <c r="H110" i="4"/>
  <c r="AB110" i="4" s="1"/>
  <c r="J373" i="4"/>
  <c r="AD373" i="4" s="1"/>
  <c r="H18" i="4"/>
  <c r="AB18" i="4" s="1"/>
  <c r="H241" i="4"/>
  <c r="AB241" i="4" s="1"/>
  <c r="H184" i="4"/>
  <c r="AB184" i="4" s="1"/>
  <c r="K430" i="4"/>
  <c r="AE430" i="4" s="1"/>
  <c r="I169" i="4"/>
  <c r="AC169" i="4" s="1"/>
  <c r="J396" i="4"/>
  <c r="AD396" i="4" s="1"/>
  <c r="J365" i="4"/>
  <c r="AD365" i="4" s="1"/>
  <c r="I93" i="4"/>
  <c r="AC93" i="4" s="1"/>
  <c r="K141" i="4"/>
  <c r="AE141" i="4" s="1"/>
  <c r="K91" i="4"/>
  <c r="AE91" i="4" s="1"/>
  <c r="K455" i="4"/>
  <c r="AE455" i="4" s="1"/>
  <c r="K248" i="4"/>
  <c r="AE248" i="4" s="1"/>
  <c r="J138" i="4"/>
  <c r="AD138" i="4" s="1"/>
  <c r="J406" i="4"/>
  <c r="AD406" i="4" s="1"/>
  <c r="J405" i="4"/>
  <c r="AD405" i="4" s="1"/>
  <c r="J455" i="4"/>
  <c r="AD455" i="4" s="1"/>
  <c r="J248" i="4"/>
  <c r="AD248" i="4" s="1"/>
  <c r="J416" i="4"/>
  <c r="AD416" i="4" s="1"/>
  <c r="J296" i="4"/>
  <c r="AD296" i="4" s="1"/>
  <c r="J259" i="4"/>
  <c r="AD259" i="4" s="1"/>
  <c r="L259" i="4"/>
  <c r="AF259" i="4" s="1"/>
  <c r="L295" i="4"/>
  <c r="AF295" i="4" s="1"/>
  <c r="L453" i="4"/>
  <c r="AF453" i="4" s="1"/>
  <c r="L102" i="4"/>
  <c r="AF102" i="4" s="1"/>
  <c r="L139" i="4"/>
  <c r="AF139" i="4" s="1"/>
  <c r="L248" i="4"/>
  <c r="AF248" i="4" s="1"/>
  <c r="L138" i="4"/>
  <c r="AF138" i="4" s="1"/>
  <c r="L296" i="4"/>
  <c r="AF296" i="4" s="1"/>
  <c r="L405" i="4"/>
  <c r="AF405" i="4" s="1"/>
  <c r="L298" i="4"/>
  <c r="AF298" i="4" s="1"/>
  <c r="L455" i="4"/>
  <c r="AF455" i="4" s="1"/>
  <c r="L91" i="4"/>
  <c r="AF91" i="4" s="1"/>
  <c r="L406" i="4"/>
  <c r="AF406" i="4" s="1"/>
  <c r="L452" i="4"/>
  <c r="AF452" i="4" s="1"/>
  <c r="L416" i="4"/>
  <c r="AF416" i="4" s="1"/>
  <c r="L141" i="4"/>
  <c r="AF141" i="4" s="1"/>
  <c r="L414" i="4"/>
  <c r="AF414" i="4" s="1"/>
  <c r="L249" i="4"/>
  <c r="AF249" i="4" s="1"/>
  <c r="L92" i="4"/>
  <c r="AF92" i="4" s="1"/>
  <c r="L257" i="4"/>
  <c r="AF257" i="4" s="1"/>
  <c r="J92" i="4" l="1"/>
  <c r="AD92" i="4" s="1"/>
  <c r="J452" i="4"/>
  <c r="AD452" i="4" s="1"/>
  <c r="J257" i="4"/>
  <c r="AD257" i="4" s="1"/>
  <c r="H139" i="4"/>
  <c r="AB139" i="4" s="1"/>
  <c r="J453" i="4"/>
  <c r="AD453" i="4" s="1"/>
  <c r="J249" i="4"/>
  <c r="AD249" i="4" s="1"/>
  <c r="H298" i="4"/>
  <c r="AB298" i="4" s="1"/>
  <c r="H452" i="4"/>
  <c r="AB452" i="4" s="1"/>
  <c r="H453" i="4"/>
  <c r="AB453" i="4" s="1"/>
  <c r="H405" i="4"/>
  <c r="AB405" i="4" s="1"/>
  <c r="K139" i="4"/>
  <c r="AE139" i="4" s="1"/>
  <c r="K406" i="4"/>
  <c r="AE406" i="4" s="1"/>
  <c r="G102" i="4"/>
  <c r="AA102" i="4" s="1"/>
  <c r="I102" i="4"/>
  <c r="AC102" i="4" s="1"/>
  <c r="K249" i="4"/>
  <c r="AE249" i="4" s="1"/>
  <c r="K92" i="4"/>
  <c r="AE92" i="4" s="1"/>
  <c r="K414" i="4"/>
  <c r="AE414" i="4" s="1"/>
  <c r="I453" i="4"/>
  <c r="AC453" i="4" s="1"/>
  <c r="H100" i="4"/>
  <c r="AB100" i="4" s="1"/>
  <c r="H295" i="4"/>
  <c r="AB295" i="4" s="1"/>
  <c r="G249" i="4"/>
  <c r="AA249" i="4" s="1"/>
  <c r="G139" i="4"/>
  <c r="AA139" i="4" s="1"/>
  <c r="G92" i="4"/>
  <c r="AA92" i="4" s="1"/>
  <c r="G296" i="4"/>
  <c r="AA296" i="4" s="1"/>
  <c r="I452" i="4"/>
  <c r="AC452" i="4" s="1"/>
  <c r="K259" i="4"/>
  <c r="AE259" i="4" s="1"/>
  <c r="K296" i="4"/>
  <c r="AE296" i="4" s="1"/>
  <c r="I138" i="4"/>
  <c r="AC138" i="4" s="1"/>
  <c r="I416" i="4"/>
  <c r="AC416" i="4" s="1"/>
  <c r="K102" i="4"/>
  <c r="AE102" i="4" s="1"/>
  <c r="K298" i="4"/>
  <c r="AE298" i="4" s="1"/>
  <c r="I295" i="4"/>
  <c r="AC295" i="4" s="1"/>
  <c r="K257" i="4"/>
  <c r="AE257" i="4" s="1"/>
  <c r="I249" i="4"/>
  <c r="AC249" i="4" s="1"/>
  <c r="K138" i="4"/>
  <c r="AE138" i="4" s="1"/>
  <c r="I406" i="4"/>
  <c r="AC406" i="4" s="1"/>
  <c r="I257" i="4"/>
  <c r="AC257" i="4" s="1"/>
  <c r="I92" i="4"/>
  <c r="AC92" i="4" s="1"/>
  <c r="I91" i="4"/>
  <c r="AC91" i="4" s="1"/>
  <c r="I139" i="4"/>
  <c r="AC139" i="4" s="1"/>
  <c r="K295" i="4"/>
  <c r="AE295" i="4" s="1"/>
  <c r="I296" i="4"/>
  <c r="AC296" i="4" s="1"/>
  <c r="I455" i="4"/>
  <c r="AC455" i="4" s="1"/>
  <c r="I259" i="4"/>
  <c r="AC259" i="4" s="1"/>
  <c r="K405" i="4"/>
  <c r="AE405" i="4" s="1"/>
  <c r="I298" i="4"/>
  <c r="AC298" i="4" s="1"/>
  <c r="K416" i="4"/>
  <c r="AE416" i="4" s="1"/>
  <c r="I248" i="4"/>
  <c r="AC248" i="4" s="1"/>
  <c r="K453" i="4"/>
  <c r="AE453" i="4" s="1"/>
  <c r="I141" i="4"/>
  <c r="AC141" i="4" s="1"/>
  <c r="H141" i="4"/>
  <c r="AB141" i="4" s="1"/>
  <c r="G406" i="4"/>
  <c r="AA406" i="4" s="1"/>
  <c r="G257" i="4"/>
  <c r="AA257" i="4" s="1"/>
  <c r="G452" i="4"/>
  <c r="AA452" i="4" s="1"/>
  <c r="H91" i="4"/>
  <c r="AB91" i="4" s="1"/>
  <c r="G295" i="4"/>
  <c r="AA295" i="4" s="1"/>
  <c r="H414" i="4"/>
  <c r="AB414" i="4" s="1"/>
  <c r="G91" i="4"/>
  <c r="AA91" i="4" s="1"/>
  <c r="G416" i="4"/>
  <c r="AA416" i="4" s="1"/>
  <c r="G455" i="4"/>
  <c r="AA455" i="4" s="1"/>
  <c r="G298" i="4"/>
  <c r="AA298" i="4" s="1"/>
  <c r="G259" i="4"/>
  <c r="AA259" i="4" s="1"/>
  <c r="G405" i="4"/>
  <c r="AA405" i="4" s="1"/>
  <c r="G138" i="4"/>
  <c r="AA138" i="4" s="1"/>
  <c r="G141" i="4"/>
  <c r="AA141" i="4" s="1"/>
  <c r="G248" i="4"/>
  <c r="AA248" i="4" s="1"/>
  <c r="G414" i="4"/>
  <c r="AA414" i="4" s="1"/>
  <c r="G453" i="4"/>
  <c r="AA453" i="4" s="1"/>
  <c r="H257" i="4"/>
  <c r="AB257" i="4" s="1"/>
  <c r="H92" i="4"/>
  <c r="AB92" i="4" s="1"/>
  <c r="H249" i="4"/>
  <c r="AB249" i="4" s="1"/>
  <c r="H296" i="4"/>
  <c r="AB296" i="4" s="1"/>
  <c r="J298" i="4"/>
  <c r="AD298" i="4" s="1"/>
  <c r="H102" i="4"/>
  <c r="AB102" i="4" s="1"/>
  <c r="J102" i="4"/>
  <c r="AD102" i="4" s="1"/>
  <c r="J414" i="4"/>
  <c r="AD414" i="4" s="1"/>
  <c r="H406" i="4"/>
  <c r="AB406" i="4" s="1"/>
  <c r="H416" i="4"/>
  <c r="AB416" i="4" s="1"/>
  <c r="J141" i="4"/>
  <c r="AD141" i="4" s="1"/>
  <c r="H259" i="4"/>
  <c r="AB259" i="4" s="1"/>
  <c r="J139" i="4"/>
  <c r="AD139" i="4" s="1"/>
  <c r="J295" i="4"/>
  <c r="AD295" i="4" s="1"/>
  <c r="H138" i="4"/>
  <c r="AB138" i="4" s="1"/>
  <c r="H248" i="4"/>
  <c r="AB248" i="4" s="1"/>
  <c r="I405" i="4"/>
  <c r="AC405" i="4" s="1"/>
  <c r="D57" i="20"/>
  <c r="F29" i="20"/>
  <c r="E56" i="20"/>
  <c r="E57" i="20"/>
  <c r="C57" i="20"/>
  <c r="D56" i="20"/>
  <c r="C56" i="20"/>
  <c r="G75" i="7"/>
  <c r="C9" i="20" s="1"/>
  <c r="C10" i="20" s="1"/>
  <c r="E15" i="20" s="1"/>
  <c r="F15" i="20" s="1"/>
  <c r="E8" i="6"/>
  <c r="E26" i="6" s="1"/>
  <c r="G15" i="12" s="1"/>
  <c r="C14" i="6"/>
  <c r="C32" i="6" s="1"/>
  <c r="E15" i="11" s="1"/>
  <c r="L31" i="2"/>
  <c r="I30" i="4"/>
  <c r="AC30" i="4" s="1"/>
  <c r="P30" i="4"/>
  <c r="L48" i="2"/>
  <c r="P47" i="4"/>
  <c r="L219" i="2"/>
  <c r="P218" i="4"/>
  <c r="L278" i="2"/>
  <c r="P277" i="4"/>
  <c r="L213" i="2"/>
  <c r="P212" i="4"/>
  <c r="L129" i="2"/>
  <c r="P128" i="4"/>
  <c r="L40" i="2"/>
  <c r="P39" i="4"/>
  <c r="L122" i="2"/>
  <c r="P121" i="4"/>
  <c r="L107" i="2"/>
  <c r="P106" i="4"/>
  <c r="L262" i="2"/>
  <c r="P261" i="4"/>
  <c r="L307" i="2"/>
  <c r="P306" i="4"/>
  <c r="L313" i="2"/>
  <c r="P312" i="4"/>
  <c r="N59" i="2"/>
  <c r="S58" i="4" s="1"/>
  <c r="R58" i="4"/>
  <c r="L234" i="2"/>
  <c r="P233" i="4"/>
  <c r="L95" i="2"/>
  <c r="P94" i="4"/>
  <c r="N310" i="2"/>
  <c r="S309" i="4" s="1"/>
  <c r="R309" i="4"/>
  <c r="L116" i="2"/>
  <c r="P115" i="4"/>
  <c r="L113" i="2"/>
  <c r="P112" i="4"/>
  <c r="M312" i="2"/>
  <c r="Q311" i="4"/>
  <c r="M241" i="2"/>
  <c r="Q240" i="4"/>
  <c r="L223" i="2"/>
  <c r="J222" i="4" s="1"/>
  <c r="AD222" i="4" s="1"/>
  <c r="P222" i="4"/>
  <c r="L189" i="2"/>
  <c r="P188" i="4"/>
  <c r="L102" i="2"/>
  <c r="P101" i="4"/>
  <c r="L117" i="2"/>
  <c r="P116" i="4"/>
  <c r="L154" i="2"/>
  <c r="P153" i="4"/>
  <c r="L144" i="2"/>
  <c r="P143" i="4"/>
  <c r="N125" i="2"/>
  <c r="S124" i="4" s="1"/>
  <c r="R124" i="4"/>
  <c r="L273" i="2"/>
  <c r="P272" i="4"/>
  <c r="L150" i="2"/>
  <c r="P149" i="4"/>
  <c r="L119" i="2"/>
  <c r="P118" i="4"/>
  <c r="L34" i="2"/>
  <c r="P33" i="4"/>
  <c r="M94" i="2"/>
  <c r="Q93" i="4"/>
  <c r="L55" i="2"/>
  <c r="P54" i="4"/>
  <c r="L303" i="2"/>
  <c r="P302" i="4"/>
  <c r="M267" i="2"/>
  <c r="Q266" i="4"/>
  <c r="L291" i="2"/>
  <c r="P290" i="4"/>
  <c r="L187" i="2"/>
  <c r="P186" i="4"/>
  <c r="M216" i="2"/>
  <c r="Q215" i="4"/>
  <c r="L287" i="2"/>
  <c r="P286" i="4"/>
  <c r="L58" i="2"/>
  <c r="P57" i="4"/>
  <c r="L240" i="2"/>
  <c r="P239" i="4"/>
  <c r="L114" i="2"/>
  <c r="P113" i="4"/>
  <c r="L225" i="2"/>
  <c r="P224" i="4"/>
  <c r="L126" i="2"/>
  <c r="P125" i="4"/>
  <c r="L227" i="2"/>
  <c r="P226" i="4"/>
  <c r="L165" i="2"/>
  <c r="P164" i="4"/>
  <c r="N169" i="2"/>
  <c r="S168" i="4" s="1"/>
  <c r="R168" i="4"/>
  <c r="L305" i="2"/>
  <c r="P304" i="4"/>
  <c r="L27" i="2"/>
  <c r="P26" i="4"/>
  <c r="L35" i="2"/>
  <c r="P34" i="4"/>
  <c r="N176" i="2"/>
  <c r="S175" i="4" s="1"/>
  <c r="R175" i="4"/>
  <c r="L255" i="2"/>
  <c r="P254" i="4"/>
  <c r="N235" i="2"/>
  <c r="S234" i="4" s="1"/>
  <c r="R234" i="4"/>
  <c r="L69" i="2"/>
  <c r="P68" i="4"/>
  <c r="L186" i="2"/>
  <c r="P185" i="4"/>
  <c r="L277" i="2"/>
  <c r="J276" i="4" s="1"/>
  <c r="AD276" i="4" s="1"/>
  <c r="P276" i="4"/>
  <c r="E35" i="9"/>
  <c r="E34" i="9"/>
  <c r="F35" i="9"/>
  <c r="F34" i="9"/>
  <c r="D35" i="9"/>
  <c r="D34" i="9"/>
  <c r="C13" i="6"/>
  <c r="C31" i="6" s="1"/>
  <c r="E14" i="11" s="1"/>
  <c r="C12" i="6"/>
  <c r="C30" i="6" s="1"/>
  <c r="J47" i="4"/>
  <c r="AD47" i="4" s="1"/>
  <c r="I47" i="4"/>
  <c r="AC47" i="4" s="1"/>
  <c r="I286" i="4"/>
  <c r="AC286" i="4" s="1"/>
  <c r="K190" i="4"/>
  <c r="AE190" i="4" s="1"/>
  <c r="I165" i="4"/>
  <c r="AC165" i="4" s="1"/>
  <c r="J240" i="4"/>
  <c r="AD240" i="4" s="1"/>
  <c r="J104" i="4"/>
  <c r="AD104" i="4" s="1"/>
  <c r="I240" i="4"/>
  <c r="AC240" i="4" s="1"/>
  <c r="E14" i="6"/>
  <c r="E32" i="6" s="1"/>
  <c r="G15" i="11" s="1"/>
  <c r="I274" i="4"/>
  <c r="AC274" i="4" s="1"/>
  <c r="I84" i="4"/>
  <c r="AC84" i="4" s="1"/>
  <c r="I111" i="4"/>
  <c r="AC111" i="4" s="1"/>
  <c r="I127" i="4"/>
  <c r="AC127" i="4" s="1"/>
  <c r="I20" i="4"/>
  <c r="AC20" i="4" s="1"/>
  <c r="I39" i="4"/>
  <c r="AC39" i="4" s="1"/>
  <c r="I103" i="4"/>
  <c r="AC103" i="4" s="1"/>
  <c r="J41" i="4"/>
  <c r="AD41" i="4" s="1"/>
  <c r="I222" i="4"/>
  <c r="AC222" i="4" s="1"/>
  <c r="I231" i="4"/>
  <c r="AC231" i="4" s="1"/>
  <c r="I148" i="4"/>
  <c r="AC148" i="4" s="1"/>
  <c r="I297" i="4"/>
  <c r="AC297" i="4" s="1"/>
  <c r="I278" i="4"/>
  <c r="AC278" i="4" s="1"/>
  <c r="I312" i="4"/>
  <c r="AC312" i="4" s="1"/>
  <c r="J40" i="4"/>
  <c r="AD40" i="4" s="1"/>
  <c r="J263" i="4"/>
  <c r="AD263" i="4" s="1"/>
  <c r="J303" i="4"/>
  <c r="AD303" i="4" s="1"/>
  <c r="I195" i="4"/>
  <c r="AC195" i="4" s="1"/>
  <c r="I233" i="4"/>
  <c r="AC233" i="4" s="1"/>
  <c r="I210" i="4"/>
  <c r="AC210" i="4" s="1"/>
  <c r="L100" i="4"/>
  <c r="AF100" i="4" s="1"/>
  <c r="I239" i="4"/>
  <c r="AC239" i="4" s="1"/>
  <c r="I175" i="4"/>
  <c r="AC175" i="4" s="1"/>
  <c r="K100" i="4"/>
  <c r="AE100" i="4" s="1"/>
  <c r="I198" i="4"/>
  <c r="AC198" i="4" s="1"/>
  <c r="I294" i="4"/>
  <c r="AC294" i="4" s="1"/>
  <c r="J100" i="4"/>
  <c r="AD100" i="4" s="1"/>
  <c r="I146" i="4"/>
  <c r="AC146" i="4" s="1"/>
  <c r="I285" i="4"/>
  <c r="AC285" i="4" s="1"/>
  <c r="I118" i="4"/>
  <c r="AC118" i="4" s="1"/>
  <c r="I230" i="4"/>
  <c r="AC230" i="4" s="1"/>
  <c r="I214" i="4"/>
  <c r="AC214" i="4" s="1"/>
  <c r="I311" i="4"/>
  <c r="AC311" i="4" s="1"/>
  <c r="I199" i="4"/>
  <c r="AC199" i="4" s="1"/>
  <c r="I123" i="4"/>
  <c r="AC123" i="4" s="1"/>
  <c r="I59" i="4"/>
  <c r="AC59" i="4" s="1"/>
  <c r="I94" i="4"/>
  <c r="AC94" i="4" s="1"/>
  <c r="I54" i="4"/>
  <c r="AC54" i="4" s="1"/>
  <c r="I158" i="4"/>
  <c r="AC158" i="4" s="1"/>
  <c r="I71" i="4"/>
  <c r="AC71" i="4" s="1"/>
  <c r="I70" i="4"/>
  <c r="AC70" i="4" s="1"/>
  <c r="J175" i="4"/>
  <c r="AD175" i="4" s="1"/>
  <c r="I29" i="4"/>
  <c r="AC29" i="4" s="1"/>
  <c r="I117" i="4"/>
  <c r="AC117" i="4" s="1"/>
  <c r="I318" i="4"/>
  <c r="AC318" i="4" s="1"/>
  <c r="I150" i="4"/>
  <c r="AC150" i="4" s="1"/>
  <c r="I38" i="4"/>
  <c r="AC38" i="4" s="1"/>
  <c r="I126" i="4"/>
  <c r="AC126" i="4" s="1"/>
  <c r="I62" i="4"/>
  <c r="AC62" i="4" s="1"/>
  <c r="I255" i="4"/>
  <c r="AC255" i="4" s="1"/>
  <c r="I167" i="4"/>
  <c r="AC167" i="4" s="1"/>
  <c r="I86" i="4"/>
  <c r="AC86" i="4" s="1"/>
  <c r="I182" i="4"/>
  <c r="AC182" i="4" s="1"/>
  <c r="I135" i="4"/>
  <c r="AC135" i="4" s="1"/>
  <c r="I254" i="4"/>
  <c r="AC254" i="4" s="1"/>
  <c r="I310" i="4"/>
  <c r="AC310" i="4" s="1"/>
  <c r="I63" i="4"/>
  <c r="AC63" i="4" s="1"/>
  <c r="I105" i="4"/>
  <c r="AC105" i="4" s="1"/>
  <c r="I134" i="4"/>
  <c r="AC134" i="4" s="1"/>
  <c r="I323" i="4"/>
  <c r="AC323" i="4" s="1"/>
  <c r="I21" i="4"/>
  <c r="AC21" i="4" s="1"/>
  <c r="I53" i="4"/>
  <c r="AC53" i="4" s="1"/>
  <c r="I256" i="4"/>
  <c r="AC256" i="4" s="1"/>
  <c r="K395" i="4"/>
  <c r="AE395" i="4" s="1"/>
  <c r="I178" i="4"/>
  <c r="AC178" i="4" s="1"/>
  <c r="K421" i="4"/>
  <c r="AE421" i="4" s="1"/>
  <c r="I99" i="4"/>
  <c r="AC99" i="4" s="1"/>
  <c r="I43" i="4"/>
  <c r="AC43" i="4" s="1"/>
  <c r="I264" i="4"/>
  <c r="AC264" i="4" s="1"/>
  <c r="J84" i="4"/>
  <c r="AD84" i="4" s="1"/>
  <c r="I110" i="4"/>
  <c r="AC110" i="4" s="1"/>
  <c r="I300" i="4"/>
  <c r="AC300" i="4" s="1"/>
  <c r="I65" i="4"/>
  <c r="AC65" i="4" s="1"/>
  <c r="I288" i="4"/>
  <c r="AC288" i="4" s="1"/>
  <c r="I232" i="4"/>
  <c r="AC232" i="4" s="1"/>
  <c r="K411" i="4"/>
  <c r="AE411" i="4" s="1"/>
  <c r="J103" i="4"/>
  <c r="AD103" i="4" s="1"/>
  <c r="I220" i="4"/>
  <c r="AC220" i="4" s="1"/>
  <c r="K431" i="4"/>
  <c r="AE431" i="4" s="1"/>
  <c r="I122" i="4"/>
  <c r="AC122" i="4" s="1"/>
  <c r="K383" i="4"/>
  <c r="AE383" i="4" s="1"/>
  <c r="I245" i="4"/>
  <c r="AC245" i="4" s="1"/>
  <c r="I131" i="4"/>
  <c r="AC131" i="4" s="1"/>
  <c r="L341" i="4"/>
  <c r="AF341" i="4" s="1"/>
  <c r="I98" i="4"/>
  <c r="AC98" i="4" s="1"/>
  <c r="I217" i="4"/>
  <c r="AC217" i="4" s="1"/>
  <c r="K447" i="4"/>
  <c r="AE447" i="4" s="1"/>
  <c r="K443" i="4"/>
  <c r="AE443" i="4" s="1"/>
  <c r="I225" i="4"/>
  <c r="AC225" i="4" s="1"/>
  <c r="L359" i="4"/>
  <c r="AF359" i="4" s="1"/>
  <c r="J233" i="4"/>
  <c r="AD233" i="4" s="1"/>
  <c r="I282" i="4"/>
  <c r="AC282" i="4" s="1"/>
  <c r="K340" i="4"/>
  <c r="AE340" i="4" s="1"/>
  <c r="I114" i="4"/>
  <c r="AC114" i="4" s="1"/>
  <c r="I325" i="4"/>
  <c r="AC325" i="4" s="1"/>
  <c r="I186" i="4"/>
  <c r="AC186" i="4" s="1"/>
  <c r="L446" i="4"/>
  <c r="AF446" i="4" s="1"/>
  <c r="I64" i="4"/>
  <c r="AC64" i="4" s="1"/>
  <c r="K332" i="4"/>
  <c r="AE332" i="4" s="1"/>
  <c r="I247" i="4"/>
  <c r="AC247" i="4" s="1"/>
  <c r="K449" i="4"/>
  <c r="AE449" i="4" s="1"/>
  <c r="I101" i="4"/>
  <c r="AC101" i="4" s="1"/>
  <c r="I60" i="4"/>
  <c r="AC60" i="4" s="1"/>
  <c r="I32" i="4"/>
  <c r="AC32" i="4" s="1"/>
  <c r="I188" i="4"/>
  <c r="AC188" i="4" s="1"/>
  <c r="I213" i="4"/>
  <c r="AC213" i="4" s="1"/>
  <c r="I200" i="4"/>
  <c r="AC200" i="4" s="1"/>
  <c r="I78" i="4"/>
  <c r="AC78" i="4" s="1"/>
  <c r="I96" i="4"/>
  <c r="AC96" i="4" s="1"/>
  <c r="I280" i="4"/>
  <c r="AC280" i="4" s="1"/>
  <c r="I281" i="4"/>
  <c r="AC281" i="4" s="1"/>
  <c r="K364" i="4"/>
  <c r="AE364" i="4" s="1"/>
  <c r="K461" i="4"/>
  <c r="AE461" i="4" s="1"/>
  <c r="I201" i="4"/>
  <c r="AC201" i="4" s="1"/>
  <c r="K413" i="4"/>
  <c r="AE413" i="4" s="1"/>
  <c r="K355" i="4"/>
  <c r="AE355" i="4" s="1"/>
  <c r="K427" i="4"/>
  <c r="AE427" i="4" s="1"/>
  <c r="I229" i="4"/>
  <c r="AC229" i="4" s="1"/>
  <c r="J169" i="4"/>
  <c r="AD169" i="4" s="1"/>
  <c r="I147" i="4"/>
  <c r="AC147" i="4" s="1"/>
  <c r="J127" i="4"/>
  <c r="AD127" i="4" s="1"/>
  <c r="I237" i="4"/>
  <c r="AC237" i="4" s="1"/>
  <c r="I143" i="4"/>
  <c r="AC143" i="4" s="1"/>
  <c r="I226" i="4"/>
  <c r="AC226" i="4" s="1"/>
  <c r="I291" i="4"/>
  <c r="AC291" i="4" s="1"/>
  <c r="I207" i="4"/>
  <c r="AC207" i="4" s="1"/>
  <c r="I179" i="4"/>
  <c r="AC179" i="4" s="1"/>
  <c r="J239" i="4"/>
  <c r="AD239" i="4" s="1"/>
  <c r="I290" i="4"/>
  <c r="AC290" i="4" s="1"/>
  <c r="I197" i="4"/>
  <c r="AC197" i="4" s="1"/>
  <c r="I270" i="4"/>
  <c r="AC270" i="4" s="1"/>
  <c r="I304" i="4"/>
  <c r="AC304" i="4" s="1"/>
  <c r="I321" i="4"/>
  <c r="AC321" i="4" s="1"/>
  <c r="I302" i="4"/>
  <c r="AC302" i="4" s="1"/>
  <c r="K331" i="4"/>
  <c r="AE331" i="4" s="1"/>
  <c r="I73" i="4"/>
  <c r="AC73" i="4" s="1"/>
  <c r="I307" i="4"/>
  <c r="AC307" i="4" s="1"/>
  <c r="K388" i="4"/>
  <c r="AE388" i="4" s="1"/>
  <c r="J231" i="4"/>
  <c r="AD231" i="4" s="1"/>
  <c r="K470" i="4"/>
  <c r="AE470" i="4" s="1"/>
  <c r="J148" i="4"/>
  <c r="AD148" i="4" s="1"/>
  <c r="I56" i="4"/>
  <c r="AC56" i="4" s="1"/>
  <c r="I208" i="4"/>
  <c r="AC208" i="4" s="1"/>
  <c r="K412" i="4"/>
  <c r="AE412" i="4" s="1"/>
  <c r="I108" i="4"/>
  <c r="AC108" i="4" s="1"/>
  <c r="I142" i="4"/>
  <c r="AC142" i="4" s="1"/>
  <c r="K381" i="4"/>
  <c r="AE381" i="4" s="1"/>
  <c r="I121" i="4"/>
  <c r="AC121" i="4" s="1"/>
  <c r="J111" i="4"/>
  <c r="AD111" i="4" s="1"/>
  <c r="I26" i="4"/>
  <c r="AC26" i="4" s="1"/>
  <c r="K445" i="4"/>
  <c r="AE445" i="4" s="1"/>
  <c r="I172" i="4"/>
  <c r="AC172" i="4" s="1"/>
  <c r="I144" i="4"/>
  <c r="AC144" i="4" s="1"/>
  <c r="I88" i="4"/>
  <c r="AC88" i="4" s="1"/>
  <c r="I315" i="4"/>
  <c r="AC315" i="4" s="1"/>
  <c r="K354" i="4"/>
  <c r="AE354" i="4" s="1"/>
  <c r="I46" i="4"/>
  <c r="AC46" i="4" s="1"/>
  <c r="L459" i="4"/>
  <c r="AF459" i="4" s="1"/>
  <c r="I216" i="4"/>
  <c r="AC216" i="4" s="1"/>
  <c r="K435" i="4"/>
  <c r="AE435" i="4" s="1"/>
  <c r="I261" i="4"/>
  <c r="AC261" i="4" s="1"/>
  <c r="K419" i="4"/>
  <c r="AE419" i="4" s="1"/>
  <c r="I273" i="4"/>
  <c r="AC273" i="4" s="1"/>
  <c r="K380" i="4"/>
  <c r="AE380" i="4" s="1"/>
  <c r="I224" i="4"/>
  <c r="AC224" i="4" s="1"/>
  <c r="I301" i="4"/>
  <c r="AC301" i="4" s="1"/>
  <c r="J327" i="4"/>
  <c r="AD327" i="4" s="1"/>
  <c r="I42" i="4"/>
  <c r="AC42" i="4" s="1"/>
  <c r="L430" i="4"/>
  <c r="AF430" i="4" s="1"/>
  <c r="I18" i="4"/>
  <c r="AC18" i="4" s="1"/>
  <c r="I283" i="4"/>
  <c r="AC283" i="4" s="1"/>
  <c r="K472" i="4"/>
  <c r="AE472" i="4" s="1"/>
  <c r="I305" i="4"/>
  <c r="AC305" i="4" s="1"/>
  <c r="I206" i="4"/>
  <c r="AC206" i="4" s="1"/>
  <c r="I205" i="4"/>
  <c r="AC205" i="4" s="1"/>
  <c r="I161" i="4"/>
  <c r="AC161" i="4" s="1"/>
  <c r="I154" i="4"/>
  <c r="AC154" i="4" s="1"/>
  <c r="I189" i="4"/>
  <c r="AC189" i="4" s="1"/>
  <c r="I243" i="4"/>
  <c r="AC243" i="4" s="1"/>
  <c r="I51" i="4"/>
  <c r="AC51" i="4" s="1"/>
  <c r="I27" i="4"/>
  <c r="AC27" i="4" s="1"/>
  <c r="K403" i="4"/>
  <c r="AE403" i="4" s="1"/>
  <c r="K451" i="4"/>
  <c r="AE451" i="4" s="1"/>
  <c r="L468" i="4"/>
  <c r="AF468" i="4" s="1"/>
  <c r="J278" i="4"/>
  <c r="AD278" i="4" s="1"/>
  <c r="I160" i="4"/>
  <c r="AC160" i="4" s="1"/>
  <c r="I181" i="4"/>
  <c r="AC181" i="4" s="1"/>
  <c r="I170" i="4"/>
  <c r="AC170" i="4" s="1"/>
  <c r="I16" i="4"/>
  <c r="AC16" i="4" s="1"/>
  <c r="I180" i="4"/>
  <c r="AC180" i="4" s="1"/>
  <c r="K379" i="4"/>
  <c r="AE379" i="4" s="1"/>
  <c r="J212" i="4"/>
  <c r="AD212" i="4" s="1"/>
  <c r="I267" i="4"/>
  <c r="AC267" i="4" s="1"/>
  <c r="K389" i="4"/>
  <c r="AE389" i="4" s="1"/>
  <c r="L370" i="4"/>
  <c r="AF370" i="4" s="1"/>
  <c r="I106" i="4"/>
  <c r="AC106" i="4" s="1"/>
  <c r="I250" i="4"/>
  <c r="AC250" i="4" s="1"/>
  <c r="I68" i="4"/>
  <c r="AC68" i="4" s="1"/>
  <c r="I112" i="4"/>
  <c r="AC112" i="4" s="1"/>
  <c r="I90" i="4"/>
  <c r="AC90" i="4" s="1"/>
  <c r="I163" i="4"/>
  <c r="AC163" i="4" s="1"/>
  <c r="I132" i="4"/>
  <c r="AC132" i="4" s="1"/>
  <c r="K365" i="4"/>
  <c r="AE365" i="4" s="1"/>
  <c r="I241" i="4"/>
  <c r="AC241" i="4" s="1"/>
  <c r="I313" i="4"/>
  <c r="AC313" i="4" s="1"/>
  <c r="I242" i="4"/>
  <c r="AC242" i="4" s="1"/>
  <c r="K348" i="4"/>
  <c r="AE348" i="4" s="1"/>
  <c r="I156" i="4"/>
  <c r="AC156" i="4" s="1"/>
  <c r="I293" i="4"/>
  <c r="AC293" i="4" s="1"/>
  <c r="L456" i="4"/>
  <c r="AF456" i="4" s="1"/>
  <c r="K437" i="4"/>
  <c r="AE437" i="4" s="1"/>
  <c r="I89" i="4"/>
  <c r="AC89" i="4" s="1"/>
  <c r="K483" i="4"/>
  <c r="AE483" i="4" s="1"/>
  <c r="I277" i="4"/>
  <c r="AC277" i="4" s="1"/>
  <c r="J176" i="4"/>
  <c r="AD176" i="4" s="1"/>
  <c r="J165" i="4"/>
  <c r="AD165" i="4" s="1"/>
  <c r="I238" i="4"/>
  <c r="AC238" i="4" s="1"/>
  <c r="I129" i="4"/>
  <c r="AC129" i="4" s="1"/>
  <c r="I299" i="4"/>
  <c r="AC299" i="4" s="1"/>
  <c r="I159" i="4"/>
  <c r="AC159" i="4" s="1"/>
  <c r="I80" i="4"/>
  <c r="AC80" i="4" s="1"/>
  <c r="K338" i="4"/>
  <c r="AE338" i="4" s="1"/>
  <c r="J14" i="4"/>
  <c r="AD14" i="4" s="1"/>
  <c r="I58" i="4"/>
  <c r="AC58" i="4" s="1"/>
  <c r="L362" i="4"/>
  <c r="AF362" i="4" s="1"/>
  <c r="I66" i="4"/>
  <c r="AC66" i="4" s="1"/>
  <c r="K469" i="4"/>
  <c r="AE469" i="4" s="1"/>
  <c r="I203" i="4"/>
  <c r="AC203" i="4" s="1"/>
  <c r="I57" i="4"/>
  <c r="AC57" i="4" s="1"/>
  <c r="I44" i="4"/>
  <c r="AC44" i="4" s="1"/>
  <c r="I269" i="4"/>
  <c r="AC269" i="4" s="1"/>
  <c r="I234" i="4"/>
  <c r="AC234" i="4" s="1"/>
  <c r="J297" i="4"/>
  <c r="AD297" i="4" s="1"/>
  <c r="I183" i="4"/>
  <c r="AC183" i="4" s="1"/>
  <c r="I192" i="4"/>
  <c r="AC192" i="4" s="1"/>
  <c r="K372" i="4"/>
  <c r="AE372" i="4" s="1"/>
  <c r="I306" i="4"/>
  <c r="AC306" i="4" s="1"/>
  <c r="I262" i="4"/>
  <c r="AC262" i="4" s="1"/>
  <c r="I322" i="4"/>
  <c r="AC322" i="4" s="1"/>
  <c r="I289" i="4"/>
  <c r="AC289" i="4" s="1"/>
  <c r="I151" i="4"/>
  <c r="AC151" i="4" s="1"/>
  <c r="I28" i="4"/>
  <c r="AC28" i="4" s="1"/>
  <c r="I36" i="4"/>
  <c r="AC36" i="4" s="1"/>
  <c r="I149" i="4"/>
  <c r="AC149" i="4" s="1"/>
  <c r="I326" i="4"/>
  <c r="AC326" i="4" s="1"/>
  <c r="I87" i="4"/>
  <c r="AC87" i="4" s="1"/>
  <c r="K330" i="4"/>
  <c r="AE330" i="4" s="1"/>
  <c r="I202" i="4"/>
  <c r="AC202" i="4" s="1"/>
  <c r="I184" i="4"/>
  <c r="AC184" i="4" s="1"/>
  <c r="K373" i="4"/>
  <c r="AE373" i="4" s="1"/>
  <c r="K407" i="4"/>
  <c r="AE407" i="4" s="1"/>
  <c r="K460" i="4"/>
  <c r="AE460" i="4" s="1"/>
  <c r="K439" i="4"/>
  <c r="AE439" i="4" s="1"/>
  <c r="I211" i="4"/>
  <c r="AC211" i="4" s="1"/>
  <c r="K336" i="4"/>
  <c r="AE336" i="4" s="1"/>
  <c r="I235" i="4"/>
  <c r="AC235" i="4" s="1"/>
  <c r="I76" i="4"/>
  <c r="AC76" i="4" s="1"/>
  <c r="I320" i="4"/>
  <c r="AC320" i="4" s="1"/>
  <c r="I275" i="4"/>
  <c r="AC275" i="4" s="1"/>
  <c r="K371" i="4"/>
  <c r="AE371" i="4" s="1"/>
  <c r="I279" i="4"/>
  <c r="AC279" i="4" s="1"/>
  <c r="I33" i="4"/>
  <c r="AC33" i="4" s="1"/>
  <c r="I272" i="4"/>
  <c r="AC272" i="4" s="1"/>
  <c r="I69" i="4"/>
  <c r="AC69" i="4" s="1"/>
  <c r="I55" i="4"/>
  <c r="AC55" i="4" s="1"/>
  <c r="I37" i="4"/>
  <c r="AC37" i="4" s="1"/>
  <c r="I50" i="4"/>
  <c r="AC50" i="4" s="1"/>
  <c r="K429" i="4"/>
  <c r="AE429" i="4" s="1"/>
  <c r="I45" i="4"/>
  <c r="AC45" i="4" s="1"/>
  <c r="I204" i="4"/>
  <c r="AC204" i="4" s="1"/>
  <c r="I266" i="4"/>
  <c r="AC266" i="4" s="1"/>
  <c r="I137" i="4"/>
  <c r="AC137" i="4" s="1"/>
  <c r="I107" i="4"/>
  <c r="AC107" i="4" s="1"/>
  <c r="I253" i="4"/>
  <c r="AC253" i="4" s="1"/>
  <c r="I48" i="4"/>
  <c r="AC48" i="4" s="1"/>
  <c r="I81" i="4"/>
  <c r="AC81" i="4" s="1"/>
  <c r="I258" i="4"/>
  <c r="AC258" i="4" s="1"/>
  <c r="I209" i="4"/>
  <c r="AC209" i="4" s="1"/>
  <c r="I319" i="4"/>
  <c r="AC319" i="4" s="1"/>
  <c r="I236" i="4"/>
  <c r="AC236" i="4" s="1"/>
  <c r="I145" i="4"/>
  <c r="AC145" i="4" s="1"/>
  <c r="K420" i="4"/>
  <c r="AE420" i="4" s="1"/>
  <c r="I260" i="4"/>
  <c r="AC260" i="4" s="1"/>
  <c r="I228" i="4"/>
  <c r="AC228" i="4" s="1"/>
  <c r="I72" i="4"/>
  <c r="AC72" i="4" s="1"/>
  <c r="I153" i="4"/>
  <c r="AC153" i="4" s="1"/>
  <c r="I61" i="4"/>
  <c r="AC61" i="4" s="1"/>
  <c r="K396" i="4"/>
  <c r="AE396" i="4" s="1"/>
  <c r="J274" i="4"/>
  <c r="AD274" i="4" s="1"/>
  <c r="K404" i="4"/>
  <c r="AE404" i="4" s="1"/>
  <c r="L454" i="4"/>
  <c r="AF454" i="4" s="1"/>
  <c r="J20" i="4"/>
  <c r="AD20" i="4" s="1"/>
  <c r="I82" i="4"/>
  <c r="AC82" i="4" s="1"/>
  <c r="K328" i="4"/>
  <c r="AE328" i="4" s="1"/>
  <c r="I215" i="4"/>
  <c r="AC215" i="4" s="1"/>
  <c r="K391" i="4"/>
  <c r="AE391" i="4" s="1"/>
  <c r="I187" i="4"/>
  <c r="AC187" i="4" s="1"/>
  <c r="K450" i="4"/>
  <c r="AE450" i="4" s="1"/>
  <c r="K397" i="4"/>
  <c r="AE397" i="4" s="1"/>
  <c r="I67" i="4"/>
  <c r="AC67" i="4" s="1"/>
  <c r="J191" i="4"/>
  <c r="AD191" i="4" s="1"/>
  <c r="I271" i="4"/>
  <c r="AC271" i="4" s="1"/>
  <c r="I324" i="4"/>
  <c r="AC324" i="4" s="1"/>
  <c r="I140" i="4"/>
  <c r="AC140" i="4" s="1"/>
  <c r="I317" i="4"/>
  <c r="AC317" i="4" s="1"/>
  <c r="L482" i="4"/>
  <c r="AF482" i="4" s="1"/>
  <c r="I218" i="4"/>
  <c r="AC218" i="4" s="1"/>
  <c r="I292" i="4"/>
  <c r="AC292" i="4" s="1"/>
  <c r="I193" i="4"/>
  <c r="AC193" i="4" s="1"/>
  <c r="K442" i="4"/>
  <c r="AE442" i="4" s="1"/>
  <c r="I95" i="4"/>
  <c r="AC95" i="4" s="1"/>
  <c r="I97" i="4"/>
  <c r="AC97" i="4" s="1"/>
  <c r="I223" i="4"/>
  <c r="AC223" i="4" s="1"/>
  <c r="I77" i="4"/>
  <c r="AC77" i="4" s="1"/>
  <c r="I19" i="4"/>
  <c r="AC19" i="4" s="1"/>
  <c r="I221" i="4"/>
  <c r="AC221" i="4" s="1"/>
  <c r="I168" i="4"/>
  <c r="AC168" i="4" s="1"/>
  <c r="L440" i="4"/>
  <c r="AF440" i="4" s="1"/>
  <c r="I49" i="4"/>
  <c r="AC49" i="4" s="1"/>
  <c r="I133" i="4"/>
  <c r="AC133" i="4" s="1"/>
  <c r="L350" i="4"/>
  <c r="AF350" i="4" s="1"/>
  <c r="K473" i="4"/>
  <c r="AE473" i="4" s="1"/>
  <c r="K478" i="4"/>
  <c r="AE478" i="4" s="1"/>
  <c r="I128" i="4"/>
  <c r="AC128" i="4" s="1"/>
  <c r="I244" i="4"/>
  <c r="AC244" i="4" s="1"/>
  <c r="I35" i="4"/>
  <c r="AC35" i="4" s="1"/>
  <c r="I287" i="4"/>
  <c r="AC287" i="4" s="1"/>
  <c r="I171" i="4"/>
  <c r="AC171" i="4" s="1"/>
  <c r="I177" i="4"/>
  <c r="AC177" i="4" s="1"/>
  <c r="K436" i="4"/>
  <c r="AE436" i="4" s="1"/>
  <c r="I75" i="4"/>
  <c r="AC75" i="4" s="1"/>
  <c r="I308" i="4"/>
  <c r="AC308" i="4" s="1"/>
  <c r="I124" i="4"/>
  <c r="AC124" i="4" s="1"/>
  <c r="K477" i="4"/>
  <c r="AE477" i="4" s="1"/>
  <c r="J93" i="4"/>
  <c r="AD93" i="4" s="1"/>
  <c r="I164" i="4"/>
  <c r="AC164" i="4" s="1"/>
  <c r="I252" i="4"/>
  <c r="AC252" i="4" s="1"/>
  <c r="K329" i="4"/>
  <c r="AE329" i="4" s="1"/>
  <c r="I125" i="4"/>
  <c r="AC125" i="4" s="1"/>
  <c r="I52" i="4"/>
  <c r="AC52" i="4" s="1"/>
  <c r="I24" i="4"/>
  <c r="AC24" i="4" s="1"/>
  <c r="I116" i="4"/>
  <c r="AC116" i="4" s="1"/>
  <c r="I196" i="4"/>
  <c r="AC196" i="4" s="1"/>
  <c r="K387" i="4"/>
  <c r="AE387" i="4" s="1"/>
  <c r="I113" i="4"/>
  <c r="AC113" i="4" s="1"/>
  <c r="I265" i="4"/>
  <c r="AC265" i="4" s="1"/>
  <c r="K465" i="4"/>
  <c r="AE465" i="4" s="1"/>
  <c r="J166" i="4"/>
  <c r="AD166" i="4" s="1"/>
  <c r="I162" i="4"/>
  <c r="AC162" i="4" s="1"/>
  <c r="I227" i="4"/>
  <c r="AC227" i="4" s="1"/>
  <c r="I174" i="4"/>
  <c r="AC174" i="4" s="1"/>
  <c r="L378" i="4"/>
  <c r="AF378" i="4" s="1"/>
  <c r="I314" i="4"/>
  <c r="AC314" i="4" s="1"/>
  <c r="I85" i="4"/>
  <c r="AC85" i="4" s="1"/>
  <c r="I309" i="4"/>
  <c r="AC309" i="4" s="1"/>
  <c r="K345" i="4"/>
  <c r="AE345" i="4" s="1"/>
  <c r="I109" i="4"/>
  <c r="AC109" i="4" s="1"/>
  <c r="I34" i="4"/>
  <c r="AC34" i="4" s="1"/>
  <c r="I316" i="4"/>
  <c r="AC316" i="4" s="1"/>
  <c r="I31" i="4"/>
  <c r="AC31" i="4" s="1"/>
  <c r="I268" i="4"/>
  <c r="AC268" i="4" s="1"/>
  <c r="I17" i="4"/>
  <c r="AC17" i="4" s="1"/>
  <c r="I194" i="4"/>
  <c r="AC194" i="4" s="1"/>
  <c r="I284" i="4"/>
  <c r="AC284" i="4" s="1"/>
  <c r="I136" i="4"/>
  <c r="AC136" i="4" s="1"/>
  <c r="K474" i="4"/>
  <c r="AE474" i="4" s="1"/>
  <c r="K356" i="4"/>
  <c r="AE356" i="4" s="1"/>
  <c r="I115" i="4"/>
  <c r="AC115" i="4" s="1"/>
  <c r="L410" i="4"/>
  <c r="AF410" i="4" s="1"/>
  <c r="J157" i="4"/>
  <c r="AD157" i="4" s="1"/>
  <c r="I119" i="4"/>
  <c r="AC119" i="4" s="1"/>
  <c r="I173" i="4"/>
  <c r="AC173" i="4" s="1"/>
  <c r="L479" i="4"/>
  <c r="AF479" i="4" s="1"/>
  <c r="I83" i="4"/>
  <c r="AC83" i="4" s="1"/>
  <c r="I251" i="4"/>
  <c r="AC251" i="4" s="1"/>
  <c r="I120" i="4"/>
  <c r="AC120" i="4" s="1"/>
  <c r="K363" i="4"/>
  <c r="AE363" i="4" s="1"/>
  <c r="J285" i="4"/>
  <c r="AD285" i="4" s="1"/>
  <c r="I185" i="4"/>
  <c r="AC185" i="4" s="1"/>
  <c r="I155" i="4"/>
  <c r="AC155" i="4" s="1"/>
  <c r="I15" i="4"/>
  <c r="AC15" i="4" s="1"/>
  <c r="I23" i="4"/>
  <c r="AC23" i="4" s="1"/>
  <c r="I130" i="4"/>
  <c r="AC130" i="4" s="1"/>
  <c r="I25" i="4"/>
  <c r="AC25" i="4" s="1"/>
  <c r="I219" i="4"/>
  <c r="AC219" i="4" s="1"/>
  <c r="I79" i="4"/>
  <c r="AC79" i="4" s="1"/>
  <c r="I152" i="4"/>
  <c r="AC152" i="4" s="1"/>
  <c r="I11" i="11"/>
  <c r="J11" i="11"/>
  <c r="F14" i="6"/>
  <c r="D13" i="6"/>
  <c r="D14" i="6"/>
  <c r="F8" i="6"/>
  <c r="F26" i="6" s="1"/>
  <c r="H15" i="12" s="1"/>
  <c r="D12" i="6"/>
  <c r="D30" i="6" s="1"/>
  <c r="C61" i="20" l="1"/>
  <c r="D96" i="10"/>
  <c r="E61" i="20"/>
  <c r="D61" i="20"/>
  <c r="D8" i="6"/>
  <c r="D26" i="6" s="1"/>
  <c r="F15" i="12" s="1"/>
  <c r="C8" i="6"/>
  <c r="C26" i="6" s="1"/>
  <c r="E15" i="12" s="1"/>
  <c r="C7" i="6"/>
  <c r="C25" i="6" s="1"/>
  <c r="E14" i="12" s="1"/>
  <c r="D6" i="6"/>
  <c r="D24" i="6" s="1"/>
  <c r="C6" i="6"/>
  <c r="D7" i="6"/>
  <c r="D25" i="6" s="1"/>
  <c r="F14" i="12" s="1"/>
  <c r="E58" i="10"/>
  <c r="C44" i="20"/>
  <c r="F20" i="20"/>
  <c r="E45" i="20"/>
  <c r="E39" i="10" s="1"/>
  <c r="E44" i="20"/>
  <c r="D45" i="20"/>
  <c r="C45" i="20"/>
  <c r="D44" i="20"/>
  <c r="E59" i="10"/>
  <c r="N59" i="10" s="1"/>
  <c r="E60" i="10"/>
  <c r="N60" i="10" s="1"/>
  <c r="C35" i="9"/>
  <c r="M255" i="2"/>
  <c r="Q254" i="4"/>
  <c r="M69" i="2"/>
  <c r="Q68" i="4"/>
  <c r="M35" i="2"/>
  <c r="Q34" i="4"/>
  <c r="M165" i="2"/>
  <c r="Q164" i="4"/>
  <c r="M114" i="2"/>
  <c r="Q113" i="4"/>
  <c r="N216" i="2"/>
  <c r="S215" i="4" s="1"/>
  <c r="R215" i="4"/>
  <c r="M303" i="2"/>
  <c r="Q302" i="4"/>
  <c r="M119" i="2"/>
  <c r="Q118" i="4"/>
  <c r="M144" i="2"/>
  <c r="Q143" i="4"/>
  <c r="M189" i="2"/>
  <c r="Q188" i="4"/>
  <c r="M113" i="2"/>
  <c r="Q112" i="4"/>
  <c r="M234" i="2"/>
  <c r="K233" i="4" s="1"/>
  <c r="AE233" i="4" s="1"/>
  <c r="Q233" i="4"/>
  <c r="M262" i="2"/>
  <c r="Q261" i="4"/>
  <c r="M129" i="2"/>
  <c r="Q128" i="4"/>
  <c r="M48" i="2"/>
  <c r="Q47" i="4"/>
  <c r="M277" i="2"/>
  <c r="Q276" i="4"/>
  <c r="M305" i="2"/>
  <c r="Q304" i="4"/>
  <c r="M126" i="2"/>
  <c r="Q125" i="4"/>
  <c r="M58" i="2"/>
  <c r="Q57" i="4"/>
  <c r="M291" i="2"/>
  <c r="Q290" i="4"/>
  <c r="N94" i="2"/>
  <c r="S93" i="4" s="1"/>
  <c r="R93" i="4"/>
  <c r="M273" i="2"/>
  <c r="Q272" i="4"/>
  <c r="M117" i="2"/>
  <c r="Q116" i="4"/>
  <c r="N241" i="2"/>
  <c r="S240" i="4" s="1"/>
  <c r="R240" i="4"/>
  <c r="M313" i="2"/>
  <c r="K312" i="4" s="1"/>
  <c r="AE312" i="4" s="1"/>
  <c r="Q312" i="4"/>
  <c r="M122" i="2"/>
  <c r="Q121" i="4"/>
  <c r="M278" i="2"/>
  <c r="Q277" i="4"/>
  <c r="M186" i="2"/>
  <c r="Q185" i="4"/>
  <c r="M287" i="2"/>
  <c r="K286" i="4" s="1"/>
  <c r="AE286" i="4" s="1"/>
  <c r="Q286" i="4"/>
  <c r="M102" i="2"/>
  <c r="Q101" i="4"/>
  <c r="N312" i="2"/>
  <c r="S311" i="4" s="1"/>
  <c r="R311" i="4"/>
  <c r="M95" i="2"/>
  <c r="Q94" i="4"/>
  <c r="M307" i="2"/>
  <c r="Q306" i="4"/>
  <c r="M219" i="2"/>
  <c r="Q218" i="4"/>
  <c r="J286" i="4"/>
  <c r="AD286" i="4" s="1"/>
  <c r="M27" i="2"/>
  <c r="Q26" i="4"/>
  <c r="M227" i="2"/>
  <c r="Q226" i="4"/>
  <c r="M240" i="2"/>
  <c r="K239" i="4" s="1"/>
  <c r="AE239" i="4" s="1"/>
  <c r="Q239" i="4"/>
  <c r="M187" i="2"/>
  <c r="Q186" i="4"/>
  <c r="M55" i="2"/>
  <c r="Q54" i="4"/>
  <c r="M150" i="2"/>
  <c r="Q149" i="4"/>
  <c r="M154" i="2"/>
  <c r="Q153" i="4"/>
  <c r="M223" i="2"/>
  <c r="K222" i="4" s="1"/>
  <c r="AE222" i="4" s="1"/>
  <c r="Q222" i="4"/>
  <c r="M116" i="2"/>
  <c r="Q115" i="4"/>
  <c r="M107" i="2"/>
  <c r="Q106" i="4"/>
  <c r="M213" i="2"/>
  <c r="K212" i="4" s="1"/>
  <c r="AE212" i="4" s="1"/>
  <c r="Q212" i="4"/>
  <c r="J312" i="4"/>
  <c r="AD312" i="4" s="1"/>
  <c r="M225" i="2"/>
  <c r="Q224" i="4"/>
  <c r="N267" i="2"/>
  <c r="S266" i="4" s="1"/>
  <c r="R266" i="4"/>
  <c r="M34" i="2"/>
  <c r="Q33" i="4"/>
  <c r="M40" i="2"/>
  <c r="K39" i="4" s="1"/>
  <c r="AE39" i="4" s="1"/>
  <c r="Q39" i="4"/>
  <c r="J39" i="4"/>
  <c r="AD39" i="4" s="1"/>
  <c r="M31" i="2"/>
  <c r="Q30" i="4"/>
  <c r="J30" i="4"/>
  <c r="AD30" i="4" s="1"/>
  <c r="E33" i="9"/>
  <c r="D33" i="9"/>
  <c r="E55" i="10"/>
  <c r="L55" i="10" s="1"/>
  <c r="C34" i="9"/>
  <c r="F33" i="9"/>
  <c r="C15" i="6"/>
  <c r="J246" i="4"/>
  <c r="AD246" i="4" s="1"/>
  <c r="K240" i="4"/>
  <c r="AE240" i="4" s="1"/>
  <c r="J74" i="4"/>
  <c r="AD74" i="4" s="1"/>
  <c r="L190" i="4"/>
  <c r="AF190" i="4" s="1"/>
  <c r="K303" i="4"/>
  <c r="AE303" i="4" s="1"/>
  <c r="J195" i="4"/>
  <c r="AD195" i="4" s="1"/>
  <c r="J210" i="4"/>
  <c r="AD210" i="4" s="1"/>
  <c r="J146" i="4"/>
  <c r="AD146" i="4" s="1"/>
  <c r="C33" i="6"/>
  <c r="D31" i="6"/>
  <c r="F14" i="11" s="1"/>
  <c r="F32" i="6"/>
  <c r="H15" i="11" s="1"/>
  <c r="D32" i="6"/>
  <c r="F15" i="11" s="1"/>
  <c r="E13" i="11"/>
  <c r="E37" i="11" s="1"/>
  <c r="G14" i="6"/>
  <c r="J294" i="4"/>
  <c r="AD294" i="4" s="1"/>
  <c r="J118" i="4"/>
  <c r="AD118" i="4" s="1"/>
  <c r="J198" i="4"/>
  <c r="AD198" i="4" s="1"/>
  <c r="E12" i="6"/>
  <c r="E30" i="6" s="1"/>
  <c r="G8" i="6"/>
  <c r="G26" i="6" s="1"/>
  <c r="I15" i="12" s="1"/>
  <c r="J254" i="4"/>
  <c r="AD254" i="4" s="1"/>
  <c r="J86" i="4"/>
  <c r="AD86" i="4" s="1"/>
  <c r="J38" i="4"/>
  <c r="AD38" i="4" s="1"/>
  <c r="J70" i="4"/>
  <c r="AD70" i="4" s="1"/>
  <c r="J54" i="4"/>
  <c r="AD54" i="4" s="1"/>
  <c r="J311" i="4"/>
  <c r="AD311" i="4" s="1"/>
  <c r="J117" i="4"/>
  <c r="AD117" i="4" s="1"/>
  <c r="J323" i="4"/>
  <c r="AD323" i="4" s="1"/>
  <c r="J105" i="4"/>
  <c r="AD105" i="4" s="1"/>
  <c r="J255" i="4"/>
  <c r="AD255" i="4" s="1"/>
  <c r="E13" i="6"/>
  <c r="J63" i="4"/>
  <c r="AD63" i="4" s="1"/>
  <c r="J135" i="4"/>
  <c r="AD135" i="4" s="1"/>
  <c r="J62" i="4"/>
  <c r="AD62" i="4" s="1"/>
  <c r="J123" i="4"/>
  <c r="AD123" i="4" s="1"/>
  <c r="J150" i="4"/>
  <c r="AD150" i="4" s="1"/>
  <c r="J71" i="4"/>
  <c r="AD71" i="4" s="1"/>
  <c r="J214" i="4"/>
  <c r="AD214" i="4" s="1"/>
  <c r="J134" i="4"/>
  <c r="AD134" i="4" s="1"/>
  <c r="J167" i="4"/>
  <c r="AD167" i="4" s="1"/>
  <c r="J29" i="4"/>
  <c r="AD29" i="4" s="1"/>
  <c r="J94" i="4"/>
  <c r="AD94" i="4" s="1"/>
  <c r="E6" i="6"/>
  <c r="E24" i="6" s="1"/>
  <c r="G13" i="12" s="1"/>
  <c r="J310" i="4"/>
  <c r="AD310" i="4" s="1"/>
  <c r="J126" i="4"/>
  <c r="AD126" i="4" s="1"/>
  <c r="J318" i="4"/>
  <c r="AD318" i="4" s="1"/>
  <c r="J158" i="4"/>
  <c r="AD158" i="4" s="1"/>
  <c r="J59" i="4"/>
  <c r="AD59" i="4" s="1"/>
  <c r="J199" i="4"/>
  <c r="AD199" i="4" s="1"/>
  <c r="J21" i="4"/>
  <c r="AD21" i="4" s="1"/>
  <c r="J182" i="4"/>
  <c r="AD182" i="4" s="1"/>
  <c r="J230" i="4"/>
  <c r="AD230" i="4" s="1"/>
  <c r="J61" i="4"/>
  <c r="AD61" i="4" s="1"/>
  <c r="J72" i="4"/>
  <c r="AD72" i="4" s="1"/>
  <c r="J258" i="4"/>
  <c r="AD258" i="4" s="1"/>
  <c r="J266" i="4"/>
  <c r="AD266" i="4" s="1"/>
  <c r="L429" i="4"/>
  <c r="AF429" i="4" s="1"/>
  <c r="J272" i="4"/>
  <c r="AD272" i="4" s="1"/>
  <c r="L371" i="4"/>
  <c r="AF371" i="4" s="1"/>
  <c r="J235" i="4"/>
  <c r="AD235" i="4" s="1"/>
  <c r="L439" i="4"/>
  <c r="AF439" i="4" s="1"/>
  <c r="J87" i="4"/>
  <c r="AD87" i="4" s="1"/>
  <c r="J322" i="4"/>
  <c r="AD322" i="4" s="1"/>
  <c r="J44" i="4"/>
  <c r="AD44" i="4" s="1"/>
  <c r="J159" i="4"/>
  <c r="AD159" i="4" s="1"/>
  <c r="J129" i="4"/>
  <c r="AD129" i="4" s="1"/>
  <c r="L348" i="4"/>
  <c r="AF348" i="4" s="1"/>
  <c r="J163" i="4"/>
  <c r="AD163" i="4" s="1"/>
  <c r="J283" i="4"/>
  <c r="AD283" i="4" s="1"/>
  <c r="J273" i="4"/>
  <c r="AD273" i="4" s="1"/>
  <c r="L435" i="4"/>
  <c r="AF435" i="4" s="1"/>
  <c r="J172" i="4"/>
  <c r="AD172" i="4" s="1"/>
  <c r="J56" i="4"/>
  <c r="AD56" i="4" s="1"/>
  <c r="J197" i="4"/>
  <c r="AD197" i="4" s="1"/>
  <c r="K127" i="4"/>
  <c r="AE127" i="4" s="1"/>
  <c r="K169" i="4"/>
  <c r="AE169" i="4" s="1"/>
  <c r="J64" i="4"/>
  <c r="AD64" i="4" s="1"/>
  <c r="J186" i="4"/>
  <c r="AD186" i="4" s="1"/>
  <c r="J98" i="4"/>
  <c r="AD98" i="4" s="1"/>
  <c r="J245" i="4"/>
  <c r="AD245" i="4" s="1"/>
  <c r="L431" i="4"/>
  <c r="AF431" i="4" s="1"/>
  <c r="J288" i="4"/>
  <c r="AD288" i="4" s="1"/>
  <c r="J99" i="4"/>
  <c r="AD99" i="4" s="1"/>
  <c r="L395" i="4"/>
  <c r="AF395" i="4" s="1"/>
  <c r="J130" i="4"/>
  <c r="AD130" i="4" s="1"/>
  <c r="J120" i="4"/>
  <c r="AD120" i="4" s="1"/>
  <c r="J83" i="4"/>
  <c r="AD83" i="4" s="1"/>
  <c r="J119" i="4"/>
  <c r="AD119" i="4" s="1"/>
  <c r="J115" i="4"/>
  <c r="AD115" i="4" s="1"/>
  <c r="J31" i="4"/>
  <c r="AD31" i="4" s="1"/>
  <c r="J314" i="4"/>
  <c r="AD314" i="4" s="1"/>
  <c r="J227" i="4"/>
  <c r="AD227" i="4" s="1"/>
  <c r="J24" i="4"/>
  <c r="AD24" i="4" s="1"/>
  <c r="E7" i="6"/>
  <c r="E25" i="6" s="1"/>
  <c r="J35" i="4"/>
  <c r="AD35" i="4" s="1"/>
  <c r="J292" i="4"/>
  <c r="AD292" i="4" s="1"/>
  <c r="J317" i="4"/>
  <c r="AD317" i="4" s="1"/>
  <c r="J187" i="4"/>
  <c r="AD187" i="4" s="1"/>
  <c r="L420" i="4"/>
  <c r="AF420" i="4" s="1"/>
  <c r="J48" i="4"/>
  <c r="AD48" i="4" s="1"/>
  <c r="J36" i="4"/>
  <c r="AD36" i="4" s="1"/>
  <c r="L372" i="4"/>
  <c r="AF372" i="4" s="1"/>
  <c r="K104" i="4"/>
  <c r="AE104" i="4" s="1"/>
  <c r="K176" i="4"/>
  <c r="AE176" i="4" s="1"/>
  <c r="J68" i="4"/>
  <c r="AD68" i="4" s="1"/>
  <c r="J170" i="4"/>
  <c r="AD170" i="4" s="1"/>
  <c r="L451" i="4"/>
  <c r="AF451" i="4" s="1"/>
  <c r="J161" i="4"/>
  <c r="AD161" i="4" s="1"/>
  <c r="J42" i="4"/>
  <c r="AD42" i="4" s="1"/>
  <c r="J46" i="4"/>
  <c r="AD46" i="4" s="1"/>
  <c r="K111" i="4"/>
  <c r="AE111" i="4" s="1"/>
  <c r="L381" i="4"/>
  <c r="AF381" i="4" s="1"/>
  <c r="K231" i="4"/>
  <c r="AE231" i="4" s="1"/>
  <c r="J302" i="4"/>
  <c r="AD302" i="4" s="1"/>
  <c r="J201" i="4"/>
  <c r="AD201" i="4" s="1"/>
  <c r="J60" i="4"/>
  <c r="AD60" i="4" s="1"/>
  <c r="L340" i="4"/>
  <c r="AF340" i="4" s="1"/>
  <c r="L447" i="4"/>
  <c r="AF447" i="4" s="1"/>
  <c r="L411" i="4"/>
  <c r="AF411" i="4" s="1"/>
  <c r="J300" i="4"/>
  <c r="AD300" i="4" s="1"/>
  <c r="J79" i="4"/>
  <c r="AD79" i="4" s="1"/>
  <c r="J194" i="4"/>
  <c r="AD194" i="4" s="1"/>
  <c r="J196" i="4"/>
  <c r="AD196" i="4" s="1"/>
  <c r="J252" i="4"/>
  <c r="AD252" i="4" s="1"/>
  <c r="L477" i="4"/>
  <c r="AF477" i="4" s="1"/>
  <c r="J177" i="4"/>
  <c r="AD177" i="4" s="1"/>
  <c r="J95" i="4"/>
  <c r="AD95" i="4" s="1"/>
  <c r="J67" i="4"/>
  <c r="AD67" i="4" s="1"/>
  <c r="J155" i="4"/>
  <c r="AD155" i="4" s="1"/>
  <c r="J136" i="4"/>
  <c r="AD136" i="4" s="1"/>
  <c r="J109" i="4"/>
  <c r="AD109" i="4" s="1"/>
  <c r="J113" i="4"/>
  <c r="AD113" i="4" s="1"/>
  <c r="L329" i="4"/>
  <c r="AF329" i="4" s="1"/>
  <c r="J75" i="4"/>
  <c r="AD75" i="4" s="1"/>
  <c r="L478" i="4"/>
  <c r="AF478" i="4" s="1"/>
  <c r="J133" i="4"/>
  <c r="AD133" i="4" s="1"/>
  <c r="J168" i="4"/>
  <c r="AD168" i="4" s="1"/>
  <c r="J19" i="4"/>
  <c r="AD19" i="4" s="1"/>
  <c r="J223" i="4"/>
  <c r="AD223" i="4" s="1"/>
  <c r="J271" i="4"/>
  <c r="AD271" i="4" s="1"/>
  <c r="L328" i="4"/>
  <c r="AF328" i="4" s="1"/>
  <c r="J319" i="4"/>
  <c r="AD319" i="4" s="1"/>
  <c r="J107" i="4"/>
  <c r="AD107" i="4" s="1"/>
  <c r="J137" i="4"/>
  <c r="AD137" i="4" s="1"/>
  <c r="J55" i="4"/>
  <c r="AD55" i="4" s="1"/>
  <c r="L373" i="4"/>
  <c r="AF373" i="4" s="1"/>
  <c r="J202" i="4"/>
  <c r="AD202" i="4" s="1"/>
  <c r="J151" i="4"/>
  <c r="AD151" i="4" s="1"/>
  <c r="J234" i="4"/>
  <c r="AD234" i="4" s="1"/>
  <c r="L338" i="4"/>
  <c r="AF338" i="4" s="1"/>
  <c r="J89" i="4"/>
  <c r="AD89" i="4" s="1"/>
  <c r="J293" i="4"/>
  <c r="AD293" i="4" s="1"/>
  <c r="L365" i="4"/>
  <c r="AF365" i="4" s="1"/>
  <c r="J267" i="4"/>
  <c r="AD267" i="4" s="1"/>
  <c r="J160" i="4"/>
  <c r="AD160" i="4" s="1"/>
  <c r="J27" i="4"/>
  <c r="AD27" i="4" s="1"/>
  <c r="J243" i="4"/>
  <c r="AD243" i="4" s="1"/>
  <c r="J305" i="4"/>
  <c r="AD305" i="4" s="1"/>
  <c r="J224" i="4"/>
  <c r="AD224" i="4" s="1"/>
  <c r="L419" i="4"/>
  <c r="AF419" i="4" s="1"/>
  <c r="J88" i="4"/>
  <c r="AD88" i="4" s="1"/>
  <c r="L445" i="4"/>
  <c r="AF445" i="4" s="1"/>
  <c r="L412" i="4"/>
  <c r="AF412" i="4" s="1"/>
  <c r="K148" i="4"/>
  <c r="AE148" i="4" s="1"/>
  <c r="J73" i="4"/>
  <c r="AD73" i="4" s="1"/>
  <c r="J304" i="4"/>
  <c r="AD304" i="4" s="1"/>
  <c r="J291" i="4"/>
  <c r="AD291" i="4" s="1"/>
  <c r="J143" i="4"/>
  <c r="AD143" i="4" s="1"/>
  <c r="J281" i="4"/>
  <c r="AD281" i="4" s="1"/>
  <c r="J200" i="4"/>
  <c r="AD200" i="4" s="1"/>
  <c r="J247" i="4"/>
  <c r="AD247" i="4" s="1"/>
  <c r="J264" i="4"/>
  <c r="AD264" i="4" s="1"/>
  <c r="L421" i="4"/>
  <c r="AF421" i="4" s="1"/>
  <c r="F13" i="11"/>
  <c r="J219" i="4"/>
  <c r="AD219" i="4" s="1"/>
  <c r="K157" i="4"/>
  <c r="AE157" i="4" s="1"/>
  <c r="J17" i="4"/>
  <c r="AD17" i="4" s="1"/>
  <c r="J309" i="4"/>
  <c r="AD309" i="4" s="1"/>
  <c r="L465" i="4"/>
  <c r="AF465" i="4" s="1"/>
  <c r="J116" i="4"/>
  <c r="AD116" i="4" s="1"/>
  <c r="J164" i="4"/>
  <c r="AD164" i="4" s="1"/>
  <c r="J171" i="4"/>
  <c r="AD171" i="4" s="1"/>
  <c r="L442" i="4"/>
  <c r="AF442" i="4" s="1"/>
  <c r="L397" i="4"/>
  <c r="AF397" i="4" s="1"/>
  <c r="L391" i="4"/>
  <c r="AF391" i="4" s="1"/>
  <c r="L396" i="4"/>
  <c r="AF396" i="4" s="1"/>
  <c r="J228" i="4"/>
  <c r="AD228" i="4" s="1"/>
  <c r="J81" i="4"/>
  <c r="AD81" i="4" s="1"/>
  <c r="J204" i="4"/>
  <c r="AD204" i="4" s="1"/>
  <c r="J33" i="4"/>
  <c r="AD33" i="4" s="1"/>
  <c r="L336" i="4"/>
  <c r="AF336" i="4" s="1"/>
  <c r="J326" i="4"/>
  <c r="AD326" i="4" s="1"/>
  <c r="J262" i="4"/>
  <c r="AD262" i="4" s="1"/>
  <c r="J57" i="4"/>
  <c r="AD57" i="4" s="1"/>
  <c r="L469" i="4"/>
  <c r="AF469" i="4" s="1"/>
  <c r="J299" i="4"/>
  <c r="AD299" i="4" s="1"/>
  <c r="J238" i="4"/>
  <c r="AD238" i="4" s="1"/>
  <c r="J242" i="4"/>
  <c r="AD242" i="4" s="1"/>
  <c r="J90" i="4"/>
  <c r="AD90" i="4" s="1"/>
  <c r="K146" i="4"/>
  <c r="AE146" i="4" s="1"/>
  <c r="J180" i="4"/>
  <c r="AD180" i="4" s="1"/>
  <c r="J154" i="4"/>
  <c r="AD154" i="4" s="1"/>
  <c r="J18" i="4"/>
  <c r="AD18" i="4" s="1"/>
  <c r="J290" i="4"/>
  <c r="AD290" i="4" s="1"/>
  <c r="J147" i="4"/>
  <c r="AD147" i="4" s="1"/>
  <c r="L355" i="4"/>
  <c r="AF355" i="4" s="1"/>
  <c r="J188" i="4"/>
  <c r="AD188" i="4" s="1"/>
  <c r="J325" i="4"/>
  <c r="AD325" i="4" s="1"/>
  <c r="L383" i="4"/>
  <c r="AF383" i="4" s="1"/>
  <c r="J65" i="4"/>
  <c r="AD65" i="4" s="1"/>
  <c r="J23" i="4"/>
  <c r="AD23" i="4" s="1"/>
  <c r="L356" i="4"/>
  <c r="AF356" i="4" s="1"/>
  <c r="J316" i="4"/>
  <c r="AD316" i="4" s="1"/>
  <c r="J162" i="4"/>
  <c r="AD162" i="4" s="1"/>
  <c r="L387" i="4"/>
  <c r="AF387" i="4" s="1"/>
  <c r="J52" i="4"/>
  <c r="AD52" i="4" s="1"/>
  <c r="J124" i="4"/>
  <c r="AD124" i="4" s="1"/>
  <c r="J244" i="4"/>
  <c r="AD244" i="4" s="1"/>
  <c r="L473" i="4"/>
  <c r="AF473" i="4" s="1"/>
  <c r="J218" i="4"/>
  <c r="AD218" i="4" s="1"/>
  <c r="J140" i="4"/>
  <c r="AD140" i="4" s="1"/>
  <c r="J145" i="4"/>
  <c r="AD145" i="4" s="1"/>
  <c r="J50" i="4"/>
  <c r="AD50" i="4" s="1"/>
  <c r="J275" i="4"/>
  <c r="AD275" i="4" s="1"/>
  <c r="L460" i="4"/>
  <c r="AF460" i="4" s="1"/>
  <c r="J28" i="4"/>
  <c r="AD28" i="4" s="1"/>
  <c r="J192" i="4"/>
  <c r="AD192" i="4" s="1"/>
  <c r="J183" i="4"/>
  <c r="AD183" i="4" s="1"/>
  <c r="J58" i="4"/>
  <c r="AD58" i="4" s="1"/>
  <c r="J277" i="4"/>
  <c r="AD277" i="4" s="1"/>
  <c r="L437" i="4"/>
  <c r="AF437" i="4" s="1"/>
  <c r="J250" i="4"/>
  <c r="AD250" i="4" s="1"/>
  <c r="J181" i="4"/>
  <c r="AD181" i="4" s="1"/>
  <c r="J205" i="4"/>
  <c r="AD205" i="4" s="1"/>
  <c r="K327" i="4"/>
  <c r="AE327" i="4" s="1"/>
  <c r="J216" i="4"/>
  <c r="AD216" i="4" s="1"/>
  <c r="L354" i="4"/>
  <c r="AF354" i="4" s="1"/>
  <c r="J121" i="4"/>
  <c r="AD121" i="4" s="1"/>
  <c r="J142" i="4"/>
  <c r="AD142" i="4" s="1"/>
  <c r="L388" i="4"/>
  <c r="AF388" i="4" s="1"/>
  <c r="J179" i="4"/>
  <c r="AD179" i="4" s="1"/>
  <c r="L461" i="4"/>
  <c r="AF461" i="4" s="1"/>
  <c r="J96" i="4"/>
  <c r="AD96" i="4" s="1"/>
  <c r="J101" i="4"/>
  <c r="AD101" i="4" s="1"/>
  <c r="J282" i="4"/>
  <c r="AD282" i="4" s="1"/>
  <c r="J225" i="4"/>
  <c r="AD225" i="4" s="1"/>
  <c r="J220" i="4"/>
  <c r="AD220" i="4" s="1"/>
  <c r="J110" i="4"/>
  <c r="AD110" i="4" s="1"/>
  <c r="J256" i="4"/>
  <c r="AD256" i="4" s="1"/>
  <c r="J152" i="4"/>
  <c r="AD152" i="4" s="1"/>
  <c r="J185" i="4"/>
  <c r="AD185" i="4" s="1"/>
  <c r="L363" i="4"/>
  <c r="AF363" i="4" s="1"/>
  <c r="J284" i="4"/>
  <c r="AD284" i="4" s="1"/>
  <c r="L345" i="4"/>
  <c r="AF345" i="4" s="1"/>
  <c r="K47" i="4"/>
  <c r="AE47" i="4" s="1"/>
  <c r="K93" i="4"/>
  <c r="AE93" i="4" s="1"/>
  <c r="L436" i="4"/>
  <c r="AF436" i="4" s="1"/>
  <c r="J49" i="4"/>
  <c r="AD49" i="4" s="1"/>
  <c r="J221" i="4"/>
  <c r="AD221" i="4" s="1"/>
  <c r="J77" i="4"/>
  <c r="AD77" i="4" s="1"/>
  <c r="J97" i="4"/>
  <c r="AD97" i="4" s="1"/>
  <c r="K191" i="4"/>
  <c r="AE191" i="4" s="1"/>
  <c r="J82" i="4"/>
  <c r="AD82" i="4" s="1"/>
  <c r="L404" i="4"/>
  <c r="AF404" i="4" s="1"/>
  <c r="J153" i="4"/>
  <c r="AD153" i="4" s="1"/>
  <c r="J209" i="4"/>
  <c r="AD209" i="4" s="1"/>
  <c r="J69" i="4"/>
  <c r="AD69" i="4" s="1"/>
  <c r="J76" i="4"/>
  <c r="AD76" i="4" s="1"/>
  <c r="J184" i="4"/>
  <c r="AD184" i="4" s="1"/>
  <c r="L330" i="4"/>
  <c r="AF330" i="4" s="1"/>
  <c r="J289" i="4"/>
  <c r="AD289" i="4" s="1"/>
  <c r="J269" i="4"/>
  <c r="AD269" i="4" s="1"/>
  <c r="J80" i="4"/>
  <c r="AD80" i="4" s="1"/>
  <c r="J156" i="4"/>
  <c r="AD156" i="4" s="1"/>
  <c r="J132" i="4"/>
  <c r="AD132" i="4" s="1"/>
  <c r="K278" i="4"/>
  <c r="AE278" i="4" s="1"/>
  <c r="J51" i="4"/>
  <c r="AD51" i="4" s="1"/>
  <c r="J189" i="4"/>
  <c r="AD189" i="4" s="1"/>
  <c r="L472" i="4"/>
  <c r="AF472" i="4" s="1"/>
  <c r="L380" i="4"/>
  <c r="AF380" i="4" s="1"/>
  <c r="J144" i="4"/>
  <c r="AD144" i="4" s="1"/>
  <c r="J208" i="4"/>
  <c r="AD208" i="4" s="1"/>
  <c r="J270" i="4"/>
  <c r="AD270" i="4" s="1"/>
  <c r="J237" i="4"/>
  <c r="AD237" i="4" s="1"/>
  <c r="J229" i="4"/>
  <c r="AD229" i="4" s="1"/>
  <c r="L413" i="4"/>
  <c r="AF413" i="4" s="1"/>
  <c r="J280" i="4"/>
  <c r="AD280" i="4" s="1"/>
  <c r="J213" i="4"/>
  <c r="AD213" i="4" s="1"/>
  <c r="L332" i="4"/>
  <c r="AF332" i="4" s="1"/>
  <c r="J217" i="4"/>
  <c r="AD217" i="4" s="1"/>
  <c r="J131" i="4"/>
  <c r="AD131" i="4" s="1"/>
  <c r="J232" i="4"/>
  <c r="AD232" i="4" s="1"/>
  <c r="J43" i="4"/>
  <c r="AD43" i="4" s="1"/>
  <c r="J25" i="4"/>
  <c r="AD25" i="4" s="1"/>
  <c r="J251" i="4"/>
  <c r="AD251" i="4" s="1"/>
  <c r="J173" i="4"/>
  <c r="AD173" i="4" s="1"/>
  <c r="J268" i="4"/>
  <c r="AD268" i="4" s="1"/>
  <c r="J85" i="4"/>
  <c r="AD85" i="4" s="1"/>
  <c r="J174" i="4"/>
  <c r="AD174" i="4" s="1"/>
  <c r="K166" i="4"/>
  <c r="AE166" i="4" s="1"/>
  <c r="J287" i="4"/>
  <c r="AD287" i="4" s="1"/>
  <c r="J193" i="4"/>
  <c r="AD193" i="4" s="1"/>
  <c r="L450" i="4"/>
  <c r="AF450" i="4" s="1"/>
  <c r="J260" i="4"/>
  <c r="AD260" i="4" s="1"/>
  <c r="J45" i="4"/>
  <c r="AD45" i="4" s="1"/>
  <c r="J279" i="4"/>
  <c r="AD279" i="4" s="1"/>
  <c r="J211" i="4"/>
  <c r="AD211" i="4" s="1"/>
  <c r="L407" i="4"/>
  <c r="AF407" i="4" s="1"/>
  <c r="J149" i="4"/>
  <c r="AD149" i="4" s="1"/>
  <c r="J306" i="4"/>
  <c r="AD306" i="4" s="1"/>
  <c r="K297" i="4"/>
  <c r="AE297" i="4" s="1"/>
  <c r="J203" i="4"/>
  <c r="AD203" i="4" s="1"/>
  <c r="K14" i="4"/>
  <c r="AE14" i="4" s="1"/>
  <c r="K165" i="4"/>
  <c r="AE165" i="4" s="1"/>
  <c r="J313" i="4"/>
  <c r="AD313" i="4" s="1"/>
  <c r="J112" i="4"/>
  <c r="AD112" i="4" s="1"/>
  <c r="J16" i="4"/>
  <c r="AD16" i="4" s="1"/>
  <c r="L403" i="4"/>
  <c r="AF403" i="4" s="1"/>
  <c r="J261" i="4"/>
  <c r="AD261" i="4" s="1"/>
  <c r="J26" i="4"/>
  <c r="AD26" i="4" s="1"/>
  <c r="L470" i="4"/>
  <c r="AF470" i="4" s="1"/>
  <c r="L331" i="4"/>
  <c r="AF331" i="4" s="1"/>
  <c r="J32" i="4"/>
  <c r="AD32" i="4" s="1"/>
  <c r="L449" i="4"/>
  <c r="AF449" i="4" s="1"/>
  <c r="J114" i="4"/>
  <c r="AD114" i="4" s="1"/>
  <c r="L443" i="4"/>
  <c r="AF443" i="4" s="1"/>
  <c r="J122" i="4"/>
  <c r="AD122" i="4" s="1"/>
  <c r="K103" i="4"/>
  <c r="AE103" i="4" s="1"/>
  <c r="K84" i="4"/>
  <c r="AE84" i="4" s="1"/>
  <c r="J178" i="4"/>
  <c r="AD178" i="4" s="1"/>
  <c r="J15" i="4"/>
  <c r="AD15" i="4" s="1"/>
  <c r="K285" i="4"/>
  <c r="AE285" i="4" s="1"/>
  <c r="L474" i="4"/>
  <c r="AF474" i="4" s="1"/>
  <c r="J34" i="4"/>
  <c r="AD34" i="4" s="1"/>
  <c r="J265" i="4"/>
  <c r="AD265" i="4" s="1"/>
  <c r="J125" i="4"/>
  <c r="AD125" i="4" s="1"/>
  <c r="J308" i="4"/>
  <c r="AD308" i="4" s="1"/>
  <c r="J128" i="4"/>
  <c r="AD128" i="4" s="1"/>
  <c r="J324" i="4"/>
  <c r="AD324" i="4" s="1"/>
  <c r="J215" i="4"/>
  <c r="AD215" i="4" s="1"/>
  <c r="K20" i="4"/>
  <c r="AE20" i="4" s="1"/>
  <c r="K274" i="4"/>
  <c r="AE274" i="4" s="1"/>
  <c r="J236" i="4"/>
  <c r="AD236" i="4" s="1"/>
  <c r="J253" i="4"/>
  <c r="AD253" i="4" s="1"/>
  <c r="J37" i="4"/>
  <c r="AD37" i="4" s="1"/>
  <c r="J320" i="4"/>
  <c r="AD320" i="4" s="1"/>
  <c r="K210" i="4"/>
  <c r="AE210" i="4" s="1"/>
  <c r="J66" i="4"/>
  <c r="AD66" i="4" s="1"/>
  <c r="L483" i="4"/>
  <c r="AF483" i="4" s="1"/>
  <c r="J241" i="4"/>
  <c r="AD241" i="4" s="1"/>
  <c r="J106" i="4"/>
  <c r="AD106" i="4" s="1"/>
  <c r="L389" i="4"/>
  <c r="AF389" i="4" s="1"/>
  <c r="L379" i="4"/>
  <c r="AF379" i="4" s="1"/>
  <c r="K246" i="4"/>
  <c r="AE246" i="4" s="1"/>
  <c r="J206" i="4"/>
  <c r="AD206" i="4" s="1"/>
  <c r="J301" i="4"/>
  <c r="AD301" i="4" s="1"/>
  <c r="J315" i="4"/>
  <c r="AD315" i="4" s="1"/>
  <c r="J108" i="4"/>
  <c r="AD108" i="4" s="1"/>
  <c r="J307" i="4"/>
  <c r="AD307" i="4" s="1"/>
  <c r="J321" i="4"/>
  <c r="AD321" i="4" s="1"/>
  <c r="J207" i="4"/>
  <c r="AD207" i="4" s="1"/>
  <c r="J226" i="4"/>
  <c r="AD226" i="4" s="1"/>
  <c r="L427" i="4"/>
  <c r="AF427" i="4" s="1"/>
  <c r="L364" i="4"/>
  <c r="AF364" i="4" s="1"/>
  <c r="J78" i="4"/>
  <c r="AD78" i="4" s="1"/>
  <c r="K41" i="4"/>
  <c r="AE41" i="4" s="1"/>
  <c r="J53" i="4"/>
  <c r="AD53" i="4" s="1"/>
  <c r="D15" i="6"/>
  <c r="D50" i="20" l="1"/>
  <c r="E33" i="10"/>
  <c r="M33" i="10" s="1"/>
  <c r="C50" i="20"/>
  <c r="E37" i="10"/>
  <c r="K37" i="10" s="1"/>
  <c r="C9" i="6"/>
  <c r="C24" i="6"/>
  <c r="C27" i="6" s="1"/>
  <c r="D9" i="6"/>
  <c r="K58" i="10"/>
  <c r="J58" i="10"/>
  <c r="N58" i="10"/>
  <c r="N57" i="10" s="1"/>
  <c r="M58" i="10"/>
  <c r="I58" i="10"/>
  <c r="I57" i="10" s="1"/>
  <c r="L58" i="10"/>
  <c r="E50" i="20"/>
  <c r="D78" i="10"/>
  <c r="E96" i="10"/>
  <c r="E97" i="10" s="1"/>
  <c r="K59" i="10"/>
  <c r="C33" i="9"/>
  <c r="M39" i="10"/>
  <c r="N39" i="10"/>
  <c r="L39" i="10"/>
  <c r="K39" i="10"/>
  <c r="E53" i="10"/>
  <c r="I53" i="10" s="1"/>
  <c r="I52" i="10" s="1"/>
  <c r="L60" i="10"/>
  <c r="M60" i="10"/>
  <c r="K60" i="10"/>
  <c r="L59" i="10"/>
  <c r="M59" i="10"/>
  <c r="J59" i="10"/>
  <c r="E57" i="10"/>
  <c r="E54" i="10"/>
  <c r="K54" i="10" s="1"/>
  <c r="N107" i="2"/>
  <c r="S106" i="4" s="1"/>
  <c r="R106" i="4"/>
  <c r="N227" i="2"/>
  <c r="S226" i="4" s="1"/>
  <c r="R226" i="4"/>
  <c r="N31" i="2"/>
  <c r="R30" i="4"/>
  <c r="K30" i="4"/>
  <c r="AE30" i="4" s="1"/>
  <c r="N116" i="2"/>
  <c r="S115" i="4" s="1"/>
  <c r="R115" i="4"/>
  <c r="N55" i="2"/>
  <c r="S54" i="4" s="1"/>
  <c r="R54" i="4"/>
  <c r="N27" i="2"/>
  <c r="S26" i="4" s="1"/>
  <c r="R26" i="4"/>
  <c r="N225" i="2"/>
  <c r="S224" i="4" s="1"/>
  <c r="R224" i="4"/>
  <c r="N278" i="2"/>
  <c r="S277" i="4" s="1"/>
  <c r="R277" i="4"/>
  <c r="N117" i="2"/>
  <c r="S116" i="4" s="1"/>
  <c r="R116" i="4"/>
  <c r="N58" i="2"/>
  <c r="S57" i="4" s="1"/>
  <c r="R57" i="4"/>
  <c r="N48" i="2"/>
  <c r="S47" i="4" s="1"/>
  <c r="R47" i="4"/>
  <c r="N113" i="2"/>
  <c r="S112" i="4" s="1"/>
  <c r="R112" i="4"/>
  <c r="N303" i="2"/>
  <c r="S302" i="4" s="1"/>
  <c r="R302" i="4"/>
  <c r="N35" i="2"/>
  <c r="S34" i="4" s="1"/>
  <c r="R34" i="4"/>
  <c r="N186" i="2"/>
  <c r="S185" i="4" s="1"/>
  <c r="R185" i="4"/>
  <c r="N291" i="2"/>
  <c r="S290" i="4" s="1"/>
  <c r="R290" i="4"/>
  <c r="N234" i="2"/>
  <c r="S233" i="4" s="1"/>
  <c r="R233" i="4"/>
  <c r="N119" i="2"/>
  <c r="S118" i="4" s="1"/>
  <c r="R118" i="4"/>
  <c r="N223" i="2"/>
  <c r="S222" i="4" s="1"/>
  <c r="R222" i="4"/>
  <c r="N187" i="2"/>
  <c r="S186" i="4" s="1"/>
  <c r="R186" i="4"/>
  <c r="N150" i="2"/>
  <c r="S149" i="4" s="1"/>
  <c r="R149" i="4"/>
  <c r="N95" i="2"/>
  <c r="S94" i="4" s="1"/>
  <c r="R94" i="4"/>
  <c r="N277" i="2"/>
  <c r="S276" i="4" s="1"/>
  <c r="R276" i="4"/>
  <c r="N165" i="2"/>
  <c r="S164" i="4" s="1"/>
  <c r="R164" i="4"/>
  <c r="N40" i="2"/>
  <c r="S39" i="4" s="1"/>
  <c r="R39" i="4"/>
  <c r="N219" i="2"/>
  <c r="S218" i="4" s="1"/>
  <c r="R218" i="4"/>
  <c r="N102" i="2"/>
  <c r="S101" i="4" s="1"/>
  <c r="R101" i="4"/>
  <c r="N122" i="2"/>
  <c r="S121" i="4" s="1"/>
  <c r="R121" i="4"/>
  <c r="N273" i="2"/>
  <c r="S272" i="4" s="1"/>
  <c r="R272" i="4"/>
  <c r="N126" i="2"/>
  <c r="S125" i="4" s="1"/>
  <c r="R125" i="4"/>
  <c r="N129" i="2"/>
  <c r="S128" i="4" s="1"/>
  <c r="R128" i="4"/>
  <c r="N189" i="2"/>
  <c r="S188" i="4" s="1"/>
  <c r="R188" i="4"/>
  <c r="N69" i="2"/>
  <c r="S68" i="4" s="1"/>
  <c r="R68" i="4"/>
  <c r="N213" i="2"/>
  <c r="S212" i="4" s="1"/>
  <c r="R212" i="4"/>
  <c r="N154" i="2"/>
  <c r="S153" i="4" s="1"/>
  <c r="R153" i="4"/>
  <c r="N240" i="2"/>
  <c r="S239" i="4" s="1"/>
  <c r="R239" i="4"/>
  <c r="K276" i="4"/>
  <c r="AE276" i="4" s="1"/>
  <c r="N34" i="2"/>
  <c r="S33" i="4" s="1"/>
  <c r="R33" i="4"/>
  <c r="N307" i="2"/>
  <c r="S306" i="4" s="1"/>
  <c r="R306" i="4"/>
  <c r="N287" i="2"/>
  <c r="S286" i="4" s="1"/>
  <c r="R286" i="4"/>
  <c r="N313" i="2"/>
  <c r="S312" i="4" s="1"/>
  <c r="R312" i="4"/>
  <c r="N305" i="2"/>
  <c r="S304" i="4" s="1"/>
  <c r="R304" i="4"/>
  <c r="N262" i="2"/>
  <c r="S261" i="4" s="1"/>
  <c r="R261" i="4"/>
  <c r="N144" i="2"/>
  <c r="S143" i="4" s="1"/>
  <c r="R143" i="4"/>
  <c r="N114" i="2"/>
  <c r="S113" i="4" s="1"/>
  <c r="R113" i="4"/>
  <c r="N255" i="2"/>
  <c r="S254" i="4" s="1"/>
  <c r="R254" i="4"/>
  <c r="F96" i="10"/>
  <c r="F97" i="10" s="1"/>
  <c r="M55" i="10"/>
  <c r="N55" i="10"/>
  <c r="K55" i="10"/>
  <c r="E34" i="10"/>
  <c r="J22" i="10"/>
  <c r="F78" i="10"/>
  <c r="H22" i="10"/>
  <c r="H24" i="10" s="1"/>
  <c r="D97" i="10"/>
  <c r="D103" i="10" s="1"/>
  <c r="D108" i="10"/>
  <c r="D25" i="11" s="1"/>
  <c r="D38" i="11" s="1"/>
  <c r="K74" i="4"/>
  <c r="AE74" i="4" s="1"/>
  <c r="K195" i="4"/>
  <c r="AE195" i="4" s="1"/>
  <c r="K40" i="4"/>
  <c r="AE40" i="4" s="1"/>
  <c r="K175" i="4"/>
  <c r="AE175" i="4" s="1"/>
  <c r="K263" i="4"/>
  <c r="AE263" i="4" s="1"/>
  <c r="E16" i="11"/>
  <c r="E44" i="11" s="1"/>
  <c r="D33" i="6"/>
  <c r="G32" i="6"/>
  <c r="I15" i="11" s="1"/>
  <c r="E31" i="6"/>
  <c r="G14" i="11" s="1"/>
  <c r="K118" i="4"/>
  <c r="AE118" i="4" s="1"/>
  <c r="K294" i="4"/>
  <c r="AE294" i="4" s="1"/>
  <c r="K198" i="4"/>
  <c r="AE198" i="4" s="1"/>
  <c r="K94" i="4"/>
  <c r="AE94" i="4" s="1"/>
  <c r="K71" i="4"/>
  <c r="AE71" i="4" s="1"/>
  <c r="K38" i="4"/>
  <c r="AE38" i="4" s="1"/>
  <c r="E15" i="6"/>
  <c r="K150" i="4"/>
  <c r="AE150" i="4" s="1"/>
  <c r="K62" i="4"/>
  <c r="AE62" i="4" s="1"/>
  <c r="K126" i="4"/>
  <c r="AE126" i="4" s="1"/>
  <c r="K134" i="4"/>
  <c r="AE134" i="4" s="1"/>
  <c r="K54" i="4"/>
  <c r="AE54" i="4" s="1"/>
  <c r="K86" i="4"/>
  <c r="AE86" i="4" s="1"/>
  <c r="K230" i="4"/>
  <c r="AE230" i="4" s="1"/>
  <c r="K21" i="4"/>
  <c r="AE21" i="4" s="1"/>
  <c r="K158" i="4"/>
  <c r="AE158" i="4" s="1"/>
  <c r="K214" i="4"/>
  <c r="AE214" i="4" s="1"/>
  <c r="K255" i="4"/>
  <c r="AE255" i="4" s="1"/>
  <c r="K117" i="4"/>
  <c r="AE117" i="4" s="1"/>
  <c r="K29" i="4"/>
  <c r="AE29" i="4" s="1"/>
  <c r="K135" i="4"/>
  <c r="AE135" i="4" s="1"/>
  <c r="K254" i="4"/>
  <c r="AE254" i="4" s="1"/>
  <c r="K310" i="4"/>
  <c r="AE310" i="4" s="1"/>
  <c r="K123" i="4"/>
  <c r="AE123" i="4" s="1"/>
  <c r="K105" i="4"/>
  <c r="AE105" i="4" s="1"/>
  <c r="K70" i="4"/>
  <c r="AE70" i="4" s="1"/>
  <c r="K182" i="4"/>
  <c r="AE182" i="4" s="1"/>
  <c r="K199" i="4"/>
  <c r="AE199" i="4" s="1"/>
  <c r="K167" i="4"/>
  <c r="AE167" i="4" s="1"/>
  <c r="K311" i="4"/>
  <c r="AE311" i="4" s="1"/>
  <c r="K59" i="4"/>
  <c r="AE59" i="4" s="1"/>
  <c r="K318" i="4"/>
  <c r="AE318" i="4" s="1"/>
  <c r="K63" i="4"/>
  <c r="AE63" i="4" s="1"/>
  <c r="K323" i="4"/>
  <c r="AE323" i="4" s="1"/>
  <c r="K279" i="4"/>
  <c r="AE279" i="4" s="1"/>
  <c r="K221" i="4"/>
  <c r="AE221" i="4" s="1"/>
  <c r="K116" i="4"/>
  <c r="AE116" i="4" s="1"/>
  <c r="K291" i="4"/>
  <c r="AE291" i="4" s="1"/>
  <c r="K305" i="4"/>
  <c r="AE305" i="4" s="1"/>
  <c r="K19" i="4"/>
  <c r="AE19" i="4" s="1"/>
  <c r="K113" i="4"/>
  <c r="AE113" i="4" s="1"/>
  <c r="K155" i="4"/>
  <c r="AE155" i="4" s="1"/>
  <c r="K201" i="4"/>
  <c r="AE201" i="4" s="1"/>
  <c r="L231" i="4"/>
  <c r="AF231" i="4" s="1"/>
  <c r="L104" i="4"/>
  <c r="AF104" i="4" s="1"/>
  <c r="K115" i="4"/>
  <c r="AE115" i="4" s="1"/>
  <c r="K186" i="4"/>
  <c r="AE186" i="4" s="1"/>
  <c r="K159" i="4"/>
  <c r="AE159" i="4" s="1"/>
  <c r="K72" i="4"/>
  <c r="AE72" i="4" s="1"/>
  <c r="K301" i="4"/>
  <c r="AE301" i="4" s="1"/>
  <c r="K37" i="4"/>
  <c r="AE37" i="4" s="1"/>
  <c r="K178" i="4"/>
  <c r="AE178" i="4" s="1"/>
  <c r="L165" i="4"/>
  <c r="AF165" i="4" s="1"/>
  <c r="K268" i="4"/>
  <c r="AE268" i="4" s="1"/>
  <c r="K232" i="4"/>
  <c r="AE232" i="4" s="1"/>
  <c r="K280" i="4"/>
  <c r="AE280" i="4" s="1"/>
  <c r="K51" i="4"/>
  <c r="AE51" i="4" s="1"/>
  <c r="K269" i="4"/>
  <c r="AE269" i="4" s="1"/>
  <c r="K184" i="4"/>
  <c r="AE184" i="4" s="1"/>
  <c r="K97" i="4"/>
  <c r="AE97" i="4" s="1"/>
  <c r="K179" i="4"/>
  <c r="AE179" i="4" s="1"/>
  <c r="K142" i="4"/>
  <c r="AE142" i="4" s="1"/>
  <c r="K216" i="4"/>
  <c r="AE216" i="4" s="1"/>
  <c r="K145" i="4"/>
  <c r="AE145" i="4" s="1"/>
  <c r="L74" i="4"/>
  <c r="AF74" i="4" s="1"/>
  <c r="K23" i="4"/>
  <c r="AE23" i="4" s="1"/>
  <c r="K147" i="4"/>
  <c r="AE147" i="4" s="1"/>
  <c r="K18" i="4"/>
  <c r="AE18" i="4" s="1"/>
  <c r="K242" i="4"/>
  <c r="AE242" i="4" s="1"/>
  <c r="K204" i="4"/>
  <c r="AE204" i="4" s="1"/>
  <c r="F7" i="6"/>
  <c r="F25" i="6" s="1"/>
  <c r="H14" i="12" s="1"/>
  <c r="K219" i="4"/>
  <c r="AE219" i="4" s="1"/>
  <c r="K264" i="4"/>
  <c r="AE264" i="4" s="1"/>
  <c r="L148" i="4"/>
  <c r="AF148" i="4" s="1"/>
  <c r="K293" i="4"/>
  <c r="AE293" i="4" s="1"/>
  <c r="K234" i="4"/>
  <c r="AE234" i="4" s="1"/>
  <c r="K271" i="4"/>
  <c r="AE271" i="4" s="1"/>
  <c r="K196" i="4"/>
  <c r="AE196" i="4" s="1"/>
  <c r="K79" i="4"/>
  <c r="AE79" i="4" s="1"/>
  <c r="K46" i="4"/>
  <c r="AE46" i="4" s="1"/>
  <c r="K35" i="4"/>
  <c r="AE35" i="4" s="1"/>
  <c r="K245" i="4"/>
  <c r="AE245" i="4" s="1"/>
  <c r="L127" i="4"/>
  <c r="AF127" i="4" s="1"/>
  <c r="K266" i="4"/>
  <c r="AE266" i="4" s="1"/>
  <c r="K16" i="4"/>
  <c r="AE16" i="4" s="1"/>
  <c r="K17" i="4"/>
  <c r="AE17" i="4" s="1"/>
  <c r="K108" i="4"/>
  <c r="AE108" i="4" s="1"/>
  <c r="K193" i="4"/>
  <c r="AE193" i="4" s="1"/>
  <c r="K101" i="4"/>
  <c r="AE101" i="4" s="1"/>
  <c r="K181" i="4"/>
  <c r="AE181" i="4" s="1"/>
  <c r="K162" i="4"/>
  <c r="AE162" i="4" s="1"/>
  <c r="K281" i="4"/>
  <c r="AE281" i="4" s="1"/>
  <c r="K243" i="4"/>
  <c r="AE243" i="4" s="1"/>
  <c r="K177" i="4"/>
  <c r="AE177" i="4" s="1"/>
  <c r="K206" i="4"/>
  <c r="AE206" i="4" s="1"/>
  <c r="K241" i="4"/>
  <c r="AE241" i="4" s="1"/>
  <c r="K32" i="4"/>
  <c r="AE32" i="4" s="1"/>
  <c r="K261" i="4"/>
  <c r="AE261" i="4" s="1"/>
  <c r="K112" i="4"/>
  <c r="AE112" i="4" s="1"/>
  <c r="K45" i="4"/>
  <c r="AE45" i="4" s="1"/>
  <c r="K131" i="4"/>
  <c r="AE131" i="4" s="1"/>
  <c r="K156" i="4"/>
  <c r="AE156" i="4" s="1"/>
  <c r="K289" i="4"/>
  <c r="AE289" i="4" s="1"/>
  <c r="K76" i="4"/>
  <c r="AE76" i="4" s="1"/>
  <c r="K209" i="4"/>
  <c r="AE209" i="4" s="1"/>
  <c r="K82" i="4"/>
  <c r="AE82" i="4" s="1"/>
  <c r="K256" i="4"/>
  <c r="AE256" i="4" s="1"/>
  <c r="K225" i="4"/>
  <c r="AE225" i="4" s="1"/>
  <c r="K121" i="4"/>
  <c r="AE121" i="4" s="1"/>
  <c r="K183" i="4"/>
  <c r="AE183" i="4" s="1"/>
  <c r="K244" i="4"/>
  <c r="AE244" i="4" s="1"/>
  <c r="L146" i="4"/>
  <c r="AF146" i="4" s="1"/>
  <c r="K238" i="4"/>
  <c r="AE238" i="4" s="1"/>
  <c r="K57" i="4"/>
  <c r="AE57" i="4" s="1"/>
  <c r="F13" i="6"/>
  <c r="F16" i="11"/>
  <c r="F44" i="11" s="1"/>
  <c r="F37" i="11"/>
  <c r="K304" i="4"/>
  <c r="AE304" i="4" s="1"/>
  <c r="K267" i="4"/>
  <c r="AE267" i="4" s="1"/>
  <c r="K89" i="4"/>
  <c r="AE89" i="4" s="1"/>
  <c r="K55" i="4"/>
  <c r="AE55" i="4" s="1"/>
  <c r="K168" i="4"/>
  <c r="AE168" i="4" s="1"/>
  <c r="K109" i="4"/>
  <c r="AE109" i="4" s="1"/>
  <c r="K42" i="4"/>
  <c r="AE42" i="4" s="1"/>
  <c r="K170" i="4"/>
  <c r="AE170" i="4" s="1"/>
  <c r="K48" i="4"/>
  <c r="AE48" i="4" s="1"/>
  <c r="K317" i="4"/>
  <c r="AE317" i="4" s="1"/>
  <c r="K64" i="4"/>
  <c r="AE64" i="4" s="1"/>
  <c r="K87" i="4"/>
  <c r="AE87" i="4" s="1"/>
  <c r="K61" i="4"/>
  <c r="AE61" i="4" s="1"/>
  <c r="K236" i="4"/>
  <c r="AE236" i="4" s="1"/>
  <c r="L166" i="4"/>
  <c r="AF166" i="4" s="1"/>
  <c r="K28" i="4"/>
  <c r="AE28" i="4" s="1"/>
  <c r="K308" i="4"/>
  <c r="AE308" i="4" s="1"/>
  <c r="K49" i="4"/>
  <c r="AE49" i="4" s="1"/>
  <c r="L40" i="4"/>
  <c r="AF40" i="4" s="1"/>
  <c r="D27" i="6"/>
  <c r="F13" i="12"/>
  <c r="K321" i="4"/>
  <c r="AE321" i="4" s="1"/>
  <c r="L274" i="4"/>
  <c r="AF274" i="4" s="1"/>
  <c r="K324" i="4"/>
  <c r="AE324" i="4" s="1"/>
  <c r="L285" i="4"/>
  <c r="AF285" i="4" s="1"/>
  <c r="K211" i="4"/>
  <c r="AE211" i="4" s="1"/>
  <c r="K174" i="4"/>
  <c r="AE174" i="4" s="1"/>
  <c r="K270" i="4"/>
  <c r="AE270" i="4" s="1"/>
  <c r="L303" i="4"/>
  <c r="AF303" i="4" s="1"/>
  <c r="K185" i="4"/>
  <c r="AE185" i="4" s="1"/>
  <c r="L327" i="4"/>
  <c r="AF327" i="4" s="1"/>
  <c r="K140" i="4"/>
  <c r="AE140" i="4" s="1"/>
  <c r="K52" i="4"/>
  <c r="AE52" i="4" s="1"/>
  <c r="K316" i="4"/>
  <c r="AE316" i="4" s="1"/>
  <c r="K65" i="4"/>
  <c r="AE65" i="4" s="1"/>
  <c r="K188" i="4"/>
  <c r="AE188" i="4" s="1"/>
  <c r="L157" i="4"/>
  <c r="AF157" i="4" s="1"/>
  <c r="K247" i="4"/>
  <c r="AE247" i="4" s="1"/>
  <c r="K151" i="4"/>
  <c r="AE151" i="4" s="1"/>
  <c r="K319" i="4"/>
  <c r="AE319" i="4" s="1"/>
  <c r="K67" i="4"/>
  <c r="AE67" i="4" s="1"/>
  <c r="K300" i="4"/>
  <c r="AE300" i="4" s="1"/>
  <c r="K36" i="4"/>
  <c r="AE36" i="4" s="1"/>
  <c r="K119" i="4"/>
  <c r="AE119" i="4" s="1"/>
  <c r="K130" i="4"/>
  <c r="AE130" i="4" s="1"/>
  <c r="K98" i="4"/>
  <c r="AE98" i="4" s="1"/>
  <c r="K197" i="4"/>
  <c r="AE197" i="4" s="1"/>
  <c r="K283" i="4"/>
  <c r="AE283" i="4" s="1"/>
  <c r="K44" i="4"/>
  <c r="AE44" i="4" s="1"/>
  <c r="G13" i="11"/>
  <c r="E27" i="6"/>
  <c r="G14" i="12"/>
  <c r="G37" i="12" s="1"/>
  <c r="G35" i="12" s="1"/>
  <c r="G18" i="12" s="1"/>
  <c r="K120" i="4"/>
  <c r="AE120" i="4" s="1"/>
  <c r="K78" i="4"/>
  <c r="AE78" i="4" s="1"/>
  <c r="K315" i="4"/>
  <c r="AE315" i="4" s="1"/>
  <c r="K253" i="4"/>
  <c r="AE253" i="4" s="1"/>
  <c r="F6" i="6"/>
  <c r="L84" i="4"/>
  <c r="AF84" i="4" s="1"/>
  <c r="K313" i="4"/>
  <c r="AE313" i="4" s="1"/>
  <c r="K306" i="4"/>
  <c r="AE306" i="4" s="1"/>
  <c r="K260" i="4"/>
  <c r="AE260" i="4" s="1"/>
  <c r="K173" i="4"/>
  <c r="AE173" i="4" s="1"/>
  <c r="K43" i="4"/>
  <c r="AE43" i="4" s="1"/>
  <c r="K229" i="4"/>
  <c r="AE229" i="4" s="1"/>
  <c r="L278" i="4"/>
  <c r="AF278" i="4" s="1"/>
  <c r="K77" i="4"/>
  <c r="AE77" i="4" s="1"/>
  <c r="K96" i="4"/>
  <c r="AE96" i="4" s="1"/>
  <c r="K277" i="4"/>
  <c r="AE277" i="4" s="1"/>
  <c r="K275" i="4"/>
  <c r="AE275" i="4" s="1"/>
  <c r="K290" i="4"/>
  <c r="AE290" i="4" s="1"/>
  <c r="K154" i="4"/>
  <c r="AE154" i="4" s="1"/>
  <c r="K81" i="4"/>
  <c r="AE81" i="4" s="1"/>
  <c r="K143" i="4"/>
  <c r="AE143" i="4" s="1"/>
  <c r="K73" i="4"/>
  <c r="AE73" i="4" s="1"/>
  <c r="K224" i="4"/>
  <c r="AE224" i="4" s="1"/>
  <c r="K223" i="4"/>
  <c r="AE223" i="4" s="1"/>
  <c r="K133" i="4"/>
  <c r="AE133" i="4" s="1"/>
  <c r="K136" i="4"/>
  <c r="AE136" i="4" s="1"/>
  <c r="K60" i="4"/>
  <c r="AE60" i="4" s="1"/>
  <c r="L111" i="4"/>
  <c r="AF111" i="4" s="1"/>
  <c r="L176" i="4"/>
  <c r="AF176" i="4" s="1"/>
  <c r="K292" i="4"/>
  <c r="AE292" i="4" s="1"/>
  <c r="K24" i="4"/>
  <c r="AE24" i="4" s="1"/>
  <c r="K31" i="4"/>
  <c r="AE31" i="4" s="1"/>
  <c r="K288" i="4"/>
  <c r="AE288" i="4" s="1"/>
  <c r="K129" i="4"/>
  <c r="AE129" i="4" s="1"/>
  <c r="K272" i="4"/>
  <c r="AE272" i="4" s="1"/>
  <c r="K258" i="4"/>
  <c r="AE258" i="4" s="1"/>
  <c r="K237" i="4"/>
  <c r="AE237" i="4" s="1"/>
  <c r="K132" i="4"/>
  <c r="AE132" i="4" s="1"/>
  <c r="K152" i="4"/>
  <c r="AE152" i="4" s="1"/>
  <c r="K250" i="4"/>
  <c r="AE250" i="4" s="1"/>
  <c r="K88" i="4"/>
  <c r="AE88" i="4" s="1"/>
  <c r="K207" i="4"/>
  <c r="AE207" i="4" s="1"/>
  <c r="L210" i="4"/>
  <c r="AF210" i="4" s="1"/>
  <c r="K215" i="4"/>
  <c r="AE215" i="4" s="1"/>
  <c r="L297" i="4"/>
  <c r="AF297" i="4" s="1"/>
  <c r="K326" i="4"/>
  <c r="AE326" i="4" s="1"/>
  <c r="K107" i="4"/>
  <c r="AE107" i="4" s="1"/>
  <c r="E13" i="12"/>
  <c r="L246" i="4"/>
  <c r="AF246" i="4" s="1"/>
  <c r="K320" i="4"/>
  <c r="AE320" i="4" s="1"/>
  <c r="K125" i="4"/>
  <c r="AE125" i="4" s="1"/>
  <c r="K34" i="4"/>
  <c r="AE34" i="4" s="1"/>
  <c r="F12" i="6"/>
  <c r="F30" i="6" s="1"/>
  <c r="K122" i="4"/>
  <c r="AE122" i="4" s="1"/>
  <c r="K114" i="4"/>
  <c r="AE114" i="4" s="1"/>
  <c r="K203" i="4"/>
  <c r="AE203" i="4" s="1"/>
  <c r="K287" i="4"/>
  <c r="AE287" i="4" s="1"/>
  <c r="K85" i="4"/>
  <c r="AE85" i="4" s="1"/>
  <c r="K213" i="4"/>
  <c r="AE213" i="4" s="1"/>
  <c r="K80" i="4"/>
  <c r="AE80" i="4" s="1"/>
  <c r="K110" i="4"/>
  <c r="AE110" i="4" s="1"/>
  <c r="K192" i="4"/>
  <c r="AE192" i="4" s="1"/>
  <c r="K124" i="4"/>
  <c r="AE124" i="4" s="1"/>
  <c r="K90" i="4"/>
  <c r="AE90" i="4" s="1"/>
  <c r="K299" i="4"/>
  <c r="AE299" i="4" s="1"/>
  <c r="K262" i="4"/>
  <c r="AE262" i="4" s="1"/>
  <c r="K33" i="4"/>
  <c r="AE33" i="4" s="1"/>
  <c r="K164" i="4"/>
  <c r="AE164" i="4" s="1"/>
  <c r="K309" i="4"/>
  <c r="AE309" i="4" s="1"/>
  <c r="K27" i="4"/>
  <c r="AE27" i="4" s="1"/>
  <c r="H8" i="6"/>
  <c r="H26" i="6" s="1"/>
  <c r="J15" i="12" s="1"/>
  <c r="K252" i="4"/>
  <c r="AE252" i="4" s="1"/>
  <c r="K302" i="4"/>
  <c r="AE302" i="4" s="1"/>
  <c r="K161" i="4"/>
  <c r="AE161" i="4" s="1"/>
  <c r="K68" i="4"/>
  <c r="AE68" i="4" s="1"/>
  <c r="K83" i="4"/>
  <c r="AE83" i="4" s="1"/>
  <c r="L169" i="4"/>
  <c r="AF169" i="4" s="1"/>
  <c r="E9" i="6"/>
  <c r="K265" i="4"/>
  <c r="AE265" i="4" s="1"/>
  <c r="L93" i="4"/>
  <c r="AF93" i="4" s="1"/>
  <c r="K220" i="4"/>
  <c r="AE220" i="4" s="1"/>
  <c r="K50" i="4"/>
  <c r="AE50" i="4" s="1"/>
  <c r="K160" i="4"/>
  <c r="AE160" i="4" s="1"/>
  <c r="L41" i="4"/>
  <c r="AF41" i="4" s="1"/>
  <c r="L103" i="4"/>
  <c r="AF103" i="4" s="1"/>
  <c r="L14" i="4"/>
  <c r="AF14" i="4" s="1"/>
  <c r="K25" i="4"/>
  <c r="AE25" i="4" s="1"/>
  <c r="K144" i="4"/>
  <c r="AE144" i="4" s="1"/>
  <c r="K325" i="4"/>
  <c r="AE325" i="4" s="1"/>
  <c r="K171" i="4"/>
  <c r="AE171" i="4" s="1"/>
  <c r="K75" i="4"/>
  <c r="AE75" i="4" s="1"/>
  <c r="K314" i="4"/>
  <c r="AE314" i="4" s="1"/>
  <c r="K99" i="4"/>
  <c r="AE99" i="4" s="1"/>
  <c r="K172" i="4"/>
  <c r="AE172" i="4" s="1"/>
  <c r="K53" i="4"/>
  <c r="AE53" i="4" s="1"/>
  <c r="K226" i="4"/>
  <c r="AE226" i="4" s="1"/>
  <c r="K307" i="4"/>
  <c r="AE307" i="4" s="1"/>
  <c r="K106" i="4"/>
  <c r="AE106" i="4" s="1"/>
  <c r="K66" i="4"/>
  <c r="AE66" i="4" s="1"/>
  <c r="L20" i="4"/>
  <c r="AF20" i="4" s="1"/>
  <c r="K128" i="4"/>
  <c r="AE128" i="4" s="1"/>
  <c r="K15" i="4"/>
  <c r="AE15" i="4" s="1"/>
  <c r="L263" i="4"/>
  <c r="AF263" i="4" s="1"/>
  <c r="K26" i="4"/>
  <c r="AE26" i="4" s="1"/>
  <c r="K149" i="4"/>
  <c r="AE149" i="4" s="1"/>
  <c r="K251" i="4"/>
  <c r="AE251" i="4" s="1"/>
  <c r="K217" i="4"/>
  <c r="AE217" i="4" s="1"/>
  <c r="K208" i="4"/>
  <c r="AE208" i="4" s="1"/>
  <c r="K189" i="4"/>
  <c r="AE189" i="4" s="1"/>
  <c r="K69" i="4"/>
  <c r="AE69" i="4" s="1"/>
  <c r="K153" i="4"/>
  <c r="AE153" i="4" s="1"/>
  <c r="L191" i="4"/>
  <c r="AF191" i="4" s="1"/>
  <c r="K284" i="4"/>
  <c r="AE284" i="4" s="1"/>
  <c r="K282" i="4"/>
  <c r="AE282" i="4" s="1"/>
  <c r="K205" i="4"/>
  <c r="AE205" i="4" s="1"/>
  <c r="K58" i="4"/>
  <c r="AE58" i="4" s="1"/>
  <c r="K218" i="4"/>
  <c r="AE218" i="4" s="1"/>
  <c r="K180" i="4"/>
  <c r="AE180" i="4" s="1"/>
  <c r="K228" i="4"/>
  <c r="AE228" i="4" s="1"/>
  <c r="L240" i="4"/>
  <c r="AF240" i="4" s="1"/>
  <c r="K200" i="4"/>
  <c r="AE200" i="4" s="1"/>
  <c r="K202" i="4"/>
  <c r="AE202" i="4" s="1"/>
  <c r="K137" i="4"/>
  <c r="AE137" i="4" s="1"/>
  <c r="H14" i="6"/>
  <c r="K95" i="4"/>
  <c r="AE95" i="4" s="1"/>
  <c r="K194" i="4"/>
  <c r="AE194" i="4" s="1"/>
  <c r="K187" i="4"/>
  <c r="AE187" i="4" s="1"/>
  <c r="K227" i="4"/>
  <c r="AE227" i="4" s="1"/>
  <c r="K56" i="4"/>
  <c r="AE56" i="4" s="1"/>
  <c r="K273" i="4"/>
  <c r="AE273" i="4" s="1"/>
  <c r="K163" i="4"/>
  <c r="AE163" i="4" s="1"/>
  <c r="K322" i="4"/>
  <c r="AE322" i="4" s="1"/>
  <c r="K235" i="4"/>
  <c r="AE235" i="4" s="1"/>
  <c r="M37" i="10" l="1"/>
  <c r="L33" i="10"/>
  <c r="J33" i="10"/>
  <c r="J37" i="10"/>
  <c r="N33" i="10"/>
  <c r="I22" i="10"/>
  <c r="I24" i="10" s="1"/>
  <c r="J24" i="10" s="1"/>
  <c r="K24" i="10" s="1"/>
  <c r="L24" i="10" s="1"/>
  <c r="M24" i="10" s="1"/>
  <c r="N24" i="10" s="1"/>
  <c r="N37" i="10"/>
  <c r="L37" i="10"/>
  <c r="K33" i="10"/>
  <c r="I37" i="10"/>
  <c r="I36" i="10" s="1"/>
  <c r="L212" i="4"/>
  <c r="AF212" i="4" s="1"/>
  <c r="L233" i="4"/>
  <c r="AF233" i="4" s="1"/>
  <c r="L39" i="4"/>
  <c r="AF39" i="4" s="1"/>
  <c r="L312" i="4"/>
  <c r="AF312" i="4" s="1"/>
  <c r="J57" i="10"/>
  <c r="E108" i="10"/>
  <c r="E25" i="11" s="1"/>
  <c r="E38" i="11" s="1"/>
  <c r="I67" i="10"/>
  <c r="E100" i="10" s="1"/>
  <c r="E101" i="10" s="1"/>
  <c r="E104" i="10" s="1"/>
  <c r="E32" i="10"/>
  <c r="K32" i="10" s="1"/>
  <c r="K57" i="10"/>
  <c r="L57" i="10"/>
  <c r="L53" i="10"/>
  <c r="M53" i="10"/>
  <c r="N53" i="10"/>
  <c r="K53" i="10"/>
  <c r="K52" i="10" s="1"/>
  <c r="E38" i="10"/>
  <c r="E78" i="10"/>
  <c r="J53" i="10"/>
  <c r="M57" i="10"/>
  <c r="L286" i="4"/>
  <c r="AF286" i="4" s="1"/>
  <c r="E52" i="10"/>
  <c r="L54" i="10"/>
  <c r="J54" i="10"/>
  <c r="F108" i="10"/>
  <c r="F25" i="11" s="1"/>
  <c r="F38" i="11" s="1"/>
  <c r="M54" i="10"/>
  <c r="N54" i="10"/>
  <c r="L47" i="4"/>
  <c r="AF47" i="4" s="1"/>
  <c r="L222" i="4"/>
  <c r="AF222" i="4" s="1"/>
  <c r="L276" i="4"/>
  <c r="AF276" i="4" s="1"/>
  <c r="S30" i="4"/>
  <c r="L30" i="4"/>
  <c r="AF30" i="4" s="1"/>
  <c r="L239" i="4"/>
  <c r="AF239" i="4" s="1"/>
  <c r="N34" i="10"/>
  <c r="K34" i="10"/>
  <c r="M34" i="10"/>
  <c r="L34" i="10"/>
  <c r="D90" i="10"/>
  <c r="D79" i="10"/>
  <c r="D85" i="10" s="1"/>
  <c r="F79" i="10"/>
  <c r="F90" i="10"/>
  <c r="F25" i="12" s="1"/>
  <c r="F38" i="12" s="1"/>
  <c r="D105" i="10"/>
  <c r="D107" i="10" s="1"/>
  <c r="D24" i="11" s="1"/>
  <c r="E103" i="10"/>
  <c r="L195" i="4"/>
  <c r="AF195" i="4" s="1"/>
  <c r="L175" i="4"/>
  <c r="AF175" i="4" s="1"/>
  <c r="E33" i="6"/>
  <c r="G16" i="12"/>
  <c r="G44" i="12" s="1"/>
  <c r="F31" i="6"/>
  <c r="H14" i="11" s="1"/>
  <c r="H32" i="6"/>
  <c r="J15" i="11" s="1"/>
  <c r="L294" i="4"/>
  <c r="AF294" i="4" s="1"/>
  <c r="L198" i="4"/>
  <c r="AF198" i="4" s="1"/>
  <c r="G6" i="6"/>
  <c r="G24" i="6" s="1"/>
  <c r="L118" i="4"/>
  <c r="AF118" i="4" s="1"/>
  <c r="G12" i="6"/>
  <c r="G30" i="6" s="1"/>
  <c r="L310" i="4"/>
  <c r="AF310" i="4" s="1"/>
  <c r="L214" i="4"/>
  <c r="AF214" i="4" s="1"/>
  <c r="L199" i="4"/>
  <c r="AF199" i="4" s="1"/>
  <c r="L230" i="4"/>
  <c r="AF230" i="4" s="1"/>
  <c r="L54" i="4"/>
  <c r="AF54" i="4" s="1"/>
  <c r="L38" i="4"/>
  <c r="AF38" i="4" s="1"/>
  <c r="L63" i="4"/>
  <c r="AF63" i="4" s="1"/>
  <c r="L311" i="4"/>
  <c r="AF311" i="4" s="1"/>
  <c r="L105" i="4"/>
  <c r="AF105" i="4" s="1"/>
  <c r="L254" i="4"/>
  <c r="AF254" i="4" s="1"/>
  <c r="L134" i="4"/>
  <c r="AF134" i="4" s="1"/>
  <c r="L62" i="4"/>
  <c r="AF62" i="4" s="1"/>
  <c r="L318" i="4"/>
  <c r="AF318" i="4" s="1"/>
  <c r="L182" i="4"/>
  <c r="AF182" i="4" s="1"/>
  <c r="L135" i="4"/>
  <c r="AF135" i="4" s="1"/>
  <c r="L117" i="4"/>
  <c r="AF117" i="4" s="1"/>
  <c r="L158" i="4"/>
  <c r="AF158" i="4" s="1"/>
  <c r="L150" i="4"/>
  <c r="AF150" i="4" s="1"/>
  <c r="L71" i="4"/>
  <c r="AF71" i="4" s="1"/>
  <c r="L123" i="4"/>
  <c r="AF123" i="4" s="1"/>
  <c r="L59" i="4"/>
  <c r="AF59" i="4" s="1"/>
  <c r="L167" i="4"/>
  <c r="AF167" i="4" s="1"/>
  <c r="L21" i="4"/>
  <c r="AF21" i="4" s="1"/>
  <c r="L86" i="4"/>
  <c r="AF86" i="4" s="1"/>
  <c r="L126" i="4"/>
  <c r="AF126" i="4" s="1"/>
  <c r="L323" i="4"/>
  <c r="AF323" i="4" s="1"/>
  <c r="L70" i="4"/>
  <c r="AF70" i="4" s="1"/>
  <c r="L29" i="4"/>
  <c r="AF29" i="4" s="1"/>
  <c r="L255" i="4"/>
  <c r="AF255" i="4" s="1"/>
  <c r="L94" i="4"/>
  <c r="AF94" i="4" s="1"/>
  <c r="L202" i="4"/>
  <c r="AF202" i="4" s="1"/>
  <c r="L153" i="4"/>
  <c r="AF153" i="4" s="1"/>
  <c r="L251" i="4"/>
  <c r="AF251" i="4" s="1"/>
  <c r="L171" i="4"/>
  <c r="AF171" i="4" s="1"/>
  <c r="L252" i="4"/>
  <c r="AF252" i="4" s="1"/>
  <c r="L31" i="4"/>
  <c r="AF31" i="4" s="1"/>
  <c r="L290" i="4"/>
  <c r="AF290" i="4" s="1"/>
  <c r="L78" i="4"/>
  <c r="AF78" i="4" s="1"/>
  <c r="L130" i="4"/>
  <c r="AF130" i="4" s="1"/>
  <c r="L324" i="4"/>
  <c r="AF324" i="4" s="1"/>
  <c r="L64" i="4"/>
  <c r="AF64" i="4" s="1"/>
  <c r="L89" i="4"/>
  <c r="AF89" i="4" s="1"/>
  <c r="L256" i="4"/>
  <c r="AF256" i="4" s="1"/>
  <c r="L204" i="4"/>
  <c r="AF204" i="4" s="1"/>
  <c r="L159" i="4"/>
  <c r="AF159" i="4" s="1"/>
  <c r="L187" i="4"/>
  <c r="AF187" i="4" s="1"/>
  <c r="L58" i="4"/>
  <c r="AF58" i="4" s="1"/>
  <c r="L156" i="4"/>
  <c r="AF156" i="4" s="1"/>
  <c r="L32" i="4"/>
  <c r="AF32" i="4" s="1"/>
  <c r="L108" i="4"/>
  <c r="AF108" i="4" s="1"/>
  <c r="L266" i="4"/>
  <c r="AF266" i="4" s="1"/>
  <c r="L35" i="4"/>
  <c r="AF35" i="4" s="1"/>
  <c r="L264" i="4"/>
  <c r="AF264" i="4" s="1"/>
  <c r="L145" i="4"/>
  <c r="AF145" i="4" s="1"/>
  <c r="L179" i="4"/>
  <c r="AF179" i="4" s="1"/>
  <c r="L280" i="4"/>
  <c r="AF280" i="4" s="1"/>
  <c r="L305" i="4"/>
  <c r="AF305" i="4" s="1"/>
  <c r="L282" i="4"/>
  <c r="AF282" i="4" s="1"/>
  <c r="L85" i="4"/>
  <c r="AF85" i="4" s="1"/>
  <c r="L136" i="4"/>
  <c r="AF136" i="4" s="1"/>
  <c r="G16" i="11"/>
  <c r="G44" i="11" s="1"/>
  <c r="G37" i="11"/>
  <c r="L316" i="4"/>
  <c r="AF316" i="4" s="1"/>
  <c r="L170" i="4"/>
  <c r="AF170" i="4" s="1"/>
  <c r="L209" i="4"/>
  <c r="AF209" i="4" s="1"/>
  <c r="L206" i="4"/>
  <c r="AF206" i="4" s="1"/>
  <c r="L181" i="4"/>
  <c r="AF181" i="4" s="1"/>
  <c r="L234" i="4"/>
  <c r="AF234" i="4" s="1"/>
  <c r="L147" i="4"/>
  <c r="AF147" i="4" s="1"/>
  <c r="L184" i="4"/>
  <c r="AF184" i="4" s="1"/>
  <c r="L273" i="4"/>
  <c r="AF273" i="4" s="1"/>
  <c r="L228" i="4"/>
  <c r="AF228" i="4" s="1"/>
  <c r="G13" i="6"/>
  <c r="L220" i="4"/>
  <c r="AF220" i="4" s="1"/>
  <c r="L124" i="4"/>
  <c r="AF124" i="4" s="1"/>
  <c r="L114" i="4"/>
  <c r="AF114" i="4" s="1"/>
  <c r="L237" i="4"/>
  <c r="AF237" i="4" s="1"/>
  <c r="L224" i="4"/>
  <c r="AF224" i="4" s="1"/>
  <c r="L95" i="4"/>
  <c r="AF95" i="4" s="1"/>
  <c r="L307" i="4"/>
  <c r="AF307" i="4" s="1"/>
  <c r="L53" i="4"/>
  <c r="AF53" i="4" s="1"/>
  <c r="L25" i="4"/>
  <c r="AF25" i="4" s="1"/>
  <c r="L161" i="4"/>
  <c r="AF161" i="4" s="1"/>
  <c r="L164" i="4"/>
  <c r="AF164" i="4" s="1"/>
  <c r="L80" i="4"/>
  <c r="AF80" i="4" s="1"/>
  <c r="L207" i="4"/>
  <c r="AF207" i="4" s="1"/>
  <c r="L129" i="4"/>
  <c r="AF129" i="4" s="1"/>
  <c r="L81" i="4"/>
  <c r="AF81" i="4" s="1"/>
  <c r="L313" i="4"/>
  <c r="AF313" i="4" s="1"/>
  <c r="L253" i="4"/>
  <c r="AF253" i="4" s="1"/>
  <c r="L197" i="4"/>
  <c r="AF197" i="4" s="1"/>
  <c r="L188" i="4"/>
  <c r="AF188" i="4" s="1"/>
  <c r="L270" i="4"/>
  <c r="AF270" i="4" s="1"/>
  <c r="L28" i="4"/>
  <c r="AF28" i="4" s="1"/>
  <c r="L61" i="4"/>
  <c r="AF61" i="4" s="1"/>
  <c r="L168" i="4"/>
  <c r="AF168" i="4" s="1"/>
  <c r="L121" i="4"/>
  <c r="AF121" i="4" s="1"/>
  <c r="L281" i="4"/>
  <c r="AF281" i="4" s="1"/>
  <c r="L301" i="4"/>
  <c r="AF301" i="4" s="1"/>
  <c r="L186" i="4"/>
  <c r="AF186" i="4" s="1"/>
  <c r="L221" i="4"/>
  <c r="AF221" i="4" s="1"/>
  <c r="L284" i="4"/>
  <c r="AF284" i="4" s="1"/>
  <c r="L69" i="4"/>
  <c r="AF69" i="4" s="1"/>
  <c r="L208" i="4"/>
  <c r="AF208" i="4" s="1"/>
  <c r="L66" i="4"/>
  <c r="AF66" i="4" s="1"/>
  <c r="L314" i="4"/>
  <c r="AF314" i="4" s="1"/>
  <c r="L160" i="4"/>
  <c r="AF160" i="4" s="1"/>
  <c r="L83" i="4"/>
  <c r="AF83" i="4" s="1"/>
  <c r="L27" i="4"/>
  <c r="AF27" i="4" s="1"/>
  <c r="L299" i="4"/>
  <c r="AF299" i="4" s="1"/>
  <c r="L287" i="4"/>
  <c r="AF287" i="4" s="1"/>
  <c r="L122" i="4"/>
  <c r="AF122" i="4" s="1"/>
  <c r="L125" i="4"/>
  <c r="AF125" i="4" s="1"/>
  <c r="L152" i="4"/>
  <c r="AF152" i="4" s="1"/>
  <c r="L258" i="4"/>
  <c r="AF258" i="4" s="1"/>
  <c r="L24" i="4"/>
  <c r="AF24" i="4" s="1"/>
  <c r="L133" i="4"/>
  <c r="AF133" i="4" s="1"/>
  <c r="L275" i="4"/>
  <c r="AF275" i="4" s="1"/>
  <c r="L96" i="4"/>
  <c r="AF96" i="4" s="1"/>
  <c r="L229" i="4"/>
  <c r="AF229" i="4" s="1"/>
  <c r="L119" i="4"/>
  <c r="AF119" i="4" s="1"/>
  <c r="L67" i="4"/>
  <c r="AF67" i="4" s="1"/>
  <c r="L52" i="4"/>
  <c r="AF52" i="4" s="1"/>
  <c r="L317" i="4"/>
  <c r="AF317" i="4" s="1"/>
  <c r="L42" i="4"/>
  <c r="AF42" i="4" s="1"/>
  <c r="L267" i="4"/>
  <c r="AF267" i="4" s="1"/>
  <c r="L76" i="4"/>
  <c r="AF76" i="4" s="1"/>
  <c r="L131" i="4"/>
  <c r="AF131" i="4" s="1"/>
  <c r="L112" i="4"/>
  <c r="AF112" i="4" s="1"/>
  <c r="L101" i="4"/>
  <c r="AF101" i="4" s="1"/>
  <c r="L196" i="4"/>
  <c r="AF196" i="4" s="1"/>
  <c r="L219" i="4"/>
  <c r="AF219" i="4" s="1"/>
  <c r="L242" i="4"/>
  <c r="AF242" i="4" s="1"/>
  <c r="L269" i="4"/>
  <c r="AF269" i="4" s="1"/>
  <c r="L113" i="4"/>
  <c r="AF113" i="4" s="1"/>
  <c r="E37" i="12"/>
  <c r="E16" i="12"/>
  <c r="L173" i="4"/>
  <c r="AF173" i="4" s="1"/>
  <c r="L300" i="4"/>
  <c r="AF300" i="4" s="1"/>
  <c r="L151" i="4"/>
  <c r="AF151" i="4" s="1"/>
  <c r="L322" i="4"/>
  <c r="AF322" i="4" s="1"/>
  <c r="L56" i="4"/>
  <c r="AF56" i="4" s="1"/>
  <c r="L200" i="4"/>
  <c r="AF200" i="4" s="1"/>
  <c r="L180" i="4"/>
  <c r="AF180" i="4" s="1"/>
  <c r="L149" i="4"/>
  <c r="AF149" i="4" s="1"/>
  <c r="L15" i="4"/>
  <c r="AF15" i="4" s="1"/>
  <c r="L325" i="4"/>
  <c r="AF325" i="4" s="1"/>
  <c r="L192" i="4"/>
  <c r="AF192" i="4" s="1"/>
  <c r="L73" i="4"/>
  <c r="AF73" i="4" s="1"/>
  <c r="L260" i="4"/>
  <c r="AF260" i="4" s="1"/>
  <c r="L44" i="4"/>
  <c r="AF44" i="4" s="1"/>
  <c r="L174" i="4"/>
  <c r="AF174" i="4" s="1"/>
  <c r="L49" i="4"/>
  <c r="AF49" i="4" s="1"/>
  <c r="L57" i="4"/>
  <c r="AF57" i="4" s="1"/>
  <c r="L244" i="4"/>
  <c r="AF244" i="4" s="1"/>
  <c r="L177" i="4"/>
  <c r="AF177" i="4" s="1"/>
  <c r="L162" i="4"/>
  <c r="AF162" i="4" s="1"/>
  <c r="L17" i="4"/>
  <c r="AF17" i="4" s="1"/>
  <c r="L293" i="4"/>
  <c r="AF293" i="4" s="1"/>
  <c r="L23" i="4"/>
  <c r="AF23" i="4" s="1"/>
  <c r="L216" i="4"/>
  <c r="AF216" i="4" s="1"/>
  <c r="L232" i="4"/>
  <c r="AF232" i="4" s="1"/>
  <c r="L178" i="4"/>
  <c r="AF178" i="4" s="1"/>
  <c r="L291" i="4"/>
  <c r="AF291" i="4" s="1"/>
  <c r="L279" i="4"/>
  <c r="AF279" i="4" s="1"/>
  <c r="F15" i="6"/>
  <c r="L107" i="4"/>
  <c r="AF107" i="4" s="1"/>
  <c r="L88" i="4"/>
  <c r="AF88" i="4" s="1"/>
  <c r="L154" i="4"/>
  <c r="AF154" i="4" s="1"/>
  <c r="L18" i="4"/>
  <c r="AF18" i="4" s="1"/>
  <c r="L97" i="4"/>
  <c r="AF97" i="4" s="1"/>
  <c r="L72" i="4"/>
  <c r="AF72" i="4" s="1"/>
  <c r="L201" i="4"/>
  <c r="AF201" i="4" s="1"/>
  <c r="L19" i="4"/>
  <c r="AF19" i="4" s="1"/>
  <c r="L326" i="4"/>
  <c r="AF326" i="4" s="1"/>
  <c r="L163" i="4"/>
  <c r="AF163" i="4" s="1"/>
  <c r="L205" i="4"/>
  <c r="AF205" i="4" s="1"/>
  <c r="L226" i="4"/>
  <c r="AF226" i="4" s="1"/>
  <c r="L172" i="4"/>
  <c r="AF172" i="4" s="1"/>
  <c r="L50" i="4"/>
  <c r="AF50" i="4" s="1"/>
  <c r="L302" i="4"/>
  <c r="AF302" i="4" s="1"/>
  <c r="L33" i="4"/>
  <c r="AF33" i="4" s="1"/>
  <c r="L90" i="4"/>
  <c r="AF90" i="4" s="1"/>
  <c r="L213" i="4"/>
  <c r="AF213" i="4" s="1"/>
  <c r="L203" i="4"/>
  <c r="AF203" i="4" s="1"/>
  <c r="L215" i="4"/>
  <c r="AF215" i="4" s="1"/>
  <c r="L288" i="4"/>
  <c r="AF288" i="4" s="1"/>
  <c r="L60" i="4"/>
  <c r="AF60" i="4" s="1"/>
  <c r="L223" i="4"/>
  <c r="AF223" i="4" s="1"/>
  <c r="L43" i="4"/>
  <c r="AF43" i="4" s="1"/>
  <c r="L315" i="4"/>
  <c r="AF315" i="4" s="1"/>
  <c r="L120" i="4"/>
  <c r="AF120" i="4" s="1"/>
  <c r="L98" i="4"/>
  <c r="AF98" i="4" s="1"/>
  <c r="L247" i="4"/>
  <c r="AF247" i="4" s="1"/>
  <c r="L65" i="4"/>
  <c r="AF65" i="4" s="1"/>
  <c r="L185" i="4"/>
  <c r="AF185" i="4" s="1"/>
  <c r="L321" i="4"/>
  <c r="AF321" i="4" s="1"/>
  <c r="L87" i="4"/>
  <c r="AF87" i="4" s="1"/>
  <c r="L55" i="4"/>
  <c r="AF55" i="4" s="1"/>
  <c r="L225" i="4"/>
  <c r="AF225" i="4" s="1"/>
  <c r="L82" i="4"/>
  <c r="AF82" i="4" s="1"/>
  <c r="L46" i="4"/>
  <c r="AF46" i="4" s="1"/>
  <c r="L227" i="4"/>
  <c r="AF227" i="4" s="1"/>
  <c r="L194" i="4"/>
  <c r="AF194" i="4" s="1"/>
  <c r="L137" i="4"/>
  <c r="AF137" i="4" s="1"/>
  <c r="L189" i="4"/>
  <c r="AF189" i="4" s="1"/>
  <c r="L217" i="4"/>
  <c r="AF217" i="4" s="1"/>
  <c r="L26" i="4"/>
  <c r="AF26" i="4" s="1"/>
  <c r="L106" i="4"/>
  <c r="AF106" i="4" s="1"/>
  <c r="L75" i="4"/>
  <c r="AF75" i="4" s="1"/>
  <c r="L265" i="4"/>
  <c r="AF265" i="4" s="1"/>
  <c r="L320" i="4"/>
  <c r="AF320" i="4" s="1"/>
  <c r="L132" i="4"/>
  <c r="AF132" i="4" s="1"/>
  <c r="L292" i="4"/>
  <c r="AF292" i="4" s="1"/>
  <c r="L143" i="4"/>
  <c r="AF143" i="4" s="1"/>
  <c r="L277" i="4"/>
  <c r="AF277" i="4" s="1"/>
  <c r="L77" i="4"/>
  <c r="AF77" i="4" s="1"/>
  <c r="L36" i="4"/>
  <c r="AF36" i="4" s="1"/>
  <c r="L140" i="4"/>
  <c r="AF140" i="4" s="1"/>
  <c r="F37" i="12"/>
  <c r="F16" i="12"/>
  <c r="F44" i="12" s="1"/>
  <c r="L48" i="4"/>
  <c r="AF48" i="4" s="1"/>
  <c r="L304" i="4"/>
  <c r="AF304" i="4" s="1"/>
  <c r="L238" i="4"/>
  <c r="AF238" i="4" s="1"/>
  <c r="L289" i="4"/>
  <c r="AF289" i="4" s="1"/>
  <c r="L261" i="4"/>
  <c r="AF261" i="4" s="1"/>
  <c r="L241" i="4"/>
  <c r="AF241" i="4" s="1"/>
  <c r="L243" i="4"/>
  <c r="AF243" i="4" s="1"/>
  <c r="L193" i="4"/>
  <c r="AF193" i="4" s="1"/>
  <c r="L271" i="4"/>
  <c r="AF271" i="4" s="1"/>
  <c r="L142" i="4"/>
  <c r="AF142" i="4" s="1"/>
  <c r="L51" i="4"/>
  <c r="AF51" i="4" s="1"/>
  <c r="L115" i="4"/>
  <c r="AF115" i="4" s="1"/>
  <c r="L235" i="4"/>
  <c r="AF235" i="4" s="1"/>
  <c r="L218" i="4"/>
  <c r="AF218" i="4" s="1"/>
  <c r="L128" i="4"/>
  <c r="AF128" i="4" s="1"/>
  <c r="L99" i="4"/>
  <c r="AF99" i="4" s="1"/>
  <c r="G7" i="6"/>
  <c r="G25" i="6" s="1"/>
  <c r="I14" i="12" s="1"/>
  <c r="L144" i="4"/>
  <c r="AF144" i="4" s="1"/>
  <c r="L68" i="4"/>
  <c r="AF68" i="4" s="1"/>
  <c r="L309" i="4"/>
  <c r="AF309" i="4" s="1"/>
  <c r="L262" i="4"/>
  <c r="AF262" i="4" s="1"/>
  <c r="L110" i="4"/>
  <c r="AF110" i="4" s="1"/>
  <c r="L34" i="4"/>
  <c r="AF34" i="4" s="1"/>
  <c r="L250" i="4"/>
  <c r="AF250" i="4" s="1"/>
  <c r="L272" i="4"/>
  <c r="AF272" i="4" s="1"/>
  <c r="L306" i="4"/>
  <c r="AF306" i="4" s="1"/>
  <c r="F24" i="6"/>
  <c r="F9" i="6"/>
  <c r="L283" i="4"/>
  <c r="AF283" i="4" s="1"/>
  <c r="L319" i="4"/>
  <c r="AF319" i="4" s="1"/>
  <c r="L211" i="4"/>
  <c r="AF211" i="4" s="1"/>
  <c r="L308" i="4"/>
  <c r="AF308" i="4" s="1"/>
  <c r="L236" i="4"/>
  <c r="AF236" i="4" s="1"/>
  <c r="L109" i="4"/>
  <c r="AF109" i="4" s="1"/>
  <c r="L183" i="4"/>
  <c r="AF183" i="4" s="1"/>
  <c r="L45" i="4"/>
  <c r="AF45" i="4" s="1"/>
  <c r="L16" i="4"/>
  <c r="AF16" i="4" s="1"/>
  <c r="L245" i="4"/>
  <c r="AF245" i="4" s="1"/>
  <c r="L79" i="4"/>
  <c r="AF79" i="4" s="1"/>
  <c r="L268" i="4"/>
  <c r="AF268" i="4" s="1"/>
  <c r="L37" i="4"/>
  <c r="AF37" i="4" s="1"/>
  <c r="L155" i="4"/>
  <c r="AF155" i="4" s="1"/>
  <c r="L116" i="4"/>
  <c r="AF116" i="4" s="1"/>
  <c r="D25" i="12" l="1"/>
  <c r="D38" i="12" s="1"/>
  <c r="D35" i="12" s="1"/>
  <c r="I69" i="10"/>
  <c r="E45" i="11"/>
  <c r="E46" i="11" s="1"/>
  <c r="E47" i="11" s="1"/>
  <c r="E20" i="11" s="1"/>
  <c r="K67" i="10"/>
  <c r="G100" i="10" s="1"/>
  <c r="G101" i="10" s="1"/>
  <c r="J32" i="10"/>
  <c r="J31" i="10" s="1"/>
  <c r="E31" i="10"/>
  <c r="L32" i="10"/>
  <c r="L31" i="10" s="1"/>
  <c r="N32" i="10"/>
  <c r="N31" i="10" s="1"/>
  <c r="I32" i="10"/>
  <c r="I31" i="10" s="1"/>
  <c r="I46" i="10" s="1"/>
  <c r="I48" i="10" s="1"/>
  <c r="M32" i="10"/>
  <c r="M31" i="10" s="1"/>
  <c r="M52" i="10"/>
  <c r="M67" i="10" s="1"/>
  <c r="N52" i="10"/>
  <c r="N67" i="10" s="1"/>
  <c r="J45" i="11" s="1"/>
  <c r="L52" i="10"/>
  <c r="L67" i="10" s="1"/>
  <c r="H45" i="11" s="1"/>
  <c r="E79" i="10"/>
  <c r="E85" i="10" s="1"/>
  <c r="E90" i="10"/>
  <c r="E25" i="12" s="1"/>
  <c r="E38" i="12" s="1"/>
  <c r="E35" i="12" s="1"/>
  <c r="E18" i="12" s="1"/>
  <c r="K38" i="10"/>
  <c r="K36" i="10" s="1"/>
  <c r="N38" i="10"/>
  <c r="N36" i="10" s="1"/>
  <c r="J38" i="10"/>
  <c r="J36" i="10" s="1"/>
  <c r="E36" i="10"/>
  <c r="M38" i="10"/>
  <c r="M36" i="10" s="1"/>
  <c r="L38" i="10"/>
  <c r="L36" i="10" s="1"/>
  <c r="J52" i="10"/>
  <c r="J67" i="10" s="1"/>
  <c r="F100" i="10" s="1"/>
  <c r="F101" i="10" s="1"/>
  <c r="F104" i="10" s="1"/>
  <c r="D87" i="10"/>
  <c r="D89" i="10" s="1"/>
  <c r="D24" i="12" s="1"/>
  <c r="F35" i="12"/>
  <c r="F18" i="12" s="1"/>
  <c r="K31" i="10"/>
  <c r="F103" i="10"/>
  <c r="G103" i="10" s="1"/>
  <c r="H103" i="10" s="1"/>
  <c r="I103" i="10" s="1"/>
  <c r="E105" i="10"/>
  <c r="G31" i="6"/>
  <c r="I14" i="11" s="1"/>
  <c r="H6" i="6"/>
  <c r="H24" i="6" s="1"/>
  <c r="H12" i="6"/>
  <c r="E44" i="12"/>
  <c r="H7" i="6"/>
  <c r="H25" i="6" s="1"/>
  <c r="J14" i="12" s="1"/>
  <c r="G15" i="6"/>
  <c r="H13" i="6"/>
  <c r="H31" i="6" s="1"/>
  <c r="I13" i="11"/>
  <c r="H13" i="12"/>
  <c r="F27" i="6"/>
  <c r="G9" i="6"/>
  <c r="F33" i="6"/>
  <c r="H13" i="11"/>
  <c r="G27" i="6"/>
  <c r="I13" i="12"/>
  <c r="D35" i="11"/>
  <c r="D40" i="12" l="1"/>
  <c r="D19" i="12" s="1"/>
  <c r="D18" i="12"/>
  <c r="D39" i="12"/>
  <c r="E34" i="12" s="1"/>
  <c r="E39" i="12" s="1"/>
  <c r="F34" i="12" s="1"/>
  <c r="F39" i="12" s="1"/>
  <c r="G34" i="12" s="1"/>
  <c r="J46" i="10"/>
  <c r="J48" i="10" s="1"/>
  <c r="E82" i="10"/>
  <c r="E83" i="10" s="1"/>
  <c r="E86" i="10" s="1"/>
  <c r="E87" i="10" s="1"/>
  <c r="G45" i="11"/>
  <c r="G46" i="11" s="1"/>
  <c r="G47" i="11" s="1"/>
  <c r="G20" i="11" s="1"/>
  <c r="E45" i="12"/>
  <c r="E46" i="12" s="1"/>
  <c r="E47" i="12" s="1"/>
  <c r="E20" i="12" s="1"/>
  <c r="I100" i="10"/>
  <c r="I101" i="10" s="1"/>
  <c r="I45" i="11"/>
  <c r="J100" i="10"/>
  <c r="J101" i="10" s="1"/>
  <c r="F45" i="11"/>
  <c r="F46" i="11" s="1"/>
  <c r="F47" i="11" s="1"/>
  <c r="F20" i="11" s="1"/>
  <c r="L46" i="10"/>
  <c r="H45" i="12" s="1"/>
  <c r="N46" i="10"/>
  <c r="J45" i="12" s="1"/>
  <c r="H100" i="10"/>
  <c r="H101" i="10" s="1"/>
  <c r="K46" i="10"/>
  <c r="G45" i="12" s="1"/>
  <c r="G46" i="12" s="1"/>
  <c r="G47" i="12" s="1"/>
  <c r="G20" i="12" s="1"/>
  <c r="J69" i="10"/>
  <c r="K69" i="10" s="1"/>
  <c r="L69" i="10" s="1"/>
  <c r="M69" i="10" s="1"/>
  <c r="N69" i="10" s="1"/>
  <c r="M46" i="10"/>
  <c r="I82" i="10" s="1"/>
  <c r="I83" i="10" s="1"/>
  <c r="G33" i="6"/>
  <c r="F85" i="10"/>
  <c r="F105" i="10"/>
  <c r="G104" i="10"/>
  <c r="J103" i="10"/>
  <c r="H30" i="6"/>
  <c r="J13" i="11" s="1"/>
  <c r="I37" i="11"/>
  <c r="I35" i="11" s="1"/>
  <c r="I18" i="11" s="1"/>
  <c r="I16" i="11"/>
  <c r="I44" i="11" s="1"/>
  <c r="H9" i="6"/>
  <c r="H16" i="12"/>
  <c r="H44" i="12" s="1"/>
  <c r="H37" i="12"/>
  <c r="H35" i="12" s="1"/>
  <c r="H18" i="12" s="1"/>
  <c r="I37" i="12"/>
  <c r="I35" i="12" s="1"/>
  <c r="I18" i="12" s="1"/>
  <c r="I16" i="12"/>
  <c r="I44" i="12" s="1"/>
  <c r="J14" i="11"/>
  <c r="H15" i="6"/>
  <c r="H37" i="11"/>
  <c r="H35" i="11" s="1"/>
  <c r="H18" i="11" s="1"/>
  <c r="H16" i="11"/>
  <c r="H44" i="11" s="1"/>
  <c r="H27" i="6"/>
  <c r="J13" i="12"/>
  <c r="J16" i="12" s="1"/>
  <c r="J44" i="12" s="1"/>
  <c r="D39" i="11"/>
  <c r="E34" i="11" s="1"/>
  <c r="D18" i="11"/>
  <c r="F35" i="11"/>
  <c r="F18" i="11" s="1"/>
  <c r="E35" i="11"/>
  <c r="E18" i="11" s="1"/>
  <c r="D40" i="11"/>
  <c r="D19" i="11" s="1"/>
  <c r="E40" i="12" l="1"/>
  <c r="E19" i="12" s="1"/>
  <c r="E22" i="12" s="1"/>
  <c r="E28" i="12" s="1"/>
  <c r="D22" i="12"/>
  <c r="D28" i="12" s="1"/>
  <c r="F45" i="12"/>
  <c r="F46" i="12" s="1"/>
  <c r="F47" i="12" s="1"/>
  <c r="F20" i="12" s="1"/>
  <c r="F82" i="10"/>
  <c r="F83" i="10" s="1"/>
  <c r="F86" i="10" s="1"/>
  <c r="F87" i="10" s="1"/>
  <c r="H82" i="10"/>
  <c r="H83" i="10" s="1"/>
  <c r="G82" i="10"/>
  <c r="G83" i="10" s="1"/>
  <c r="J82" i="10"/>
  <c r="J83" i="10" s="1"/>
  <c r="K48" i="10"/>
  <c r="L48" i="10" s="1"/>
  <c r="M48" i="10" s="1"/>
  <c r="N48" i="10" s="1"/>
  <c r="F40" i="12"/>
  <c r="F19" i="12" s="1"/>
  <c r="I45" i="12"/>
  <c r="I46" i="12" s="1"/>
  <c r="I47" i="12" s="1"/>
  <c r="I20" i="12" s="1"/>
  <c r="J46" i="12"/>
  <c r="J47" i="12" s="1"/>
  <c r="J20" i="12" s="1"/>
  <c r="G85" i="10"/>
  <c r="H46" i="12"/>
  <c r="H47" i="12" s="1"/>
  <c r="H20" i="12" s="1"/>
  <c r="H104" i="10"/>
  <c r="G105" i="10"/>
  <c r="H46" i="11"/>
  <c r="H47" i="11" s="1"/>
  <c r="H20" i="11" s="1"/>
  <c r="I46" i="11"/>
  <c r="I47" i="11" s="1"/>
  <c r="I20" i="11" s="1"/>
  <c r="H33" i="6"/>
  <c r="J16" i="11"/>
  <c r="J44" i="11" s="1"/>
  <c r="J46" i="11" s="1"/>
  <c r="J47" i="11" s="1"/>
  <c r="J20" i="11" s="1"/>
  <c r="J37" i="11"/>
  <c r="J35" i="11" s="1"/>
  <c r="J18" i="11" s="1"/>
  <c r="G39" i="12"/>
  <c r="H34" i="12" s="1"/>
  <c r="G40" i="12"/>
  <c r="G19" i="12" s="1"/>
  <c r="G22" i="12" s="1"/>
  <c r="G28" i="12" s="1"/>
  <c r="J37" i="12"/>
  <c r="J35" i="12" s="1"/>
  <c r="J18" i="12" s="1"/>
  <c r="D22" i="11"/>
  <c r="D28" i="11" s="1"/>
  <c r="G35" i="11"/>
  <c r="G18" i="11" s="1"/>
  <c r="E39" i="11"/>
  <c r="F34" i="11" s="1"/>
  <c r="E40" i="11"/>
  <c r="F22" i="12" l="1"/>
  <c r="F28" i="12" s="1"/>
  <c r="G86" i="10"/>
  <c r="G87" i="10" s="1"/>
  <c r="H85" i="10"/>
  <c r="I104" i="10"/>
  <c r="H105" i="10"/>
  <c r="H40" i="12"/>
  <c r="H19" i="12" s="1"/>
  <c r="H22" i="12" s="1"/>
  <c r="H28" i="12" s="1"/>
  <c r="H39" i="12"/>
  <c r="I34" i="12" s="1"/>
  <c r="E19" i="11"/>
  <c r="F40" i="11"/>
  <c r="F39" i="11"/>
  <c r="G34" i="11" s="1"/>
  <c r="H86" i="10" l="1"/>
  <c r="I86" i="10" s="1"/>
  <c r="J86" i="10" s="1"/>
  <c r="I85" i="10"/>
  <c r="J104" i="10"/>
  <c r="J105" i="10" s="1"/>
  <c r="J109" i="10" s="1"/>
  <c r="J26" i="11" s="1"/>
  <c r="I105" i="10"/>
  <c r="I39" i="12"/>
  <c r="J34" i="12" s="1"/>
  <c r="I40" i="12"/>
  <c r="I19" i="12" s="1"/>
  <c r="I22" i="12" s="1"/>
  <c r="I28" i="12" s="1"/>
  <c r="F19" i="11"/>
  <c r="E22" i="11"/>
  <c r="G39" i="11"/>
  <c r="H34" i="11" s="1"/>
  <c r="G40" i="11"/>
  <c r="H87" i="10" l="1"/>
  <c r="I87" i="10"/>
  <c r="J85" i="10"/>
  <c r="J87" i="10" s="1"/>
  <c r="J91" i="10" s="1"/>
  <c r="J26" i="12" s="1"/>
  <c r="J39" i="12"/>
  <c r="J40" i="12"/>
  <c r="J19" i="12" s="1"/>
  <c r="J22" i="12" s="1"/>
  <c r="G19" i="11"/>
  <c r="E28" i="11"/>
  <c r="F22" i="11"/>
  <c r="H40" i="11"/>
  <c r="H39" i="11"/>
  <c r="I34" i="11" s="1"/>
  <c r="J28" i="12" l="1"/>
  <c r="C31" i="12" s="1"/>
  <c r="H19" i="11"/>
  <c r="F28" i="11"/>
  <c r="G22" i="11"/>
  <c r="I39" i="11"/>
  <c r="J34" i="11" s="1"/>
  <c r="I40" i="11"/>
  <c r="G28" i="11" l="1"/>
  <c r="I19" i="11"/>
  <c r="H22" i="11"/>
  <c r="J40" i="11"/>
  <c r="J39" i="11"/>
  <c r="J19" i="11" l="1"/>
  <c r="H28" i="11"/>
  <c r="I22" i="11"/>
  <c r="I28" i="11" l="1"/>
  <c r="J22" i="11"/>
  <c r="J28" i="11" l="1"/>
  <c r="C3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 Martín Morillo</author>
  </authors>
  <commentList>
    <comment ref="G16" authorId="0" shapeId="0" xr:uid="{7712AA95-B3C2-4B92-B877-CFAF7EE5DC50}">
      <text>
        <r>
          <rPr>
            <b/>
            <sz val="9"/>
            <color indexed="81"/>
            <rFont val="Tahoma"/>
            <family val="2"/>
          </rPr>
          <t>Indicador: EFF_TAX_RATE</t>
        </r>
      </text>
    </comment>
    <comment ref="H16" authorId="0" shapeId="0" xr:uid="{EB4F0BA8-2D6D-4C54-99A2-A870EC0A0064}">
      <text>
        <r>
          <rPr>
            <b/>
            <sz val="9"/>
            <color indexed="81"/>
            <rFont val="Tahoma"/>
            <family val="2"/>
          </rPr>
          <t>Indicador: TOT_DEBT_TO_TOT_EQY</t>
        </r>
      </text>
    </comment>
    <comment ref="G17" authorId="0" shapeId="0" xr:uid="{7E5933EE-D1DC-4B42-8B04-60E3646878FA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H17" authorId="0" shapeId="0" xr:uid="{993D341E-5ACB-4A10-A376-B77E971A49D2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G18" authorId="0" shapeId="0" xr:uid="{3BC55BA1-18B8-4291-BB30-08AC2B356132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H18" authorId="0" shapeId="0" xr:uid="{8A449999-3061-46A8-8ED8-80F145CD4067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G19" authorId="0" shapeId="0" xr:uid="{D2CA8BC7-04B9-4067-91D5-1EE16295B5AD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H19" authorId="0" shapeId="0" xr:uid="{B31180FC-A6CF-4F69-A2D1-27F2D3405847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G20" authorId="0" shapeId="0" xr:uid="{B7241AED-F074-4E0B-8B55-9D7943259AAD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H20" authorId="0" shapeId="0" xr:uid="{C7DE1494-D829-4600-8B14-772A4461E726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G21" authorId="0" shapeId="0" xr:uid="{A529076A-3455-4E31-B5A2-9539E340034A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H21" authorId="0" shapeId="0" xr:uid="{D0E0D2D6-F870-47ED-BFA4-25F8AA14FB30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G22" authorId="0" shapeId="0" xr:uid="{4FF3A977-9D2D-4C22-B192-BA60D8A791B3}">
      <text>
        <r>
          <rPr>
            <b/>
            <sz val="9"/>
            <color indexed="81"/>
            <rFont val="Tahoma"/>
            <family val="2"/>
          </rPr>
          <t>Semestre S1 2024 (06/30/2024)</t>
        </r>
      </text>
    </comment>
    <comment ref="H22" authorId="0" shapeId="0" xr:uid="{E90A0848-DB53-4D8F-BF6A-84D21AECFA56}">
      <text>
        <r>
          <rPr>
            <b/>
            <sz val="9"/>
            <color indexed="81"/>
            <rFont val="Tahoma"/>
            <family val="2"/>
          </rPr>
          <t>Semestre S1 2024 (06/30/2024)</t>
        </r>
      </text>
    </comment>
    <comment ref="G23" authorId="0" shapeId="0" xr:uid="{A41B5773-3025-4C66-8531-110BFF18DE92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H23" authorId="0" shapeId="0" xr:uid="{96946236-EFC1-4943-962A-FE39DF4F3613}">
      <text>
        <r>
          <rPr>
            <b/>
            <sz val="9"/>
            <color indexed="81"/>
            <rFont val="Tahoma"/>
            <family val="2"/>
          </rPr>
          <t>Trimestre Q3 2024 (09/30/2024)</t>
        </r>
      </text>
    </comment>
    <comment ref="G24" authorId="0" shapeId="0" xr:uid="{6E3C75FA-1C85-450C-9FDD-82E52E953034}">
      <text>
        <r>
          <rPr>
            <b/>
            <sz val="9"/>
            <color indexed="81"/>
            <rFont val="Tahoma"/>
            <family val="2"/>
          </rPr>
          <t>Año 2024</t>
        </r>
      </text>
    </comment>
    <comment ref="H24" authorId="0" shapeId="0" xr:uid="{8C9193B3-5120-47F4-BCFD-FE7F6A1476BE}">
      <text>
        <r>
          <rPr>
            <b/>
            <sz val="9"/>
            <color indexed="81"/>
            <rFont val="Tahoma"/>
            <family val="2"/>
          </rPr>
          <t>Año 2024</t>
        </r>
      </text>
    </comment>
  </commentList>
</comments>
</file>

<file path=xl/sharedStrings.xml><?xml version="1.0" encoding="utf-8"?>
<sst xmlns="http://schemas.openxmlformats.org/spreadsheetml/2006/main" count="4933" uniqueCount="648">
  <si>
    <t>INT-INT</t>
  </si>
  <si>
    <t>DOM-DOM</t>
  </si>
  <si>
    <t>INT-DOM</t>
  </si>
  <si>
    <t>DOM-INT</t>
  </si>
  <si>
    <t>INT Salidas (sin DOM-INT / INT-INT / Transito INT-INT)</t>
  </si>
  <si>
    <t>INT Llegadas (sin DOM-INT / INT-INT / Transito INT-INT)</t>
  </si>
  <si>
    <t>DOM Salidas (sin INT-DOM / DOM-DOM)</t>
  </si>
  <si>
    <t>DOM Llegadas (sin INT-DOM / DOM-DOM)</t>
  </si>
  <si>
    <t>Total</t>
  </si>
  <si>
    <t>Cuenta</t>
  </si>
  <si>
    <t>Tipo</t>
  </si>
  <si>
    <t>Item</t>
  </si>
  <si>
    <t>Nombre de la cuenta</t>
  </si>
  <si>
    <t>Directo</t>
  </si>
  <si>
    <t>Gastos de Personal</t>
  </si>
  <si>
    <t>Sueldos del Personal</t>
  </si>
  <si>
    <t>Gratificación Ordinaria</t>
  </si>
  <si>
    <t>Vacaciones</t>
  </si>
  <si>
    <t>Horas Extras</t>
  </si>
  <si>
    <t>Otras Remuneraciones</t>
  </si>
  <si>
    <t>Indemnizaciones al Personal</t>
  </si>
  <si>
    <t>Capacitación</t>
  </si>
  <si>
    <t>Gastos de Alimentación</t>
  </si>
  <si>
    <t>Eventos y atenc. al personal</t>
  </si>
  <si>
    <t>Uniformes</t>
  </si>
  <si>
    <t>Movilidad</t>
  </si>
  <si>
    <t>Examenes medicos</t>
  </si>
  <si>
    <t>Otros Gastos de Personal</t>
  </si>
  <si>
    <t>Prácticantes Profesionales</t>
  </si>
  <si>
    <t>Otros Gastos de Personal Compras</t>
  </si>
  <si>
    <t>Contribución EPS</t>
  </si>
  <si>
    <t>Régimen de Prestaciones de Salud - Essalud</t>
  </si>
  <si>
    <t>Seguro Complementario de Trabajo de Riesgo</t>
  </si>
  <si>
    <t>Seguros de vida empleados</t>
  </si>
  <si>
    <t>Seguros de vida Ley</t>
  </si>
  <si>
    <t>Aportación EPS</t>
  </si>
  <si>
    <t>Contribución SENATI</t>
  </si>
  <si>
    <t>Beneficio social de los trabajadores CTS</t>
  </si>
  <si>
    <t>Otros Costos</t>
  </si>
  <si>
    <t>Gasto de viaje y conferencias</t>
  </si>
  <si>
    <t>Servicios prestados por terceros</t>
  </si>
  <si>
    <t>Servicio de transporte</t>
  </si>
  <si>
    <t>Mensajeria</t>
  </si>
  <si>
    <t>Asesoria y consultoría</t>
  </si>
  <si>
    <t>Gastos de auditoría externa</t>
  </si>
  <si>
    <t>Fee del operador</t>
  </si>
  <si>
    <t>Servicios de Gerencia</t>
  </si>
  <si>
    <t>Consultoria operador</t>
  </si>
  <si>
    <t>Serv. Gerencia LAP Proyecto</t>
  </si>
  <si>
    <t xml:space="preserve">Outsourcing </t>
  </si>
  <si>
    <t>Serv.de Guias Aeroportuarios</t>
  </si>
  <si>
    <t>Servicio de verificacion de expedientes</t>
  </si>
  <si>
    <t>Mantenimiento de Activos</t>
  </si>
  <si>
    <t xml:space="preserve">Servicios de pintado </t>
  </si>
  <si>
    <t xml:space="preserve">MP de zonas periféricas </t>
  </si>
  <si>
    <t xml:space="preserve">MP de infra. del terminal  </t>
  </si>
  <si>
    <t xml:space="preserve">MP mobiliario del terminal </t>
  </si>
  <si>
    <t xml:space="preserve">MP Trampa de grasa </t>
  </si>
  <si>
    <t>MP Deodorizantes</t>
  </si>
  <si>
    <t>MP del alcantarillado</t>
  </si>
  <si>
    <t xml:space="preserve">Remodelaciones menores </t>
  </si>
  <si>
    <t>MC de Infra. e Instalaciones</t>
  </si>
  <si>
    <t>MP de vehículos</t>
  </si>
  <si>
    <t>MC de vehículos</t>
  </si>
  <si>
    <t>MP de equipos y sistemas</t>
  </si>
  <si>
    <t>MC de equipos y sistemas</t>
  </si>
  <si>
    <t>MP ascensores edif. central</t>
  </si>
  <si>
    <t>MP ascensores terminal</t>
  </si>
  <si>
    <t>MP zonas periféricas</t>
  </si>
  <si>
    <t xml:space="preserve">MP terminal </t>
  </si>
  <si>
    <t xml:space="preserve">MP dispositivos CCTV </t>
  </si>
  <si>
    <t>MP servidores CCTV</t>
  </si>
  <si>
    <t>MP de máquinas rayos X</t>
  </si>
  <si>
    <t xml:space="preserve">MP de equipos PDM </t>
  </si>
  <si>
    <t xml:space="preserve">MP dispositivos SDI </t>
  </si>
  <si>
    <t xml:space="preserve">MP Paneles SDI </t>
  </si>
  <si>
    <t>MP Ilumi Playa Estacionam.</t>
  </si>
  <si>
    <t xml:space="preserve">MP Aire Edific Ctral </t>
  </si>
  <si>
    <t xml:space="preserve">MP Aire Terminal </t>
  </si>
  <si>
    <t xml:space="preserve">MP Aire Gran Techo </t>
  </si>
  <si>
    <t>MC Ascensores</t>
  </si>
  <si>
    <t>MC Aire acondicionado</t>
  </si>
  <si>
    <t>MC Iluminacion</t>
  </si>
  <si>
    <t>MP Pav playa estacionam.</t>
  </si>
  <si>
    <t xml:space="preserve">MP Pav Plataforma </t>
  </si>
  <si>
    <t>MC de pavimentos</t>
  </si>
  <si>
    <t>MP de areas verdes</t>
  </si>
  <si>
    <t>MP y MC muebles administr.</t>
  </si>
  <si>
    <t>Mant. de equip. informáticos</t>
  </si>
  <si>
    <t>Mant. de Control Calidad</t>
  </si>
  <si>
    <t>Alquiler de Vehiculos</t>
  </si>
  <si>
    <t>Alquiler de eq. de computo</t>
  </si>
  <si>
    <t>Alquiler de maquinaria y equipo</t>
  </si>
  <si>
    <t>Alquiler de espac.para eventos</t>
  </si>
  <si>
    <t>alquiler de espacios para los equipos GEMS – monitoreo de ruido</t>
  </si>
  <si>
    <t>Consumo telefónico</t>
  </si>
  <si>
    <t>Consumo de electricidad</t>
  </si>
  <si>
    <t>Consumo de agua</t>
  </si>
  <si>
    <t>Gestion de residuos solidos</t>
  </si>
  <si>
    <t xml:space="preserve">Gestion de Res. Solidos de Sanidad Aérea </t>
  </si>
  <si>
    <t>Publicidad</t>
  </si>
  <si>
    <t>Anuncios</t>
  </si>
  <si>
    <t>Gastos de Representación</t>
  </si>
  <si>
    <t>Servicio de Contratistas</t>
  </si>
  <si>
    <t>Compras de Activos</t>
  </si>
  <si>
    <t>Servicio de Limpieza</t>
  </si>
  <si>
    <t>Servicio de IATA</t>
  </si>
  <si>
    <t>Mano de obra en manten.</t>
  </si>
  <si>
    <t>Servicio médico</t>
  </si>
  <si>
    <t>Servicio de buses</t>
  </si>
  <si>
    <t>Servicio de traducción</t>
  </si>
  <si>
    <t>Servicios notariales</t>
  </si>
  <si>
    <t>Administracion playa de estac.</t>
  </si>
  <si>
    <t>Administración TUUA</t>
  </si>
  <si>
    <t>Acopio carros portaequipajes</t>
  </si>
  <si>
    <t>Servicio Call Center</t>
  </si>
  <si>
    <t>Servicio de Cetreria</t>
  </si>
  <si>
    <t>Operación red gigabit</t>
  </si>
  <si>
    <t>Servicio mozos</t>
  </si>
  <si>
    <t>Administracion en la nube</t>
  </si>
  <si>
    <t>Gestion de energia electrica</t>
  </si>
  <si>
    <t>Anfitriones aeroportuarios</t>
  </si>
  <si>
    <t>Personal oficina de hallazgo</t>
  </si>
  <si>
    <t>Guías de embarque peatonal</t>
  </si>
  <si>
    <t>Señaleros vía vehicular G8</t>
  </si>
  <si>
    <t xml:space="preserve">Direccionam. de plataforma </t>
  </si>
  <si>
    <t>Servicio de Central Telefónica</t>
  </si>
  <si>
    <t>Serv.de marketing a recuperar</t>
  </si>
  <si>
    <t>Servicios de terceros diversos</t>
  </si>
  <si>
    <t xml:space="preserve">Servicio de Controladores de Tránsito </t>
  </si>
  <si>
    <t>Ofic.de Seguridad Aeropor. nivel 1</t>
  </si>
  <si>
    <t>Servicio de vigilacia 24 horas</t>
  </si>
  <si>
    <t xml:space="preserve">Guías caninos </t>
  </si>
  <si>
    <t>Sistema alarma perimetral</t>
  </si>
  <si>
    <t>Convenio PNP</t>
  </si>
  <si>
    <t>Ofic.de Seguridad Aeropor. nivel 2</t>
  </si>
  <si>
    <t xml:space="preserve">MP planta tratamiento STP </t>
  </si>
  <si>
    <t>MP blue water</t>
  </si>
  <si>
    <t>Gastos diversos a recuperar</t>
  </si>
  <si>
    <t>Com. mant. portes bancarios</t>
  </si>
  <si>
    <t>Comisión Garantia Corporativa</t>
  </si>
  <si>
    <t>Impuesto General a las Ventas</t>
  </si>
  <si>
    <t>Impuesto a las Transacciones Financieras (ITF)</t>
  </si>
  <si>
    <t>Impuesto Predial</t>
  </si>
  <si>
    <t>Arbitrios</t>
  </si>
  <si>
    <t>Impuesto Vehicular</t>
  </si>
  <si>
    <t>Seguros</t>
  </si>
  <si>
    <t>Suscripciones</t>
  </si>
  <si>
    <t>Membresías</t>
  </si>
  <si>
    <t>Licenciamiento de Software</t>
  </si>
  <si>
    <t>Con. Herramientas y Accesorios</t>
  </si>
  <si>
    <t>Consumo de Repuestos</t>
  </si>
  <si>
    <t>Consumo de Materiales Diversos</t>
  </si>
  <si>
    <t>Consumo de Combustibles</t>
  </si>
  <si>
    <t>Consumoe de Utiles de oficina</t>
  </si>
  <si>
    <t>Dif. de Inventario Herramientas y Accesorios</t>
  </si>
  <si>
    <t>Dif. de Inventario Repuestos</t>
  </si>
  <si>
    <t>Dif. de Inv. Materiales Diversos</t>
  </si>
  <si>
    <t>Dif. de Inv.Combustible</t>
  </si>
  <si>
    <t>Dif. de Utiles de Oficina</t>
  </si>
  <si>
    <t>Desv.de Inv. Herramientas y Accesorios</t>
  </si>
  <si>
    <t>Desv. de Repuestos</t>
  </si>
  <si>
    <t>Desv.  de Materiales Diversos</t>
  </si>
  <si>
    <t>Desv. de Combustible</t>
  </si>
  <si>
    <t>Desv. De Utiles de oficina</t>
  </si>
  <si>
    <t>Premios y obsequios</t>
  </si>
  <si>
    <t>Eventos protocolares</t>
  </si>
  <si>
    <t>Sanciones Administrativas</t>
  </si>
  <si>
    <t>Fotostáticas e Impresiones</t>
  </si>
  <si>
    <t>Donaciones</t>
  </si>
  <si>
    <t>Programas de Gestión Social</t>
  </si>
  <si>
    <t>Licencias y derechos</t>
  </si>
  <si>
    <t>Otras Sanciones y multas</t>
  </si>
  <si>
    <t>Compra de Bienes Menores</t>
  </si>
  <si>
    <t>Provisión Cuentas de Cobranza Dudosa</t>
  </si>
  <si>
    <t>Distribución Legal de la Renta</t>
  </si>
  <si>
    <t>Indirectos</t>
  </si>
  <si>
    <t>No Imputables</t>
  </si>
  <si>
    <t>Nombre</t>
  </si>
  <si>
    <t>Variación %</t>
  </si>
  <si>
    <t>Var OPEX 2023-2025</t>
  </si>
  <si>
    <t>CR 2023</t>
  </si>
  <si>
    <t>OPEX 2025</t>
  </si>
  <si>
    <t>Tasa de crecimiento pasajeros</t>
  </si>
  <si>
    <t>Elasticidad pasajeros-OPEX</t>
  </si>
  <si>
    <t>OPEX 2026</t>
  </si>
  <si>
    <t>OPEX 2027</t>
  </si>
  <si>
    <t>OPEX 2028</t>
  </si>
  <si>
    <t>OPEX 2029</t>
  </si>
  <si>
    <t>OPEX 2030</t>
  </si>
  <si>
    <t>Pasajero</t>
  </si>
  <si>
    <t>m2</t>
  </si>
  <si>
    <t>m2 fijo</t>
  </si>
  <si>
    <t>Driver Asignación</t>
  </si>
  <si>
    <t>INT INT</t>
  </si>
  <si>
    <t>DOM DOM</t>
  </si>
  <si>
    <t>Áreas exclusivas</t>
  </si>
  <si>
    <t>Áreas comunes</t>
  </si>
  <si>
    <t>Área Total del Terminal</t>
  </si>
  <si>
    <t>Procesador</t>
  </si>
  <si>
    <t>Swing</t>
  </si>
  <si>
    <t>Doméstico</t>
  </si>
  <si>
    <t>Internacional</t>
  </si>
  <si>
    <t>Señalética</t>
  </si>
  <si>
    <t>Equipos aeroportuarios</t>
  </si>
  <si>
    <t>Inversión asociada al terminal</t>
  </si>
  <si>
    <t>Passenger Airside Security Checkpoint System</t>
  </si>
  <si>
    <t>PBSS ( Passenger Baggage Screening )</t>
  </si>
  <si>
    <t>Ascensores - Procesador</t>
  </si>
  <si>
    <t>Escaleras mecánicas - Procesador</t>
  </si>
  <si>
    <t>Ascensores - Swing</t>
  </si>
  <si>
    <t>Escaleras mecánicas - Swing</t>
  </si>
  <si>
    <t>Ascensores - Dique doméstico</t>
  </si>
  <si>
    <t>Escaleras mecánicas - Dique doméstico</t>
  </si>
  <si>
    <t>Exclusiones</t>
  </si>
  <si>
    <t>Ratio</t>
  </si>
  <si>
    <t>Ratio Terminal áreas exclusivas</t>
  </si>
  <si>
    <t>Ratio General</t>
  </si>
  <si>
    <t>Edifiicios auxiliares y sistemas</t>
  </si>
  <si>
    <t>Inversion en edificios auxiliares Landside</t>
  </si>
  <si>
    <t>Sistema de obtención de agua cruda</t>
  </si>
  <si>
    <t xml:space="preserve">PTAR/ Planta de Tratamiento de Aguas Residuales </t>
  </si>
  <si>
    <t>Redes y sistemas de plomería (Agua, incendio) Landside</t>
  </si>
  <si>
    <t>Redes y sistemas eléctricos Landside</t>
  </si>
  <si>
    <t>Planta de generación eléctrica</t>
  </si>
  <si>
    <t>Planta de producción de agua helada</t>
  </si>
  <si>
    <t>Depósito de combustible</t>
  </si>
  <si>
    <t>Costo de inversión</t>
  </si>
  <si>
    <t>Factor de incidencia</t>
  </si>
  <si>
    <t>Ratio Transversal</t>
  </si>
  <si>
    <t>Inversión</t>
  </si>
  <si>
    <t>Lado aire</t>
  </si>
  <si>
    <t>Lado tierra</t>
  </si>
  <si>
    <t>Contingencia</t>
  </si>
  <si>
    <t>Inversión total por paquete de trabajo</t>
  </si>
  <si>
    <t>Porcentaje de asignación</t>
  </si>
  <si>
    <t>MOU Memorandum of Understanding</t>
  </si>
  <si>
    <t>Design</t>
  </si>
  <si>
    <t xml:space="preserve">Early Works </t>
  </si>
  <si>
    <t>Site Management</t>
  </si>
  <si>
    <t>Factor de Incidencia</t>
  </si>
  <si>
    <t>Factor de Incidencia área exclusiva - inversión transversal</t>
  </si>
  <si>
    <t>Inversión asociada al terminal a tomar en cuenta en las áreas exclusivas</t>
  </si>
  <si>
    <t>Edificios y sistemas auxiliares</t>
  </si>
  <si>
    <t>Inversión lado tierra</t>
  </si>
  <si>
    <t>Ratio Transversal INT-INT</t>
  </si>
  <si>
    <t>Costo del lado tierra</t>
  </si>
  <si>
    <t>Factor incidencia</t>
  </si>
  <si>
    <t>Monto de inversión</t>
  </si>
  <si>
    <t>Área del Terminal</t>
  </si>
  <si>
    <t>Ratio Transversal DOM-DOM</t>
  </si>
  <si>
    <t>Ratio Terminal</t>
  </si>
  <si>
    <t>Unidad</t>
  </si>
  <si>
    <t>Ratio (USD/m2)</t>
  </si>
  <si>
    <t>Monto (USD)</t>
  </si>
  <si>
    <t>Edificio Terminal</t>
  </si>
  <si>
    <t>Ascensores</t>
  </si>
  <si>
    <t>unidades</t>
  </si>
  <si>
    <t>Escaleras mecánicas</t>
  </si>
  <si>
    <t>Control de tarjeta de embarque</t>
  </si>
  <si>
    <t>Equipamiento de seguridad</t>
  </si>
  <si>
    <t>Inversiones exclusivas INT-INT</t>
  </si>
  <si>
    <t>Infraestructura</t>
  </si>
  <si>
    <t>Equipamiento</t>
  </si>
  <si>
    <t>inversiones exclusivas INT-INT</t>
  </si>
  <si>
    <t>Edificio Terminal-infraestructura</t>
  </si>
  <si>
    <t>Edificio Terminal-Equipamiento</t>
  </si>
  <si>
    <t>Nivel</t>
  </si>
  <si>
    <t xml:space="preserve">Áreas de conexión del terminal con PLBs - Tipo 1 </t>
  </si>
  <si>
    <t xml:space="preserve">Áreas de conexión del terminal con PLBs - Tipo 2 </t>
  </si>
  <si>
    <t xml:space="preserve">Áreas de conexión del terminal con PLBs - Tipo 1 y 2 </t>
  </si>
  <si>
    <t>Sala embarque</t>
  </si>
  <si>
    <t>Circulación 1</t>
  </si>
  <si>
    <t>Circulación 2</t>
  </si>
  <si>
    <t>Circulación 3</t>
  </si>
  <si>
    <t>Circulación 4</t>
  </si>
  <si>
    <t>P10 - Procesador</t>
  </si>
  <si>
    <t>P10 – Dique Swing</t>
  </si>
  <si>
    <t>P20 - Procesador</t>
  </si>
  <si>
    <t>P20 - Dique int</t>
  </si>
  <si>
    <t>P20 – Dique Swing-Parte 1 y 2</t>
  </si>
  <si>
    <t>P30 - Procesador</t>
  </si>
  <si>
    <t>P30- Dique Dom</t>
  </si>
  <si>
    <t>P30- Dique Int</t>
  </si>
  <si>
    <t xml:space="preserve">P30 – Dique Swing-Parte 1 </t>
  </si>
  <si>
    <t>P30 – Dique Swing-Parte 2</t>
  </si>
  <si>
    <t xml:space="preserve">P40 – Dique Swing-Parte 1 </t>
  </si>
  <si>
    <t>P40 – Dique Swing-Parte 2</t>
  </si>
  <si>
    <t>Int llegadas</t>
  </si>
  <si>
    <t>Dom llegadas</t>
  </si>
  <si>
    <t>Int salidas</t>
  </si>
  <si>
    <t>Dom salidas</t>
  </si>
  <si>
    <t>INT-
INT</t>
  </si>
  <si>
    <t>Cantidad 
(m2)</t>
  </si>
  <si>
    <t>Circulación 1 - Procesador</t>
  </si>
  <si>
    <t>X</t>
  </si>
  <si>
    <t>Circulación 2 - Procesador</t>
  </si>
  <si>
    <t>Circulación 3 - Procesador</t>
  </si>
  <si>
    <t>Circulación 4 - Procesador</t>
  </si>
  <si>
    <t>Sala de Embarque - P10 - Dique Swing</t>
  </si>
  <si>
    <t>Circulación 1 - P10 - Dique Swing</t>
  </si>
  <si>
    <t>Circulación 1 - P20 - Procesador</t>
  </si>
  <si>
    <t>Circulación 2 - P20 - Procesador</t>
  </si>
  <si>
    <t>Circulación 1 - P20 - Dique Internacional</t>
  </si>
  <si>
    <t>Áreas conexión Terminal con PLBs tipo 1 - P20 - Dique Internacional</t>
  </si>
  <si>
    <t>Áreas conexión Terminal con PLBs tipo 2 - P20 - Dique Internacional</t>
  </si>
  <si>
    <t>P20 – Dique Swing</t>
  </si>
  <si>
    <t>Circulación 1 - P20 - Dique Swing</t>
  </si>
  <si>
    <t>Áreas conexión Terminal con PLBs tipo 1 - P20 - Dique Swing</t>
  </si>
  <si>
    <t>Áreas conexión Terminal con PLBs tipo 2 - P20 - Dique Swing</t>
  </si>
  <si>
    <t>Circulación 1 - P30 - Procesador</t>
  </si>
  <si>
    <t>Circulación 2 - P30 - Procesador</t>
  </si>
  <si>
    <t>Circulación 3 - P30 - Procesador</t>
  </si>
  <si>
    <t>Sala de Embarque - P30 - Dique Doméstico</t>
  </si>
  <si>
    <t>Circulación 1 - P30 - Dique Doméstico</t>
  </si>
  <si>
    <t>Áreas conexión Terminal con PLBs tipo 1 y 2 - P30 - Dique Doméstico</t>
  </si>
  <si>
    <t>Sala de Embarque - P30 - Dique Internacional</t>
  </si>
  <si>
    <t>Circulación 1 - P30 - Dique Internacional</t>
  </si>
  <si>
    <t xml:space="preserve">P30 – Dique Swing-Parte  </t>
  </si>
  <si>
    <t>Sala de Embarque - P30 - Dique Swing</t>
  </si>
  <si>
    <t>Circulación 1 - P30 - Dique Swing</t>
  </si>
  <si>
    <t>Circulación 2 - P30 - Dique Swing</t>
  </si>
  <si>
    <t xml:space="preserve">P40 – Dique Swing-Parte </t>
  </si>
  <si>
    <t>Circulación 1 - P40 - Dique Swing</t>
  </si>
  <si>
    <t>Nivel - Asignación % pasajeros INT-INT</t>
  </si>
  <si>
    <t>Promedio</t>
  </si>
  <si>
    <t>Nivel - Asignación % pasajeros DOM-DOM</t>
  </si>
  <si>
    <t>Áreas Comunes</t>
  </si>
  <si>
    <t>Ratio Total</t>
  </si>
  <si>
    <t>Equipos</t>
  </si>
  <si>
    <t>inversiones comunes INT-INT</t>
  </si>
  <si>
    <t>inversiones comunes DOM-DOM</t>
  </si>
  <si>
    <t>Project Management Office (PMO)</t>
  </si>
  <si>
    <t xml:space="preserve">Corporate &amp; Others </t>
  </si>
  <si>
    <t>Master Planning</t>
  </si>
  <si>
    <t>Capex directo</t>
  </si>
  <si>
    <t>Inversión terminal</t>
  </si>
  <si>
    <t>Capex directo asociado al terminal</t>
  </si>
  <si>
    <t>Incidencia del capex directo</t>
  </si>
  <si>
    <t>Incidencia Capex Directo</t>
  </si>
  <si>
    <t>inversiones exclusivas DOM-DOM</t>
  </si>
  <si>
    <t>Depreciación Total INT-INT</t>
  </si>
  <si>
    <t>Plan de Inversiones</t>
  </si>
  <si>
    <t>Año</t>
  </si>
  <si>
    <t>Ingresos Brutos Totales</t>
  </si>
  <si>
    <t>Retribución del Estado</t>
  </si>
  <si>
    <t>Aporte por Regulación</t>
  </si>
  <si>
    <t>Ingresos netos</t>
  </si>
  <si>
    <t>Costo Directo</t>
  </si>
  <si>
    <t>Costo No Imputable</t>
  </si>
  <si>
    <t>Costo Indirecto</t>
  </si>
  <si>
    <t>Total costos de operación</t>
  </si>
  <si>
    <t>Net IGV</t>
  </si>
  <si>
    <t>Pago de IGV</t>
  </si>
  <si>
    <t>Pago de IR</t>
  </si>
  <si>
    <t>Flujo de Caja Operativo</t>
  </si>
  <si>
    <t>WACC</t>
  </si>
  <si>
    <t>VAN</t>
  </si>
  <si>
    <t>Base de activos</t>
  </si>
  <si>
    <t>Valor residual</t>
  </si>
  <si>
    <t>Flujo de Caja Económico</t>
  </si>
  <si>
    <t>PAGO DE IGV</t>
  </si>
  <si>
    <t>Crédito Fiscal Inicial</t>
  </si>
  <si>
    <t xml:space="preserve">Net IGV </t>
  </si>
  <si>
    <t>IGV Ingresos</t>
  </si>
  <si>
    <t>IGV Egresos - OPEX</t>
  </si>
  <si>
    <t>IGV Egresos - CAPEX</t>
  </si>
  <si>
    <t>Crédito Fiscal Final</t>
  </si>
  <si>
    <t>Pago IGV</t>
  </si>
  <si>
    <t>Ingresos Brutos</t>
  </si>
  <si>
    <t>Gastos Operativos + Retribución</t>
  </si>
  <si>
    <t>Depreciación y Amortización</t>
  </si>
  <si>
    <t>Utilidad Neta</t>
  </si>
  <si>
    <t>GERENCIA DE REGULACIÓN Y ESTUDIOS ECONÓMICOS</t>
  </si>
  <si>
    <t>Contenido</t>
  </si>
  <si>
    <t>Propuesta del Ositrán</t>
  </si>
  <si>
    <t>I. Flujo de Caja descontado</t>
  </si>
  <si>
    <t>II. Demanda del servicio</t>
  </si>
  <si>
    <t>a. Proyección de demanda</t>
  </si>
  <si>
    <t>III. Egresos del servicio</t>
  </si>
  <si>
    <t>a. Costos de operación y mantenimiento - OPEX</t>
  </si>
  <si>
    <t>b. Base de capital e inversiones - CAPEX</t>
  </si>
  <si>
    <t>IV. Tasa de descuento</t>
  </si>
  <si>
    <t>a. Costo Promedio Ponderado del Capital (WACC) al 2024</t>
  </si>
  <si>
    <t>b. Estimación del beta de la empresa</t>
  </si>
  <si>
    <t>c. Información referida a la deuda de la empresa</t>
  </si>
  <si>
    <t>V. Información complementaria</t>
  </si>
  <si>
    <t>a. Flujo DOM-DOM</t>
  </si>
  <si>
    <t>b. Flujo INT-INT</t>
  </si>
  <si>
    <t>ÍNDICE</t>
  </si>
  <si>
    <t>Unidad de cobro</t>
  </si>
  <si>
    <t>Propuesta</t>
  </si>
  <si>
    <t>LAP</t>
  </si>
  <si>
    <t>Ositrán</t>
  </si>
  <si>
    <t>-</t>
  </si>
  <si>
    <t>USD/Pasajero</t>
  </si>
  <si>
    <t>TUUA</t>
  </si>
  <si>
    <t>Propuesta: TUUA de Transferencia en el AIJC</t>
  </si>
  <si>
    <t>0. Flujo de Caja: TUUA de Transferencia DOM-DOM en el AIJC</t>
  </si>
  <si>
    <t>Montos expresados en USD</t>
  </si>
  <si>
    <t>TUUA de Transferencia DOM-DOM</t>
  </si>
  <si>
    <t>N° de pasajeros de transferencia DOM-DOM</t>
  </si>
  <si>
    <t>0. Flujo de Caja: TUUA de Transferencia INT-INT en el AIJC</t>
  </si>
  <si>
    <t>N° de pasajeros de transferencia INT-INT</t>
  </si>
  <si>
    <t>TUUA de Transferencia INT-INT</t>
  </si>
  <si>
    <t>4. Tasa de descuento (WACC)</t>
  </si>
  <si>
    <t>1. Cálculo del WACC del año base (2024)</t>
  </si>
  <si>
    <t>Parámetro</t>
  </si>
  <si>
    <t>Valor</t>
  </si>
  <si>
    <t>Notas</t>
  </si>
  <si>
    <t>Fuente</t>
  </si>
  <si>
    <t>Tasa libre de riesgo</t>
  </si>
  <si>
    <t>T-bonds EE.UU., promedio 1928-2024</t>
  </si>
  <si>
    <t>Damodaran</t>
  </si>
  <si>
    <t>Prima de riesgo (ERP)</t>
  </si>
  <si>
    <t>Rendimiento S&amp;P 500, promedio 1928-2024</t>
  </si>
  <si>
    <t>Beta Desapalancada</t>
  </si>
  <si>
    <t>Benchmarking de operadores aeroportuarios</t>
  </si>
  <si>
    <t>Bloomberg</t>
  </si>
  <si>
    <t>Ratio D/E</t>
  </si>
  <si>
    <t>Información financiera de LAP, 2024</t>
  </si>
  <si>
    <t>Beta apalancado</t>
  </si>
  <si>
    <t>Cálculo</t>
  </si>
  <si>
    <t>Riesgo país</t>
  </si>
  <si>
    <t>Índice EMBIG-Perú. Promedio ene/23 - dic/24</t>
  </si>
  <si>
    <t>BCRP</t>
  </si>
  <si>
    <t>Costo de capital propio (USD)</t>
  </si>
  <si>
    <t>% Capital propio</t>
  </si>
  <si>
    <t>Impuesto (Tasa efectiva)</t>
  </si>
  <si>
    <t>Costo de deuda</t>
  </si>
  <si>
    <t>Estimado a partir de la deuda vigente de LAP</t>
  </si>
  <si>
    <t>% Deuda</t>
  </si>
  <si>
    <t>WACC (USD)</t>
  </si>
  <si>
    <t>4.1. Estimación del beta de la empresa</t>
  </si>
  <si>
    <t>1. Caracteristicas de la muestra</t>
  </si>
  <si>
    <t>Rango de muestra:</t>
  </si>
  <si>
    <t>Inicio</t>
  </si>
  <si>
    <t>Final</t>
  </si>
  <si>
    <t>Bolsa:</t>
  </si>
  <si>
    <t>Local</t>
  </si>
  <si>
    <t>Moneda:</t>
  </si>
  <si>
    <t>Periodicidad:</t>
  </si>
  <si>
    <t>Semanal</t>
  </si>
  <si>
    <t>2. Muestra de betas</t>
  </si>
  <si>
    <t>Operador aeroportuario</t>
  </si>
  <si>
    <t>País</t>
  </si>
  <si>
    <t>Símbolo</t>
  </si>
  <si>
    <t>Bolsa de referencia</t>
  </si>
  <si>
    <t>Impuesto efectivo</t>
  </si>
  <si>
    <t>Beta desapalancado</t>
  </si>
  <si>
    <t>Flughafen Wien AG</t>
  </si>
  <si>
    <t>Austria</t>
  </si>
  <si>
    <t>FLU AV</t>
  </si>
  <si>
    <t>ATX Index</t>
  </si>
  <si>
    <t>Grupo Aeroportuario del Pacifico</t>
  </si>
  <si>
    <t>México</t>
  </si>
  <si>
    <t>GAPB MM</t>
  </si>
  <si>
    <t>MEXBOL Index</t>
  </si>
  <si>
    <t>Kobenhavns Lufthavne</t>
  </si>
  <si>
    <t>Dinamarca</t>
  </si>
  <si>
    <t>KBHL DC</t>
  </si>
  <si>
    <t>OMXC25 Index</t>
  </si>
  <si>
    <t>Grupo aeroportuario del Sureste</t>
  </si>
  <si>
    <t>ASURB MM</t>
  </si>
  <si>
    <t>Grupo Aeroportuario del Centro Norte SAB</t>
  </si>
  <si>
    <t>OMAB MM</t>
  </si>
  <si>
    <t>Malta Internacional Airport</t>
  </si>
  <si>
    <t>Malta</t>
  </si>
  <si>
    <t>MIA MV</t>
  </si>
  <si>
    <t>MALTEX Index</t>
  </si>
  <si>
    <t>Aeroporto di Bologna</t>
  </si>
  <si>
    <t>Italia</t>
  </si>
  <si>
    <t>ADB IM</t>
  </si>
  <si>
    <t>FTSEMIB Index</t>
  </si>
  <si>
    <t>Auckland Internacional</t>
  </si>
  <si>
    <t>Nueva Zelanda</t>
  </si>
  <si>
    <t>AIA NZ</t>
  </si>
  <si>
    <t>NZSE Index</t>
  </si>
  <si>
    <t>Promedio aritmético</t>
  </si>
  <si>
    <t>4.2 Información referida a la deuda de la empresa</t>
  </si>
  <si>
    <t>1. Determinación del apalancamiento</t>
  </si>
  <si>
    <t>Concepto</t>
  </si>
  <si>
    <t>Descripción</t>
  </si>
  <si>
    <t>Monto</t>
  </si>
  <si>
    <t>D/(D+E)</t>
  </si>
  <si>
    <t>E/(D+E)</t>
  </si>
  <si>
    <t>2. Determinación del costo de deuda</t>
  </si>
  <si>
    <t>a) Flujos trimestrales de la deuda contraída por LAP (millones de USD):</t>
  </si>
  <si>
    <t>Fecha</t>
  </si>
  <si>
    <t>Miniperm</t>
  </si>
  <si>
    <t>Bridge Loan</t>
  </si>
  <si>
    <t>Desembolsos</t>
  </si>
  <si>
    <t>Amortización</t>
  </si>
  <si>
    <t>Intereses</t>
  </si>
  <si>
    <t>Comisión de compromiso</t>
  </si>
  <si>
    <t>Costo de emisión de la deuda</t>
  </si>
  <si>
    <t>b) Flujo neto de la deuda vigente de LAP (millones de USD):</t>
  </si>
  <si>
    <t>Desembolso de deuda (principal)</t>
  </si>
  <si>
    <t>Pago de intereses</t>
  </si>
  <si>
    <t>Costo de emision de deuda</t>
  </si>
  <si>
    <t>Flujo neto de la deuda</t>
  </si>
  <si>
    <t>Valor Presente Neto</t>
  </si>
  <si>
    <t>c) Cálculo del costo de deuda de LAP:</t>
  </si>
  <si>
    <t xml:space="preserve">Costo de deuda </t>
  </si>
  <si>
    <t>Trimestral</t>
  </si>
  <si>
    <t>Anual</t>
  </si>
  <si>
    <t>5. BD Índices y variables macroeconómicas empleadas</t>
  </si>
  <si>
    <t>A. Índices bursátiles y financieros</t>
  </si>
  <si>
    <t>a) Tasa libre de riesgo y rendimiento de mercado - Fuente: Damodaran</t>
  </si>
  <si>
    <t>Tasa Libre de Riesgo</t>
  </si>
  <si>
    <t>S&amp;P 500</t>
  </si>
  <si>
    <t>Prom. 1928-2024</t>
  </si>
  <si>
    <t>Tomado de: https://pages.stern.nyu.edu/~adamodar/pc/datasets/histretSP.xls</t>
  </si>
  <si>
    <t>b) Riesgo País, Perú - Fuente: BCRP</t>
  </si>
  <si>
    <t>Mes/Año</t>
  </si>
  <si>
    <t>EMBIG-Perú</t>
  </si>
  <si>
    <t>Prom. 01/23 - 12/24</t>
  </si>
  <si>
    <t>Tomado de: https://estadisticas.bcrp.gob.pe/estadisticas/series/excelmensuales/index/codigos/%27PN01129XM%27/grupos/0/anio1/2023/anio2/2025/mes1/1/mes2/1/dia1/0/dia2/0</t>
  </si>
  <si>
    <t>1. PROYECCIÓN DE DEMANDA</t>
  </si>
  <si>
    <t>TOTAL</t>
  </si>
  <si>
    <t>Tipo de tráfico</t>
  </si>
  <si>
    <t>A. Proyección de tráfico total de pasjeros en el AIJC, por tipo</t>
  </si>
  <si>
    <t>2. COSTOS DE OPERACIÓN Y MANTENIMIENTO</t>
  </si>
  <si>
    <t>Días de Operación - Nuevo Terminal</t>
  </si>
  <si>
    <t>Días del Año Calendario</t>
  </si>
  <si>
    <t>B. Proyección de tráfico de pasjeros de Transferencia en el AIJC, ajustado por días de operación</t>
  </si>
  <si>
    <t>OPEX</t>
  </si>
  <si>
    <t>B. Proyección del OPEX según partida de gasto, 2025-2030</t>
  </si>
  <si>
    <t>A. Proyección de OPEX Total, 2025 - 2030</t>
  </si>
  <si>
    <t>B. Proyección de OPEX Total, 2025 - 2030, ajustado por días de operación</t>
  </si>
  <si>
    <t>5.3. Variación del OPEX 2023 vs. 2025</t>
  </si>
  <si>
    <t>Ratio de Asignación de áreas</t>
  </si>
  <si>
    <t>A. Elasticidad pasajeros-OPEX proyectada en el AIJC</t>
  </si>
  <si>
    <t>OPEX INT-INT</t>
  </si>
  <si>
    <t>OPEX DOM-DOM</t>
  </si>
  <si>
    <t>A. Ratios: Part% de pasajeros y Asignación de áreas en el AIJC, por tipo de transferencia</t>
  </si>
  <si>
    <t>2.1. Proyección de OPEX TUUA de Transferencia, por partida de costo</t>
  </si>
  <si>
    <t>2.2. Proyección de OPEX Total del AIJC, por partida de costo</t>
  </si>
  <si>
    <t>Ratio de asignación de áreas</t>
  </si>
  <si>
    <t>Participación de pasajeros</t>
  </si>
  <si>
    <t>B. Proyección del OPEX por tipo de Transferencia, según partida de gasto, 2025-2030</t>
  </si>
  <si>
    <t>Tipo de Transferencia</t>
  </si>
  <si>
    <t>Proyección de OPEX Total del AIJC, 2025-2030</t>
  </si>
  <si>
    <t>Proyección de OPEX TUUA de Transferencia</t>
  </si>
  <si>
    <t>Asignación de áreas, por tipo de transferencia</t>
  </si>
  <si>
    <t>Variación del OPEX 2023 vs. 2025</t>
  </si>
  <si>
    <t>3. BASE DE CAPITAL E INVERSIONES</t>
  </si>
  <si>
    <t>A. Plan de Inversiones de LAP</t>
  </si>
  <si>
    <t>1. Inversiones, Valor de activos</t>
  </si>
  <si>
    <t>Tipo de Activo</t>
  </si>
  <si>
    <t>Total Activo, Inversiones</t>
  </si>
  <si>
    <t>Total Activo Acumulado, Inversiones</t>
  </si>
  <si>
    <t>2. Inversiones, Depreciaciones</t>
  </si>
  <si>
    <t>Vida Útil</t>
  </si>
  <si>
    <t>Inversión Inicial</t>
  </si>
  <si>
    <t>Total Depreciación, Inversiones INT-INT</t>
  </si>
  <si>
    <t>Total Depreciación Acumulada, Inversiones INT-INT</t>
  </si>
  <si>
    <t>Total Depreciación, Inversiones DOM-DOM</t>
  </si>
  <si>
    <t>Total Depreciación Acumulada, Inversiones DOM-DOM</t>
  </si>
  <si>
    <t>C. Proyección de CAPEX, en USD</t>
  </si>
  <si>
    <t>Valor de activos, Base de capital</t>
  </si>
  <si>
    <t>Valor de activos, Inversiones</t>
  </si>
  <si>
    <t>Depreciación, Base de capital</t>
  </si>
  <si>
    <t>Depreciación, Inversiones</t>
  </si>
  <si>
    <t>CAPEX Acumulado</t>
  </si>
  <si>
    <t>Depreciación Acumulada</t>
  </si>
  <si>
    <t>Base de capital</t>
  </si>
  <si>
    <t>Valor de recupero</t>
  </si>
  <si>
    <t>CAPEX Total INT-INT</t>
  </si>
  <si>
    <t>CAPEX Neto INT-INT</t>
  </si>
  <si>
    <t>B. Incidencia del CAPEX directo</t>
  </si>
  <si>
    <t>A. CAPEX Indirecto Total</t>
  </si>
  <si>
    <t>Capex Indirecto Total (USD)</t>
  </si>
  <si>
    <t>C. CAPEX Indirecto asignado a TUUA de Transferencia</t>
  </si>
  <si>
    <t>CAPEX Indirecto asignado a TUUA de Transferencia (USD)</t>
  </si>
  <si>
    <t>% Avance del proyecto</t>
  </si>
  <si>
    <t>3.3. CAPEX INDIRECTO ASIGNADO A TUUA DE TRANSFERENCIA</t>
  </si>
  <si>
    <t>CAPEX Indirecto asignado a Terminal (USD)</t>
  </si>
  <si>
    <t>5.2. Asignación de áreas del Terminal, por tipo de transferencia</t>
  </si>
  <si>
    <t>Cantidad</t>
  </si>
  <si>
    <t>c. CAPEX - Exclusivas</t>
  </si>
  <si>
    <t>d. CAPEX - Comunes</t>
  </si>
  <si>
    <t>e. CAPEX - Indirecto</t>
  </si>
  <si>
    <t>Índices empleados para el WACC</t>
  </si>
  <si>
    <t>(USD/m2)</t>
  </si>
  <si>
    <t>3.1.2. CAPEX - Exclusivas</t>
  </si>
  <si>
    <t>3.1.1. CAPEX - Exclusivas</t>
  </si>
  <si>
    <t>A.2 Ratio General Áreas Exclusivas</t>
  </si>
  <si>
    <t>B.1. Exclusiones</t>
  </si>
  <si>
    <t>C.1. Ratio Terminal Àreas Exclusivas</t>
  </si>
  <si>
    <t>A.3. Ratio Transversal Áreas Exclusivas</t>
  </si>
  <si>
    <t>A.1. Ratio Terminal Áreas Exclusivas</t>
  </si>
  <si>
    <t>Inversiones Transversales</t>
  </si>
  <si>
    <t>B.3. Factor de Incidencia Áreas Exclusivas - Inversión Transversal</t>
  </si>
  <si>
    <t>C.3. Ratio Transversal Áreas Exclusivas - INT-INT</t>
  </si>
  <si>
    <t>D.3. Ratio Transversal Áreas Exclusivas - DOM-DOM</t>
  </si>
  <si>
    <t>A.1. Resumen Ratio Terminal Áreas Exclusivas</t>
  </si>
  <si>
    <t>B.1 Inversiones Totales Áreas Exclusivas INT-INT</t>
  </si>
  <si>
    <t>C.1 Inversiones Totales Áreas Exclusivas DOM-DOM</t>
  </si>
  <si>
    <t>Inversiones exclusivas DOM-DOM</t>
  </si>
  <si>
    <t>D.1. CAPEX Áreas Exclusivas asignado a TUUA de Transferencia</t>
  </si>
  <si>
    <t>Inversión Infraestructura (USD)</t>
  </si>
  <si>
    <t>Inversión Equipos (USD)</t>
  </si>
  <si>
    <t>Inversión Infraestructura %</t>
  </si>
  <si>
    <t>Inversión Equipos %</t>
  </si>
  <si>
    <t>E.1. CAPEX Áreas Exclusivas asignado a TUUA de Transferencia INT-INT</t>
  </si>
  <si>
    <t>F.1. CAPEX Áreas Exclusivas asignado a TUUA de Transferencia DOM-DOM</t>
  </si>
  <si>
    <t>A.1 Áreas Comunes (m2)</t>
  </si>
  <si>
    <t>A.2 Nivel de Asignación Pasajeros %</t>
  </si>
  <si>
    <t>A.3 Áreas Comunes INT-INT y DOM-DOM</t>
  </si>
  <si>
    <t>3.2.1. CAPEX - Comunes</t>
  </si>
  <si>
    <t>3.2.2. CAPEX - Comunes</t>
  </si>
  <si>
    <t>A.1. Ratio Terminal Áreas Comunes</t>
  </si>
  <si>
    <t>C.1. Ratio Terminal Àreas Comunes</t>
  </si>
  <si>
    <t>Ratio Terminal áreas comunes</t>
  </si>
  <si>
    <t>A.2 Ratio General Áreas Comunes</t>
  </si>
  <si>
    <t>A.3. Ratio Transversal Áreas Comunes</t>
  </si>
  <si>
    <t>B.3. Factor de Incidencia Áreas Comunes - Inversión Transversal</t>
  </si>
  <si>
    <t>Factor de Incidencia áreas comunes - inversión transversal</t>
  </si>
  <si>
    <t>C.3. Ratio Transversal Áreas Comunes - INT-INT</t>
  </si>
  <si>
    <t>D.3. Ratio Transversal Áreas Comunes - DOM-DOM</t>
  </si>
  <si>
    <t>A.1. Resumen Ratio Terminal Áreas Comunes</t>
  </si>
  <si>
    <t>3.2.3. CAPEX - Comunes</t>
  </si>
  <si>
    <t>B.1 Inversiones Totales Áreas Comunes</t>
  </si>
  <si>
    <t>Áreas Comunes INT-INT</t>
  </si>
  <si>
    <t>Áreas Comunes DOM-DOM</t>
  </si>
  <si>
    <t>Área Comun</t>
  </si>
  <si>
    <t>Inversiones Comunes</t>
  </si>
  <si>
    <t>C.1. CAPEX Áreas Comunes asignado a TUUA de Transferencia</t>
  </si>
  <si>
    <t>D.1. CAPEX Áreas Comunes asignado a TUUA de Transferencia INT-INT</t>
  </si>
  <si>
    <t>E.1. CAPEX Áreas Comunes asignado a TUUA de Transferencia DOM-DOM</t>
  </si>
  <si>
    <t>c) Inflación Estados Unidos. Fuente: World Economic Outlook, Octubre 2024 - International Monetary Fund</t>
  </si>
  <si>
    <t>2030*</t>
  </si>
  <si>
    <t>CPI</t>
  </si>
  <si>
    <t>Var. %</t>
  </si>
  <si>
    <t>Tomado de: https://www.imf.org/en/Publications/WEO/weo-database/2024/October/weo-report?c=111,&amp;s=PCPI,&amp;sy=2022&amp;ey=2029&amp;ssm=0&amp;scsm=1&amp;scc=0&amp;ssd=1&amp;ssc=0&amp;sic=0&amp;sort=country&amp;ds=.&amp;br=1</t>
  </si>
  <si>
    <t>*Dado que las proyecciones son solo hasta el 2029, en el 2030 se considera la misma inflación que en el 2029.</t>
  </si>
  <si>
    <t>Inflación</t>
  </si>
  <si>
    <t>Inflación proyectada de USA - Promedio 2025-2030 (FMI)</t>
  </si>
  <si>
    <t>WACC real (USD)</t>
  </si>
  <si>
    <t>Deflactor opex 2025</t>
  </si>
  <si>
    <t>Deflactor capex</t>
  </si>
  <si>
    <t xml:space="preserve">Inflación </t>
  </si>
  <si>
    <t>Índice de precios febrero 2024</t>
  </si>
  <si>
    <t>Índice de precios febrero 2025</t>
  </si>
  <si>
    <t xml:space="preserve">d) Inflación de los Estadios Unidos a febrero de 2025 </t>
  </si>
  <si>
    <t>Tomado del U.S. Bureau of Labor Statistics</t>
  </si>
  <si>
    <t>MODELO ECONÓMICO DE LATUUA DE TRANSFERENCIA EN EL AIJC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</si>
</sst>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0.000"/>
    <numFmt numFmtId="168" formatCode="0.000%"/>
    <numFmt numFmtId="169" formatCode="#,##0.000"/>
    <numFmt numFmtId="170" formatCode="d/m/yy;@"/>
    <numFmt numFmtId="171" formatCode="#,##0;\-#,##0;\-"/>
    <numFmt numFmtId="172" formatCode="#,##0.0"/>
    <numFmt numFmtId="173" formatCode="0.0"/>
    <numFmt numFmtId="174" formatCode="0.0000"/>
  </numFmts>
  <fonts count="36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ptos Narrow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sz val="11"/>
      <color theme="0"/>
      <name val="Arial"/>
      <family val="2"/>
    </font>
    <font>
      <b/>
      <sz val="10"/>
      <color theme="1" tint="0.249977111117893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u/>
      <sz val="10"/>
      <color rgb="FF00B0F0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0"/>
      <color theme="1" tint="0.249977111117893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u/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i/>
      <sz val="10"/>
      <color theme="0" tint="-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/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dashed">
        <color rgb="FF00B0F0"/>
      </left>
      <right style="dashed">
        <color rgb="FF00B0F0"/>
      </right>
      <top/>
      <bottom/>
      <diagonal/>
    </border>
    <border>
      <left style="dashed">
        <color rgb="FF00B0F0"/>
      </left>
      <right/>
      <top/>
      <bottom style="dashed">
        <color rgb="FF00B0F0"/>
      </bottom>
      <diagonal/>
    </border>
    <border>
      <left/>
      <right/>
      <top/>
      <bottom style="dashed">
        <color rgb="FF00B0F0"/>
      </bottom>
      <diagonal/>
    </border>
    <border>
      <left/>
      <right style="dashed">
        <color rgb="FF00B0F0"/>
      </right>
      <top/>
      <bottom style="dashed">
        <color rgb="FF00B0F0"/>
      </bottom>
      <diagonal/>
    </border>
    <border>
      <left style="dashed">
        <color rgb="FF00B0F0"/>
      </left>
      <right/>
      <top/>
      <bottom/>
      <diagonal/>
    </border>
    <border>
      <left/>
      <right style="dashed">
        <color rgb="FF00B0F0"/>
      </right>
      <top/>
      <bottom/>
      <diagonal/>
    </border>
    <border>
      <left/>
      <right/>
      <top/>
      <bottom style="thin">
        <color rgb="FF00B0F0"/>
      </bottom>
      <diagonal/>
    </border>
    <border>
      <left style="dashed">
        <color rgb="FF00B0F0"/>
      </left>
      <right style="dashed">
        <color rgb="FF00B0F0"/>
      </right>
      <top/>
      <bottom style="thin">
        <color rgb="FF00B0F0"/>
      </bottom>
      <diagonal/>
    </border>
    <border>
      <left style="dashed">
        <color rgb="FF00B0F0"/>
      </left>
      <right/>
      <top/>
      <bottom style="thin">
        <color rgb="FF00B0F0"/>
      </bottom>
      <diagonal/>
    </border>
    <border>
      <left/>
      <right style="dashed">
        <color rgb="FF00B0F0"/>
      </right>
      <top/>
      <bottom style="thin">
        <color rgb="FF00B0F0"/>
      </bottom>
      <diagonal/>
    </border>
    <border>
      <left/>
      <right/>
      <top style="dashed">
        <color rgb="FF00B0F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dashed">
        <color rgb="FF00B0F0"/>
      </top>
      <bottom style="dashed">
        <color rgb="FF00B0F0"/>
      </bottom>
      <diagonal/>
    </border>
    <border>
      <left/>
      <right/>
      <top style="dashed">
        <color rgb="FF00B0F0"/>
      </top>
      <bottom style="thin">
        <color rgb="FF00B0F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dashed">
        <color rgb="FF00B0F0"/>
      </right>
      <top style="thin">
        <color theme="0"/>
      </top>
      <bottom/>
      <diagonal/>
    </border>
    <border>
      <left style="dashed">
        <color rgb="FF00B0F0"/>
      </left>
      <right/>
      <top style="dashed">
        <color rgb="FF00B0F0"/>
      </top>
      <bottom style="thin">
        <color rgb="FF00B0F0"/>
      </bottom>
      <diagonal/>
    </border>
    <border>
      <left/>
      <right style="dashed">
        <color rgb="FF00B0F0"/>
      </right>
      <top style="dashed">
        <color rgb="FF00B0F0"/>
      </top>
      <bottom style="thin">
        <color rgb="FF00B0F0"/>
      </bottom>
      <diagonal/>
    </border>
    <border>
      <left style="dashed">
        <color rgb="FF00B0F0"/>
      </left>
      <right style="dashed">
        <color rgb="FF00B0F0"/>
      </right>
      <top/>
      <bottom style="dashed">
        <color rgb="FF00B0F0"/>
      </bottom>
      <diagonal/>
    </border>
    <border>
      <left style="dashed">
        <color rgb="FF00B0F0"/>
      </left>
      <right style="dashed">
        <color rgb="FF00B0F0"/>
      </right>
      <top/>
      <bottom style="thin">
        <color theme="0"/>
      </bottom>
      <diagonal/>
    </border>
    <border>
      <left style="dashed">
        <color rgb="FF00B0F0"/>
      </left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35">
    <xf numFmtId="0" fontId="0" fillId="0" borderId="0" xfId="0"/>
    <xf numFmtId="0" fontId="3" fillId="0" borderId="0" xfId="0" applyFont="1"/>
    <xf numFmtId="43" fontId="3" fillId="0" borderId="0" xfId="1" applyFont="1"/>
    <xf numFmtId="165" fontId="3" fillId="0" borderId="0" xfId="1" applyNumberFormat="1" applyFont="1"/>
    <xf numFmtId="0" fontId="3" fillId="0" borderId="0" xfId="0" applyFont="1" applyAlignment="1">
      <alignment horizontal="center" vertical="center"/>
    </xf>
    <xf numFmtId="165" fontId="3" fillId="0" borderId="0" xfId="1" applyNumberFormat="1" applyFont="1" applyBorder="1"/>
    <xf numFmtId="165" fontId="3" fillId="0" borderId="1" xfId="1" applyNumberFormat="1" applyFont="1" applyBorder="1"/>
    <xf numFmtId="165" fontId="3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1" applyNumberFormat="1" applyFont="1" applyFill="1" applyBorder="1"/>
    <xf numFmtId="164" fontId="3" fillId="0" borderId="0" xfId="1" applyNumberFormat="1" applyFont="1" applyBorder="1"/>
    <xf numFmtId="0" fontId="3" fillId="0" borderId="0" xfId="0" applyFont="1" applyAlignment="1">
      <alignment wrapText="1"/>
    </xf>
    <xf numFmtId="10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166" fontId="3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0" xfId="4" applyFont="1"/>
    <xf numFmtId="0" fontId="9" fillId="0" borderId="2" xfId="4" applyFont="1" applyBorder="1"/>
    <xf numFmtId="0" fontId="9" fillId="0" borderId="3" xfId="4" applyFont="1" applyBorder="1"/>
    <xf numFmtId="0" fontId="9" fillId="0" borderId="4" xfId="4" applyFont="1" applyBorder="1"/>
    <xf numFmtId="0" fontId="9" fillId="0" borderId="5" xfId="4" applyFont="1" applyBorder="1"/>
    <xf numFmtId="0" fontId="9" fillId="0" borderId="6" xfId="4" applyFont="1" applyBorder="1"/>
    <xf numFmtId="0" fontId="10" fillId="0" borderId="5" xfId="4" applyFont="1" applyBorder="1" applyAlignment="1">
      <alignment horizontal="center"/>
    </xf>
    <xf numFmtId="0" fontId="10" fillId="0" borderId="0" xfId="4" applyFont="1" applyAlignment="1">
      <alignment horizontal="center"/>
    </xf>
    <xf numFmtId="0" fontId="10" fillId="0" borderId="6" xfId="4" applyFont="1" applyBorder="1" applyAlignment="1">
      <alignment horizontal="center"/>
    </xf>
    <xf numFmtId="0" fontId="9" fillId="0" borderId="7" xfId="4" applyFont="1" applyBorder="1"/>
    <xf numFmtId="0" fontId="9" fillId="0" borderId="8" xfId="4" applyFont="1" applyBorder="1"/>
    <xf numFmtId="0" fontId="9" fillId="0" borderId="9" xfId="4" applyFont="1" applyBorder="1"/>
    <xf numFmtId="0" fontId="13" fillId="2" borderId="0" xfId="0" applyFont="1" applyFill="1" applyAlignment="1">
      <alignment horizontal="center" vertical="center"/>
    </xf>
    <xf numFmtId="0" fontId="1" fillId="3" borderId="0" xfId="0" applyFont="1" applyFill="1"/>
    <xf numFmtId="0" fontId="4" fillId="3" borderId="0" xfId="5" applyFont="1" applyFill="1"/>
    <xf numFmtId="0" fontId="1" fillId="3" borderId="0" xfId="5" applyFont="1" applyFill="1"/>
    <xf numFmtId="0" fontId="1" fillId="3" borderId="0" xfId="5" applyFont="1" applyFill="1" applyAlignment="1">
      <alignment horizontal="left" indent="1"/>
    </xf>
    <xf numFmtId="0" fontId="14" fillId="3" borderId="0" xfId="5" applyFont="1" applyFill="1"/>
    <xf numFmtId="0" fontId="16" fillId="0" borderId="0" xfId="0" applyFont="1"/>
    <xf numFmtId="0" fontId="1" fillId="0" borderId="0" xfId="0" applyFont="1"/>
    <xf numFmtId="0" fontId="17" fillId="0" borderId="10" xfId="5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8" fillId="0" borderId="0" xfId="0" applyFont="1"/>
    <xf numFmtId="166" fontId="1" fillId="0" borderId="0" xfId="2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7" xfId="0" applyFont="1" applyBorder="1" applyAlignment="1">
      <alignment horizontal="left" vertical="center" wrapText="1" indent="1"/>
    </xf>
    <xf numFmtId="0" fontId="19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4" fontId="3" fillId="0" borderId="0" xfId="1" applyNumberFormat="1" applyFont="1" applyBorder="1" applyAlignment="1"/>
    <xf numFmtId="3" fontId="3" fillId="0" borderId="0" xfId="1" applyNumberFormat="1" applyFont="1" applyBorder="1" applyAlignment="1"/>
    <xf numFmtId="10" fontId="3" fillId="0" borderId="0" xfId="2" applyNumberFormat="1" applyFont="1" applyAlignment="1">
      <alignment vertical="center"/>
    </xf>
    <xf numFmtId="168" fontId="3" fillId="0" borderId="0" xfId="2" applyNumberFormat="1" applyFont="1" applyAlignment="1">
      <alignment vertical="center"/>
    </xf>
    <xf numFmtId="165" fontId="7" fillId="2" borderId="0" xfId="1" applyNumberFormat="1" applyFont="1" applyFill="1" applyBorder="1"/>
    <xf numFmtId="3" fontId="7" fillId="2" borderId="0" xfId="1" applyNumberFormat="1" applyFont="1" applyFill="1" applyBorder="1" applyAlignment="1"/>
    <xf numFmtId="10" fontId="7" fillId="2" borderId="0" xfId="2" applyNumberFormat="1" applyFont="1" applyFill="1" applyBorder="1"/>
    <xf numFmtId="4" fontId="3" fillId="0" borderId="0" xfId="0" applyNumberFormat="1" applyFont="1"/>
    <xf numFmtId="0" fontId="20" fillId="0" borderId="0" xfId="0" applyFont="1" applyAlignment="1">
      <alignment horizontal="left" indent="1"/>
    </xf>
    <xf numFmtId="0" fontId="20" fillId="3" borderId="0" xfId="0" applyFont="1" applyFill="1" applyAlignment="1">
      <alignment horizontal="left" indent="1"/>
    </xf>
    <xf numFmtId="0" fontId="7" fillId="2" borderId="21" xfId="0" applyFont="1" applyFill="1" applyBorder="1"/>
    <xf numFmtId="10" fontId="7" fillId="2" borderId="0" xfId="0" applyNumberFormat="1" applyFont="1" applyFill="1" applyAlignment="1">
      <alignment horizontal="center"/>
    </xf>
    <xf numFmtId="0" fontId="20" fillId="0" borderId="0" xfId="0" applyFont="1"/>
    <xf numFmtId="0" fontId="20" fillId="3" borderId="0" xfId="0" applyFont="1" applyFill="1"/>
    <xf numFmtId="4" fontId="1" fillId="0" borderId="0" xfId="0" applyNumberFormat="1" applyFont="1"/>
    <xf numFmtId="3" fontId="7" fillId="2" borderId="0" xfId="0" applyNumberFormat="1" applyFont="1" applyFill="1"/>
    <xf numFmtId="3" fontId="1" fillId="0" borderId="0" xfId="0" applyNumberFormat="1" applyFont="1"/>
    <xf numFmtId="3" fontId="20" fillId="0" borderId="0" xfId="0" applyNumberFormat="1" applyFont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3" fontId="7" fillId="2" borderId="21" xfId="0" applyNumberFormat="1" applyFont="1" applyFill="1" applyBorder="1" applyAlignment="1">
      <alignment horizontal="right"/>
    </xf>
    <xf numFmtId="0" fontId="21" fillId="3" borderId="0" xfId="0" applyFont="1" applyFill="1" applyAlignment="1">
      <alignment horizontal="left" indent="1"/>
    </xf>
    <xf numFmtId="10" fontId="21" fillId="3" borderId="0" xfId="0" applyNumberFormat="1" applyFont="1" applyFill="1" applyAlignment="1">
      <alignment horizontal="right" indent="1"/>
    </xf>
    <xf numFmtId="0" fontId="21" fillId="3" borderId="0" xfId="0" applyFont="1" applyFill="1" applyAlignment="1">
      <alignment horizontal="center"/>
    </xf>
    <xf numFmtId="169" fontId="21" fillId="3" borderId="0" xfId="0" applyNumberFormat="1" applyFont="1" applyFill="1" applyAlignment="1">
      <alignment horizontal="right" indent="1"/>
    </xf>
    <xf numFmtId="10" fontId="21" fillId="3" borderId="0" xfId="2" applyNumberFormat="1" applyFont="1" applyFill="1" applyAlignment="1">
      <alignment horizontal="right" indent="1"/>
    </xf>
    <xf numFmtId="0" fontId="14" fillId="3" borderId="0" xfId="0" applyFont="1" applyFill="1" applyAlignment="1">
      <alignment horizontal="left" indent="1"/>
    </xf>
    <xf numFmtId="10" fontId="14" fillId="3" borderId="0" xfId="0" applyNumberFormat="1" applyFont="1" applyFill="1" applyAlignment="1">
      <alignment horizontal="right" indent="1"/>
    </xf>
    <xf numFmtId="0" fontId="14" fillId="3" borderId="0" xfId="0" applyFont="1" applyFill="1" applyAlignment="1">
      <alignment horizontal="center"/>
    </xf>
    <xf numFmtId="0" fontId="7" fillId="2" borderId="0" xfId="0" applyFont="1" applyFill="1" applyAlignment="1">
      <alignment horizontal="left" indent="1"/>
    </xf>
    <xf numFmtId="10" fontId="7" fillId="2" borderId="0" xfId="0" applyNumberFormat="1" applyFont="1" applyFill="1" applyAlignment="1">
      <alignment horizontal="right" vertical="center" indent="1"/>
    </xf>
    <xf numFmtId="0" fontId="8" fillId="2" borderId="0" xfId="0" applyFont="1" applyFill="1"/>
    <xf numFmtId="0" fontId="1" fillId="3" borderId="0" xfId="0" applyFont="1" applyFill="1" applyAlignment="1">
      <alignment horizontal="left" indent="1"/>
    </xf>
    <xf numFmtId="14" fontId="22" fillId="3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center" vertical="center"/>
    </xf>
    <xf numFmtId="167" fontId="1" fillId="4" borderId="0" xfId="0" applyNumberFormat="1" applyFont="1" applyFill="1" applyAlignment="1">
      <alignment horizontal="center" vertical="center"/>
    </xf>
    <xf numFmtId="167" fontId="7" fillId="2" borderId="0" xfId="0" applyNumberFormat="1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7" fillId="2" borderId="0" xfId="0" applyNumberFormat="1" applyFont="1" applyFill="1" applyAlignment="1">
      <alignment vertical="center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166" fontId="20" fillId="0" borderId="0" xfId="2" applyNumberFormat="1" applyFont="1" applyFill="1" applyAlignment="1">
      <alignment horizontal="center"/>
    </xf>
    <xf numFmtId="166" fontId="20" fillId="0" borderId="0" xfId="2" applyNumberFormat="1" applyFont="1" applyFill="1" applyBorder="1" applyAlignment="1">
      <alignment horizontal="center"/>
    </xf>
    <xf numFmtId="167" fontId="7" fillId="2" borderId="0" xfId="2" applyNumberFormat="1" applyFont="1" applyFill="1" applyBorder="1" applyAlignment="1">
      <alignment horizontal="center" vertical="center"/>
    </xf>
    <xf numFmtId="0" fontId="24" fillId="2" borderId="29" xfId="6" applyFont="1" applyFill="1" applyBorder="1" applyAlignment="1">
      <alignment horizontal="center" vertical="center" wrapText="1"/>
    </xf>
    <xf numFmtId="0" fontId="24" fillId="2" borderId="30" xfId="6" applyFont="1" applyFill="1" applyBorder="1" applyAlignment="1">
      <alignment horizontal="center" vertical="center" wrapText="1"/>
    </xf>
    <xf numFmtId="0" fontId="24" fillId="2" borderId="31" xfId="6" applyFont="1" applyFill="1" applyBorder="1" applyAlignment="1">
      <alignment horizontal="center" vertical="center" wrapText="1"/>
    </xf>
    <xf numFmtId="170" fontId="25" fillId="5" borderId="32" xfId="6" applyNumberFormat="1" applyFont="1" applyFill="1" applyBorder="1" applyAlignment="1">
      <alignment horizontal="center"/>
    </xf>
    <xf numFmtId="2" fontId="26" fillId="5" borderId="0" xfId="7" applyNumberFormat="1" applyFont="1" applyFill="1" applyBorder="1" applyAlignment="1">
      <alignment horizontal="center"/>
    </xf>
    <xf numFmtId="2" fontId="26" fillId="5" borderId="33" xfId="7" applyNumberFormat="1" applyFont="1" applyFill="1" applyBorder="1" applyAlignment="1">
      <alignment horizontal="center"/>
    </xf>
    <xf numFmtId="170" fontId="25" fillId="0" borderId="32" xfId="6" applyNumberFormat="1" applyFont="1" applyBorder="1" applyAlignment="1">
      <alignment horizontal="center"/>
    </xf>
    <xf numFmtId="2" fontId="26" fillId="0" borderId="0" xfId="7" applyNumberFormat="1" applyFont="1" applyFill="1" applyBorder="1" applyAlignment="1">
      <alignment horizontal="center"/>
    </xf>
    <xf numFmtId="2" fontId="26" fillId="0" borderId="33" xfId="7" applyNumberFormat="1" applyFont="1" applyFill="1" applyBorder="1" applyAlignment="1">
      <alignment horizontal="center"/>
    </xf>
    <xf numFmtId="0" fontId="27" fillId="0" borderId="0" xfId="0" applyFont="1"/>
    <xf numFmtId="3" fontId="24" fillId="2" borderId="0" xfId="0" applyNumberFormat="1" applyFont="1" applyFill="1" applyAlignment="1">
      <alignment horizontal="center" vertical="center" wrapText="1"/>
    </xf>
    <xf numFmtId="3" fontId="24" fillId="2" borderId="15" xfId="0" applyNumberFormat="1" applyFont="1" applyFill="1" applyBorder="1" applyAlignment="1">
      <alignment horizontal="center" vertical="center" wrapText="1"/>
    </xf>
    <xf numFmtId="3" fontId="24" fillId="2" borderId="16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/>
    </xf>
    <xf numFmtId="4" fontId="10" fillId="0" borderId="15" xfId="0" applyNumberFormat="1" applyFont="1" applyBorder="1" applyAlignment="1">
      <alignment horizontal="right" indent="1"/>
    </xf>
    <xf numFmtId="4" fontId="10" fillId="0" borderId="0" xfId="0" applyNumberFormat="1" applyFont="1" applyAlignment="1">
      <alignment horizontal="right" indent="1"/>
    </xf>
    <xf numFmtId="4" fontId="10" fillId="0" borderId="16" xfId="0" applyNumberFormat="1" applyFont="1" applyBorder="1" applyAlignment="1">
      <alignment horizontal="right" indent="1"/>
    </xf>
    <xf numFmtId="14" fontId="24" fillId="2" borderId="23" xfId="0" applyNumberFormat="1" applyFont="1" applyFill="1" applyBorder="1" applyAlignment="1">
      <alignment horizontal="centerContinuous" vertical="center"/>
    </xf>
    <xf numFmtId="3" fontId="24" fillId="2" borderId="23" xfId="0" applyNumberFormat="1" applyFont="1" applyFill="1" applyBorder="1" applyAlignment="1">
      <alignment horizontal="centerContinuous" vertical="center"/>
    </xf>
    <xf numFmtId="3" fontId="24" fillId="2" borderId="34" xfId="0" applyNumberFormat="1" applyFont="1" applyFill="1" applyBorder="1" applyAlignment="1">
      <alignment horizontal="centerContinuous" vertical="center"/>
    </xf>
    <xf numFmtId="4" fontId="24" fillId="2" borderId="23" xfId="1" applyNumberFormat="1" applyFont="1" applyFill="1" applyBorder="1" applyAlignment="1">
      <alignment horizontal="right" vertical="center" indent="1"/>
    </xf>
    <xf numFmtId="14" fontId="1" fillId="0" borderId="0" xfId="0" applyNumberFormat="1" applyFont="1" applyAlignment="1">
      <alignment horizontal="center"/>
    </xf>
    <xf numFmtId="10" fontId="20" fillId="0" borderId="0" xfId="0" applyNumberFormat="1" applyFont="1" applyAlignment="1">
      <alignment horizontal="right" indent="1"/>
    </xf>
    <xf numFmtId="0" fontId="6" fillId="3" borderId="1" xfId="0" applyFont="1" applyFill="1" applyBorder="1" applyAlignment="1">
      <alignment horizontal="left" indent="1"/>
    </xf>
    <xf numFmtId="10" fontId="6" fillId="3" borderId="1" xfId="2" applyNumberFormat="1" applyFont="1" applyFill="1" applyBorder="1" applyAlignment="1">
      <alignment horizontal="right" indent="1"/>
    </xf>
    <xf numFmtId="0" fontId="28" fillId="0" borderId="0" xfId="0" applyFont="1"/>
    <xf numFmtId="0" fontId="9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7" fillId="2" borderId="22" xfId="0" applyFont="1" applyFill="1" applyBorder="1" applyAlignment="1">
      <alignment horizontal="center" vertical="center" wrapText="1"/>
    </xf>
    <xf numFmtId="9" fontId="21" fillId="3" borderId="0" xfId="2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0" fontId="32" fillId="0" borderId="0" xfId="0" applyFont="1"/>
    <xf numFmtId="0" fontId="21" fillId="0" borderId="0" xfId="0" applyFont="1"/>
    <xf numFmtId="0" fontId="7" fillId="2" borderId="22" xfId="0" applyFont="1" applyFill="1" applyBorder="1" applyAlignment="1">
      <alignment horizontal="center"/>
    </xf>
    <xf numFmtId="17" fontId="21" fillId="3" borderId="0" xfId="0" applyNumberFormat="1" applyFont="1" applyFill="1" applyAlignment="1">
      <alignment horizontal="center" vertical="center" wrapText="1"/>
    </xf>
    <xf numFmtId="2" fontId="21" fillId="3" borderId="0" xfId="0" applyNumberFormat="1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14" fillId="0" borderId="0" xfId="0" applyFont="1"/>
    <xf numFmtId="0" fontId="6" fillId="0" borderId="0" xfId="0" applyFont="1"/>
    <xf numFmtId="0" fontId="3" fillId="0" borderId="21" xfId="0" applyFont="1" applyBorder="1"/>
    <xf numFmtId="165" fontId="3" fillId="0" borderId="21" xfId="1" applyNumberFormat="1" applyFont="1" applyBorder="1"/>
    <xf numFmtId="0" fontId="3" fillId="0" borderId="13" xfId="0" applyFont="1" applyBorder="1"/>
    <xf numFmtId="165" fontId="3" fillId="0" borderId="13" xfId="1" applyNumberFormat="1" applyFont="1" applyBorder="1"/>
    <xf numFmtId="0" fontId="3" fillId="0" borderId="17" xfId="0" applyFont="1" applyBorder="1"/>
    <xf numFmtId="165" fontId="3" fillId="0" borderId="17" xfId="1" applyNumberFormat="1" applyFont="1" applyBorder="1"/>
    <xf numFmtId="0" fontId="20" fillId="6" borderId="0" xfId="0" applyFont="1" applyFill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165" fontId="3" fillId="0" borderId="0" xfId="1" applyNumberFormat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0" fontId="3" fillId="0" borderId="17" xfId="0" applyFont="1" applyBorder="1" applyAlignment="1">
      <alignment vertical="center"/>
    </xf>
    <xf numFmtId="10" fontId="3" fillId="0" borderId="17" xfId="2" applyNumberFormat="1" applyFont="1" applyBorder="1" applyAlignment="1">
      <alignment vertical="center"/>
    </xf>
    <xf numFmtId="171" fontId="3" fillId="0" borderId="0" xfId="1" applyNumberFormat="1" applyFont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0" fontId="3" fillId="0" borderId="11" xfId="2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166" fontId="3" fillId="0" borderId="13" xfId="2" applyNumberFormat="1" applyFont="1" applyBorder="1" applyAlignment="1">
      <alignment horizontal="right" vertical="center"/>
    </xf>
    <xf numFmtId="0" fontId="3" fillId="0" borderId="25" xfId="0" applyFont="1" applyBorder="1"/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3" fillId="7" borderId="0" xfId="0" applyFont="1" applyFill="1" applyAlignment="1">
      <alignment horizontal="center" vertical="center"/>
    </xf>
    <xf numFmtId="10" fontId="3" fillId="0" borderId="15" xfId="2" applyNumberFormat="1" applyFont="1" applyFill="1" applyBorder="1"/>
    <xf numFmtId="0" fontId="3" fillId="0" borderId="15" xfId="0" applyFont="1" applyBorder="1" applyAlignment="1">
      <alignment horizontal="right"/>
    </xf>
    <xf numFmtId="165" fontId="3" fillId="0" borderId="16" xfId="1" applyNumberFormat="1" applyFont="1" applyFill="1" applyBorder="1"/>
    <xf numFmtId="0" fontId="3" fillId="0" borderId="19" xfId="0" applyFont="1" applyBorder="1" applyAlignment="1">
      <alignment horizontal="right"/>
    </xf>
    <xf numFmtId="165" fontId="3" fillId="0" borderId="17" xfId="1" applyNumberFormat="1" applyFont="1" applyFill="1" applyBorder="1"/>
    <xf numFmtId="165" fontId="3" fillId="0" borderId="20" xfId="1" applyNumberFormat="1" applyFont="1" applyFill="1" applyBorder="1"/>
    <xf numFmtId="10" fontId="3" fillId="0" borderId="19" xfId="2" applyNumberFormat="1" applyFont="1" applyFill="1" applyBorder="1"/>
    <xf numFmtId="0" fontId="17" fillId="0" borderId="0" xfId="5" applyFont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1" xfId="0" applyFont="1" applyBorder="1"/>
    <xf numFmtId="0" fontId="3" fillId="0" borderId="18" xfId="0" applyFont="1" applyBorder="1"/>
    <xf numFmtId="166" fontId="3" fillId="0" borderId="13" xfId="0" applyNumberFormat="1" applyFont="1" applyBorder="1" applyAlignment="1">
      <alignment vertical="center"/>
    </xf>
    <xf numFmtId="166" fontId="3" fillId="0" borderId="14" xfId="0" applyNumberFormat="1" applyFont="1" applyBorder="1" applyAlignment="1">
      <alignment vertical="center"/>
    </xf>
    <xf numFmtId="166" fontId="3" fillId="0" borderId="12" xfId="0" applyNumberFormat="1" applyFont="1" applyBorder="1" applyAlignment="1">
      <alignment vertical="center"/>
    </xf>
    <xf numFmtId="166" fontId="3" fillId="0" borderId="25" xfId="0" applyNumberFormat="1" applyFont="1" applyBorder="1" applyAlignment="1">
      <alignment vertical="center"/>
    </xf>
    <xf numFmtId="166" fontId="3" fillId="0" borderId="36" xfId="0" applyNumberFormat="1" applyFont="1" applyBorder="1" applyAlignment="1">
      <alignment vertical="center"/>
    </xf>
    <xf numFmtId="166" fontId="3" fillId="0" borderId="35" xfId="0" applyNumberFormat="1" applyFont="1" applyBorder="1" applyAlignment="1">
      <alignment vertical="center"/>
    </xf>
    <xf numFmtId="3" fontId="35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3" fontId="35" fillId="0" borderId="0" xfId="0" applyNumberFormat="1" applyFont="1" applyAlignment="1">
      <alignment horizontal="right" vertical="center"/>
    </xf>
    <xf numFmtId="3" fontId="35" fillId="0" borderId="0" xfId="0" applyNumberFormat="1" applyFont="1" applyAlignment="1">
      <alignment horizontal="center" vertical="center"/>
    </xf>
    <xf numFmtId="3" fontId="6" fillId="3" borderId="0" xfId="0" applyNumberFormat="1" applyFont="1" applyFill="1" applyAlignment="1">
      <alignment horizontal="left" vertical="center"/>
    </xf>
    <xf numFmtId="3" fontId="6" fillId="3" borderId="0" xfId="0" applyNumberFormat="1" applyFont="1" applyFill="1" applyAlignment="1">
      <alignment vertical="center"/>
    </xf>
    <xf numFmtId="3" fontId="6" fillId="3" borderId="0" xfId="0" applyNumberFormat="1" applyFont="1" applyFill="1" applyAlignment="1">
      <alignment horizontal="right" vertical="center"/>
    </xf>
    <xf numFmtId="4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1" fillId="3" borderId="0" xfId="0" applyNumberFormat="1" applyFont="1" applyFill="1"/>
    <xf numFmtId="3" fontId="3" fillId="0" borderId="0" xfId="1" applyNumberFormat="1" applyFont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7" fillId="2" borderId="0" xfId="1" applyNumberFormat="1" applyFont="1" applyFill="1" applyBorder="1" applyAlignment="1">
      <alignment vertical="center"/>
    </xf>
    <xf numFmtId="166" fontId="7" fillId="2" borderId="0" xfId="2" applyNumberFormat="1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9" fontId="3" fillId="0" borderId="13" xfId="0" applyNumberFormat="1" applyFont="1" applyBorder="1" applyAlignment="1">
      <alignment vertical="center"/>
    </xf>
    <xf numFmtId="3" fontId="3" fillId="0" borderId="17" xfId="1" applyNumberFormat="1" applyFont="1" applyBorder="1" applyAlignment="1">
      <alignment vertical="center"/>
    </xf>
    <xf numFmtId="9" fontId="3" fillId="0" borderId="12" xfId="0" applyNumberFormat="1" applyFont="1" applyBorder="1" applyAlignment="1">
      <alignment vertical="center"/>
    </xf>
    <xf numFmtId="0" fontId="3" fillId="8" borderId="15" xfId="0" applyFont="1" applyFill="1" applyBorder="1" applyAlignment="1">
      <alignment vertical="center"/>
    </xf>
    <xf numFmtId="0" fontId="3" fillId="8" borderId="0" xfId="0" applyFont="1" applyFill="1" applyAlignment="1">
      <alignment vertical="center"/>
    </xf>
    <xf numFmtId="0" fontId="3" fillId="0" borderId="15" xfId="0" applyFont="1" applyBorder="1" applyAlignment="1">
      <alignment vertical="center"/>
    </xf>
    <xf numFmtId="165" fontId="7" fillId="2" borderId="15" xfId="1" applyNumberFormat="1" applyFont="1" applyFill="1" applyBorder="1" applyAlignment="1">
      <alignment vertical="center"/>
    </xf>
    <xf numFmtId="3" fontId="3" fillId="0" borderId="15" xfId="1" applyNumberFormat="1" applyFont="1" applyBorder="1" applyAlignment="1">
      <alignment vertical="center"/>
    </xf>
    <xf numFmtId="3" fontId="3" fillId="0" borderId="19" xfId="1" applyNumberFormat="1" applyFont="1" applyBorder="1" applyAlignment="1">
      <alignment vertical="center"/>
    </xf>
    <xf numFmtId="166" fontId="3" fillId="0" borderId="37" xfId="2" applyNumberFormat="1" applyFont="1" applyBorder="1" applyAlignment="1">
      <alignment vertical="center"/>
    </xf>
    <xf numFmtId="165" fontId="3" fillId="0" borderId="11" xfId="1" applyNumberFormat="1" applyFont="1" applyBorder="1" applyAlignment="1">
      <alignment vertical="center"/>
    </xf>
    <xf numFmtId="166" fontId="3" fillId="0" borderId="11" xfId="2" applyNumberFormat="1" applyFont="1" applyBorder="1" applyAlignment="1">
      <alignment vertical="center"/>
    </xf>
    <xf numFmtId="165" fontId="7" fillId="2" borderId="11" xfId="1" applyNumberFormat="1" applyFont="1" applyFill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165" fontId="7" fillId="2" borderId="15" xfId="0" applyNumberFormat="1" applyFont="1" applyFill="1" applyBorder="1" applyAlignment="1">
      <alignment vertical="center"/>
    </xf>
    <xf numFmtId="165" fontId="7" fillId="2" borderId="0" xfId="0" applyNumberFormat="1" applyFont="1" applyFill="1" applyAlignment="1">
      <alignment vertical="center"/>
    </xf>
    <xf numFmtId="3" fontId="3" fillId="0" borderId="0" xfId="1" applyNumberFormat="1" applyFont="1" applyAlignment="1">
      <alignment vertical="center"/>
    </xf>
    <xf numFmtId="165" fontId="7" fillId="2" borderId="0" xfId="1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0" fontId="3" fillId="0" borderId="0" xfId="2" applyNumberFormat="1" applyFont="1" applyBorder="1" applyAlignment="1">
      <alignment horizontal="center" vertical="center"/>
    </xf>
    <xf numFmtId="43" fontId="7" fillId="2" borderId="0" xfId="1" applyFont="1" applyFill="1" applyBorder="1" applyAlignment="1"/>
    <xf numFmtId="10" fontId="3" fillId="0" borderId="0" xfId="2" applyNumberFormat="1" applyFont="1"/>
    <xf numFmtId="0" fontId="34" fillId="0" borderId="0" xfId="0" applyFont="1"/>
    <xf numFmtId="165" fontId="3" fillId="0" borderId="0" xfId="1" applyNumberFormat="1" applyFont="1" applyFill="1" applyBorder="1" applyAlignment="1">
      <alignment vertical="center"/>
    </xf>
    <xf numFmtId="165" fontId="1" fillId="0" borderId="0" xfId="1" applyNumberFormat="1" applyFont="1" applyBorder="1"/>
    <xf numFmtId="172" fontId="7" fillId="2" borderId="0" xfId="1" applyNumberFormat="1" applyFont="1" applyFill="1" applyBorder="1" applyAlignment="1">
      <alignment vertical="center"/>
    </xf>
    <xf numFmtId="166" fontId="3" fillId="0" borderId="11" xfId="2" applyNumberFormat="1" applyFont="1" applyFill="1" applyBorder="1"/>
    <xf numFmtId="0" fontId="3" fillId="0" borderId="24" xfId="0" applyFont="1" applyBorder="1"/>
    <xf numFmtId="9" fontId="3" fillId="0" borderId="24" xfId="2" applyFont="1" applyBorder="1" applyAlignment="1">
      <alignment horizontal="center" vertical="center"/>
    </xf>
    <xf numFmtId="10" fontId="7" fillId="2" borderId="0" xfId="2" applyNumberFormat="1" applyFont="1" applyFill="1" applyBorder="1" applyAlignment="1">
      <alignment horizontal="center" vertical="center"/>
    </xf>
    <xf numFmtId="0" fontId="4" fillId="0" borderId="24" xfId="0" applyFont="1" applyBorder="1"/>
    <xf numFmtId="165" fontId="4" fillId="0" borderId="24" xfId="0" applyNumberFormat="1" applyFont="1" applyBorder="1"/>
    <xf numFmtId="0" fontId="4" fillId="0" borderId="0" xfId="0" applyFont="1" applyAlignment="1">
      <alignment horizontal="center" vertical="center"/>
    </xf>
    <xf numFmtId="43" fontId="4" fillId="0" borderId="0" xfId="0" applyNumberFormat="1" applyFont="1"/>
    <xf numFmtId="43" fontId="7" fillId="2" borderId="0" xfId="1" applyFont="1" applyFill="1" applyAlignment="1">
      <alignment vertical="center"/>
    </xf>
    <xf numFmtId="0" fontId="1" fillId="0" borderId="17" xfId="0" applyFont="1" applyBorder="1"/>
    <xf numFmtId="165" fontId="1" fillId="0" borderId="17" xfId="1" applyNumberFormat="1" applyFont="1" applyBorder="1"/>
    <xf numFmtId="0" fontId="7" fillId="0" borderId="0" xfId="0" applyFont="1" applyAlignment="1">
      <alignment horizontal="center" vertical="center"/>
    </xf>
    <xf numFmtId="165" fontId="7" fillId="2" borderId="0" xfId="1" applyNumberFormat="1" applyFont="1" applyFill="1" applyAlignment="1">
      <alignment vertical="center"/>
    </xf>
    <xf numFmtId="0" fontId="4" fillId="0" borderId="16" xfId="0" applyFont="1" applyBorder="1" applyAlignment="1">
      <alignment vertical="center"/>
    </xf>
    <xf numFmtId="10" fontId="4" fillId="0" borderId="0" xfId="2" applyNumberFormat="1" applyFont="1"/>
    <xf numFmtId="0" fontId="4" fillId="0" borderId="14" xfId="0" applyFont="1" applyBorder="1" applyAlignment="1">
      <alignment vertical="center"/>
    </xf>
    <xf numFmtId="10" fontId="4" fillId="0" borderId="13" xfId="2" applyNumberFormat="1" applyFont="1" applyBorder="1"/>
    <xf numFmtId="0" fontId="3" fillId="8" borderId="12" xfId="0" applyFont="1" applyFill="1" applyBorder="1" applyAlignment="1">
      <alignment vertical="center"/>
    </xf>
    <xf numFmtId="0" fontId="3" fillId="8" borderId="13" xfId="0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0" fontId="3" fillId="0" borderId="13" xfId="2" applyNumberFormat="1" applyFont="1" applyBorder="1" applyAlignment="1">
      <alignment horizontal="center" vertical="center"/>
    </xf>
    <xf numFmtId="166" fontId="3" fillId="0" borderId="13" xfId="2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0" fontId="3" fillId="0" borderId="15" xfId="2" applyNumberFormat="1" applyFont="1" applyBorder="1" applyAlignment="1">
      <alignment horizontal="center" vertical="center"/>
    </xf>
    <xf numFmtId="10" fontId="3" fillId="0" borderId="12" xfId="2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0" fontId="3" fillId="3" borderId="11" xfId="0" applyNumberFormat="1" applyFont="1" applyFill="1" applyBorder="1" applyAlignment="1">
      <alignment horizontal="center" vertical="center"/>
    </xf>
    <xf numFmtId="10" fontId="3" fillId="3" borderId="37" xfId="0" applyNumberFormat="1" applyFont="1" applyFill="1" applyBorder="1" applyAlignment="1">
      <alignment horizontal="center" vertical="center"/>
    </xf>
    <xf numFmtId="166" fontId="3" fillId="3" borderId="11" xfId="0" applyNumberFormat="1" applyFont="1" applyFill="1" applyBorder="1" applyAlignment="1">
      <alignment horizontal="center" vertical="center"/>
    </xf>
    <xf numFmtId="166" fontId="3" fillId="3" borderId="37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wrapText="1"/>
    </xf>
    <xf numFmtId="165" fontId="3" fillId="0" borderId="0" xfId="1" applyNumberFormat="1" applyFont="1" applyAlignment="1">
      <alignment horizontal="center" vertical="center"/>
    </xf>
    <xf numFmtId="10" fontId="3" fillId="0" borderId="16" xfId="2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7" fillId="2" borderId="38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173" fontId="6" fillId="3" borderId="11" xfId="0" applyNumberFormat="1" applyFont="1" applyFill="1" applyBorder="1" applyAlignment="1">
      <alignment horizontal="center"/>
    </xf>
    <xf numFmtId="173" fontId="6" fillId="3" borderId="15" xfId="0" applyNumberFormat="1" applyFont="1" applyFill="1" applyBorder="1" applyAlignment="1">
      <alignment horizontal="center"/>
    </xf>
    <xf numFmtId="173" fontId="6" fillId="3" borderId="0" xfId="0" applyNumberFormat="1" applyFont="1" applyFill="1" applyAlignment="1">
      <alignment horizontal="center"/>
    </xf>
    <xf numFmtId="0" fontId="20" fillId="3" borderId="17" xfId="0" applyFont="1" applyFill="1" applyBorder="1" applyAlignment="1">
      <alignment horizontal="center"/>
    </xf>
    <xf numFmtId="10" fontId="31" fillId="3" borderId="18" xfId="2" applyNumberFormat="1" applyFont="1" applyFill="1" applyBorder="1" applyAlignment="1">
      <alignment horizontal="center"/>
    </xf>
    <xf numFmtId="10" fontId="31" fillId="3" borderId="19" xfId="2" applyNumberFormat="1" applyFont="1" applyFill="1" applyBorder="1" applyAlignment="1">
      <alignment horizontal="center"/>
    </xf>
    <xf numFmtId="10" fontId="31" fillId="3" borderId="17" xfId="2" applyNumberFormat="1" applyFont="1" applyFill="1" applyBorder="1" applyAlignment="1">
      <alignment horizontal="center"/>
    </xf>
    <xf numFmtId="10" fontId="7" fillId="2" borderId="0" xfId="2" applyNumberFormat="1" applyFont="1" applyFill="1" applyAlignment="1">
      <alignment horizontal="right"/>
    </xf>
    <xf numFmtId="174" fontId="3" fillId="0" borderId="25" xfId="0" applyNumberFormat="1" applyFont="1" applyBorder="1" applyAlignment="1">
      <alignment horizontal="right" vertical="center"/>
    </xf>
    <xf numFmtId="171" fontId="1" fillId="0" borderId="0" xfId="1" applyNumberFormat="1" applyFont="1" applyAlignment="1">
      <alignment vertical="center"/>
    </xf>
    <xf numFmtId="0" fontId="1" fillId="0" borderId="25" xfId="0" applyFont="1" applyBorder="1" applyAlignment="1">
      <alignment vertical="center" wrapText="1"/>
    </xf>
    <xf numFmtId="0" fontId="1" fillId="0" borderId="25" xfId="0" applyFont="1" applyBorder="1"/>
    <xf numFmtId="174" fontId="1" fillId="0" borderId="25" xfId="0" applyNumberFormat="1" applyFont="1" applyBorder="1"/>
    <xf numFmtId="2" fontId="1" fillId="0" borderId="25" xfId="0" applyNumberFormat="1" applyFont="1" applyBorder="1"/>
    <xf numFmtId="17" fontId="1" fillId="0" borderId="0" xfId="0" applyNumberFormat="1" applyFont="1"/>
    <xf numFmtId="10" fontId="7" fillId="2" borderId="22" xfId="2" applyNumberFormat="1" applyFont="1" applyFill="1" applyBorder="1" applyAlignment="1">
      <alignment horizontal="center"/>
    </xf>
    <xf numFmtId="17" fontId="1" fillId="0" borderId="40" xfId="0" applyNumberFormat="1" applyFont="1" applyBorder="1"/>
    <xf numFmtId="0" fontId="9" fillId="0" borderId="40" xfId="0" applyFont="1" applyBorder="1"/>
    <xf numFmtId="166" fontId="1" fillId="0" borderId="0" xfId="2" applyNumberFormat="1" applyFont="1"/>
    <xf numFmtId="0" fontId="10" fillId="0" borderId="5" xfId="4" applyFont="1" applyBorder="1" applyAlignment="1">
      <alignment horizontal="center"/>
    </xf>
    <xf numFmtId="0" fontId="10" fillId="0" borderId="0" xfId="4" applyFont="1" applyAlignment="1">
      <alignment horizontal="center"/>
    </xf>
    <xf numFmtId="0" fontId="10" fillId="0" borderId="6" xfId="4" applyFont="1" applyBorder="1" applyAlignment="1">
      <alignment horizontal="center"/>
    </xf>
    <xf numFmtId="0" fontId="4" fillId="0" borderId="5" xfId="4" applyFont="1" applyBorder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24" fillId="2" borderId="27" xfId="6" applyFont="1" applyFill="1" applyBorder="1" applyAlignment="1">
      <alignment horizontal="center" vertical="center"/>
    </xf>
    <xf numFmtId="0" fontId="24" fillId="2" borderId="28" xfId="6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26" xfId="6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</cellXfs>
  <cellStyles count="8">
    <cellStyle name="Comma 2 4 3 2 2" xfId="7" xr:uid="{1C8C0FE7-4FDB-43BE-A076-7AD9B95BF679}"/>
    <cellStyle name="Hipervínculo" xfId="5" builtinId="8"/>
    <cellStyle name="Millares" xfId="1" builtinId="3"/>
    <cellStyle name="Normal" xfId="0" builtinId="0"/>
    <cellStyle name="Normal 4 4 4 2" xfId="6" xr:uid="{BEEEB93D-1C24-444C-8700-450CE0A38A0B}"/>
    <cellStyle name="Normal 5" xfId="4" xr:uid="{CBDB575C-2FB4-43C7-B9E2-E074450C21B2}"/>
    <cellStyle name="Percent" xfId="3" xr:uid="{AA5DE968-EA00-44E8-8686-1020DB986567}"/>
    <cellStyle name="Porcentaje" xfId="2" builtinId="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1" formatCode="#,##0;\-#,##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1" formatCode="#,##0;\-#,##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1" formatCode="#,##0;\-#,##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1" formatCode="#,##0;\-#,##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1" formatCode="#,##0;\-#,##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1" formatCode="#,##0;\-#,##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dashed">
          <color rgb="FF00B0F0"/>
        </left>
        <right style="dashed">
          <color rgb="FF00B0F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alignment horizontal="general" vertical="center" textRotation="0" wrapText="0" indent="0" justifyLastLine="0" shrinkToFit="0" readingOrder="0"/>
      <border diagonalUp="0" diagonalDown="0">
        <left style="dashed">
          <color rgb="FF00B0F0"/>
        </left>
        <right style="dashed">
          <color rgb="FF00B0F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_-* #,##0_-;\-* #,##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ashed">
          <color rgb="FF00B0F0"/>
        </left>
        <right style="dashed">
          <color rgb="FF00B0F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ashed">
          <color rgb="FF00B0F0"/>
        </left>
        <right style="dashed">
          <color rgb="FF00B0F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ashed">
          <color rgb="FF00B0F0"/>
        </left>
        <right style="dashed">
          <color rgb="FF00B0F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rgb="FF00B0F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600076</xdr:colOff>
      <xdr:row>1</xdr:row>
      <xdr:rowOff>9526</xdr:rowOff>
    </xdr:from>
    <xdr:to>
      <xdr:col>1</xdr:col>
      <xdr:colOff>600076</xdr:colOff>
      <xdr:row>5</xdr:row>
      <xdr:rowOff>47626</xdr:rowOff>
    </xdr:to>
    <xdr:pic>
      <xdr:nvPicPr>
        <xdr:cNvPr id="2" name="Imagen 1" descr="Flecha&#10;&#10;Descripción generada automáticamente">
          <a:extLst>
            <a:ext uri="{FF2B5EF4-FFF2-40B4-BE49-F238E27FC236}">
              <a16:creationId xmlns:a16="http://schemas.microsoft.com/office/drawing/2014/main" id="{068FBCE7-6086-4BAF-91E9-BF9B096BF3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84" b="14365"/>
        <a:stretch/>
      </xdr:blipFill>
      <xdr:spPr bwMode="auto">
        <a:xfrm>
          <a:off x="885826" y="209551"/>
          <a:ext cx="1871526" cy="800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590550</xdr:colOff>
      <xdr:row>1</xdr:row>
      <xdr:rowOff>0</xdr:rowOff>
    </xdr:from>
    <xdr:to>
      <xdr:col>4</xdr:col>
      <xdr:colOff>176076</xdr:colOff>
      <xdr:row>5</xdr:row>
      <xdr:rowOff>38100</xdr:rowOff>
    </xdr:to>
    <xdr:pic>
      <xdr:nvPicPr>
        <xdr:cNvPr id="3" name="Imagen 2" descr="Flecha&#10;&#10;Descripción generada automáticamente">
          <a:extLst>
            <a:ext uri="{FF2B5EF4-FFF2-40B4-BE49-F238E27FC236}">
              <a16:creationId xmlns:a16="http://schemas.microsoft.com/office/drawing/2014/main" id="{919020F2-F23F-4D84-8C79-F7DD501EBB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84" b="14365"/>
        <a:stretch/>
      </xdr:blipFill>
      <xdr:spPr bwMode="auto">
        <a:xfrm>
          <a:off x="876300" y="200025"/>
          <a:ext cx="1871526" cy="800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220980</xdr:colOff>
          <xdr:row>4</xdr:row>
          <xdr:rowOff>152400</xdr:rowOff>
        </xdr:from>
        <xdr:to>
          <xdr:col>5</xdr:col>
          <xdr:colOff>335280</xdr:colOff>
          <xdr:row>7</xdr:row>
          <xdr:rowOff>76200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P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Tarifas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Backup_Ositran%20(280322)\4.%20Estudios%20Economicos\EE%20-%202025\3.%20Procedimientos\Cargos%20de%20acceso\Modelos%20OSITRAN%20(propuesta)\Finales\Modelos%20limpios\Modelo_CheckIn%20Counter%20Propuesta%20VF.xlsm" TargetMode="External"/><Relationship Id="rId1" Type="http://schemas.openxmlformats.org/officeDocument/2006/relationships/externalLinkPath" Target="file:///E:\Backup_Ositran%20(280322)\4.%20Estudios%20Economicos\EE%20-%202025\3.%20Procedimientos\Cargos%20de%20acceso\Modelos%20OSITRAN%20(propuesta)\Finales\Modelos%20limpios\Modelo_CheckIn%20Counter%20Propuesta%20VF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sitranperu-my.sharepoint.com/personal/mmendezv_ositran_gob_pe/Documents/TUUA%20Transferencia/Tarifa%20post%20comentarios/Modelo_TUUA_Transferencia.xlsm" TargetMode="External"/><Relationship Id="rId1" Type="http://schemas.openxmlformats.org/officeDocument/2006/relationships/externalLinkPath" Target="Modelo_TUUA_Transferen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ratula"/>
      <sheetName val="Índice"/>
      <sheetName val="Propuesta"/>
      <sheetName val="0. FC-Counter"/>
      <sheetName val="1. Demanda"/>
      <sheetName val="2. OPEX"/>
      <sheetName val="2.1 CR-LAP_COUNTER"/>
      <sheetName val="3. CAPEX"/>
      <sheetName val="3.1 Inversion Nuevo Terminal"/>
      <sheetName val="4. WACC"/>
      <sheetName val="4.1 Betas"/>
      <sheetName val="4.2 Deuda"/>
      <sheetName val="5. Var-Macro"/>
    </sheetNames>
    <sheetDataSet>
      <sheetData sheetId="0" refreshError="1"/>
      <sheetData sheetId="1" refreshError="1"/>
      <sheetData sheetId="2">
        <row r="4">
          <cell r="D4" t="str">
            <v>LAP</v>
          </cell>
        </row>
      </sheetData>
      <sheetData sheetId="3">
        <row r="5">
          <cell r="F5">
            <v>0.75890410958904109</v>
          </cell>
          <cell r="K5">
            <v>0.24109589041095891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ratula"/>
      <sheetName val="Índice"/>
      <sheetName val="0. Flujo DOM-DOM"/>
      <sheetName val="0. Flujo INT-INT"/>
      <sheetName val="1. Demanda"/>
      <sheetName val="Propuesta"/>
      <sheetName val="2. OPEX"/>
      <sheetName val="2.1 OPEX TUUA"/>
      <sheetName val="2.2 OPEX LAP 2023"/>
      <sheetName val="3. CAPEX"/>
      <sheetName val="3.1.1 CAPEX-Exclusivas"/>
      <sheetName val="3.1.2 CAPEX-Exclusivas"/>
      <sheetName val="3.2.1 CAPEX-Comunes"/>
      <sheetName val="3.2.2 CAPEX-Comunes"/>
      <sheetName val="3.2.3 CAPEX-Comunes"/>
      <sheetName val="3.3 CAPEX Indirecto"/>
      <sheetName val="4. WACC"/>
      <sheetName val="4.1 Betas"/>
      <sheetName val="4.2 Deuda"/>
      <sheetName val="5.1 Var-Macro"/>
      <sheetName val="5.2 Asignación de Áreas"/>
      <sheetName val="5.3 Var OPEX 2023-25"/>
    </sheetNames>
    <sheetDataSet>
      <sheetData sheetId="0"/>
      <sheetData sheetId="1"/>
      <sheetData sheetId="2"/>
      <sheetData sheetId="3"/>
      <sheetData sheetId="4"/>
      <sheetData sheetId="5">
        <row r="36">
          <cell r="D36">
            <v>1</v>
          </cell>
        </row>
        <row r="38">
          <cell r="C3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9DABA1-F175-401D-A6CA-83E4539CCB1F}" name="Tabla2" displayName="Tabla2" ref="B14:N485" totalsRowShown="0" headerRowDxfId="15" dataDxfId="14" tableBorderDxfId="13" dataCellStyle="Millares">
  <autoFilter ref="B14:N485" xr:uid="{B49DABA1-F175-401D-A6CA-83E4539CCB1F}"/>
  <tableColumns count="13">
    <tableColumn id="1" xr3:uid="{734DB3B1-B8A3-40F5-BFB3-64F7360D6C69}" name="Cuenta" dataDxfId="12"/>
    <tableColumn id="2" xr3:uid="{2FF80180-96D2-4C6A-8264-FB9C4347F08C}" name="Tipo" dataDxfId="11"/>
    <tableColumn id="3" xr3:uid="{2E358757-3664-454D-8726-7F7111598071}" name="Item" dataDxfId="10"/>
    <tableColumn id="4" xr3:uid="{BA458338-9674-436B-9025-EDE7BF475C7B}" name="Nombre de la cuenta" dataDxfId="9"/>
    <tableColumn id="5" xr3:uid="{ED42D3D6-32EA-49FB-8BA9-1D3F161C34CC}" name="CR 2023" dataDxfId="8" dataCellStyle="Millares"/>
    <tableColumn id="6" xr3:uid="{4E4B394C-2378-45FA-B41C-C73B93625E94}" name="Var OPEX 2023-2025" dataDxfId="7" dataCellStyle="Porcentaje">
      <calculatedColumnFormula>+VLOOKUP(B15,'5.3 Var OPEX 2023-25'!$B$4:$D$160,3,0)</calculatedColumnFormula>
    </tableColumn>
    <tableColumn id="7" xr3:uid="{196FB219-2838-43E0-A5E5-2A27FFDE7D10}" name="Driver Asignación" dataDxfId="6"/>
    <tableColumn id="8" xr3:uid="{9F9EA719-717E-450A-BF06-F52E2423F9B4}" name="OPEX 2025" dataDxfId="5" dataCellStyle="Millares">
      <calculatedColumnFormula>+F15*(1+G15)/$I$8</calculatedColumnFormula>
    </tableColumn>
    <tableColumn id="9" xr3:uid="{1C7D60DA-20D4-4A97-8290-CD6F05F370EB}" name="OPEX 2026" dataDxfId="4" dataCellStyle="Millares">
      <calculatedColumnFormula>+IF(OR($C15="No Imputables",$H15="m2 fijo"),I15,I15*(1+J$6*J$7))</calculatedColumnFormula>
    </tableColumn>
    <tableColumn id="10" xr3:uid="{DA78957F-A874-4F7A-8913-3C62FF1F32B7}" name="OPEX 2027" dataDxfId="3" dataCellStyle="Millares">
      <calculatedColumnFormula>+IF(OR(C15="No Imputables",H15="m2 fijo"),J15,J15*(1+$K$6*$K$7))</calculatedColumnFormula>
    </tableColumn>
    <tableColumn id="11" xr3:uid="{207DCF1E-CA2A-4907-B83F-734A86C2E0D9}" name="OPEX 2028" dataDxfId="2" dataCellStyle="Millares">
      <calculatedColumnFormula>+IF(OR(C15="No Imputables",H15="m2 fijo"),K15,K15*(1+$L$6*$L$7))</calculatedColumnFormula>
    </tableColumn>
    <tableColumn id="12" xr3:uid="{B2C63C22-F285-4A37-A5A3-9CB7357DB09D}" name="OPEX 2029" dataDxfId="1" dataCellStyle="Millares">
      <calculatedColumnFormula>+IF(OR(C15="No Imputables",H15="m2 fijo"),L15,L15*(1+$M$6*$M$7))</calculatedColumnFormula>
    </tableColumn>
    <tableColumn id="13" xr3:uid="{1E7C27B0-6366-4C92-AC06-F5DD0955E285}" name="OPEX 2030" dataDxfId="0" dataCellStyle="Millares">
      <calculatedColumnFormula>+IF(OR(C15="No Imputables",H15="m2 fijo"),M15,M15*(1+$N$6*$N$7))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FCB11-4D14-4FFA-9D05-374992C210AD}">
  <sheetPr codeName="Hoja1"/>
  <dimension ref="A1:F15"/>
  <sheetViews>
    <sheetView showGridLines="0" workbookViewId="0">
      <selection activeCell="B10" sqref="B10"/>
    </sheetView>
  </sheetViews>
  <sheetFormatPr baseColWidth="10" defaultColWidth="0" defaultRowHeight="15" customHeight="1" zeroHeight="1" x14ac:dyDescent="0.3"/>
  <cols>
    <col min="1" max="1" width="4.33203125" customWidth="1"/>
    <col min="2" max="5" width="11.44140625" customWidth="1"/>
    <col min="6" max="6" width="4.33203125" customWidth="1"/>
    <col min="7" max="16384" width="11.44140625" hidden="1"/>
  </cols>
  <sheetData>
    <row r="1" spans="1:6" thickBot="1" x14ac:dyDescent="0.35">
      <c r="A1" s="19"/>
      <c r="B1" s="19"/>
      <c r="C1" s="19"/>
      <c r="D1" s="19"/>
      <c r="E1" s="19"/>
      <c r="F1" s="19"/>
    </row>
    <row r="2" spans="1:6" ht="14.4" x14ac:dyDescent="0.3">
      <c r="A2" s="19"/>
      <c r="B2" s="20"/>
      <c r="C2" s="21"/>
      <c r="D2" s="21"/>
      <c r="E2" s="22"/>
      <c r="F2" s="19"/>
    </row>
    <row r="3" spans="1:6" ht="14.4" x14ac:dyDescent="0.3">
      <c r="A3" s="19"/>
      <c r="B3" s="23"/>
      <c r="C3" s="19"/>
      <c r="D3" s="19"/>
      <c r="E3" s="24"/>
      <c r="F3" s="19"/>
    </row>
    <row r="4" spans="1:6" ht="14.4" x14ac:dyDescent="0.3">
      <c r="A4" s="19"/>
      <c r="B4" s="23"/>
      <c r="C4" s="19"/>
      <c r="D4" s="19"/>
      <c r="E4" s="24"/>
      <c r="F4" s="19"/>
    </row>
    <row r="5" spans="1:6" ht="14.4" x14ac:dyDescent="0.3">
      <c r="A5" s="19"/>
      <c r="B5" s="23"/>
      <c r="C5" s="19"/>
      <c r="D5" s="19"/>
      <c r="E5" s="24"/>
      <c r="F5" s="19"/>
    </row>
    <row r="6" spans="1:6" ht="19.5" customHeight="1" x14ac:dyDescent="0.3">
      <c r="A6" s="19"/>
      <c r="B6" s="310" t="s">
        <v>373</v>
      </c>
      <c r="C6" s="311"/>
      <c r="D6" s="311"/>
      <c r="E6" s="312"/>
      <c r="F6" s="19"/>
    </row>
    <row r="7" spans="1:6" ht="14.4" x14ac:dyDescent="0.3">
      <c r="A7" s="19"/>
      <c r="B7" s="25"/>
      <c r="C7" s="26"/>
      <c r="D7" s="26"/>
      <c r="E7" s="27"/>
      <c r="F7" s="19"/>
    </row>
    <row r="8" spans="1:6" ht="14.4" x14ac:dyDescent="0.3">
      <c r="A8" s="19"/>
      <c r="B8" s="23"/>
      <c r="C8" s="19"/>
      <c r="D8" s="19"/>
      <c r="E8" s="24"/>
      <c r="F8" s="19"/>
    </row>
    <row r="9" spans="1:6" ht="39.75" customHeight="1" x14ac:dyDescent="0.3">
      <c r="A9" s="19"/>
      <c r="B9" s="313" t="s">
        <v>647</v>
      </c>
      <c r="C9" s="314"/>
      <c r="D9" s="314"/>
      <c r="E9" s="315"/>
      <c r="F9" s="19"/>
    </row>
    <row r="10" spans="1:6" ht="14.4" x14ac:dyDescent="0.3">
      <c r="A10" s="19"/>
      <c r="B10" s="23"/>
      <c r="C10" s="19"/>
      <c r="D10" s="19"/>
      <c r="E10" s="24"/>
      <c r="F10" s="19"/>
    </row>
    <row r="11" spans="1:6" ht="14.4" x14ac:dyDescent="0.3">
      <c r="A11" s="19"/>
      <c r="B11" s="23"/>
      <c r="C11" s="19"/>
      <c r="D11" s="19"/>
      <c r="E11" s="24"/>
      <c r="F11" s="19"/>
    </row>
    <row r="12" spans="1:6" ht="14.4" x14ac:dyDescent="0.3">
      <c r="A12" s="19"/>
      <c r="B12" s="23"/>
      <c r="C12" s="19"/>
      <c r="D12" s="19"/>
      <c r="E12" s="24"/>
      <c r="F12" s="19"/>
    </row>
    <row r="13" spans="1:6" ht="14.4" x14ac:dyDescent="0.3">
      <c r="A13" s="19"/>
      <c r="B13" s="316">
        <v>2025</v>
      </c>
      <c r="C13" s="317"/>
      <c r="D13" s="317"/>
      <c r="E13" s="318"/>
      <c r="F13" s="19"/>
    </row>
    <row r="14" spans="1:6" thickBot="1" x14ac:dyDescent="0.35">
      <c r="A14" s="19"/>
      <c r="B14" s="28"/>
      <c r="C14" s="29"/>
      <c r="D14" s="29"/>
      <c r="E14" s="30"/>
      <c r="F14" s="19"/>
    </row>
    <row r="15" spans="1:6" ht="14.4" x14ac:dyDescent="0.3">
      <c r="A15" s="19"/>
      <c r="B15" s="19"/>
      <c r="C15" s="19"/>
      <c r="D15" s="19"/>
      <c r="E15" s="19"/>
      <c r="F15" s="19"/>
    </row>
  </sheetData>
  <mergeCells count="3">
    <mergeCell ref="B6:E6"/>
    <mergeCell ref="B9:E9"/>
    <mergeCell ref="B13:E1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E65F9-FDD2-4A98-9BC6-2BE88AF60CEE}">
  <sheetPr codeName="Hoja18"/>
  <dimension ref="B1:N109"/>
  <sheetViews>
    <sheetView showGridLines="0" zoomScaleNormal="100" workbookViewId="0">
      <pane ySplit="2" topLeftCell="A3" activePane="bottomLeft" state="frozen"/>
      <selection pane="bottomLeft" activeCell="J21" sqref="J21"/>
    </sheetView>
  </sheetViews>
  <sheetFormatPr baseColWidth="10" defaultColWidth="11.5546875" defaultRowHeight="13.2" outlineLevelRow="1" x14ac:dyDescent="0.25"/>
  <cols>
    <col min="1" max="1" width="2.6640625" style="1" customWidth="1"/>
    <col min="2" max="2" width="25.6640625" style="1" bestFit="1" customWidth="1"/>
    <col min="3" max="3" width="14" style="1" bestFit="1" customWidth="1"/>
    <col min="4" max="4" width="13" style="1" bestFit="1" customWidth="1"/>
    <col min="5" max="5" width="11.6640625" style="1" bestFit="1" customWidth="1"/>
    <col min="6" max="7" width="11.5546875" style="1"/>
    <col min="8" max="8" width="10.88671875" style="1" customWidth="1"/>
    <col min="9" max="9" width="12.44140625" style="1" customWidth="1"/>
    <col min="10" max="14" width="10.88671875" style="1" customWidth="1"/>
    <col min="15" max="15" width="2.6640625" style="1" customWidth="1"/>
    <col min="16" max="16384" width="11.5546875" style="1"/>
  </cols>
  <sheetData>
    <row r="1" spans="2:14" s="38" customFormat="1" ht="16.2" thickBot="1" x14ac:dyDescent="0.35">
      <c r="B1" s="37" t="s">
        <v>546</v>
      </c>
      <c r="N1" s="39" t="s">
        <v>389</v>
      </c>
    </row>
    <row r="2" spans="2:14" ht="12.6" customHeight="1" x14ac:dyDescent="0.25"/>
    <row r="3" spans="2:14" ht="12.6" customHeight="1" x14ac:dyDescent="0.25">
      <c r="B3" s="53"/>
      <c r="C3" s="53"/>
      <c r="D3" s="53"/>
      <c r="E3" s="53"/>
      <c r="F3" s="53"/>
      <c r="G3" s="53"/>
      <c r="H3" s="53"/>
      <c r="I3" s="53">
        <v>2025</v>
      </c>
      <c r="J3" s="53">
        <v>2026</v>
      </c>
      <c r="K3" s="53">
        <v>2027</v>
      </c>
      <c r="L3" s="53">
        <v>2028</v>
      </c>
      <c r="M3" s="53">
        <v>2029</v>
      </c>
      <c r="N3" s="53">
        <v>2030</v>
      </c>
    </row>
    <row r="4" spans="2:14" ht="12.6" customHeight="1" x14ac:dyDescent="0.25">
      <c r="B4" s="185" t="s">
        <v>637</v>
      </c>
      <c r="C4" s="301"/>
      <c r="D4" s="302"/>
      <c r="E4" s="302"/>
      <c r="F4" s="302"/>
      <c r="G4" s="185"/>
      <c r="H4" s="302"/>
      <c r="I4" s="303">
        <f>+'5.1 Var-Macro'!D140</f>
        <v>1.8895051518675876E-2</v>
      </c>
      <c r="J4" s="303">
        <f>+'5.1 Var-Macro'!E140</f>
        <v>2.0524629555466634E-2</v>
      </c>
      <c r="K4" s="303">
        <f>+'5.1 Var-Macro'!F140</f>
        <v>2.1043853625036801E-2</v>
      </c>
      <c r="L4" s="303">
        <f>+'5.1 Var-Macro'!G140</f>
        <v>2.1231683881815844E-2</v>
      </c>
      <c r="M4" s="303">
        <f>+'5.1 Var-Macro'!H140</f>
        <v>2.1428298408460833E-2</v>
      </c>
      <c r="N4" s="303">
        <f>+'5.1 Var-Macro'!I140</f>
        <v>2.1428298408460833E-2</v>
      </c>
    </row>
    <row r="5" spans="2:14" ht="12.6" customHeight="1" x14ac:dyDescent="0.25">
      <c r="B5" s="185" t="s">
        <v>641</v>
      </c>
      <c r="C5" s="301"/>
      <c r="D5" s="302"/>
      <c r="E5" s="302"/>
      <c r="F5" s="302"/>
      <c r="G5" s="185"/>
      <c r="H5" s="302"/>
      <c r="I5" s="304">
        <f>1+I4</f>
        <v>1.0188950515186759</v>
      </c>
      <c r="J5" s="304">
        <f>+IF([2]Propuesta!D36=[2]Propuesta!C38,1,(1+J4)*I5)</f>
        <v>1.0398074950069949</v>
      </c>
      <c r="K5" s="304">
        <f>+IF([2]Propuesta!D36=[2]Propuesta!C38,1,(1+K4)*J5)</f>
        <v>1.0616890517301383</v>
      </c>
      <c r="L5" s="304">
        <f>+IF([2]Propuesta!D36=[2]Propuesta!C38,1,(1+L4)*K5)</f>
        <v>1.0842304980572575</v>
      </c>
      <c r="M5" s="304">
        <f>+IF([2]Propuesta!D36=[2]Propuesta!C38,1,(1+M4)*L5)</f>
        <v>1.1074637127131826</v>
      </c>
      <c r="N5" s="304">
        <f>+IF([2]Propuesta!D36=[2]Propuesta!C38,1,(1+N4)*M5)</f>
        <v>1.1311947756257426</v>
      </c>
    </row>
    <row r="6" spans="2:14" ht="12.6" customHeight="1" x14ac:dyDescent="0.25"/>
    <row r="7" spans="2:14" ht="12.6" customHeight="1" x14ac:dyDescent="0.25">
      <c r="B7" s="202" t="s">
        <v>547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2:14" ht="5.0999999999999996" customHeight="1" x14ac:dyDescent="0.25">
      <c r="B8" s="202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2:14" x14ac:dyDescent="0.25">
      <c r="B9" s="202" t="s">
        <v>548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2:14" ht="5.0999999999999996" customHeight="1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2:14" x14ac:dyDescent="0.25">
      <c r="B11" s="54" t="s">
        <v>549</v>
      </c>
      <c r="C11" s="54" t="s">
        <v>482</v>
      </c>
      <c r="D11" s="54"/>
      <c r="E11" s="54"/>
      <c r="F11" s="54"/>
      <c r="G11" s="54"/>
      <c r="H11" s="53">
        <v>2024</v>
      </c>
      <c r="I11" s="53">
        <v>2025</v>
      </c>
      <c r="J11" s="53">
        <f t="shared" ref="J11:N11" si="0">+I11+1</f>
        <v>2026</v>
      </c>
      <c r="K11" s="53">
        <f t="shared" si="0"/>
        <v>2027</v>
      </c>
      <c r="L11" s="53">
        <f t="shared" si="0"/>
        <v>2028</v>
      </c>
      <c r="M11" s="53">
        <f t="shared" si="0"/>
        <v>2029</v>
      </c>
      <c r="N11" s="53">
        <f t="shared" si="0"/>
        <v>2030</v>
      </c>
    </row>
    <row r="12" spans="2:14" x14ac:dyDescent="0.25">
      <c r="B12" s="203" t="s">
        <v>0</v>
      </c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</row>
    <row r="13" spans="2:14" x14ac:dyDescent="0.25">
      <c r="B13" s="10" t="s">
        <v>262</v>
      </c>
      <c r="C13" s="10" t="s">
        <v>262</v>
      </c>
      <c r="D13" s="10"/>
      <c r="E13" s="10"/>
      <c r="F13" s="10"/>
      <c r="G13" s="10"/>
      <c r="H13" s="205">
        <f>(+'3.1.2 CAPEX-Exclusivas'!C44+'3.1.2 CAPEX-Exclusivas'!C46+'3.2.3 CAPEX-Comunes'!C32+'3.3 CAPEX Indirecto'!D34)*92.68%</f>
        <v>33689956.939350151</v>
      </c>
      <c r="I13" s="205">
        <f>(+('3.1.2 CAPEX-Exclusivas'!D44+'3.1.2 CAPEX-Exclusivas'!D46+'3.2.3 CAPEX-Comunes'!D32+'3.3 CAPEX Indirecto'!E34)/I5)*92.68%</f>
        <v>3367263.8041047957</v>
      </c>
      <c r="J13" s="205">
        <f>(('3.1.2 CAPEX-Exclusivas'!E44+'3.1.2 CAPEX-Exclusivas'!E46+'3.2.3 CAPEX-Comunes'!E32+'3.3 CAPEX Indirecto'!F34)/J5)*92.68%</f>
        <v>548055.40659375116</v>
      </c>
      <c r="K13" s="10"/>
      <c r="L13" s="10"/>
      <c r="M13" s="10"/>
      <c r="N13" s="10"/>
    </row>
    <row r="14" spans="2:14" x14ac:dyDescent="0.25">
      <c r="B14" s="10" t="s">
        <v>329</v>
      </c>
      <c r="C14" s="10" t="s">
        <v>263</v>
      </c>
      <c r="D14" s="10"/>
      <c r="E14" s="10"/>
      <c r="F14" s="10"/>
      <c r="G14" s="10"/>
      <c r="H14" s="205">
        <f>('3.1.2 CAPEX-Exclusivas'!C45+'3.1.2 CAPEX-Exclusivas'!C48+'3.1.2 CAPEX-Exclusivas'!C49+'3.2.3 CAPEX-Comunes'!C33)*92.68%</f>
        <v>12713513.882832009</v>
      </c>
      <c r="I14" s="205">
        <f>(('3.1.2 CAPEX-Exclusivas'!D45+'3.1.2 CAPEX-Exclusivas'!D48+'3.1.2 CAPEX-Exclusivas'!D49+'3.2.3 CAPEX-Comunes'!D33)/I5)*92.68%</f>
        <v>1270697.8283680105</v>
      </c>
      <c r="J14" s="205">
        <f>(('3.1.2 CAPEX-Exclusivas'!E45+'3.1.2 CAPEX-Exclusivas'!E48+'3.1.2 CAPEX-Exclusivas'!E49+'3.2.3 CAPEX-Comunes'!E33)/J5)*92.68%</f>
        <v>206818.60866828397</v>
      </c>
      <c r="K14" s="10"/>
      <c r="L14" s="10"/>
      <c r="M14" s="10"/>
      <c r="N14" s="10"/>
    </row>
    <row r="15" spans="2:14" x14ac:dyDescent="0.25">
      <c r="B15" s="10" t="s">
        <v>258</v>
      </c>
      <c r="C15" s="10" t="s">
        <v>258</v>
      </c>
      <c r="D15" s="10"/>
      <c r="E15" s="10"/>
      <c r="F15" s="10"/>
      <c r="G15" s="10"/>
      <c r="H15" s="205">
        <f>+'3.1.2 CAPEX-Exclusivas'!C47*92.68%</f>
        <v>343677.2700627459</v>
      </c>
      <c r="I15" s="205">
        <f>((+'3.1.2 CAPEX-Exclusivas'!D47)/I5)*92.68%</f>
        <v>34350.05968868285</v>
      </c>
      <c r="J15" s="205">
        <f>(('3.1.2 CAPEX-Exclusivas'!E47)/J5)*92.68%</f>
        <v>5590.8111227435065</v>
      </c>
      <c r="K15" s="10"/>
      <c r="L15" s="10"/>
      <c r="M15" s="10"/>
      <c r="N15" s="10"/>
    </row>
    <row r="16" spans="2:14" ht="5.0999999999999996" customHeight="1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2:14" x14ac:dyDescent="0.25">
      <c r="B17" s="203" t="s">
        <v>1</v>
      </c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</row>
    <row r="18" spans="2:14" x14ac:dyDescent="0.25">
      <c r="B18" s="10" t="s">
        <v>262</v>
      </c>
      <c r="C18" s="10" t="s">
        <v>262</v>
      </c>
      <c r="D18" s="10"/>
      <c r="E18" s="10"/>
      <c r="F18" s="10"/>
      <c r="G18" s="10"/>
      <c r="H18" s="205">
        <f>(+'3.1.2 CAPEX-Exclusivas'!C56+'3.1.2 CAPEX-Exclusivas'!C58+'3.2.3 CAPEX-Comunes'!C40+'3.3 CAPEX Indirecto'!D35)*92.68%</f>
        <v>6855341.0727696437</v>
      </c>
      <c r="I18" s="205">
        <f>(('3.1.2 CAPEX-Exclusivas'!D56+'3.1.2 CAPEX-Exclusivas'!D58+'3.2.3 CAPEX-Comunes'!D40+'3.3 CAPEX Indirecto'!E35)/I5)*92.68%</f>
        <v>685181.69674975623</v>
      </c>
      <c r="J18" s="205">
        <f>(('3.1.2 CAPEX-Exclusivas'!E56+'3.1.2 CAPEX-Exclusivas'!E58+'3.2.3 CAPEX-Comunes'!E40+'3.3 CAPEX Indirecto'!F35)/J5)*92.68%</f>
        <v>111520.08136250473</v>
      </c>
      <c r="K18" s="10"/>
      <c r="L18" s="10"/>
      <c r="M18" s="10"/>
      <c r="N18" s="10"/>
    </row>
    <row r="19" spans="2:14" x14ac:dyDescent="0.25">
      <c r="B19" s="10" t="s">
        <v>329</v>
      </c>
      <c r="C19" s="10" t="s">
        <v>263</v>
      </c>
      <c r="D19" s="10"/>
      <c r="E19" s="10"/>
      <c r="F19" s="10"/>
      <c r="G19" s="10"/>
      <c r="H19" s="205">
        <f>(+'3.1.2 CAPEX-Exclusivas'!C57+'3.1.2 CAPEX-Exclusivas'!C60+'3.2.3 CAPEX-Comunes'!C41)*92.68%</f>
        <v>1325999.4145021946</v>
      </c>
      <c r="I19" s="205">
        <f>(('3.1.2 CAPEX-Exclusivas'!D57+'3.1.2 CAPEX-Exclusivas'!D60+'3.2.3 CAPEX-Comunes'!D41)/I5)*92.68%</f>
        <v>132531.77618349061</v>
      </c>
      <c r="J19" s="205">
        <f>(('3.1.2 CAPEX-Exclusivas'!E57+'3.1.2 CAPEX-Exclusivas'!E60+'3.2.3 CAPEX-Comunes'!E41)/J5)*92.68%</f>
        <v>21570.854173733296</v>
      </c>
      <c r="K19" s="10"/>
      <c r="L19" s="10"/>
      <c r="M19" s="10"/>
      <c r="N19" s="10"/>
    </row>
    <row r="20" spans="2:14" x14ac:dyDescent="0.25">
      <c r="B20" s="10" t="s">
        <v>258</v>
      </c>
      <c r="C20" s="10" t="s">
        <v>258</v>
      </c>
      <c r="D20" s="10"/>
      <c r="E20" s="10"/>
      <c r="F20" s="10"/>
      <c r="G20" s="10"/>
      <c r="H20" s="205">
        <f>('3.1.2 CAPEX-Exclusivas'!C59)*92.68%</f>
        <v>343677.2700627459</v>
      </c>
      <c r="I20" s="205">
        <f>(('3.1.2 CAPEX-Exclusivas'!D59)/I5)*92.68%</f>
        <v>34350.05968868285</v>
      </c>
      <c r="J20" s="205">
        <f>(('3.1.2 CAPEX-Exclusivas'!E59)/J5)*92.68%</f>
        <v>5590.8111227435065</v>
      </c>
      <c r="K20" s="10"/>
      <c r="L20" s="10"/>
      <c r="M20" s="10"/>
      <c r="N20" s="10"/>
    </row>
    <row r="21" spans="2:14" ht="5.0999999999999996" customHeight="1" x14ac:dyDescent="0.25">
      <c r="B21" s="10"/>
      <c r="C21" s="10"/>
      <c r="D21" s="10"/>
      <c r="E21" s="10"/>
      <c r="F21" s="10"/>
      <c r="G21" s="10"/>
      <c r="H21" s="205"/>
      <c r="I21" s="205"/>
      <c r="J21" s="205"/>
      <c r="K21" s="10"/>
      <c r="L21" s="10"/>
      <c r="M21" s="10"/>
      <c r="N21" s="10"/>
    </row>
    <row r="22" spans="2:14" x14ac:dyDescent="0.25">
      <c r="B22" s="54" t="s">
        <v>550</v>
      </c>
      <c r="C22" s="54"/>
      <c r="D22" s="54"/>
      <c r="E22" s="54"/>
      <c r="F22" s="54"/>
      <c r="G22" s="54"/>
      <c r="H22" s="99">
        <f>SUM(H12:H20)</f>
        <v>55272165.849579491</v>
      </c>
      <c r="I22" s="99">
        <f t="shared" ref="I22:N22" si="1">SUM(I12:I20)</f>
        <v>5524375.2247834178</v>
      </c>
      <c r="J22" s="99">
        <f t="shared" si="1"/>
        <v>899146.57304376026</v>
      </c>
      <c r="K22" s="99">
        <f t="shared" si="1"/>
        <v>0</v>
      </c>
      <c r="L22" s="99">
        <f t="shared" si="1"/>
        <v>0</v>
      </c>
      <c r="M22" s="99">
        <f t="shared" si="1"/>
        <v>0</v>
      </c>
      <c r="N22" s="99">
        <f t="shared" si="1"/>
        <v>0</v>
      </c>
    </row>
    <row r="23" spans="2:14" ht="5.0999999999999996" customHeight="1" x14ac:dyDescent="0.25"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</row>
    <row r="24" spans="2:14" x14ac:dyDescent="0.25">
      <c r="B24" s="54" t="s">
        <v>551</v>
      </c>
      <c r="C24" s="54"/>
      <c r="D24" s="54"/>
      <c r="E24" s="54"/>
      <c r="F24" s="54"/>
      <c r="G24" s="54"/>
      <c r="H24" s="99">
        <f>+H22</f>
        <v>55272165.849579491</v>
      </c>
      <c r="I24" s="99">
        <f>+H24+I22</f>
        <v>60796541.074362911</v>
      </c>
      <c r="J24" s="99">
        <f t="shared" ref="J24:N24" si="2">+I24+J22</f>
        <v>61695687.647406675</v>
      </c>
      <c r="K24" s="99">
        <f t="shared" si="2"/>
        <v>61695687.647406675</v>
      </c>
      <c r="L24" s="99">
        <f t="shared" si="2"/>
        <v>61695687.647406675</v>
      </c>
      <c r="M24" s="99">
        <f t="shared" si="2"/>
        <v>61695687.647406675</v>
      </c>
      <c r="N24" s="99">
        <f t="shared" si="2"/>
        <v>61695687.647406675</v>
      </c>
    </row>
    <row r="25" spans="2:14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2:14" x14ac:dyDescent="0.25">
      <c r="B26" s="206" t="s">
        <v>552</v>
      </c>
      <c r="C26" s="207"/>
      <c r="D26" s="207"/>
      <c r="E26" s="207"/>
      <c r="F26" s="207"/>
      <c r="G26" s="207"/>
      <c r="H26" s="97"/>
      <c r="I26" s="97"/>
      <c r="J26" s="97"/>
      <c r="K26" s="97"/>
      <c r="L26" s="97"/>
      <c r="M26" s="97"/>
      <c r="N26" s="97"/>
    </row>
    <row r="27" spans="2:14" x14ac:dyDescent="0.25">
      <c r="B27" s="53" t="s">
        <v>549</v>
      </c>
      <c r="C27" s="53" t="s">
        <v>553</v>
      </c>
      <c r="D27" s="53"/>
      <c r="E27" s="53" t="s">
        <v>554</v>
      </c>
      <c r="F27" s="53"/>
      <c r="G27" s="53"/>
      <c r="H27" s="53">
        <v>2024</v>
      </c>
      <c r="I27" s="53">
        <v>2025</v>
      </c>
      <c r="J27" s="53">
        <f t="shared" ref="J27:N28" si="3">+I27+1</f>
        <v>2026</v>
      </c>
      <c r="K27" s="53">
        <f t="shared" si="3"/>
        <v>2027</v>
      </c>
      <c r="L27" s="53">
        <f t="shared" si="3"/>
        <v>2028</v>
      </c>
      <c r="M27" s="53">
        <f t="shared" si="3"/>
        <v>2029</v>
      </c>
      <c r="N27" s="53">
        <f t="shared" si="3"/>
        <v>2030</v>
      </c>
    </row>
    <row r="28" spans="2:14" ht="5.0999999999999996" customHeight="1" x14ac:dyDescent="0.25">
      <c r="B28" s="208"/>
      <c r="C28" s="208"/>
      <c r="D28" s="208"/>
      <c r="E28" s="208"/>
      <c r="F28" s="208"/>
      <c r="G28" s="208"/>
      <c r="H28" s="201">
        <v>1</v>
      </c>
      <c r="I28" s="201">
        <f t="shared" ref="I28:L28" si="4">+H28+1</f>
        <v>2</v>
      </c>
      <c r="J28" s="201">
        <f t="shared" si="4"/>
        <v>3</v>
      </c>
      <c r="K28" s="201">
        <f t="shared" si="4"/>
        <v>4</v>
      </c>
      <c r="L28" s="201">
        <f t="shared" si="4"/>
        <v>5</v>
      </c>
      <c r="M28" s="201">
        <f t="shared" si="3"/>
        <v>6</v>
      </c>
      <c r="N28" s="201">
        <f t="shared" si="3"/>
        <v>7</v>
      </c>
    </row>
    <row r="29" spans="2:14" x14ac:dyDescent="0.25">
      <c r="B29" s="203" t="s">
        <v>0</v>
      </c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</row>
    <row r="30" spans="2:14" ht="5.0999999999999996" customHeight="1" x14ac:dyDescent="0.25">
      <c r="B30" s="208"/>
      <c r="C30" s="208"/>
      <c r="D30" s="208"/>
      <c r="E30" s="208"/>
      <c r="F30" s="208"/>
      <c r="G30" s="208"/>
      <c r="H30" s="209"/>
      <c r="I30" s="10"/>
      <c r="J30" s="10"/>
      <c r="K30" s="10"/>
      <c r="L30" s="10"/>
      <c r="M30" s="10"/>
      <c r="N30" s="10"/>
    </row>
    <row r="31" spans="2:14" hidden="1" outlineLevel="1" x14ac:dyDescent="0.25">
      <c r="B31" s="210" t="s">
        <v>262</v>
      </c>
      <c r="C31" s="211"/>
      <c r="D31" s="211"/>
      <c r="E31" s="211">
        <f>SUM(E32:E35)</f>
        <v>37605276.150048703</v>
      </c>
      <c r="F31" s="211"/>
      <c r="G31" s="212"/>
      <c r="H31" s="211">
        <f t="shared" ref="H31:N31" si="5">SUM(H32:H35)</f>
        <v>0</v>
      </c>
      <c r="I31" s="211">
        <f t="shared" si="5"/>
        <v>1610096.2857487907</v>
      </c>
      <c r="J31" s="211">
        <f t="shared" si="5"/>
        <v>2344301.5812760913</v>
      </c>
      <c r="K31" s="211">
        <f t="shared" si="5"/>
        <v>2383114.1973813917</v>
      </c>
      <c r="L31" s="211">
        <f t="shared" si="5"/>
        <v>2383114.1973813917</v>
      </c>
      <c r="M31" s="211">
        <f t="shared" si="5"/>
        <v>2383114.1973813917</v>
      </c>
      <c r="N31" s="211">
        <f t="shared" si="5"/>
        <v>2383114.1973813917</v>
      </c>
    </row>
    <row r="32" spans="2:14" hidden="1" outlineLevel="1" x14ac:dyDescent="0.25">
      <c r="B32" s="100">
        <v>1</v>
      </c>
      <c r="C32" s="213">
        <f>+(365-31-28-29)/365+15+(31+13)/365</f>
        <v>15.879452054794521</v>
      </c>
      <c r="D32" s="214"/>
      <c r="E32" s="214">
        <f>SUMIF($B$12:$B$16,$B$31,$H$12:$H$16)</f>
        <v>33689956.939350151</v>
      </c>
      <c r="F32" s="214"/>
      <c r="G32" s="215"/>
      <c r="H32" s="215"/>
      <c r="I32" s="73">
        <f>IF($C32&lt;I$28-$B32,0,$E32/$C32)*'1. Demanda'!$C$19/'1. Demanda'!$C$20</f>
        <v>1610096.2857487907</v>
      </c>
      <c r="J32" s="73">
        <f t="shared" ref="J32:N33" si="6">IF($C32&lt;J$28-$B32,0,$E32/$C32)</f>
        <v>2121607.0191274681</v>
      </c>
      <c r="K32" s="73">
        <f t="shared" si="6"/>
        <v>2121607.0191274681</v>
      </c>
      <c r="L32" s="73">
        <f t="shared" si="6"/>
        <v>2121607.0191274681</v>
      </c>
      <c r="M32" s="73">
        <f t="shared" si="6"/>
        <v>2121607.0191274681</v>
      </c>
      <c r="N32" s="73">
        <f t="shared" si="6"/>
        <v>2121607.0191274681</v>
      </c>
    </row>
    <row r="33" spans="2:14" hidden="1" outlineLevel="1" x14ac:dyDescent="0.25">
      <c r="B33" s="100">
        <v>2</v>
      </c>
      <c r="C33" s="213">
        <f>15+(31+13)/365</f>
        <v>15.12054794520548</v>
      </c>
      <c r="D33" s="214"/>
      <c r="E33" s="214">
        <f>SUMIF($B$12:$B$16,$B$31,$I$12:$I$16)</f>
        <v>3367263.8041047957</v>
      </c>
      <c r="F33" s="214"/>
      <c r="G33" s="215"/>
      <c r="H33" s="215"/>
      <c r="I33" s="215"/>
      <c r="J33" s="73">
        <f t="shared" si="6"/>
        <v>222694.56214862299</v>
      </c>
      <c r="K33" s="73">
        <f t="shared" si="6"/>
        <v>222694.56214862299</v>
      </c>
      <c r="L33" s="73">
        <f t="shared" si="6"/>
        <v>222694.56214862299</v>
      </c>
      <c r="M33" s="73">
        <f t="shared" si="6"/>
        <v>222694.56214862299</v>
      </c>
      <c r="N33" s="73">
        <f t="shared" si="6"/>
        <v>222694.56214862299</v>
      </c>
    </row>
    <row r="34" spans="2:14" hidden="1" outlineLevel="1" x14ac:dyDescent="0.25">
      <c r="B34" s="100">
        <v>3</v>
      </c>
      <c r="C34" s="213">
        <f>14+(31+13)/365</f>
        <v>14.12054794520548</v>
      </c>
      <c r="D34" s="214"/>
      <c r="E34" s="214">
        <f>SUMIF($B$12:$B$16,$B$31,$J$12:$J$16)</f>
        <v>548055.40659375116</v>
      </c>
      <c r="F34" s="214"/>
      <c r="G34" s="215"/>
      <c r="H34" s="215"/>
      <c r="I34" s="215"/>
      <c r="J34" s="215"/>
      <c r="K34" s="73">
        <f>IF($C34&lt;K$28-$B34,0,$E34/$C34)</f>
        <v>38812.616105300578</v>
      </c>
      <c r="L34" s="73">
        <f>IF($C34&lt;L$28-$B34,0,$E34/$C34)</f>
        <v>38812.616105300578</v>
      </c>
      <c r="M34" s="73">
        <f>IF($C34&lt;M$28-$B34,0,$E34/$C34)</f>
        <v>38812.616105300578</v>
      </c>
      <c r="N34" s="73">
        <f>IF($C34&lt;N$28-$B34,0,$E34/$C34)</f>
        <v>38812.616105300578</v>
      </c>
    </row>
    <row r="35" spans="2:14" ht="5.0999999999999996" hidden="1" customHeight="1" outlineLevel="1" x14ac:dyDescent="0.25">
      <c r="B35" s="100"/>
      <c r="C35" s="100"/>
      <c r="D35" s="214"/>
      <c r="E35" s="214"/>
      <c r="F35" s="214"/>
      <c r="G35" s="215"/>
      <c r="H35" s="215"/>
      <c r="I35" s="215"/>
      <c r="J35" s="215"/>
      <c r="K35" s="215"/>
      <c r="L35" s="215"/>
      <c r="M35" s="215"/>
      <c r="N35" s="215"/>
    </row>
    <row r="36" spans="2:14" hidden="1" outlineLevel="1" x14ac:dyDescent="0.25">
      <c r="B36" s="210" t="s">
        <v>329</v>
      </c>
      <c r="C36" s="211"/>
      <c r="D36" s="211"/>
      <c r="E36" s="211">
        <f>SUM(E37:E40)</f>
        <v>14191030.319868304</v>
      </c>
      <c r="F36" s="211"/>
      <c r="G36" s="212"/>
      <c r="H36" s="211">
        <f t="shared" ref="H36:N36" si="7">SUM(H37:H40)</f>
        <v>0</v>
      </c>
      <c r="I36" s="211">
        <f t="shared" si="7"/>
        <v>964833.79329985392</v>
      </c>
      <c r="J36" s="211">
        <f t="shared" si="7"/>
        <v>1398421.1711200022</v>
      </c>
      <c r="K36" s="211">
        <f t="shared" si="7"/>
        <v>1419103.0319868305</v>
      </c>
      <c r="L36" s="211">
        <f t="shared" si="7"/>
        <v>1419103.0319868305</v>
      </c>
      <c r="M36" s="211">
        <f t="shared" si="7"/>
        <v>1419103.0319868305</v>
      </c>
      <c r="N36" s="211">
        <f t="shared" si="7"/>
        <v>1419103.0319868305</v>
      </c>
    </row>
    <row r="37" spans="2:14" hidden="1" outlineLevel="1" x14ac:dyDescent="0.25">
      <c r="B37" s="100">
        <v>1</v>
      </c>
      <c r="C37" s="100">
        <v>10</v>
      </c>
      <c r="D37" s="214"/>
      <c r="E37" s="214">
        <f>SUMIF($B$12:$B$16,$B$36,$H$12:$H$16)</f>
        <v>12713513.882832009</v>
      </c>
      <c r="F37" s="214"/>
      <c r="G37" s="215"/>
      <c r="H37" s="215"/>
      <c r="I37" s="73">
        <f>IF($C37&lt;I$28-$B37,0,$E37/$C37)*'1. Demanda'!$C$19/'1. Demanda'!$C$20</f>
        <v>964833.79329985392</v>
      </c>
      <c r="J37" s="73">
        <f>IF($C37&lt;J$28-$B37,0,$E37/$C37)</f>
        <v>1271351.388283201</v>
      </c>
      <c r="K37" s="73">
        <f t="shared" ref="K37:N39" si="8">IF($C37&lt;K$28-$B37,0,$E37/$C37)</f>
        <v>1271351.388283201</v>
      </c>
      <c r="L37" s="73">
        <f t="shared" si="8"/>
        <v>1271351.388283201</v>
      </c>
      <c r="M37" s="73">
        <f t="shared" si="8"/>
        <v>1271351.388283201</v>
      </c>
      <c r="N37" s="73">
        <f t="shared" si="8"/>
        <v>1271351.388283201</v>
      </c>
    </row>
    <row r="38" spans="2:14" hidden="1" outlineLevel="1" x14ac:dyDescent="0.25">
      <c r="B38" s="100">
        <v>2</v>
      </c>
      <c r="C38" s="100">
        <v>10</v>
      </c>
      <c r="D38" s="214"/>
      <c r="E38" s="214">
        <f>SUMIF($B$12:$B$16,$B$36,$I$12:$I$16)</f>
        <v>1270697.8283680105</v>
      </c>
      <c r="F38" s="214"/>
      <c r="G38" s="215"/>
      <c r="H38" s="215"/>
      <c r="I38" s="215"/>
      <c r="J38" s="73">
        <f>IF($C38&lt;J$28-$B38,0,$E38/$C38)</f>
        <v>127069.78283680105</v>
      </c>
      <c r="K38" s="73">
        <f t="shared" si="8"/>
        <v>127069.78283680105</v>
      </c>
      <c r="L38" s="73">
        <f t="shared" si="8"/>
        <v>127069.78283680105</v>
      </c>
      <c r="M38" s="73">
        <f t="shared" si="8"/>
        <v>127069.78283680105</v>
      </c>
      <c r="N38" s="73">
        <f t="shared" si="8"/>
        <v>127069.78283680105</v>
      </c>
    </row>
    <row r="39" spans="2:14" hidden="1" outlineLevel="1" x14ac:dyDescent="0.25">
      <c r="B39" s="100">
        <v>3</v>
      </c>
      <c r="C39" s="100">
        <v>10</v>
      </c>
      <c r="D39" s="214"/>
      <c r="E39" s="214">
        <f>SUMIF($B$12:$B$16,$B$36,$J$12:$J$16)</f>
        <v>206818.60866828397</v>
      </c>
      <c r="F39" s="214"/>
      <c r="G39" s="215"/>
      <c r="H39" s="215"/>
      <c r="I39" s="215"/>
      <c r="J39" s="215"/>
      <c r="K39" s="73">
        <f>IF($C39&lt;K$28-$B39,0,$E39/$C39)</f>
        <v>20681.860866828396</v>
      </c>
      <c r="L39" s="73">
        <f t="shared" si="8"/>
        <v>20681.860866828396</v>
      </c>
      <c r="M39" s="73">
        <f t="shared" si="8"/>
        <v>20681.860866828396</v>
      </c>
      <c r="N39" s="73">
        <f t="shared" si="8"/>
        <v>20681.860866828396</v>
      </c>
    </row>
    <row r="40" spans="2:14" ht="5.0999999999999996" hidden="1" customHeight="1" outlineLevel="1" x14ac:dyDescent="0.25">
      <c r="B40" s="100"/>
      <c r="C40" s="100"/>
      <c r="D40" s="214"/>
      <c r="E40" s="214"/>
      <c r="F40" s="214"/>
      <c r="G40" s="215"/>
      <c r="H40" s="215"/>
      <c r="I40" s="215"/>
      <c r="J40" s="215"/>
      <c r="K40" s="215"/>
      <c r="L40" s="215"/>
      <c r="M40" s="215"/>
      <c r="N40" s="215"/>
    </row>
    <row r="41" spans="2:14" hidden="1" outlineLevel="1" x14ac:dyDescent="0.25">
      <c r="B41" s="210" t="s">
        <v>258</v>
      </c>
      <c r="C41" s="211"/>
      <c r="D41" s="211"/>
      <c r="E41" s="211">
        <f>SUM(E42:E45)</f>
        <v>383618.14087417227</v>
      </c>
      <c r="F41" s="211"/>
      <c r="G41" s="212"/>
      <c r="H41" s="211">
        <f t="shared" ref="H41:N41" si="9">SUM(H42:H45)</f>
        <v>0</v>
      </c>
      <c r="I41" s="211">
        <f t="shared" si="9"/>
        <v>17387.872841530705</v>
      </c>
      <c r="J41" s="211">
        <f t="shared" si="9"/>
        <v>25201.821983428585</v>
      </c>
      <c r="K41" s="211">
        <f t="shared" si="9"/>
        <v>25597.756414899555</v>
      </c>
      <c r="L41" s="211">
        <f t="shared" si="9"/>
        <v>25597.756414899555</v>
      </c>
      <c r="M41" s="211">
        <f t="shared" si="9"/>
        <v>25597.756414899555</v>
      </c>
      <c r="N41" s="211">
        <f t="shared" si="9"/>
        <v>25597.756414899555</v>
      </c>
    </row>
    <row r="42" spans="2:14" hidden="1" outlineLevel="1" x14ac:dyDescent="0.25">
      <c r="B42" s="100">
        <v>1</v>
      </c>
      <c r="C42" s="213">
        <v>15</v>
      </c>
      <c r="D42" s="214"/>
      <c r="E42" s="214">
        <f>SUMIF($B$12:$B$16,$B$41,$H$12:$H$16)</f>
        <v>343677.2700627459</v>
      </c>
      <c r="F42" s="214"/>
      <c r="G42" s="215"/>
      <c r="H42" s="215"/>
      <c r="I42" s="73">
        <f>IF($C42&lt;I$28-$B42,0,$E42/$C42)*'1. Demanda'!$C$19/'1. Demanda'!$C$20</f>
        <v>17387.872841530705</v>
      </c>
      <c r="J42" s="73">
        <f>IF($C42&lt;J$28-$B42,0,$E42/$C42)</f>
        <v>22911.81800418306</v>
      </c>
      <c r="K42" s="73">
        <f t="shared" ref="K42:N44" si="10">IF($C42&lt;K$28-$B42,0,$E42/$C42)</f>
        <v>22911.81800418306</v>
      </c>
      <c r="L42" s="73">
        <f t="shared" si="10"/>
        <v>22911.81800418306</v>
      </c>
      <c r="M42" s="73">
        <f t="shared" si="10"/>
        <v>22911.81800418306</v>
      </c>
      <c r="N42" s="73">
        <f t="shared" si="10"/>
        <v>22911.81800418306</v>
      </c>
    </row>
    <row r="43" spans="2:14" hidden="1" outlineLevel="1" x14ac:dyDescent="0.25">
      <c r="B43" s="100">
        <v>2</v>
      </c>
      <c r="C43" s="213">
        <v>15</v>
      </c>
      <c r="D43" s="214"/>
      <c r="E43" s="214">
        <f>SUMIF($B$12:$B$16,$B$41,$I$12:$I$16)</f>
        <v>34350.05968868285</v>
      </c>
      <c r="F43" s="214"/>
      <c r="G43" s="215"/>
      <c r="H43" s="215"/>
      <c r="I43" s="215"/>
      <c r="J43" s="73">
        <f>IF($C43&lt;J$28-$B43,0,$E43/$C43)</f>
        <v>2290.0039792455232</v>
      </c>
      <c r="K43" s="73">
        <f t="shared" si="10"/>
        <v>2290.0039792455232</v>
      </c>
      <c r="L43" s="73">
        <f t="shared" si="10"/>
        <v>2290.0039792455232</v>
      </c>
      <c r="M43" s="73">
        <f t="shared" si="10"/>
        <v>2290.0039792455232</v>
      </c>
      <c r="N43" s="73">
        <f t="shared" si="10"/>
        <v>2290.0039792455232</v>
      </c>
    </row>
    <row r="44" spans="2:14" hidden="1" outlineLevel="1" x14ac:dyDescent="0.25">
      <c r="B44" s="100">
        <v>3</v>
      </c>
      <c r="C44" s="213">
        <f>14+(31+13)/365</f>
        <v>14.12054794520548</v>
      </c>
      <c r="D44" s="214"/>
      <c r="E44" s="214">
        <f>SUMIF($B$12:$B$16,$B$41,$J$12:$J$16)</f>
        <v>5590.8111227435065</v>
      </c>
      <c r="F44" s="214"/>
      <c r="G44" s="215"/>
      <c r="H44" s="215"/>
      <c r="I44" s="215"/>
      <c r="J44" s="215"/>
      <c r="K44" s="73">
        <f>IF($C44&lt;K$28-$B44,0,$E44/$C44)</f>
        <v>395.93443147097008</v>
      </c>
      <c r="L44" s="73">
        <f t="shared" si="10"/>
        <v>395.93443147097008</v>
      </c>
      <c r="M44" s="73">
        <f t="shared" si="10"/>
        <v>395.93443147097008</v>
      </c>
      <c r="N44" s="73">
        <f t="shared" si="10"/>
        <v>395.93443147097008</v>
      </c>
    </row>
    <row r="45" spans="2:14" ht="5.0999999999999996" hidden="1" customHeight="1" outlineLevel="1" x14ac:dyDescent="0.25">
      <c r="B45" s="100"/>
      <c r="C45" s="100"/>
      <c r="D45" s="214"/>
      <c r="E45" s="214"/>
      <c r="F45" s="214"/>
      <c r="G45" s="215"/>
      <c r="H45" s="215"/>
      <c r="I45" s="215"/>
      <c r="J45" s="215"/>
      <c r="K45" s="215"/>
      <c r="L45" s="215"/>
      <c r="M45" s="215"/>
      <c r="N45" s="215"/>
    </row>
    <row r="46" spans="2:14" collapsed="1" x14ac:dyDescent="0.25">
      <c r="B46" s="54" t="s">
        <v>555</v>
      </c>
      <c r="C46" s="54"/>
      <c r="D46" s="54"/>
      <c r="E46" s="54"/>
      <c r="F46" s="99"/>
      <c r="G46" s="99"/>
      <c r="H46" s="99">
        <f t="shared" ref="H46:N46" si="11">+H31+H36+H41</f>
        <v>0</v>
      </c>
      <c r="I46" s="99">
        <f t="shared" si="11"/>
        <v>2592317.9518901752</v>
      </c>
      <c r="J46" s="99">
        <f t="shared" si="11"/>
        <v>3767924.5743795224</v>
      </c>
      <c r="K46" s="99">
        <f t="shared" si="11"/>
        <v>3827814.9857831215</v>
      </c>
      <c r="L46" s="99">
        <f t="shared" si="11"/>
        <v>3827814.9857831215</v>
      </c>
      <c r="M46" s="99">
        <f t="shared" si="11"/>
        <v>3827814.9857831215</v>
      </c>
      <c r="N46" s="99">
        <f t="shared" si="11"/>
        <v>3827814.9857831215</v>
      </c>
    </row>
    <row r="47" spans="2:14" ht="5.0999999999999996" customHeight="1" x14ac:dyDescent="0.25">
      <c r="B47" s="202"/>
      <c r="C47" s="202"/>
      <c r="D47" s="202"/>
      <c r="E47" s="202"/>
      <c r="F47" s="216"/>
      <c r="G47" s="216"/>
      <c r="H47" s="202"/>
      <c r="I47" s="202"/>
      <c r="J47" s="202"/>
      <c r="K47" s="202"/>
      <c r="L47" s="202"/>
      <c r="M47" s="202"/>
      <c r="N47" s="202"/>
    </row>
    <row r="48" spans="2:14" x14ac:dyDescent="0.25">
      <c r="B48" s="54" t="s">
        <v>556</v>
      </c>
      <c r="C48" s="54"/>
      <c r="D48" s="54"/>
      <c r="E48" s="54"/>
      <c r="F48" s="99"/>
      <c r="G48" s="99"/>
      <c r="H48" s="99">
        <f>+H46</f>
        <v>0</v>
      </c>
      <c r="I48" s="99">
        <f>+H48+I46</f>
        <v>2592317.9518901752</v>
      </c>
      <c r="J48" s="99">
        <f t="shared" ref="J48:N48" si="12">+I48+J46</f>
        <v>6360242.5262696976</v>
      </c>
      <c r="K48" s="99">
        <f t="shared" si="12"/>
        <v>10188057.512052819</v>
      </c>
      <c r="L48" s="99">
        <f t="shared" si="12"/>
        <v>14015872.497835942</v>
      </c>
      <c r="M48" s="99">
        <f t="shared" si="12"/>
        <v>17843687.483619064</v>
      </c>
      <c r="N48" s="99">
        <f t="shared" si="12"/>
        <v>21671502.469402187</v>
      </c>
    </row>
    <row r="49" spans="2:14" ht="5.0999999999999996" customHeight="1" x14ac:dyDescent="0.25">
      <c r="B49" s="208"/>
      <c r="C49" s="208"/>
      <c r="D49" s="208"/>
      <c r="E49" s="208"/>
      <c r="F49" s="208"/>
      <c r="G49" s="208"/>
      <c r="H49" s="201">
        <v>1</v>
      </c>
      <c r="I49" s="201">
        <f t="shared" ref="I49" si="13">+H49+1</f>
        <v>2</v>
      </c>
      <c r="J49" s="201">
        <f t="shared" ref="J49" si="14">+I49+1</f>
        <v>3</v>
      </c>
      <c r="K49" s="201">
        <f t="shared" ref="K49" si="15">+J49+1</f>
        <v>4</v>
      </c>
      <c r="L49" s="201">
        <f t="shared" ref="L49" si="16">+K49+1</f>
        <v>5</v>
      </c>
      <c r="M49" s="201">
        <f t="shared" ref="M49" si="17">+L49+1</f>
        <v>6</v>
      </c>
      <c r="N49" s="201">
        <f t="shared" ref="N49" si="18">+M49+1</f>
        <v>7</v>
      </c>
    </row>
    <row r="50" spans="2:14" x14ac:dyDescent="0.25">
      <c r="B50" s="203" t="s">
        <v>1</v>
      </c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</row>
    <row r="51" spans="2:14" ht="5.0999999999999996" customHeight="1" x14ac:dyDescent="0.25">
      <c r="B51" s="208"/>
      <c r="C51" s="208"/>
      <c r="D51" s="208"/>
      <c r="E51" s="208"/>
      <c r="F51" s="208"/>
      <c r="G51" s="208"/>
      <c r="H51" s="209"/>
      <c r="I51" s="10"/>
      <c r="J51" s="10"/>
      <c r="K51" s="10"/>
      <c r="L51" s="10"/>
      <c r="M51" s="10"/>
      <c r="N51" s="10"/>
    </row>
    <row r="52" spans="2:14" hidden="1" outlineLevel="1" x14ac:dyDescent="0.25">
      <c r="B52" s="210" t="s">
        <v>262</v>
      </c>
      <c r="C52" s="211"/>
      <c r="D52" s="211"/>
      <c r="E52" s="211">
        <f>SUM(E53:E56)</f>
        <v>7652042.8508819044</v>
      </c>
      <c r="F52" s="211"/>
      <c r="G52" s="212"/>
      <c r="H52" s="211">
        <f t="shared" ref="H52" si="19">SUM(H53:H56)</f>
        <v>0</v>
      </c>
      <c r="I52" s="211">
        <f t="shared" ref="I52" si="20">SUM(I53:I56)</f>
        <v>327627.58405058511</v>
      </c>
      <c r="J52" s="211">
        <f t="shared" ref="J52" si="21">SUM(J53:J56)</f>
        <v>477026.04506180779</v>
      </c>
      <c r="K52" s="211">
        <f t="shared" ref="K52" si="22">SUM(K53:K56)</f>
        <v>484923.76133990521</v>
      </c>
      <c r="L52" s="211">
        <f t="shared" ref="L52" si="23">SUM(L53:L56)</f>
        <v>484923.76133990521</v>
      </c>
      <c r="M52" s="211">
        <f t="shared" ref="M52" si="24">SUM(M53:M56)</f>
        <v>484923.76133990521</v>
      </c>
      <c r="N52" s="211">
        <f t="shared" ref="N52" si="25">SUM(N53:N56)</f>
        <v>484923.76133990521</v>
      </c>
    </row>
    <row r="53" spans="2:14" hidden="1" outlineLevel="1" x14ac:dyDescent="0.25">
      <c r="B53" s="100">
        <v>1</v>
      </c>
      <c r="C53" s="213">
        <f>+(365-31-28-29)/365+15+(31+13)/365</f>
        <v>15.879452054794521</v>
      </c>
      <c r="D53" s="214"/>
      <c r="E53" s="214">
        <f>SUMIF($B$17:$B$21,$B$52,$H$17:$H$21)</f>
        <v>6855341.0727696437</v>
      </c>
      <c r="F53" s="214"/>
      <c r="G53" s="215"/>
      <c r="H53" s="215"/>
      <c r="I53" s="73">
        <f>IF($C53&lt;I$28-$B53,0,$E53/$C53)*'1. Demanda'!$C$19/'1. Demanda'!$C$20</f>
        <v>327627.58405058511</v>
      </c>
      <c r="J53" s="73">
        <f>IF($C53&lt;J$28-$B53,0,$E53/$C53)</f>
        <v>431711.43746737746</v>
      </c>
      <c r="K53" s="73">
        <f t="shared" ref="K53:N55" si="26">IF($C53&lt;K$28-$B53,0,$E53/$C53)</f>
        <v>431711.43746737746</v>
      </c>
      <c r="L53" s="73">
        <f t="shared" si="26"/>
        <v>431711.43746737746</v>
      </c>
      <c r="M53" s="73">
        <f t="shared" si="26"/>
        <v>431711.43746737746</v>
      </c>
      <c r="N53" s="73">
        <f t="shared" si="26"/>
        <v>431711.43746737746</v>
      </c>
    </row>
    <row r="54" spans="2:14" hidden="1" outlineLevel="1" x14ac:dyDescent="0.25">
      <c r="B54" s="100">
        <v>2</v>
      </c>
      <c r="C54" s="213">
        <f>15+(31+13)/365</f>
        <v>15.12054794520548</v>
      </c>
      <c r="D54" s="214"/>
      <c r="E54" s="214">
        <f>SUMIF($B$17:$B$21,$B$52,$I$17:$I$21)</f>
        <v>685181.69674975623</v>
      </c>
      <c r="F54" s="214"/>
      <c r="G54" s="215"/>
      <c r="H54" s="215"/>
      <c r="I54" s="215"/>
      <c r="J54" s="73">
        <f>IF($C54&lt;J$28-$B54,0,$E54/$C54)</f>
        <v>45314.60759443033</v>
      </c>
      <c r="K54" s="73">
        <f t="shared" si="26"/>
        <v>45314.60759443033</v>
      </c>
      <c r="L54" s="73">
        <f t="shared" si="26"/>
        <v>45314.60759443033</v>
      </c>
      <c r="M54" s="73">
        <f t="shared" si="26"/>
        <v>45314.60759443033</v>
      </c>
      <c r="N54" s="73">
        <f t="shared" si="26"/>
        <v>45314.60759443033</v>
      </c>
    </row>
    <row r="55" spans="2:14" hidden="1" outlineLevel="1" x14ac:dyDescent="0.25">
      <c r="B55" s="100">
        <v>3</v>
      </c>
      <c r="C55" s="213">
        <f>14+(31+13)/365</f>
        <v>14.12054794520548</v>
      </c>
      <c r="D55" s="214"/>
      <c r="E55" s="214">
        <f>SUMIF($B$17:$B$21,$B$52,$J$17:$J$21)</f>
        <v>111520.08136250473</v>
      </c>
      <c r="F55" s="214"/>
      <c r="G55" s="215"/>
      <c r="H55" s="215"/>
      <c r="I55" s="215"/>
      <c r="J55" s="215"/>
      <c r="K55" s="73">
        <f>IF($C55&lt;K$28-$B55,0,$E55/$C55)</f>
        <v>7897.7162780974431</v>
      </c>
      <c r="L55" s="73">
        <f t="shared" si="26"/>
        <v>7897.7162780974431</v>
      </c>
      <c r="M55" s="73">
        <f t="shared" si="26"/>
        <v>7897.7162780974431</v>
      </c>
      <c r="N55" s="73">
        <f t="shared" si="26"/>
        <v>7897.7162780974431</v>
      </c>
    </row>
    <row r="56" spans="2:14" ht="5.0999999999999996" hidden="1" customHeight="1" outlineLevel="1" x14ac:dyDescent="0.25">
      <c r="B56" s="100"/>
      <c r="C56" s="100"/>
      <c r="D56" s="214"/>
      <c r="E56" s="214"/>
      <c r="F56" s="214"/>
      <c r="G56" s="215"/>
      <c r="H56" s="215"/>
      <c r="I56" s="215"/>
      <c r="J56" s="215"/>
      <c r="K56" s="215"/>
      <c r="L56" s="215"/>
      <c r="M56" s="215"/>
      <c r="N56" s="215"/>
    </row>
    <row r="57" spans="2:14" hidden="1" outlineLevel="1" x14ac:dyDescent="0.25">
      <c r="B57" s="210" t="s">
        <v>329</v>
      </c>
      <c r="C57" s="211"/>
      <c r="D57" s="211"/>
      <c r="E57" s="211">
        <f>SUM(E58:E61)</f>
        <v>1480102.0448594186</v>
      </c>
      <c r="F57" s="211"/>
      <c r="G57" s="212"/>
      <c r="H57" s="211">
        <f t="shared" ref="H57" si="27">SUM(H58:H61)</f>
        <v>0</v>
      </c>
      <c r="I57" s="211">
        <f t="shared" ref="I57" si="28">SUM(I58:I61)</f>
        <v>100630.64049783778</v>
      </c>
      <c r="J57" s="211">
        <f t="shared" ref="J57" si="29">SUM(J58:J61)</f>
        <v>145853.11906856851</v>
      </c>
      <c r="K57" s="211">
        <f t="shared" ref="K57" si="30">SUM(K58:K61)</f>
        <v>148010.20448594185</v>
      </c>
      <c r="L57" s="211">
        <f t="shared" ref="L57" si="31">SUM(L58:L61)</f>
        <v>148010.20448594185</v>
      </c>
      <c r="M57" s="211">
        <f t="shared" ref="M57" si="32">SUM(M58:M61)</f>
        <v>148010.20448594185</v>
      </c>
      <c r="N57" s="211">
        <f t="shared" ref="N57" si="33">SUM(N58:N61)</f>
        <v>148010.20448594185</v>
      </c>
    </row>
    <row r="58" spans="2:14" hidden="1" outlineLevel="1" x14ac:dyDescent="0.25">
      <c r="B58" s="100">
        <v>1</v>
      </c>
      <c r="C58" s="100">
        <v>10</v>
      </c>
      <c r="D58" s="214"/>
      <c r="E58" s="214">
        <f>SUMIF($B$17:$B$21,$B$57,$H$17:$H$21)</f>
        <v>1325999.4145021946</v>
      </c>
      <c r="F58" s="214"/>
      <c r="G58" s="215"/>
      <c r="H58" s="215"/>
      <c r="I58" s="73">
        <f>IF($C58&lt;I$28-$B58,0,$E58/$C58)*'1. Demanda'!$C$19/'1. Demanda'!$C$20</f>
        <v>100630.64049783778</v>
      </c>
      <c r="J58" s="73">
        <f>IF($C58&lt;J$28-$B58,0,$E58/$C58)</f>
        <v>132599.94145021946</v>
      </c>
      <c r="K58" s="73">
        <f t="shared" ref="K58:N60" si="34">IF($C58&lt;K$28-$B58,0,$E58/$C58)</f>
        <v>132599.94145021946</v>
      </c>
      <c r="L58" s="73">
        <f t="shared" si="34"/>
        <v>132599.94145021946</v>
      </c>
      <c r="M58" s="73">
        <f t="shared" si="34"/>
        <v>132599.94145021946</v>
      </c>
      <c r="N58" s="73">
        <f t="shared" si="34"/>
        <v>132599.94145021946</v>
      </c>
    </row>
    <row r="59" spans="2:14" hidden="1" outlineLevel="1" x14ac:dyDescent="0.25">
      <c r="B59" s="100">
        <v>2</v>
      </c>
      <c r="C59" s="100">
        <v>10</v>
      </c>
      <c r="D59" s="214"/>
      <c r="E59" s="214">
        <f>SUMIF($B$17:$B$21,$B$57,$I$17:$I$21)</f>
        <v>132531.77618349061</v>
      </c>
      <c r="F59" s="214"/>
      <c r="G59" s="215"/>
      <c r="H59" s="215"/>
      <c r="I59" s="215"/>
      <c r="J59" s="73">
        <f>IF($C59&lt;J$28-$B59,0,$E59/$C59)</f>
        <v>13253.177618349062</v>
      </c>
      <c r="K59" s="73">
        <f t="shared" si="34"/>
        <v>13253.177618349062</v>
      </c>
      <c r="L59" s="73">
        <f t="shared" si="34"/>
        <v>13253.177618349062</v>
      </c>
      <c r="M59" s="73">
        <f t="shared" si="34"/>
        <v>13253.177618349062</v>
      </c>
      <c r="N59" s="73">
        <f t="shared" si="34"/>
        <v>13253.177618349062</v>
      </c>
    </row>
    <row r="60" spans="2:14" hidden="1" outlineLevel="1" x14ac:dyDescent="0.25">
      <c r="B60" s="100">
        <v>3</v>
      </c>
      <c r="C60" s="100">
        <v>10</v>
      </c>
      <c r="D60" s="214"/>
      <c r="E60" s="214">
        <f>SUMIF($B$17:$B$21,$B$57,$J$17:$J$21)</f>
        <v>21570.854173733296</v>
      </c>
      <c r="F60" s="214"/>
      <c r="G60" s="215"/>
      <c r="H60" s="215"/>
      <c r="I60" s="215"/>
      <c r="J60" s="215"/>
      <c r="K60" s="73">
        <f>IF($C60&lt;K$28-$B60,0,$E60/$C60)</f>
        <v>2157.0854173733296</v>
      </c>
      <c r="L60" s="73">
        <f t="shared" si="34"/>
        <v>2157.0854173733296</v>
      </c>
      <c r="M60" s="73">
        <f t="shared" si="34"/>
        <v>2157.0854173733296</v>
      </c>
      <c r="N60" s="73">
        <f t="shared" si="34"/>
        <v>2157.0854173733296</v>
      </c>
    </row>
    <row r="61" spans="2:14" ht="5.0999999999999996" hidden="1" customHeight="1" outlineLevel="1" x14ac:dyDescent="0.25">
      <c r="B61" s="100"/>
      <c r="C61" s="100"/>
      <c r="D61" s="214"/>
      <c r="E61" s="214"/>
      <c r="F61" s="214"/>
      <c r="G61" s="215"/>
      <c r="H61" s="215"/>
      <c r="I61" s="215"/>
      <c r="J61" s="215"/>
      <c r="K61" s="215"/>
      <c r="L61" s="215"/>
      <c r="M61" s="215"/>
      <c r="N61" s="215"/>
    </row>
    <row r="62" spans="2:14" hidden="1" outlineLevel="1" x14ac:dyDescent="0.25">
      <c r="B62" s="210" t="s">
        <v>258</v>
      </c>
      <c r="C62" s="211"/>
      <c r="D62" s="211"/>
      <c r="E62" s="211">
        <f>SUM(E63:E66)</f>
        <v>383618.14087417227</v>
      </c>
      <c r="F62" s="211"/>
      <c r="G62" s="212"/>
      <c r="H62" s="211">
        <f t="shared" ref="H62" si="35">SUM(H63:H66)</f>
        <v>0</v>
      </c>
      <c r="I62" s="211">
        <f t="shared" ref="I62" si="36">SUM(I63:I66)</f>
        <v>17387.872841530705</v>
      </c>
      <c r="J62" s="211">
        <f t="shared" ref="J62" si="37">SUM(J63:J66)</f>
        <v>25201.821983428585</v>
      </c>
      <c r="K62" s="211">
        <f t="shared" ref="K62" si="38">SUM(K63:K66)</f>
        <v>25597.756414899555</v>
      </c>
      <c r="L62" s="211">
        <f t="shared" ref="L62" si="39">SUM(L63:L66)</f>
        <v>25597.756414899555</v>
      </c>
      <c r="M62" s="211">
        <f t="shared" ref="M62" si="40">SUM(M63:M66)</f>
        <v>25597.756414899555</v>
      </c>
      <c r="N62" s="211">
        <f t="shared" ref="N62" si="41">SUM(N63:N66)</f>
        <v>25597.756414899555</v>
      </c>
    </row>
    <row r="63" spans="2:14" hidden="1" outlineLevel="1" x14ac:dyDescent="0.25">
      <c r="B63" s="100">
        <v>1</v>
      </c>
      <c r="C63" s="213">
        <v>15</v>
      </c>
      <c r="D63" s="214"/>
      <c r="E63" s="214">
        <f>SUMIF($B$17:$B$21,$B$62,$H$17:$H$21)</f>
        <v>343677.2700627459</v>
      </c>
      <c r="F63" s="214"/>
      <c r="G63" s="215"/>
      <c r="H63" s="215"/>
      <c r="I63" s="73">
        <f>IF($C63&lt;I$28-$B63,0,$E63/$C63)*'1. Demanda'!$C$19/'1. Demanda'!$C$20</f>
        <v>17387.872841530705</v>
      </c>
      <c r="J63" s="73">
        <f>IF($C63&lt;J$28-$B63,0,$E63/$C63)</f>
        <v>22911.81800418306</v>
      </c>
      <c r="K63" s="73">
        <f t="shared" ref="K63:N65" si="42">IF($C63&lt;K$28-$B63,0,$E63/$C63)</f>
        <v>22911.81800418306</v>
      </c>
      <c r="L63" s="73">
        <f t="shared" si="42"/>
        <v>22911.81800418306</v>
      </c>
      <c r="M63" s="73">
        <f t="shared" si="42"/>
        <v>22911.81800418306</v>
      </c>
      <c r="N63" s="73">
        <f t="shared" si="42"/>
        <v>22911.81800418306</v>
      </c>
    </row>
    <row r="64" spans="2:14" hidden="1" outlineLevel="1" x14ac:dyDescent="0.25">
      <c r="B64" s="100">
        <v>2</v>
      </c>
      <c r="C64" s="213">
        <v>15</v>
      </c>
      <c r="D64" s="214"/>
      <c r="E64" s="214">
        <f>SUMIF($B$17:$B$21,$B$62,$I$17:$I$21)</f>
        <v>34350.05968868285</v>
      </c>
      <c r="F64" s="214"/>
      <c r="G64" s="215"/>
      <c r="H64" s="215"/>
      <c r="I64" s="215"/>
      <c r="J64" s="73">
        <f>IF($C64&lt;J$28-$B64,0,$E64/$C64)</f>
        <v>2290.0039792455232</v>
      </c>
      <c r="K64" s="73">
        <f t="shared" si="42"/>
        <v>2290.0039792455232</v>
      </c>
      <c r="L64" s="73">
        <f t="shared" si="42"/>
        <v>2290.0039792455232</v>
      </c>
      <c r="M64" s="73">
        <f t="shared" si="42"/>
        <v>2290.0039792455232</v>
      </c>
      <c r="N64" s="73">
        <f t="shared" si="42"/>
        <v>2290.0039792455232</v>
      </c>
    </row>
    <row r="65" spans="2:14" hidden="1" outlineLevel="1" x14ac:dyDescent="0.25">
      <c r="B65" s="100">
        <v>3</v>
      </c>
      <c r="C65" s="213">
        <f>14+(31+13)/365</f>
        <v>14.12054794520548</v>
      </c>
      <c r="D65" s="214"/>
      <c r="E65" s="214">
        <f>SUMIF($B$17:$B$21,$B$62,$J$17:$J$21)</f>
        <v>5590.8111227435065</v>
      </c>
      <c r="F65" s="214"/>
      <c r="G65" s="215"/>
      <c r="H65" s="215"/>
      <c r="I65" s="215"/>
      <c r="J65" s="215"/>
      <c r="K65" s="73">
        <f>IF($C65&lt;K$28-$B65,0,$E65/$C65)</f>
        <v>395.93443147097008</v>
      </c>
      <c r="L65" s="73">
        <f t="shared" si="42"/>
        <v>395.93443147097008</v>
      </c>
      <c r="M65" s="73">
        <f t="shared" si="42"/>
        <v>395.93443147097008</v>
      </c>
      <c r="N65" s="73">
        <f t="shared" si="42"/>
        <v>395.93443147097008</v>
      </c>
    </row>
    <row r="66" spans="2:14" ht="5.0999999999999996" hidden="1" customHeight="1" outlineLevel="1" x14ac:dyDescent="0.25">
      <c r="B66" s="100"/>
      <c r="C66" s="100"/>
      <c r="D66" s="214"/>
      <c r="E66" s="214"/>
      <c r="F66" s="214"/>
      <c r="G66" s="215"/>
      <c r="H66" s="215"/>
      <c r="I66" s="215"/>
      <c r="J66" s="215"/>
      <c r="K66" s="215"/>
      <c r="L66" s="215"/>
      <c r="M66" s="215"/>
      <c r="N66" s="215"/>
    </row>
    <row r="67" spans="2:14" collapsed="1" x14ac:dyDescent="0.25">
      <c r="B67" s="54" t="s">
        <v>557</v>
      </c>
      <c r="C67" s="54"/>
      <c r="D67" s="54"/>
      <c r="E67" s="54"/>
      <c r="F67" s="99"/>
      <c r="G67" s="99"/>
      <c r="H67" s="99">
        <f t="shared" ref="H67:N67" si="43">+H52+H57+H62</f>
        <v>0</v>
      </c>
      <c r="I67" s="99">
        <f t="shared" si="43"/>
        <v>445646.09738995362</v>
      </c>
      <c r="J67" s="99">
        <f t="shared" si="43"/>
        <v>648080.98611380486</v>
      </c>
      <c r="K67" s="99">
        <f t="shared" si="43"/>
        <v>658531.72224074672</v>
      </c>
      <c r="L67" s="99">
        <f t="shared" si="43"/>
        <v>658531.72224074672</v>
      </c>
      <c r="M67" s="99">
        <f t="shared" si="43"/>
        <v>658531.72224074672</v>
      </c>
      <c r="N67" s="99">
        <f t="shared" si="43"/>
        <v>658531.72224074672</v>
      </c>
    </row>
    <row r="68" spans="2:14" ht="5.0999999999999996" customHeight="1" x14ac:dyDescent="0.25">
      <c r="B68" s="202"/>
      <c r="C68" s="202"/>
      <c r="D68" s="202"/>
      <c r="E68" s="202"/>
      <c r="F68" s="216"/>
      <c r="G68" s="216"/>
      <c r="H68" s="202"/>
      <c r="I68" s="202"/>
      <c r="J68" s="202"/>
      <c r="K68" s="202"/>
      <c r="L68" s="202"/>
      <c r="M68" s="202"/>
      <c r="N68" s="202"/>
    </row>
    <row r="69" spans="2:14" x14ac:dyDescent="0.25">
      <c r="B69" s="54" t="s">
        <v>558</v>
      </c>
      <c r="C69" s="54"/>
      <c r="D69" s="54"/>
      <c r="E69" s="54"/>
      <c r="F69" s="99"/>
      <c r="G69" s="99"/>
      <c r="H69" s="99">
        <f>+H67</f>
        <v>0</v>
      </c>
      <c r="I69" s="99">
        <f>+H69+I67</f>
        <v>445646.09738995362</v>
      </c>
      <c r="J69" s="99">
        <f t="shared" ref="J69" si="44">+I69+J67</f>
        <v>1093727.0835037585</v>
      </c>
      <c r="K69" s="99">
        <f t="shared" ref="K69" si="45">+J69+K67</f>
        <v>1752258.8057445053</v>
      </c>
      <c r="L69" s="99">
        <f t="shared" ref="L69" si="46">+K69+L67</f>
        <v>2410790.527985252</v>
      </c>
      <c r="M69" s="99">
        <f t="shared" ref="M69" si="47">+L69+M67</f>
        <v>3069322.2502259985</v>
      </c>
      <c r="N69" s="99">
        <f t="shared" ref="N69" si="48">+M69+N67</f>
        <v>3727853.9724667454</v>
      </c>
    </row>
    <row r="71" spans="2:14" x14ac:dyDescent="0.25">
      <c r="B71" s="8" t="s">
        <v>559</v>
      </c>
      <c r="C71" s="38"/>
    </row>
    <row r="72" spans="2:14" x14ac:dyDescent="0.25">
      <c r="B72" s="8"/>
      <c r="C72" s="38"/>
    </row>
    <row r="73" spans="2:14" x14ac:dyDescent="0.25">
      <c r="B73" s="52" t="s">
        <v>343</v>
      </c>
      <c r="C73" s="52"/>
      <c r="D73" s="53">
        <v>2024</v>
      </c>
      <c r="E73" s="53">
        <v>2025</v>
      </c>
      <c r="F73" s="53">
        <f t="shared" ref="F73" si="49">+E73+1</f>
        <v>2026</v>
      </c>
      <c r="G73" s="53">
        <f t="shared" ref="G73" si="50">+F73+1</f>
        <v>2027</v>
      </c>
      <c r="H73" s="53">
        <f t="shared" ref="H73" si="51">+G73+1</f>
        <v>2028</v>
      </c>
      <c r="I73" s="53">
        <f t="shared" ref="I73" si="52">+H73+1</f>
        <v>2029</v>
      </c>
      <c r="J73" s="53">
        <f t="shared" ref="J73" si="53">+I73+1</f>
        <v>2030</v>
      </c>
    </row>
    <row r="74" spans="2:14" ht="5.0999999999999996" customHeight="1" x14ac:dyDescent="0.25"/>
    <row r="75" spans="2:14" x14ac:dyDescent="0.25">
      <c r="B75" s="203" t="s">
        <v>0</v>
      </c>
      <c r="C75" s="204"/>
      <c r="D75" s="204"/>
      <c r="E75" s="204"/>
      <c r="F75" s="204"/>
      <c r="G75" s="204"/>
      <c r="H75" s="204"/>
      <c r="I75" s="204"/>
      <c r="J75" s="204"/>
    </row>
    <row r="76" spans="2:14" ht="5.0999999999999996" customHeight="1" x14ac:dyDescent="0.25">
      <c r="B76" s="38"/>
      <c r="C76" s="38"/>
    </row>
    <row r="77" spans="2:14" x14ac:dyDescent="0.25">
      <c r="B77" s="32" t="s">
        <v>560</v>
      </c>
      <c r="C77" s="32"/>
      <c r="D77" s="217"/>
      <c r="E77" s="217"/>
      <c r="F77" s="217"/>
      <c r="G77" s="217"/>
      <c r="H77" s="217"/>
      <c r="I77" s="217"/>
      <c r="J77" s="217"/>
    </row>
    <row r="78" spans="2:14" x14ac:dyDescent="0.25">
      <c r="B78" s="32" t="s">
        <v>561</v>
      </c>
      <c r="C78" s="32"/>
      <c r="D78" s="217">
        <f>SUM(H12:H16)</f>
        <v>46747148.092244908</v>
      </c>
      <c r="E78" s="217">
        <f t="shared" ref="E78:J78" si="54">SUM(I12:I16)</f>
        <v>4672311.6921614883</v>
      </c>
      <c r="F78" s="217">
        <f t="shared" si="54"/>
        <v>760464.82638477872</v>
      </c>
      <c r="G78" s="217">
        <f t="shared" si="54"/>
        <v>0</v>
      </c>
      <c r="H78" s="217">
        <f t="shared" si="54"/>
        <v>0</v>
      </c>
      <c r="I78" s="217">
        <f t="shared" si="54"/>
        <v>0</v>
      </c>
      <c r="J78" s="217">
        <f t="shared" si="54"/>
        <v>0</v>
      </c>
    </row>
    <row r="79" spans="2:14" x14ac:dyDescent="0.25">
      <c r="B79" s="52" t="s">
        <v>568</v>
      </c>
      <c r="C79" s="88"/>
      <c r="D79" s="71">
        <f>SUM(D77:D78)</f>
        <v>46747148.092244908</v>
      </c>
      <c r="E79" s="71">
        <f t="shared" ref="E79:J79" si="55">SUM(E77:E78)</f>
        <v>4672311.6921614883</v>
      </c>
      <c r="F79" s="71">
        <f t="shared" si="55"/>
        <v>760464.82638477872</v>
      </c>
      <c r="G79" s="71">
        <f t="shared" si="55"/>
        <v>0</v>
      </c>
      <c r="H79" s="71">
        <f t="shared" si="55"/>
        <v>0</v>
      </c>
      <c r="I79" s="71">
        <f t="shared" si="55"/>
        <v>0</v>
      </c>
      <c r="J79" s="71">
        <f t="shared" si="55"/>
        <v>0</v>
      </c>
    </row>
    <row r="80" spans="2:14" ht="5.0999999999999996" customHeight="1" x14ac:dyDescent="0.25">
      <c r="B80" s="38"/>
      <c r="C80" s="38"/>
    </row>
    <row r="81" spans="2:10" x14ac:dyDescent="0.25">
      <c r="B81" s="32" t="s">
        <v>562</v>
      </c>
      <c r="C81" s="32"/>
      <c r="D81" s="217"/>
      <c r="E81" s="217"/>
      <c r="F81" s="217"/>
      <c r="G81" s="217"/>
      <c r="H81" s="217"/>
      <c r="I81" s="217"/>
      <c r="J81" s="217"/>
    </row>
    <row r="82" spans="2:10" x14ac:dyDescent="0.25">
      <c r="B82" s="32" t="s">
        <v>563</v>
      </c>
      <c r="C82" s="32"/>
      <c r="D82" s="217">
        <f>+H46</f>
        <v>0</v>
      </c>
      <c r="E82" s="217">
        <f t="shared" ref="E82:J82" si="56">+I46</f>
        <v>2592317.9518901752</v>
      </c>
      <c r="F82" s="217">
        <f t="shared" si="56"/>
        <v>3767924.5743795224</v>
      </c>
      <c r="G82" s="217">
        <f t="shared" si="56"/>
        <v>3827814.9857831215</v>
      </c>
      <c r="H82" s="217">
        <f t="shared" si="56"/>
        <v>3827814.9857831215</v>
      </c>
      <c r="I82" s="217">
        <f t="shared" si="56"/>
        <v>3827814.9857831215</v>
      </c>
      <c r="J82" s="217">
        <f t="shared" si="56"/>
        <v>3827814.9857831215</v>
      </c>
    </row>
    <row r="83" spans="2:10" x14ac:dyDescent="0.25">
      <c r="B83" s="52" t="s">
        <v>341</v>
      </c>
      <c r="C83" s="88"/>
      <c r="D83" s="71">
        <f>SUM(D81:D82)</f>
        <v>0</v>
      </c>
      <c r="E83" s="71">
        <f t="shared" ref="E83:J83" si="57">SUM(E81:E82)</f>
        <v>2592317.9518901752</v>
      </c>
      <c r="F83" s="71">
        <f t="shared" si="57"/>
        <v>3767924.5743795224</v>
      </c>
      <c r="G83" s="71">
        <f t="shared" si="57"/>
        <v>3827814.9857831215</v>
      </c>
      <c r="H83" s="71">
        <f t="shared" si="57"/>
        <v>3827814.9857831215</v>
      </c>
      <c r="I83" s="71">
        <f t="shared" si="57"/>
        <v>3827814.9857831215</v>
      </c>
      <c r="J83" s="71">
        <f t="shared" si="57"/>
        <v>3827814.9857831215</v>
      </c>
    </row>
    <row r="84" spans="2:10" ht="5.0999999999999996" customHeight="1" x14ac:dyDescent="0.25">
      <c r="B84" s="38"/>
      <c r="C84" s="38"/>
    </row>
    <row r="85" spans="2:10" x14ac:dyDescent="0.25">
      <c r="B85" s="32" t="s">
        <v>564</v>
      </c>
      <c r="C85" s="32"/>
      <c r="D85" s="217">
        <f>+D79</f>
        <v>46747148.092244908</v>
      </c>
      <c r="E85" s="217">
        <f>+D85+E79</f>
        <v>51419459.784406394</v>
      </c>
      <c r="F85" s="217">
        <f t="shared" ref="F85:J85" si="58">+E85+F79</f>
        <v>52179924.610791169</v>
      </c>
      <c r="G85" s="217">
        <f t="shared" si="58"/>
        <v>52179924.610791169</v>
      </c>
      <c r="H85" s="217">
        <f t="shared" si="58"/>
        <v>52179924.610791169</v>
      </c>
      <c r="I85" s="217">
        <f t="shared" si="58"/>
        <v>52179924.610791169</v>
      </c>
      <c r="J85" s="217">
        <f t="shared" si="58"/>
        <v>52179924.610791169</v>
      </c>
    </row>
    <row r="86" spans="2:10" x14ac:dyDescent="0.25">
      <c r="B86" s="32" t="s">
        <v>565</v>
      </c>
      <c r="C86" s="32"/>
      <c r="D86" s="217">
        <f>+D83</f>
        <v>0</v>
      </c>
      <c r="E86" s="217">
        <f>+D86+E83</f>
        <v>2592317.9518901752</v>
      </c>
      <c r="F86" s="217">
        <f t="shared" ref="F86:J86" si="59">+E86+F83</f>
        <v>6360242.5262696976</v>
      </c>
      <c r="G86" s="217">
        <f t="shared" si="59"/>
        <v>10188057.512052819</v>
      </c>
      <c r="H86" s="217">
        <f t="shared" si="59"/>
        <v>14015872.497835942</v>
      </c>
      <c r="I86" s="217">
        <f t="shared" si="59"/>
        <v>17843687.483619064</v>
      </c>
      <c r="J86" s="217">
        <f t="shared" si="59"/>
        <v>21671502.469402187</v>
      </c>
    </row>
    <row r="87" spans="2:10" x14ac:dyDescent="0.25">
      <c r="B87" s="52" t="s">
        <v>569</v>
      </c>
      <c r="C87" s="88"/>
      <c r="D87" s="71">
        <f>+D85-D86</f>
        <v>46747148.092244908</v>
      </c>
      <c r="E87" s="71">
        <f t="shared" ref="E87:J87" si="60">+E85-E86</f>
        <v>48827141.832516216</v>
      </c>
      <c r="F87" s="71">
        <f t="shared" si="60"/>
        <v>45819682.084521472</v>
      </c>
      <c r="G87" s="71">
        <f t="shared" si="60"/>
        <v>41991867.09873835</v>
      </c>
      <c r="H87" s="71">
        <f t="shared" si="60"/>
        <v>38164052.112955227</v>
      </c>
      <c r="I87" s="71">
        <f t="shared" si="60"/>
        <v>34336237.127172105</v>
      </c>
      <c r="J87" s="71">
        <f t="shared" si="60"/>
        <v>30508422.141388983</v>
      </c>
    </row>
    <row r="88" spans="2:10" ht="5.0999999999999996" customHeight="1" x14ac:dyDescent="0.25">
      <c r="B88" s="38"/>
      <c r="C88" s="38"/>
    </row>
    <row r="89" spans="2:10" x14ac:dyDescent="0.25">
      <c r="B89" s="32" t="s">
        <v>566</v>
      </c>
      <c r="C89" s="32"/>
      <c r="D89" s="217">
        <f>+D87-D78</f>
        <v>0</v>
      </c>
      <c r="E89" s="217"/>
      <c r="F89" s="217"/>
      <c r="G89" s="217"/>
      <c r="H89" s="217"/>
      <c r="I89" s="217"/>
      <c r="J89" s="217"/>
    </row>
    <row r="90" spans="2:10" x14ac:dyDescent="0.25">
      <c r="B90" s="32" t="s">
        <v>342</v>
      </c>
      <c r="C90" s="32"/>
      <c r="D90" s="217">
        <f>+D78</f>
        <v>46747148.092244908</v>
      </c>
      <c r="E90" s="217">
        <f t="shared" ref="E90:J90" si="61">+E78</f>
        <v>4672311.6921614883</v>
      </c>
      <c r="F90" s="217">
        <f t="shared" si="61"/>
        <v>760464.82638477872</v>
      </c>
      <c r="G90" s="217">
        <f t="shared" si="61"/>
        <v>0</v>
      </c>
      <c r="H90" s="217">
        <f t="shared" si="61"/>
        <v>0</v>
      </c>
      <c r="I90" s="217">
        <f t="shared" si="61"/>
        <v>0</v>
      </c>
      <c r="J90" s="217">
        <f t="shared" si="61"/>
        <v>0</v>
      </c>
    </row>
    <row r="91" spans="2:10" x14ac:dyDescent="0.25">
      <c r="B91" s="52" t="s">
        <v>567</v>
      </c>
      <c r="C91" s="88"/>
      <c r="D91" s="71"/>
      <c r="E91" s="71"/>
      <c r="F91" s="71"/>
      <c r="G91" s="71"/>
      <c r="H91" s="71"/>
      <c r="I91" s="71"/>
      <c r="J91" s="71">
        <f>+J87</f>
        <v>30508422.141388983</v>
      </c>
    </row>
    <row r="92" spans="2:10" ht="5.0999999999999996" customHeight="1" x14ac:dyDescent="0.25"/>
    <row r="93" spans="2:10" x14ac:dyDescent="0.25">
      <c r="B93" s="203" t="s">
        <v>1</v>
      </c>
      <c r="C93" s="204"/>
      <c r="D93" s="204"/>
      <c r="E93" s="204"/>
      <c r="F93" s="204"/>
      <c r="G93" s="204"/>
      <c r="H93" s="204"/>
      <c r="I93" s="204"/>
      <c r="J93" s="204"/>
    </row>
    <row r="94" spans="2:10" ht="5.0999999999999996" customHeight="1" x14ac:dyDescent="0.25">
      <c r="B94" s="38"/>
      <c r="C94" s="38"/>
    </row>
    <row r="95" spans="2:10" x14ac:dyDescent="0.25">
      <c r="B95" s="32" t="s">
        <v>560</v>
      </c>
      <c r="C95" s="32"/>
      <c r="D95" s="217"/>
      <c r="E95" s="217"/>
      <c r="F95" s="217"/>
      <c r="G95" s="217"/>
      <c r="H95" s="217"/>
      <c r="I95" s="217"/>
      <c r="J95" s="217"/>
    </row>
    <row r="96" spans="2:10" x14ac:dyDescent="0.25">
      <c r="B96" s="32" t="s">
        <v>561</v>
      </c>
      <c r="C96" s="32"/>
      <c r="D96" s="217">
        <f>SUM(H17:H21)</f>
        <v>8525017.7573345844</v>
      </c>
      <c r="E96" s="217">
        <f t="shared" ref="E96:J96" si="62">SUM(I17:I21)</f>
        <v>852063.53262192977</v>
      </c>
      <c r="F96" s="217">
        <f t="shared" si="62"/>
        <v>138681.74665898152</v>
      </c>
      <c r="G96" s="217">
        <f t="shared" si="62"/>
        <v>0</v>
      </c>
      <c r="H96" s="217">
        <f t="shared" si="62"/>
        <v>0</v>
      </c>
      <c r="I96" s="217">
        <f t="shared" si="62"/>
        <v>0</v>
      </c>
      <c r="J96" s="217">
        <f t="shared" si="62"/>
        <v>0</v>
      </c>
    </row>
    <row r="97" spans="2:10" x14ac:dyDescent="0.25">
      <c r="B97" s="52" t="s">
        <v>568</v>
      </c>
      <c r="C97" s="88"/>
      <c r="D97" s="71">
        <f>SUM(D95:D96)</f>
        <v>8525017.7573345844</v>
      </c>
      <c r="E97" s="71">
        <f t="shared" ref="E97:J97" si="63">SUM(E95:E96)</f>
        <v>852063.53262192977</v>
      </c>
      <c r="F97" s="71">
        <f t="shared" si="63"/>
        <v>138681.74665898152</v>
      </c>
      <c r="G97" s="71">
        <f t="shared" si="63"/>
        <v>0</v>
      </c>
      <c r="H97" s="71">
        <f t="shared" si="63"/>
        <v>0</v>
      </c>
      <c r="I97" s="71">
        <f t="shared" si="63"/>
        <v>0</v>
      </c>
      <c r="J97" s="71">
        <f t="shared" si="63"/>
        <v>0</v>
      </c>
    </row>
    <row r="98" spans="2:10" ht="5.0999999999999996" customHeight="1" x14ac:dyDescent="0.25">
      <c r="B98" s="38"/>
      <c r="C98" s="38"/>
    </row>
    <row r="99" spans="2:10" x14ac:dyDescent="0.25">
      <c r="B99" s="32" t="s">
        <v>562</v>
      </c>
      <c r="C99" s="32"/>
      <c r="D99" s="217"/>
      <c r="E99" s="217"/>
      <c r="F99" s="217"/>
      <c r="G99" s="217"/>
      <c r="H99" s="217"/>
      <c r="I99" s="217"/>
      <c r="J99" s="217"/>
    </row>
    <row r="100" spans="2:10" x14ac:dyDescent="0.25">
      <c r="B100" s="32" t="s">
        <v>563</v>
      </c>
      <c r="C100" s="32"/>
      <c r="D100" s="217">
        <f>+H67</f>
        <v>0</v>
      </c>
      <c r="E100" s="217">
        <f t="shared" ref="E100:J100" si="64">+I67</f>
        <v>445646.09738995362</v>
      </c>
      <c r="F100" s="217">
        <f t="shared" si="64"/>
        <v>648080.98611380486</v>
      </c>
      <c r="G100" s="217">
        <f t="shared" si="64"/>
        <v>658531.72224074672</v>
      </c>
      <c r="H100" s="217">
        <f t="shared" si="64"/>
        <v>658531.72224074672</v>
      </c>
      <c r="I100" s="217">
        <f t="shared" si="64"/>
        <v>658531.72224074672</v>
      </c>
      <c r="J100" s="217">
        <f t="shared" si="64"/>
        <v>658531.72224074672</v>
      </c>
    </row>
    <row r="101" spans="2:10" x14ac:dyDescent="0.25">
      <c r="B101" s="52" t="s">
        <v>341</v>
      </c>
      <c r="C101" s="88"/>
      <c r="D101" s="71">
        <f>SUM(D99:D100)</f>
        <v>0</v>
      </c>
      <c r="E101" s="71">
        <f t="shared" ref="E101:J101" si="65">SUM(E99:E100)</f>
        <v>445646.09738995362</v>
      </c>
      <c r="F101" s="71">
        <f t="shared" si="65"/>
        <v>648080.98611380486</v>
      </c>
      <c r="G101" s="71">
        <f t="shared" si="65"/>
        <v>658531.72224074672</v>
      </c>
      <c r="H101" s="71">
        <f t="shared" si="65"/>
        <v>658531.72224074672</v>
      </c>
      <c r="I101" s="71">
        <f t="shared" si="65"/>
        <v>658531.72224074672</v>
      </c>
      <c r="J101" s="71">
        <f t="shared" si="65"/>
        <v>658531.72224074672</v>
      </c>
    </row>
    <row r="102" spans="2:10" ht="5.0999999999999996" customHeight="1" x14ac:dyDescent="0.25">
      <c r="B102" s="38"/>
      <c r="C102" s="38"/>
    </row>
    <row r="103" spans="2:10" x14ac:dyDescent="0.25">
      <c r="B103" s="32" t="s">
        <v>564</v>
      </c>
      <c r="C103" s="32"/>
      <c r="D103" s="217">
        <f>+D97</f>
        <v>8525017.7573345844</v>
      </c>
      <c r="E103" s="217">
        <f>+D103+E97</f>
        <v>9377081.2899565138</v>
      </c>
      <c r="F103" s="217">
        <f t="shared" ref="F103:J103" si="66">+E103+F97</f>
        <v>9515763.0366154946</v>
      </c>
      <c r="G103" s="217">
        <f t="shared" si="66"/>
        <v>9515763.0366154946</v>
      </c>
      <c r="H103" s="217">
        <f t="shared" si="66"/>
        <v>9515763.0366154946</v>
      </c>
      <c r="I103" s="217">
        <f t="shared" si="66"/>
        <v>9515763.0366154946</v>
      </c>
      <c r="J103" s="217">
        <f t="shared" si="66"/>
        <v>9515763.0366154946</v>
      </c>
    </row>
    <row r="104" spans="2:10" x14ac:dyDescent="0.25">
      <c r="B104" s="32" t="s">
        <v>565</v>
      </c>
      <c r="C104" s="32"/>
      <c r="D104" s="217">
        <f>+D101</f>
        <v>0</v>
      </c>
      <c r="E104" s="217">
        <f>+D104+E101</f>
        <v>445646.09738995362</v>
      </c>
      <c r="F104" s="217">
        <f t="shared" ref="F104:J104" si="67">+E104+F101</f>
        <v>1093727.0835037585</v>
      </c>
      <c r="G104" s="217">
        <f t="shared" si="67"/>
        <v>1752258.8057445053</v>
      </c>
      <c r="H104" s="217">
        <f t="shared" si="67"/>
        <v>2410790.527985252</v>
      </c>
      <c r="I104" s="217">
        <f t="shared" si="67"/>
        <v>3069322.2502259985</v>
      </c>
      <c r="J104" s="217">
        <f t="shared" si="67"/>
        <v>3727853.9724667454</v>
      </c>
    </row>
    <row r="105" spans="2:10" x14ac:dyDescent="0.25">
      <c r="B105" s="52" t="s">
        <v>569</v>
      </c>
      <c r="C105" s="88"/>
      <c r="D105" s="71">
        <f>+D103-D104</f>
        <v>8525017.7573345844</v>
      </c>
      <c r="E105" s="71">
        <f t="shared" ref="E105" si="68">+E103-E104</f>
        <v>8931435.1925665606</v>
      </c>
      <c r="F105" s="71">
        <f t="shared" ref="F105" si="69">+F103-F104</f>
        <v>8422035.9531117361</v>
      </c>
      <c r="G105" s="71">
        <f t="shared" ref="G105" si="70">+G103-G104</f>
        <v>7763504.2308709892</v>
      </c>
      <c r="H105" s="71">
        <f t="shared" ref="H105" si="71">+H103-H104</f>
        <v>7104972.5086302422</v>
      </c>
      <c r="I105" s="71">
        <f t="shared" ref="I105" si="72">+I103-I104</f>
        <v>6446440.7863894962</v>
      </c>
      <c r="J105" s="71">
        <f t="shared" ref="J105" si="73">+J103-J104</f>
        <v>5787909.0641487492</v>
      </c>
    </row>
    <row r="106" spans="2:10" ht="5.0999999999999996" customHeight="1" x14ac:dyDescent="0.25">
      <c r="B106" s="38"/>
      <c r="C106" s="38"/>
    </row>
    <row r="107" spans="2:10" x14ac:dyDescent="0.25">
      <c r="B107" s="32" t="s">
        <v>566</v>
      </c>
      <c r="C107" s="32"/>
      <c r="D107" s="217">
        <f>+D105-D96</f>
        <v>0</v>
      </c>
      <c r="E107" s="217"/>
      <c r="F107" s="217"/>
      <c r="G107" s="217"/>
      <c r="H107" s="217"/>
      <c r="I107" s="217"/>
      <c r="J107" s="217"/>
    </row>
    <row r="108" spans="2:10" x14ac:dyDescent="0.25">
      <c r="B108" s="32" t="s">
        <v>342</v>
      </c>
      <c r="C108" s="32"/>
      <c r="D108" s="217">
        <f>+D96</f>
        <v>8525017.7573345844</v>
      </c>
      <c r="E108" s="217">
        <f t="shared" ref="E108:J108" si="74">+E96</f>
        <v>852063.53262192977</v>
      </c>
      <c r="F108" s="217">
        <f t="shared" si="74"/>
        <v>138681.74665898152</v>
      </c>
      <c r="G108" s="217">
        <f t="shared" si="74"/>
        <v>0</v>
      </c>
      <c r="H108" s="217">
        <f t="shared" si="74"/>
        <v>0</v>
      </c>
      <c r="I108" s="217">
        <f t="shared" si="74"/>
        <v>0</v>
      </c>
      <c r="J108" s="217">
        <f t="shared" si="74"/>
        <v>0</v>
      </c>
    </row>
    <row r="109" spans="2:10" x14ac:dyDescent="0.25">
      <c r="B109" s="52" t="s">
        <v>567</v>
      </c>
      <c r="C109" s="88"/>
      <c r="D109" s="71"/>
      <c r="E109" s="71"/>
      <c r="F109" s="71"/>
      <c r="G109" s="71"/>
      <c r="H109" s="71"/>
      <c r="I109" s="71"/>
      <c r="J109" s="71">
        <f>+J105</f>
        <v>5787909.0641487492</v>
      </c>
    </row>
  </sheetData>
  <phoneticPr fontId="5" type="noConversion"/>
  <hyperlinks>
    <hyperlink ref="N1" location="Índice!A1" display="ÍNDICE" xr:uid="{3D00898B-D754-437E-A20C-3DB351852D71}"/>
  </hyperlink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4167E-B380-45C9-AA75-5332C063BAF5}">
  <sheetPr codeName="Hoja15"/>
  <dimension ref="B1:I84"/>
  <sheetViews>
    <sheetView showGridLines="0" zoomScaleNormal="100" workbookViewId="0">
      <pane ySplit="2" topLeftCell="A3" activePane="bottomLeft" state="frozen"/>
      <selection pane="bottomLeft" activeCell="C13" sqref="C13"/>
    </sheetView>
  </sheetViews>
  <sheetFormatPr baseColWidth="10" defaultColWidth="11.5546875" defaultRowHeight="13.2" x14ac:dyDescent="0.25"/>
  <cols>
    <col min="1" max="1" width="2.6640625" style="1" customWidth="1"/>
    <col min="2" max="2" width="40" style="1" bestFit="1" customWidth="1"/>
    <col min="3" max="3" width="14.5546875" style="1" bestFit="1" customWidth="1"/>
    <col min="4" max="4" width="14.77734375" style="1" customWidth="1"/>
    <col min="5" max="5" width="14.5546875" style="1" customWidth="1"/>
    <col min="6" max="6" width="13.5546875" style="1" customWidth="1"/>
    <col min="7" max="7" width="11.5546875" style="1"/>
    <col min="8" max="8" width="32.33203125" style="1" bestFit="1" customWidth="1"/>
    <col min="9" max="9" width="17" style="1" bestFit="1" customWidth="1"/>
    <col min="10" max="10" width="15.33203125" style="1" bestFit="1" customWidth="1"/>
    <col min="11" max="16384" width="11.5546875" style="1"/>
  </cols>
  <sheetData>
    <row r="1" spans="2:9" s="38" customFormat="1" ht="16.2" thickBot="1" x14ac:dyDescent="0.35">
      <c r="B1" s="37" t="s">
        <v>586</v>
      </c>
      <c r="I1" s="39" t="s">
        <v>389</v>
      </c>
    </row>
    <row r="2" spans="2:9" s="38" customFormat="1" ht="5.0999999999999996" customHeight="1" x14ac:dyDescent="0.3">
      <c r="B2" s="37"/>
      <c r="F2" s="178"/>
    </row>
    <row r="3" spans="2:9" x14ac:dyDescent="0.25">
      <c r="B3" s="202" t="s">
        <v>591</v>
      </c>
      <c r="C3" s="202"/>
      <c r="D3" s="202"/>
      <c r="E3" s="8"/>
      <c r="G3" s="8"/>
    </row>
    <row r="5" spans="2:9" x14ac:dyDescent="0.25">
      <c r="B5" s="53" t="s">
        <v>205</v>
      </c>
      <c r="C5" s="53" t="s">
        <v>254</v>
      </c>
    </row>
    <row r="6" spans="2:9" x14ac:dyDescent="0.25">
      <c r="B6" s="38" t="s">
        <v>199</v>
      </c>
      <c r="C6" s="249">
        <v>285232634.15206164</v>
      </c>
    </row>
    <row r="7" spans="2:9" x14ac:dyDescent="0.25">
      <c r="B7" s="38" t="s">
        <v>200</v>
      </c>
      <c r="C7" s="249">
        <v>151168902.07981539</v>
      </c>
    </row>
    <row r="8" spans="2:9" x14ac:dyDescent="0.25">
      <c r="B8" s="38" t="s">
        <v>201</v>
      </c>
      <c r="C8" s="249">
        <v>77109746.988864839</v>
      </c>
    </row>
    <row r="9" spans="2:9" x14ac:dyDescent="0.25">
      <c r="B9" s="38" t="s">
        <v>202</v>
      </c>
      <c r="C9" s="249">
        <v>53653099.887594394</v>
      </c>
    </row>
    <row r="10" spans="2:9" x14ac:dyDescent="0.25">
      <c r="B10" s="38" t="s">
        <v>203</v>
      </c>
      <c r="C10" s="249">
        <v>4362737.8723125961</v>
      </c>
    </row>
    <row r="11" spans="2:9" x14ac:dyDescent="0.25">
      <c r="B11" s="38" t="s">
        <v>204</v>
      </c>
      <c r="C11" s="249">
        <v>70855617.10872975</v>
      </c>
    </row>
    <row r="12" spans="2:9" x14ac:dyDescent="0.25">
      <c r="B12" s="54" t="s">
        <v>8</v>
      </c>
      <c r="C12" s="219">
        <f>SUM(C6:C11)+33583269.9106215</f>
        <v>675966008</v>
      </c>
    </row>
    <row r="14" spans="2:9" x14ac:dyDescent="0.25">
      <c r="B14" s="202" t="s">
        <v>588</v>
      </c>
    </row>
    <row r="15" spans="2:9" ht="13.2" customHeight="1" x14ac:dyDescent="0.25"/>
    <row r="16" spans="2:9" ht="13.2" customHeight="1" x14ac:dyDescent="0.25">
      <c r="B16" s="53" t="s">
        <v>214</v>
      </c>
      <c r="C16" s="53" t="s">
        <v>0</v>
      </c>
      <c r="D16" s="53" t="s">
        <v>1</v>
      </c>
    </row>
    <row r="17" spans="2:4" x14ac:dyDescent="0.25">
      <c r="B17" s="1" t="s">
        <v>206</v>
      </c>
      <c r="C17" s="3">
        <v>1247850.18815515</v>
      </c>
      <c r="D17" s="3">
        <v>1247850.18815515</v>
      </c>
    </row>
    <row r="18" spans="2:4" x14ac:dyDescent="0.25">
      <c r="B18" s="1" t="s">
        <v>206</v>
      </c>
      <c r="C18" s="3">
        <v>151250.52558199901</v>
      </c>
      <c r="D18" s="3">
        <v>151250.52558199901</v>
      </c>
    </row>
    <row r="19" spans="2:4" x14ac:dyDescent="0.25">
      <c r="B19" s="1" t="s">
        <v>207</v>
      </c>
      <c r="C19" s="3">
        <v>7714492.5686160699</v>
      </c>
      <c r="D19" s="3">
        <v>0</v>
      </c>
    </row>
    <row r="20" spans="2:4" x14ac:dyDescent="0.25">
      <c r="B20" s="1" t="s">
        <v>208</v>
      </c>
      <c r="C20" s="3">
        <v>4264717.4901850503</v>
      </c>
      <c r="D20" s="3">
        <v>4264717.4901850503</v>
      </c>
    </row>
    <row r="21" spans="2:4" x14ac:dyDescent="0.25">
      <c r="B21" s="1" t="s">
        <v>209</v>
      </c>
      <c r="C21" s="3">
        <v>1550844.48602901</v>
      </c>
      <c r="D21" s="3">
        <v>1550844.48602901</v>
      </c>
    </row>
    <row r="22" spans="2:4" x14ac:dyDescent="0.25">
      <c r="B22" s="1" t="s">
        <v>210</v>
      </c>
      <c r="C22" s="3">
        <v>1288897.3181757501</v>
      </c>
      <c r="D22" s="3">
        <v>1288897.3181757501</v>
      </c>
    </row>
    <row r="23" spans="2:4" x14ac:dyDescent="0.25">
      <c r="B23" s="1" t="s">
        <v>211</v>
      </c>
      <c r="C23" s="3">
        <v>1407139.35424215</v>
      </c>
      <c r="D23" s="3">
        <v>1407139.35424215</v>
      </c>
    </row>
    <row r="24" spans="2:4" x14ac:dyDescent="0.25">
      <c r="B24" s="1" t="s">
        <v>212</v>
      </c>
      <c r="C24" s="3">
        <v>321543.57918416598</v>
      </c>
      <c r="D24" s="3">
        <v>321543.57918416598</v>
      </c>
    </row>
    <row r="25" spans="2:4" x14ac:dyDescent="0.25">
      <c r="B25" s="1" t="s">
        <v>213</v>
      </c>
      <c r="C25" s="3">
        <v>250763.83140281</v>
      </c>
      <c r="D25" s="3">
        <v>250763.83140281</v>
      </c>
    </row>
    <row r="26" spans="2:4" x14ac:dyDescent="0.25">
      <c r="B26" s="54" t="s">
        <v>8</v>
      </c>
      <c r="C26" s="219">
        <f>+SUM(C17:C25)</f>
        <v>18197499.341572154</v>
      </c>
      <c r="D26" s="219">
        <f>+SUM(D17:D25)</f>
        <v>10483006.772956084</v>
      </c>
    </row>
    <row r="28" spans="2:4" x14ac:dyDescent="0.25">
      <c r="B28" s="202" t="s">
        <v>589</v>
      </c>
    </row>
    <row r="30" spans="2:4" ht="13.2" customHeight="1" x14ac:dyDescent="0.25">
      <c r="B30" s="53" t="s">
        <v>216</v>
      </c>
      <c r="C30" s="53" t="s">
        <v>584</v>
      </c>
    </row>
    <row r="31" spans="2:4" x14ac:dyDescent="0.25">
      <c r="B31" s="38" t="s">
        <v>0</v>
      </c>
      <c r="C31" s="249">
        <f>+(C12-C26)/'5.2 Asignación de Áreas'!E4</f>
        <v>2564.7897119106801</v>
      </c>
    </row>
    <row r="32" spans="2:4" x14ac:dyDescent="0.25">
      <c r="B32" s="260" t="s">
        <v>1</v>
      </c>
      <c r="C32" s="261">
        <f>+(C12-D26)/'5.2 Asignación de Áreas'!E5</f>
        <v>2594.8702811567714</v>
      </c>
    </row>
    <row r="35" spans="2:5" ht="13.2" customHeight="1" x14ac:dyDescent="0.25">
      <c r="B35" s="202" t="s">
        <v>587</v>
      </c>
      <c r="C35" s="8"/>
      <c r="D35" s="8"/>
      <c r="E35" s="8"/>
    </row>
    <row r="37" spans="2:5" ht="26.4" x14ac:dyDescent="0.25">
      <c r="B37" s="53" t="s">
        <v>218</v>
      </c>
      <c r="C37" s="40" t="s">
        <v>227</v>
      </c>
      <c r="D37" s="40" t="s">
        <v>228</v>
      </c>
      <c r="E37" s="40" t="s">
        <v>217</v>
      </c>
    </row>
    <row r="38" spans="2:5" x14ac:dyDescent="0.25">
      <c r="B38" s="1" t="s">
        <v>219</v>
      </c>
      <c r="C38" s="5">
        <v>30847781.189682554</v>
      </c>
      <c r="D38" s="251">
        <v>1</v>
      </c>
      <c r="E38" s="12">
        <f>+C38*D38/'5.2 Asignación de Áreas'!$E$4</f>
        <v>120.28254741464795</v>
      </c>
    </row>
    <row r="39" spans="2:5" x14ac:dyDescent="0.25">
      <c r="B39" s="1" t="s">
        <v>220</v>
      </c>
      <c r="C39" s="5">
        <v>3201386.9032425387</v>
      </c>
      <c r="D39" s="251">
        <v>0.94598317667470033</v>
      </c>
      <c r="E39" s="12">
        <f>+C39*D39/'5.2 Asignación de Áreas'!$E$4</f>
        <v>11.808650323365585</v>
      </c>
    </row>
    <row r="40" spans="2:5" x14ac:dyDescent="0.25">
      <c r="B40" s="1" t="s">
        <v>221</v>
      </c>
      <c r="C40" s="5">
        <v>4024635.6013967604</v>
      </c>
      <c r="D40" s="251">
        <v>0.94598317667470033</v>
      </c>
      <c r="E40" s="12">
        <f>+C40*D40/'5.2 Asignación de Áreas'!$E$4</f>
        <v>14.845289223781757</v>
      </c>
    </row>
    <row r="41" spans="2:5" x14ac:dyDescent="0.25">
      <c r="B41" s="1" t="s">
        <v>222</v>
      </c>
      <c r="C41" s="5">
        <v>8724560.3967785928</v>
      </c>
      <c r="D41" s="251">
        <v>0.94598317667470033</v>
      </c>
      <c r="E41" s="12">
        <f>+C41*D41/'5.2 Asignación de Áreas'!$E$4</f>
        <v>32.181453246495295</v>
      </c>
    </row>
    <row r="42" spans="2:5" x14ac:dyDescent="0.25">
      <c r="B42" s="1" t="s">
        <v>223</v>
      </c>
      <c r="C42" s="5">
        <v>19190604.167385109</v>
      </c>
      <c r="D42" s="251">
        <v>0.70980553459599194</v>
      </c>
      <c r="E42" s="12">
        <f>+C42*D42/'5.2 Asignación de Áreas'!$E$4</f>
        <v>53.113719362351596</v>
      </c>
    </row>
    <row r="43" spans="2:5" x14ac:dyDescent="0.25">
      <c r="B43" s="1" t="s">
        <v>224</v>
      </c>
      <c r="C43" s="5">
        <v>19734789.882669199</v>
      </c>
      <c r="D43" s="251">
        <v>0.70980553459599194</v>
      </c>
      <c r="E43" s="12">
        <f>+C43*D43/'5.2 Asignación de Áreas'!$E$4</f>
        <v>54.619858883051123</v>
      </c>
    </row>
    <row r="44" spans="2:5" x14ac:dyDescent="0.25">
      <c r="B44" s="1" t="s">
        <v>225</v>
      </c>
      <c r="C44" s="5">
        <v>16989388.527332935</v>
      </c>
      <c r="D44" s="251">
        <v>0.94210000000000005</v>
      </c>
      <c r="E44" s="12">
        <f>+C44*D44/'5.2 Asignación de Áreas'!$E$4</f>
        <v>62.409892949412544</v>
      </c>
    </row>
    <row r="45" spans="2:5" x14ac:dyDescent="0.25">
      <c r="B45" s="1" t="s">
        <v>226</v>
      </c>
      <c r="C45" s="5">
        <v>2695167.9316587094</v>
      </c>
      <c r="D45" s="251">
        <v>0.70980553459599194</v>
      </c>
      <c r="E45" s="12">
        <f>+C45*D45/'5.2 Asignación de Áreas'!$E$4</f>
        <v>7.4594000224244015</v>
      </c>
    </row>
    <row r="46" spans="2:5" x14ac:dyDescent="0.25">
      <c r="B46" s="54" t="s">
        <v>8</v>
      </c>
      <c r="C46" s="219"/>
      <c r="D46" s="219"/>
      <c r="E46" s="250">
        <f>+SUM(E38:E45)</f>
        <v>356.72081142553026</v>
      </c>
    </row>
    <row r="49" spans="2:6" x14ac:dyDescent="0.25">
      <c r="B49" s="202" t="s">
        <v>590</v>
      </c>
    </row>
    <row r="51" spans="2:6" x14ac:dyDescent="0.25">
      <c r="B51" s="40" t="s">
        <v>592</v>
      </c>
      <c r="C51" s="40" t="s">
        <v>230</v>
      </c>
      <c r="D51" s="40" t="s">
        <v>231</v>
      </c>
      <c r="E51" s="40" t="s">
        <v>232</v>
      </c>
      <c r="F51" s="40" t="s">
        <v>233</v>
      </c>
    </row>
    <row r="52" spans="2:6" x14ac:dyDescent="0.25">
      <c r="B52" s="1" t="s">
        <v>234</v>
      </c>
      <c r="C52" s="5">
        <f>SUM(D52:F52)</f>
        <v>1539762037</v>
      </c>
      <c r="D52" s="5">
        <v>349927657</v>
      </c>
      <c r="E52" s="5">
        <v>1085867884</v>
      </c>
      <c r="F52" s="5">
        <v>103966496</v>
      </c>
    </row>
    <row r="53" spans="2:6" x14ac:dyDescent="0.25">
      <c r="B53" s="252" t="s">
        <v>235</v>
      </c>
      <c r="C53" s="253">
        <f>+C52/$C$52</f>
        <v>1</v>
      </c>
      <c r="D53" s="253">
        <f>+D52/$C$52</f>
        <v>0.22726086797267883</v>
      </c>
      <c r="E53" s="253">
        <f>+E52/$C$52</f>
        <v>0.70521798687520176</v>
      </c>
      <c r="F53" s="253">
        <f>+F52/$C$52</f>
        <v>6.7521145152119377E-2</v>
      </c>
    </row>
    <row r="54" spans="2:6" x14ac:dyDescent="0.25">
      <c r="B54" s="1" t="s">
        <v>236</v>
      </c>
      <c r="C54" s="5">
        <v>3995414.35</v>
      </c>
      <c r="D54" s="5">
        <f>+C54*$D$53</f>
        <v>908001.33309149649</v>
      </c>
      <c r="E54" s="5">
        <f>+C54*$E$53</f>
        <v>2817638.0646392927</v>
      </c>
      <c r="F54" s="5">
        <f>+C54*$F$53</f>
        <v>269774.95226921071</v>
      </c>
    </row>
    <row r="55" spans="2:6" x14ac:dyDescent="0.25">
      <c r="B55" s="1" t="s">
        <v>237</v>
      </c>
      <c r="C55" s="5">
        <v>103159114.14</v>
      </c>
      <c r="D55" s="5">
        <f>+C55*$D$53</f>
        <v>23444029.818749048</v>
      </c>
      <c r="E55" s="5">
        <f>+C55*$E$53</f>
        <v>72749662.801639959</v>
      </c>
      <c r="F55" s="5">
        <f>+C55*$F$53</f>
        <v>6965421.5196109908</v>
      </c>
    </row>
    <row r="56" spans="2:6" x14ac:dyDescent="0.25">
      <c r="B56" s="1" t="s">
        <v>238</v>
      </c>
      <c r="C56" s="5">
        <v>39570891.579999998</v>
      </c>
      <c r="D56" s="5">
        <f>+C56*$D$53</f>
        <v>8992915.1669235677</v>
      </c>
      <c r="E56" s="5">
        <f>+C56*$E$53</f>
        <v>27906104.49890447</v>
      </c>
      <c r="F56" s="5">
        <f>+C56*$F$53</f>
        <v>2671871.9141719583</v>
      </c>
    </row>
    <row r="57" spans="2:6" x14ac:dyDescent="0.25">
      <c r="B57" s="150" t="s">
        <v>239</v>
      </c>
      <c r="C57" s="151">
        <v>15514764.84</v>
      </c>
      <c r="D57" s="151">
        <f>+C57*$D$53</f>
        <v>3525898.9239303996</v>
      </c>
      <c r="E57" s="151">
        <f>+C57*$E$53</f>
        <v>10941291.227306962</v>
      </c>
      <c r="F57" s="151">
        <f>+C57*$F$53</f>
        <v>1047574.6887626381</v>
      </c>
    </row>
    <row r="59" spans="2:6" x14ac:dyDescent="0.25">
      <c r="B59" s="202" t="s">
        <v>593</v>
      </c>
    </row>
    <row r="61" spans="2:6" ht="26.4" x14ac:dyDescent="0.25">
      <c r="B61" s="40" t="s">
        <v>241</v>
      </c>
      <c r="C61" s="40" t="s">
        <v>0</v>
      </c>
      <c r="D61" s="40" t="s">
        <v>1</v>
      </c>
    </row>
    <row r="62" spans="2:6" ht="26.4" x14ac:dyDescent="0.25">
      <c r="B62" s="13" t="s">
        <v>242</v>
      </c>
      <c r="C62" s="7">
        <f>+C12-C26</f>
        <v>657768508.65842783</v>
      </c>
      <c r="D62" s="7">
        <f>+C12-D26</f>
        <v>665483001.22704387</v>
      </c>
    </row>
    <row r="63" spans="2:6" x14ac:dyDescent="0.25">
      <c r="B63" s="1" t="s">
        <v>243</v>
      </c>
      <c r="C63" s="5">
        <f>+SUMPRODUCT($C$38:$C$45,$D$38:$D$45)</f>
        <v>91484972.451794803</v>
      </c>
      <c r="D63" s="5">
        <f>+SUMPRODUCT($C$38:$C$45,$D$38:$D$45)</f>
        <v>91484972.451794803</v>
      </c>
    </row>
    <row r="64" spans="2:6" x14ac:dyDescent="0.25">
      <c r="B64" s="255" t="s">
        <v>8</v>
      </c>
      <c r="C64" s="256">
        <f>+SUM(C62:C63)</f>
        <v>749253481.11022258</v>
      </c>
      <c r="D64" s="256">
        <f>+SUM(D62:D63)</f>
        <v>756967973.67883873</v>
      </c>
    </row>
    <row r="65" spans="2:7" x14ac:dyDescent="0.25">
      <c r="B65" s="1" t="s">
        <v>244</v>
      </c>
      <c r="C65" s="7">
        <f>+$E$52</f>
        <v>1085867884</v>
      </c>
      <c r="D65" s="7">
        <f>+$E$52</f>
        <v>1085867884</v>
      </c>
    </row>
    <row r="66" spans="2:7" x14ac:dyDescent="0.25">
      <c r="B66" s="54" t="s">
        <v>240</v>
      </c>
      <c r="C66" s="254">
        <f>+C64/C65</f>
        <v>0.6900042741389546</v>
      </c>
      <c r="D66" s="254">
        <f>+D64/D65</f>
        <v>0.69710872273927449</v>
      </c>
    </row>
    <row r="68" spans="2:7" x14ac:dyDescent="0.25">
      <c r="B68" s="202" t="s">
        <v>594</v>
      </c>
    </row>
    <row r="70" spans="2:7" ht="31.8" customHeight="1" x14ac:dyDescent="0.25">
      <c r="B70" s="40" t="s">
        <v>245</v>
      </c>
      <c r="C70" s="40" t="s">
        <v>246</v>
      </c>
      <c r="D70" s="40" t="s">
        <v>247</v>
      </c>
      <c r="E70" s="40" t="s">
        <v>248</v>
      </c>
      <c r="F70" s="40" t="s">
        <v>249</v>
      </c>
      <c r="G70" s="40" t="s">
        <v>215</v>
      </c>
    </row>
    <row r="71" spans="2:7" x14ac:dyDescent="0.25">
      <c r="B71" s="1" t="s">
        <v>236</v>
      </c>
      <c r="C71" s="7">
        <f>+E54</f>
        <v>2817638.0646392927</v>
      </c>
      <c r="D71" s="14">
        <f>+$C$66</f>
        <v>0.6900042741389546</v>
      </c>
      <c r="E71" s="3">
        <f>+C71*D71</f>
        <v>1944182.3075777239</v>
      </c>
      <c r="F71" s="3">
        <f>+'5.2 Asignación de Áreas'!$E$4</f>
        <v>256460.99</v>
      </c>
      <c r="G71" s="2">
        <f>+E71/F71</f>
        <v>7.5808110526974257</v>
      </c>
    </row>
    <row r="72" spans="2:7" x14ac:dyDescent="0.25">
      <c r="B72" s="1" t="s">
        <v>237</v>
      </c>
      <c r="C72" s="7">
        <f>+E55</f>
        <v>72749662.801639959</v>
      </c>
      <c r="D72" s="14">
        <f>+$C$66</f>
        <v>0.6900042741389546</v>
      </c>
      <c r="E72" s="3">
        <f t="shared" ref="E72:E74" si="0">+C72*D72</f>
        <v>50197578.275299288</v>
      </c>
      <c r="F72" s="3">
        <f>+'5.2 Asignación de Áreas'!$E$4</f>
        <v>256460.99</v>
      </c>
      <c r="G72" s="2">
        <f t="shared" ref="G72:G74" si="1">+E72/F72</f>
        <v>195.73182757853073</v>
      </c>
    </row>
    <row r="73" spans="2:7" x14ac:dyDescent="0.25">
      <c r="B73" s="1" t="s">
        <v>238</v>
      </c>
      <c r="C73" s="7">
        <f>+E56</f>
        <v>27906104.49890447</v>
      </c>
      <c r="D73" s="14">
        <f>+$C$66</f>
        <v>0.6900042741389546</v>
      </c>
      <c r="E73" s="3">
        <f t="shared" si="0"/>
        <v>19255331.378812395</v>
      </c>
      <c r="F73" s="3">
        <f>+'5.2 Asignación de Áreas'!$E$4</f>
        <v>256460.99</v>
      </c>
      <c r="G73" s="2">
        <f t="shared" si="1"/>
        <v>75.080936788134508</v>
      </c>
    </row>
    <row r="74" spans="2:7" x14ac:dyDescent="0.25">
      <c r="B74" s="1" t="s">
        <v>239</v>
      </c>
      <c r="C74" s="7">
        <f>+E57</f>
        <v>10941291.227306962</v>
      </c>
      <c r="D74" s="14">
        <f>+$C$66</f>
        <v>0.6900042741389546</v>
      </c>
      <c r="E74" s="3">
        <f t="shared" si="0"/>
        <v>7549537.7114408519</v>
      </c>
      <c r="F74" s="3">
        <f>+'5.2 Asignación de Áreas'!$E$4</f>
        <v>256460.99</v>
      </c>
      <c r="G74" s="2">
        <f t="shared" si="1"/>
        <v>29.437372566645916</v>
      </c>
    </row>
    <row r="75" spans="2:7" x14ac:dyDescent="0.25">
      <c r="B75" s="54" t="s">
        <v>8</v>
      </c>
      <c r="C75" s="54"/>
      <c r="D75" s="54"/>
      <c r="E75" s="54"/>
      <c r="F75" s="54"/>
      <c r="G75" s="259">
        <f>+SUM(G71:G74)</f>
        <v>307.8309479860086</v>
      </c>
    </row>
    <row r="76" spans="2:7" x14ac:dyDescent="0.25">
      <c r="B76" s="257"/>
      <c r="C76" s="8"/>
      <c r="D76" s="8"/>
      <c r="E76" s="8"/>
      <c r="F76" s="8"/>
      <c r="G76" s="258"/>
    </row>
    <row r="77" spans="2:7" x14ac:dyDescent="0.25">
      <c r="B77" s="202" t="s">
        <v>595</v>
      </c>
      <c r="C77" s="8"/>
      <c r="D77" s="8"/>
      <c r="E77" s="8"/>
      <c r="F77" s="8"/>
      <c r="G77" s="258"/>
    </row>
    <row r="79" spans="2:7" ht="33" customHeight="1" x14ac:dyDescent="0.25">
      <c r="B79" s="40" t="s">
        <v>250</v>
      </c>
      <c r="C79" s="40" t="s">
        <v>246</v>
      </c>
      <c r="D79" s="40" t="s">
        <v>247</v>
      </c>
      <c r="E79" s="40" t="s">
        <v>248</v>
      </c>
      <c r="F79" s="40" t="s">
        <v>249</v>
      </c>
      <c r="G79" s="40" t="s">
        <v>215</v>
      </c>
    </row>
    <row r="80" spans="2:7" x14ac:dyDescent="0.25">
      <c r="B80" s="1" t="s">
        <v>236</v>
      </c>
      <c r="C80" s="7">
        <f>+E54</f>
        <v>2817638.0646392927</v>
      </c>
      <c r="D80" s="14">
        <f>+$D$66</f>
        <v>0.69710872273927449</v>
      </c>
      <c r="E80" s="3">
        <f>+C80*D80</f>
        <v>1964200.0723822587</v>
      </c>
      <c r="F80" s="3">
        <f>+'5.2 Asignación de Áreas'!$E$4</f>
        <v>256460.99</v>
      </c>
      <c r="G80" s="2">
        <f>+E80/F80</f>
        <v>7.6588648916244875</v>
      </c>
    </row>
    <row r="81" spans="2:7" x14ac:dyDescent="0.25">
      <c r="B81" s="1" t="s">
        <v>237</v>
      </c>
      <c r="C81" s="7">
        <f>+E55</f>
        <v>72749662.801639959</v>
      </c>
      <c r="D81" s="14">
        <f>+$D$66</f>
        <v>0.69710872273927449</v>
      </c>
      <c r="E81" s="3">
        <f t="shared" ref="E81:E83" si="2">+C81*D81</f>
        <v>50714424.51536414</v>
      </c>
      <c r="F81" s="3">
        <f>+'5.2 Asignación de Áreas'!$E$4</f>
        <v>256460.99</v>
      </c>
      <c r="G81" s="2">
        <f t="shared" ref="G81:G83" si="3">+E81/F81</f>
        <v>197.74712916519641</v>
      </c>
    </row>
    <row r="82" spans="2:7" x14ac:dyDescent="0.25">
      <c r="B82" s="1" t="s">
        <v>238</v>
      </c>
      <c r="C82" s="7">
        <f>+E56</f>
        <v>27906104.49890447</v>
      </c>
      <c r="D82" s="14">
        <f>+$D$66</f>
        <v>0.69710872273927449</v>
      </c>
      <c r="E82" s="3">
        <f t="shared" si="2"/>
        <v>19453588.863860019</v>
      </c>
      <c r="F82" s="3">
        <f>+'5.2 Asignación de Áreas'!$E$4</f>
        <v>256460.99</v>
      </c>
      <c r="G82" s="2">
        <f t="shared" si="3"/>
        <v>75.85398802312983</v>
      </c>
    </row>
    <row r="83" spans="2:7" x14ac:dyDescent="0.25">
      <c r="B83" s="1" t="s">
        <v>239</v>
      </c>
      <c r="C83" s="7">
        <f>+E57</f>
        <v>10941291.227306962</v>
      </c>
      <c r="D83" s="14">
        <f>+$D$66</f>
        <v>0.69710872273927449</v>
      </c>
      <c r="E83" s="3">
        <f t="shared" si="2"/>
        <v>7627269.552586385</v>
      </c>
      <c r="F83" s="3">
        <f>+'5.2 Asignación de Áreas'!$E$4</f>
        <v>256460.99</v>
      </c>
      <c r="G83" s="2">
        <f t="shared" si="3"/>
        <v>29.740466776590019</v>
      </c>
    </row>
    <row r="84" spans="2:7" x14ac:dyDescent="0.25">
      <c r="B84" s="54" t="s">
        <v>8</v>
      </c>
      <c r="C84" s="54"/>
      <c r="D84" s="54"/>
      <c r="E84" s="54"/>
      <c r="F84" s="54"/>
      <c r="G84" s="259">
        <f>+SUM(G80:G83)</f>
        <v>311.0004488565408</v>
      </c>
    </row>
  </sheetData>
  <hyperlinks>
    <hyperlink ref="I1" location="Índice!A1" display="ÍNDICE" xr:uid="{7CDEF252-1636-4091-9F96-C5C8B3E75B39}"/>
  </hyperlink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2E67-D504-4D91-AC8E-29192075E181}">
  <sheetPr codeName="Hoja20"/>
  <dimension ref="B1:G61"/>
  <sheetViews>
    <sheetView showGridLines="0" zoomScaleNormal="100" workbookViewId="0">
      <pane ySplit="2" topLeftCell="A43" activePane="bottomLeft" state="frozen"/>
      <selection pane="bottomLeft"/>
    </sheetView>
  </sheetViews>
  <sheetFormatPr baseColWidth="10" defaultColWidth="11.5546875" defaultRowHeight="13.2" x14ac:dyDescent="0.25"/>
  <cols>
    <col min="1" max="1" width="2.6640625" style="1" customWidth="1"/>
    <col min="2" max="2" width="32.21875" style="1" customWidth="1"/>
    <col min="3" max="3" width="19.109375" style="1" customWidth="1"/>
    <col min="4" max="4" width="13.5546875" style="1" customWidth="1"/>
    <col min="5" max="5" width="11.5546875" style="1"/>
    <col min="6" max="6" width="13.44140625" style="1" customWidth="1"/>
    <col min="7" max="7" width="17.33203125" style="1" customWidth="1"/>
    <col min="8" max="16384" width="11.5546875" style="1"/>
  </cols>
  <sheetData>
    <row r="1" spans="2:7" s="38" customFormat="1" ht="16.2" thickBot="1" x14ac:dyDescent="0.35">
      <c r="B1" s="37" t="s">
        <v>585</v>
      </c>
      <c r="G1" s="39" t="s">
        <v>389</v>
      </c>
    </row>
    <row r="2" spans="2:7" s="38" customFormat="1" ht="5.0999999999999996" customHeight="1" x14ac:dyDescent="0.3">
      <c r="B2" s="37"/>
      <c r="D2" s="178"/>
    </row>
    <row r="3" spans="2:7" x14ac:dyDescent="0.25">
      <c r="B3" s="202"/>
      <c r="E3" s="8"/>
    </row>
    <row r="4" spans="2:7" x14ac:dyDescent="0.25">
      <c r="B4" s="8" t="s">
        <v>596</v>
      </c>
      <c r="C4" s="8"/>
      <c r="D4" s="8"/>
    </row>
    <row r="6" spans="2:7" x14ac:dyDescent="0.25">
      <c r="B6" s="53" t="s">
        <v>328</v>
      </c>
      <c r="C6" s="53" t="s">
        <v>0</v>
      </c>
      <c r="D6" s="53" t="s">
        <v>1</v>
      </c>
    </row>
    <row r="7" spans="2:7" x14ac:dyDescent="0.25">
      <c r="B7" s="1" t="s">
        <v>251</v>
      </c>
      <c r="C7" s="5">
        <f>+'3.1.1 CAPEX-Exclusivas'!C31</f>
        <v>2564.7897119106801</v>
      </c>
      <c r="D7" s="5">
        <f>+'3.1.1 CAPEX-Exclusivas'!C32</f>
        <v>2594.8702811567714</v>
      </c>
    </row>
    <row r="8" spans="2:7" x14ac:dyDescent="0.25">
      <c r="B8" s="1" t="s">
        <v>217</v>
      </c>
      <c r="C8" s="5">
        <f>+'3.1.1 CAPEX-Exclusivas'!E46</f>
        <v>356.72081142553026</v>
      </c>
      <c r="D8" s="5">
        <f>+'3.1.1 CAPEX-Exclusivas'!E46</f>
        <v>356.72081142553026</v>
      </c>
    </row>
    <row r="9" spans="2:7" x14ac:dyDescent="0.25">
      <c r="B9" s="1" t="s">
        <v>229</v>
      </c>
      <c r="C9" s="5">
        <f>+'3.1.1 CAPEX-Exclusivas'!G75</f>
        <v>307.8309479860086</v>
      </c>
      <c r="D9" s="5">
        <f>+'3.1.1 CAPEX-Exclusivas'!G84</f>
        <v>311.0004488565408</v>
      </c>
    </row>
    <row r="10" spans="2:7" x14ac:dyDescent="0.25">
      <c r="B10" s="54" t="s">
        <v>8</v>
      </c>
      <c r="C10" s="219">
        <f>+SUM(C7:C9)</f>
        <v>3229.3414713222191</v>
      </c>
      <c r="D10" s="219">
        <f>+SUM(D7:D9)</f>
        <v>3262.5915414388428</v>
      </c>
    </row>
    <row r="11" spans="2:7" x14ac:dyDescent="0.25">
      <c r="B11" s="38"/>
    </row>
    <row r="12" spans="2:7" x14ac:dyDescent="0.25">
      <c r="B12" s="8" t="s">
        <v>597</v>
      </c>
      <c r="C12" s="8"/>
      <c r="D12" s="8"/>
      <c r="E12" s="8"/>
      <c r="F12" s="8"/>
    </row>
    <row r="14" spans="2:7" ht="26.4" x14ac:dyDescent="0.25">
      <c r="B14" s="40" t="s">
        <v>0</v>
      </c>
      <c r="C14" s="40" t="s">
        <v>579</v>
      </c>
      <c r="D14" s="40" t="s">
        <v>252</v>
      </c>
      <c r="E14" s="40" t="s">
        <v>253</v>
      </c>
      <c r="F14" s="40" t="s">
        <v>254</v>
      </c>
    </row>
    <row r="15" spans="2:7" ht="13.2" customHeight="1" x14ac:dyDescent="0.25">
      <c r="B15" s="1" t="s">
        <v>255</v>
      </c>
      <c r="C15" s="1">
        <f>+'5.2 Asignación de Áreas'!C4</f>
        <v>2017</v>
      </c>
      <c r="D15" s="4" t="s">
        <v>191</v>
      </c>
      <c r="E15" s="5">
        <f>+C10</f>
        <v>3229.3414713222191</v>
      </c>
      <c r="F15" s="5">
        <f>+C15*E15</f>
        <v>6513581.7476569163</v>
      </c>
    </row>
    <row r="16" spans="2:7" ht="13.2" customHeight="1" x14ac:dyDescent="0.25">
      <c r="B16" s="1" t="s">
        <v>256</v>
      </c>
      <c r="C16" s="1">
        <v>2</v>
      </c>
      <c r="D16" s="4" t="s">
        <v>257</v>
      </c>
      <c r="E16" s="5">
        <v>158249.19483811999</v>
      </c>
      <c r="F16" s="5">
        <f>+C16*E16</f>
        <v>316498.38967623998</v>
      </c>
    </row>
    <row r="17" spans="2:6" x14ac:dyDescent="0.25">
      <c r="B17" s="1" t="s">
        <v>258</v>
      </c>
      <c r="C17" s="1">
        <v>2</v>
      </c>
      <c r="D17" s="4" t="s">
        <v>257</v>
      </c>
      <c r="E17" s="5">
        <v>207428.64868769591</v>
      </c>
      <c r="F17" s="5">
        <f>+C17*E17</f>
        <v>414857.29737539182</v>
      </c>
    </row>
    <row r="18" spans="2:6" x14ac:dyDescent="0.25">
      <c r="B18" s="1" t="s">
        <v>259</v>
      </c>
      <c r="C18" s="1">
        <v>11</v>
      </c>
      <c r="D18" s="4" t="s">
        <v>257</v>
      </c>
      <c r="E18" s="5">
        <v>31196.254703878698</v>
      </c>
      <c r="F18" s="5">
        <f>+C18*E18</f>
        <v>343158.8017426657</v>
      </c>
    </row>
    <row r="19" spans="2:6" x14ac:dyDescent="0.25">
      <c r="B19" s="1" t="s">
        <v>260</v>
      </c>
      <c r="C19" s="1">
        <v>1</v>
      </c>
      <c r="D19" s="4" t="s">
        <v>257</v>
      </c>
      <c r="E19" s="5">
        <v>7541159.509703829</v>
      </c>
      <c r="F19" s="5">
        <f>+C19*E19</f>
        <v>7541159.509703829</v>
      </c>
    </row>
    <row r="20" spans="2:6" x14ac:dyDescent="0.25">
      <c r="B20" s="54" t="s">
        <v>261</v>
      </c>
      <c r="C20" s="54"/>
      <c r="D20" s="54"/>
      <c r="E20" s="54"/>
      <c r="F20" s="263">
        <f>+SUM(F15:F19)</f>
        <v>15129255.746155042</v>
      </c>
    </row>
    <row r="22" spans="2:6" x14ac:dyDescent="0.25">
      <c r="B22" s="8" t="s">
        <v>598</v>
      </c>
    </row>
    <row r="24" spans="2:6" ht="26.4" x14ac:dyDescent="0.25">
      <c r="B24" s="40" t="s">
        <v>1</v>
      </c>
      <c r="C24" s="40" t="s">
        <v>579</v>
      </c>
      <c r="D24" s="40" t="s">
        <v>252</v>
      </c>
      <c r="E24" s="40" t="s">
        <v>253</v>
      </c>
      <c r="F24" s="40" t="s">
        <v>254</v>
      </c>
    </row>
    <row r="25" spans="2:6" x14ac:dyDescent="0.25">
      <c r="B25" s="1" t="s">
        <v>255</v>
      </c>
      <c r="C25" s="1">
        <f>+'5.2 Asignación de Áreas'!C5</f>
        <v>515</v>
      </c>
      <c r="D25" s="4" t="s">
        <v>191</v>
      </c>
      <c r="E25" s="5">
        <f>+D10</f>
        <v>3262.5915414388428</v>
      </c>
      <c r="F25" s="5">
        <f>+C25*E25</f>
        <v>1680234.643841004</v>
      </c>
    </row>
    <row r="26" spans="2:6" x14ac:dyDescent="0.25">
      <c r="B26" s="1" t="s">
        <v>256</v>
      </c>
      <c r="C26" s="1">
        <v>3</v>
      </c>
      <c r="D26" s="4" t="s">
        <v>257</v>
      </c>
      <c r="E26" s="5">
        <v>158249.19483811973</v>
      </c>
      <c r="F26" s="5">
        <f>+C26*E26</f>
        <v>474747.58451435919</v>
      </c>
    </row>
    <row r="27" spans="2:6" x14ac:dyDescent="0.25">
      <c r="B27" s="1" t="s">
        <v>258</v>
      </c>
      <c r="C27" s="1">
        <v>2</v>
      </c>
      <c r="D27" s="4" t="s">
        <v>257</v>
      </c>
      <c r="E27" s="5">
        <v>207428.64868769591</v>
      </c>
      <c r="F27" s="5">
        <f>+C27*E27</f>
        <v>414857.29737539182</v>
      </c>
    </row>
    <row r="28" spans="2:6" x14ac:dyDescent="0.25">
      <c r="B28" s="1" t="s">
        <v>259</v>
      </c>
      <c r="C28" s="1">
        <v>5</v>
      </c>
      <c r="D28" s="4" t="s">
        <v>257</v>
      </c>
      <c r="E28" s="5">
        <v>31196.254703878698</v>
      </c>
      <c r="F28" s="5">
        <f>+C28*E28</f>
        <v>155981.27351939349</v>
      </c>
    </row>
    <row r="29" spans="2:6" x14ac:dyDescent="0.25">
      <c r="B29" s="54" t="s">
        <v>599</v>
      </c>
      <c r="C29" s="54"/>
      <c r="D29" s="54"/>
      <c r="E29" s="54"/>
      <c r="F29" s="263">
        <f>+SUM(F25:F28)</f>
        <v>2725820.7992501482</v>
      </c>
    </row>
    <row r="30" spans="2:6" ht="13.2" customHeight="1" x14ac:dyDescent="0.25">
      <c r="B30" s="262"/>
    </row>
    <row r="31" spans="2:6" x14ac:dyDescent="0.25">
      <c r="B31" s="8"/>
    </row>
    <row r="32" spans="2:6" x14ac:dyDescent="0.25">
      <c r="B32" s="202" t="s">
        <v>600</v>
      </c>
      <c r="C32" s="10"/>
      <c r="D32" s="10"/>
      <c r="E32" s="10"/>
      <c r="F32" s="10"/>
    </row>
    <row r="33" spans="2:6" x14ac:dyDescent="0.25">
      <c r="B33" s="10"/>
      <c r="C33" s="10"/>
      <c r="D33" s="10"/>
      <c r="E33" s="10"/>
      <c r="F33" s="10"/>
    </row>
    <row r="34" spans="2:6" x14ac:dyDescent="0.25">
      <c r="B34" s="53" t="s">
        <v>481</v>
      </c>
      <c r="C34" s="160" t="s">
        <v>483</v>
      </c>
      <c r="D34" s="190">
        <v>2024</v>
      </c>
      <c r="E34" s="53">
        <f>+D34+1</f>
        <v>2025</v>
      </c>
      <c r="F34" s="53">
        <f>+E34+1</f>
        <v>2026</v>
      </c>
    </row>
    <row r="35" spans="2:6" x14ac:dyDescent="0.25">
      <c r="B35" s="184" t="s">
        <v>575</v>
      </c>
      <c r="C35" s="233">
        <f>SUM(D35:F35)</f>
        <v>1</v>
      </c>
      <c r="D35" s="226">
        <v>0.89385289499714859</v>
      </c>
      <c r="E35" s="224">
        <v>9.1027410885394455E-2</v>
      </c>
      <c r="F35" s="224">
        <v>1.511969411745695E-2</v>
      </c>
    </row>
    <row r="36" spans="2:6" x14ac:dyDescent="0.25">
      <c r="B36" s="98" t="s">
        <v>601</v>
      </c>
      <c r="C36" s="234">
        <v>891483687.67999876</v>
      </c>
      <c r="D36" s="227"/>
      <c r="E36" s="228"/>
      <c r="F36" s="228"/>
    </row>
    <row r="37" spans="2:6" x14ac:dyDescent="0.25">
      <c r="B37" s="98" t="s">
        <v>602</v>
      </c>
      <c r="C37" s="234">
        <v>194384196.67999998</v>
      </c>
      <c r="D37" s="227"/>
      <c r="E37" s="228"/>
      <c r="F37" s="228"/>
    </row>
    <row r="38" spans="2:6" x14ac:dyDescent="0.25">
      <c r="B38" s="264" t="s">
        <v>603</v>
      </c>
      <c r="C38" s="265">
        <f>+C36/SUM(C36:C37)</f>
        <v>0.82098724948056789</v>
      </c>
      <c r="D38" s="227"/>
      <c r="E38" s="228"/>
      <c r="F38" s="228"/>
    </row>
    <row r="39" spans="2:6" x14ac:dyDescent="0.25">
      <c r="B39" s="266" t="s">
        <v>604</v>
      </c>
      <c r="C39" s="267">
        <f>+C37/SUM(C36:C37)</f>
        <v>0.17901275051943208</v>
      </c>
      <c r="D39" s="268"/>
      <c r="E39" s="269"/>
      <c r="F39" s="269"/>
    </row>
    <row r="41" spans="2:6" x14ac:dyDescent="0.25">
      <c r="B41" s="202" t="s">
        <v>605</v>
      </c>
    </row>
    <row r="43" spans="2:6" x14ac:dyDescent="0.25">
      <c r="B43" s="53" t="s">
        <v>0</v>
      </c>
      <c r="C43" s="190">
        <v>2024</v>
      </c>
      <c r="D43" s="53">
        <v>2025</v>
      </c>
      <c r="E43" s="53">
        <v>2026</v>
      </c>
    </row>
    <row r="44" spans="2:6" x14ac:dyDescent="0.25">
      <c r="B44" s="1" t="s">
        <v>265</v>
      </c>
      <c r="C44" s="5">
        <f>+$F$15*D35*$C$38</f>
        <v>4779938.7476268159</v>
      </c>
      <c r="D44" s="5">
        <f t="shared" ref="D44:E44" si="0">+$F$15*E35*$C$38</f>
        <v>486775.22981970315</v>
      </c>
      <c r="E44" s="5">
        <f t="shared" si="0"/>
        <v>80853.585829162927</v>
      </c>
    </row>
    <row r="45" spans="2:6" x14ac:dyDescent="0.25">
      <c r="B45" s="1" t="s">
        <v>266</v>
      </c>
      <c r="C45" s="5">
        <f>+$F$15*D35*$C$39</f>
        <v>1042245.154316905</v>
      </c>
      <c r="D45" s="5">
        <f t="shared" ref="D45:E45" si="1">+$F$15*E35*$C$39</f>
        <v>106139.25225986868</v>
      </c>
      <c r="E45" s="5">
        <f t="shared" si="1"/>
        <v>17629.777804460304</v>
      </c>
    </row>
    <row r="46" spans="2:6" x14ac:dyDescent="0.25">
      <c r="B46" s="1" t="s">
        <v>256</v>
      </c>
      <c r="C46" s="5">
        <f>+$F$16*D35</f>
        <v>282903.00187404273</v>
      </c>
      <c r="D46" s="5">
        <f t="shared" ref="D46:E46" si="2">+$F$16*E35</f>
        <v>28810.028961624783</v>
      </c>
      <c r="E46" s="5">
        <f t="shared" si="2"/>
        <v>4785.3588405724431</v>
      </c>
    </row>
    <row r="47" spans="2:6" x14ac:dyDescent="0.25">
      <c r="B47" s="1" t="s">
        <v>258</v>
      </c>
      <c r="C47" s="5">
        <f>+$F$17*D35</f>
        <v>370821.39626968693</v>
      </c>
      <c r="D47" s="5">
        <f t="shared" ref="D47:E47" si="3">+$F$17*E35</f>
        <v>37763.385666994065</v>
      </c>
      <c r="E47" s="5">
        <f t="shared" si="3"/>
        <v>6272.5154387108005</v>
      </c>
    </row>
    <row r="48" spans="2:6" x14ac:dyDescent="0.25">
      <c r="B48" s="1" t="s">
        <v>259</v>
      </c>
      <c r="C48" s="5">
        <f>+$F$18*D35</f>
        <v>306733.48838143429</v>
      </c>
      <c r="D48" s="5">
        <f t="shared" ref="D48:E48" si="4">+$F$18*E35</f>
        <v>31236.857245169245</v>
      </c>
      <c r="E48" s="5">
        <f t="shared" si="4"/>
        <v>5188.4561160621588</v>
      </c>
    </row>
    <row r="49" spans="2:5" x14ac:dyDescent="0.25">
      <c r="B49" s="1" t="s">
        <v>260</v>
      </c>
      <c r="C49" s="5">
        <f>+$F$19*D35</f>
        <v>6740687.2593840454</v>
      </c>
      <c r="D49" s="5">
        <f t="shared" ref="D49:E49" si="5">+$F$19*E35</f>
        <v>686452.2252421102</v>
      </c>
      <c r="E49" s="5">
        <f t="shared" si="5"/>
        <v>114020.02507767352</v>
      </c>
    </row>
    <row r="50" spans="2:5" x14ac:dyDescent="0.25">
      <c r="B50" s="54" t="s">
        <v>264</v>
      </c>
      <c r="C50" s="263">
        <f>+SUM(C44:C49)</f>
        <v>13523329.04785293</v>
      </c>
      <c r="D50" s="263">
        <f t="shared" ref="D50:E50" si="6">+SUM(D44:D49)</f>
        <v>1377176.97919547</v>
      </c>
      <c r="E50" s="263">
        <f t="shared" si="6"/>
        <v>228749.71910664215</v>
      </c>
    </row>
    <row r="52" spans="2:5" x14ac:dyDescent="0.25">
      <c r="B52" s="202" t="s">
        <v>606</v>
      </c>
    </row>
    <row r="55" spans="2:5" x14ac:dyDescent="0.25">
      <c r="B55" s="53" t="s">
        <v>1</v>
      </c>
      <c r="C55" s="190">
        <v>2024</v>
      </c>
      <c r="D55" s="53">
        <v>2025</v>
      </c>
      <c r="E55" s="53">
        <v>2026</v>
      </c>
    </row>
    <row r="56" spans="2:5" x14ac:dyDescent="0.25">
      <c r="B56" s="1" t="s">
        <v>265</v>
      </c>
      <c r="C56" s="5">
        <f>+$F$25*D35*$C$38</f>
        <v>1233026.4653682502</v>
      </c>
      <c r="D56" s="5">
        <f>+$F$25*E35*$C$38</f>
        <v>125567.87288360168</v>
      </c>
      <c r="E56" s="5">
        <f>+$F$25*F35*$C$38</f>
        <v>20856.880477135492</v>
      </c>
    </row>
    <row r="57" spans="2:5" x14ac:dyDescent="0.25">
      <c r="B57" s="1" t="s">
        <v>266</v>
      </c>
      <c r="C57" s="5">
        <f>+$F$25*D35*$C$39</f>
        <v>268856.13530353393</v>
      </c>
      <c r="D57" s="5">
        <f t="shared" ref="D57:E57" si="7">+$F$25*E35*$C$39</f>
        <v>27379.536425187795</v>
      </c>
      <c r="E57" s="5">
        <f t="shared" si="7"/>
        <v>4547.7533832947083</v>
      </c>
    </row>
    <row r="58" spans="2:5" x14ac:dyDescent="0.25">
      <c r="B58" s="1" t="s">
        <v>256</v>
      </c>
      <c r="C58" s="5">
        <f>+$F$26*D35</f>
        <v>424354.50281106343</v>
      </c>
      <c r="D58" s="5">
        <f>+$F$26*E35</f>
        <v>43215.043442437105</v>
      </c>
      <c r="E58" s="5">
        <f>+$F$26*F35</f>
        <v>7178.0382608586524</v>
      </c>
    </row>
    <row r="59" spans="2:5" x14ac:dyDescent="0.25">
      <c r="B59" s="1" t="s">
        <v>258</v>
      </c>
      <c r="C59" s="5">
        <f>+$F$27*D35</f>
        <v>370821.39626968693</v>
      </c>
      <c r="D59" s="5">
        <f t="shared" ref="D59:E59" si="8">+$F$27*E35</f>
        <v>37763.385666994065</v>
      </c>
      <c r="E59" s="5">
        <f t="shared" si="8"/>
        <v>6272.5154387108005</v>
      </c>
    </row>
    <row r="60" spans="2:5" x14ac:dyDescent="0.25">
      <c r="B60" s="1" t="s">
        <v>259</v>
      </c>
      <c r="C60" s="5">
        <f>+$F$28*D35</f>
        <v>139424.31290065194</v>
      </c>
      <c r="D60" s="5">
        <f t="shared" ref="D60:E60" si="9">+$F$28*E35</f>
        <v>14198.571475076929</v>
      </c>
      <c r="E60" s="5">
        <f t="shared" si="9"/>
        <v>2358.3891436646172</v>
      </c>
    </row>
    <row r="61" spans="2:5" x14ac:dyDescent="0.25">
      <c r="B61" s="54" t="s">
        <v>340</v>
      </c>
      <c r="C61" s="263">
        <f>+SUM(C56:C60)</f>
        <v>2436482.8126531867</v>
      </c>
      <c r="D61" s="263">
        <f t="shared" ref="D61:E61" si="10">+SUM(D56:D60)</f>
        <v>248124.40989329756</v>
      </c>
      <c r="E61" s="263">
        <f t="shared" si="10"/>
        <v>41213.576703664265</v>
      </c>
    </row>
  </sheetData>
  <hyperlinks>
    <hyperlink ref="G1" location="Índice!A1" display="ÍNDICE" xr:uid="{9C2F4101-1B38-47A0-B986-18426A912AC4}"/>
  </hyperlink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2DFFA-F947-4FF9-AEAF-22B4CD26B8CF}">
  <sheetPr codeName="Hoja16"/>
  <dimension ref="B1:AF153"/>
  <sheetViews>
    <sheetView showGridLines="0" zoomScaleNormal="100" workbookViewId="0">
      <selection activeCell="B1" sqref="B1"/>
    </sheetView>
  </sheetViews>
  <sheetFormatPr baseColWidth="10" defaultColWidth="11.5546875" defaultRowHeight="13.2" x14ac:dyDescent="0.25"/>
  <cols>
    <col min="1" max="1" width="2.6640625" style="1" customWidth="1"/>
    <col min="2" max="2" width="45.109375" style="1" customWidth="1"/>
    <col min="3" max="9" width="14.88671875" style="1" customWidth="1"/>
    <col min="10" max="16" width="14.33203125" style="1" customWidth="1"/>
    <col min="17" max="21" width="11.5546875" style="1"/>
    <col min="22" max="22" width="12.44140625" style="1" bestFit="1" customWidth="1"/>
    <col min="23" max="16384" width="11.5546875" style="1"/>
  </cols>
  <sheetData>
    <row r="1" spans="2:10" s="38" customFormat="1" ht="16.2" thickBot="1" x14ac:dyDescent="0.35">
      <c r="B1" s="37" t="s">
        <v>610</v>
      </c>
      <c r="I1" s="39" t="s">
        <v>389</v>
      </c>
    </row>
    <row r="2" spans="2:10" s="38" customFormat="1" ht="5.0999999999999996" customHeight="1" x14ac:dyDescent="0.3">
      <c r="B2" s="37"/>
      <c r="I2" s="178"/>
    </row>
    <row r="4" spans="2:10" x14ac:dyDescent="0.25">
      <c r="B4" s="8" t="s">
        <v>607</v>
      </c>
    </row>
    <row r="6" spans="2:10" ht="66" x14ac:dyDescent="0.25">
      <c r="B6" s="270" t="s">
        <v>267</v>
      </c>
      <c r="C6" s="271" t="s">
        <v>268</v>
      </c>
      <c r="D6" s="271" t="s">
        <v>269</v>
      </c>
      <c r="E6" s="271" t="s">
        <v>270</v>
      </c>
      <c r="F6" s="271" t="s">
        <v>271</v>
      </c>
      <c r="G6" s="271" t="s">
        <v>272</v>
      </c>
      <c r="H6" s="271" t="s">
        <v>273</v>
      </c>
      <c r="I6" s="271" t="s">
        <v>274</v>
      </c>
      <c r="J6" s="271" t="s">
        <v>275</v>
      </c>
    </row>
    <row r="7" spans="2:10" x14ac:dyDescent="0.25">
      <c r="B7" s="1" t="s">
        <v>276</v>
      </c>
      <c r="C7" s="5"/>
      <c r="D7" s="5"/>
      <c r="E7" s="5"/>
      <c r="F7" s="5"/>
      <c r="G7" s="5">
        <v>223</v>
      </c>
      <c r="H7" s="5">
        <v>223</v>
      </c>
      <c r="I7" s="5">
        <v>273</v>
      </c>
      <c r="J7" s="5">
        <v>400</v>
      </c>
    </row>
    <row r="8" spans="2:10" x14ac:dyDescent="0.25">
      <c r="B8" s="1" t="s">
        <v>277</v>
      </c>
      <c r="C8" s="5"/>
      <c r="D8" s="5"/>
      <c r="E8" s="5"/>
      <c r="F8" s="5">
        <v>1999</v>
      </c>
      <c r="G8" s="5">
        <v>1612</v>
      </c>
      <c r="H8" s="5"/>
      <c r="I8" s="5"/>
      <c r="J8" s="5"/>
    </row>
    <row r="9" spans="2:10" x14ac:dyDescent="0.25">
      <c r="B9" s="1" t="s">
        <v>278</v>
      </c>
      <c r="C9" s="5"/>
      <c r="D9" s="5"/>
      <c r="E9" s="5"/>
      <c r="F9" s="5"/>
      <c r="G9" s="5">
        <v>1989</v>
      </c>
      <c r="H9" s="5">
        <v>397</v>
      </c>
      <c r="I9" s="5"/>
      <c r="J9" s="5"/>
    </row>
    <row r="10" spans="2:10" x14ac:dyDescent="0.25">
      <c r="B10" s="1" t="s">
        <v>279</v>
      </c>
      <c r="C10" s="5">
        <v>1866</v>
      </c>
      <c r="D10" s="5">
        <v>835</v>
      </c>
      <c r="E10" s="5"/>
      <c r="F10" s="5"/>
      <c r="G10" s="5">
        <v>3015</v>
      </c>
      <c r="H10" s="5"/>
      <c r="I10" s="5"/>
      <c r="J10" s="5"/>
    </row>
    <row r="11" spans="2:10" x14ac:dyDescent="0.25">
      <c r="B11" s="1" t="s">
        <v>280</v>
      </c>
      <c r="C11" s="5">
        <v>4989</v>
      </c>
      <c r="D11" s="5">
        <v>20</v>
      </c>
      <c r="E11" s="5"/>
      <c r="F11" s="5"/>
      <c r="G11" s="5">
        <v>3975</v>
      </c>
      <c r="H11" s="5"/>
      <c r="I11" s="5"/>
      <c r="J11" s="5"/>
    </row>
    <row r="12" spans="2:10" x14ac:dyDescent="0.25">
      <c r="B12" s="1" t="s">
        <v>281</v>
      </c>
      <c r="C12" s="5"/>
      <c r="D12" s="5"/>
      <c r="E12" s="5"/>
      <c r="F12" s="5"/>
      <c r="G12" s="5">
        <v>4197</v>
      </c>
      <c r="H12" s="5">
        <v>395</v>
      </c>
      <c r="I12" s="5">
        <v>671</v>
      </c>
      <c r="J12" s="5"/>
    </row>
    <row r="13" spans="2:10" x14ac:dyDescent="0.25">
      <c r="B13" s="1" t="s">
        <v>282</v>
      </c>
      <c r="C13" s="5"/>
      <c r="D13" s="5"/>
      <c r="E13" s="5">
        <v>1986</v>
      </c>
      <c r="F13" s="5">
        <v>3353</v>
      </c>
      <c r="G13" s="5">
        <v>5853</v>
      </c>
      <c r="H13" s="5"/>
      <c r="I13" s="5"/>
      <c r="J13" s="5"/>
    </row>
    <row r="14" spans="2:10" x14ac:dyDescent="0.25">
      <c r="B14" s="1" t="s">
        <v>283</v>
      </c>
      <c r="C14" s="5"/>
      <c r="D14" s="5"/>
      <c r="E14" s="5"/>
      <c r="F14" s="5">
        <v>3117</v>
      </c>
      <c r="G14" s="5">
        <v>2183</v>
      </c>
      <c r="H14" s="5"/>
      <c r="I14" s="5"/>
      <c r="J14" s="5"/>
    </row>
    <row r="15" spans="2:10" x14ac:dyDescent="0.25">
      <c r="B15" s="1" t="s">
        <v>284</v>
      </c>
      <c r="C15" s="5"/>
      <c r="D15" s="5"/>
      <c r="E15" s="5"/>
      <c r="F15" s="5">
        <v>2759</v>
      </c>
      <c r="G15" s="5">
        <v>4260</v>
      </c>
      <c r="H15" s="5">
        <v>1755</v>
      </c>
      <c r="I15" s="5"/>
      <c r="J15" s="5"/>
    </row>
    <row r="16" spans="2:10" x14ac:dyDescent="0.25">
      <c r="B16" s="1" t="s">
        <v>285</v>
      </c>
      <c r="C16" s="5"/>
      <c r="D16" s="5"/>
      <c r="E16" s="5"/>
      <c r="F16" s="5">
        <v>3355</v>
      </c>
      <c r="G16" s="5">
        <v>2965</v>
      </c>
      <c r="H16" s="5">
        <v>1290</v>
      </c>
      <c r="I16" s="5"/>
      <c r="J16" s="5"/>
    </row>
    <row r="17" spans="2:11" x14ac:dyDescent="0.25">
      <c r="B17" s="1" t="s">
        <v>286</v>
      </c>
      <c r="C17" s="5"/>
      <c r="D17" s="5"/>
      <c r="E17" s="5"/>
      <c r="F17" s="5"/>
      <c r="G17" s="5">
        <v>4904</v>
      </c>
      <c r="H17" s="5"/>
      <c r="I17" s="5"/>
      <c r="J17" s="5"/>
    </row>
    <row r="18" spans="2:11" x14ac:dyDescent="0.25">
      <c r="B18" s="148" t="s">
        <v>287</v>
      </c>
      <c r="C18" s="149"/>
      <c r="D18" s="149"/>
      <c r="E18" s="149"/>
      <c r="F18" s="149"/>
      <c r="G18" s="149">
        <v>2899</v>
      </c>
      <c r="H18" s="149"/>
      <c r="I18" s="149"/>
      <c r="J18" s="149"/>
    </row>
    <row r="21" spans="2:11" ht="26.4" x14ac:dyDescent="0.25">
      <c r="B21" s="53" t="s">
        <v>267</v>
      </c>
      <c r="C21" s="40" t="s">
        <v>288</v>
      </c>
      <c r="D21" s="40" t="s">
        <v>289</v>
      </c>
      <c r="E21" s="40" t="s">
        <v>290</v>
      </c>
      <c r="F21" s="40" t="s">
        <v>291</v>
      </c>
      <c r="G21" s="40" t="s">
        <v>292</v>
      </c>
      <c r="H21" s="40" t="s">
        <v>1</v>
      </c>
      <c r="I21" s="40" t="s">
        <v>3</v>
      </c>
      <c r="J21" s="40" t="s">
        <v>2</v>
      </c>
      <c r="K21" s="40" t="s">
        <v>293</v>
      </c>
    </row>
    <row r="22" spans="2:11" x14ac:dyDescent="0.25">
      <c r="B22" s="272" t="s">
        <v>276</v>
      </c>
      <c r="C22" s="4"/>
      <c r="D22" s="4"/>
      <c r="E22" s="4"/>
      <c r="F22" s="4"/>
      <c r="G22" s="4"/>
      <c r="H22" s="4"/>
      <c r="I22" s="4"/>
      <c r="J22" s="4"/>
    </row>
    <row r="23" spans="2:11" x14ac:dyDescent="0.25">
      <c r="B23" s="13" t="s">
        <v>294</v>
      </c>
      <c r="C23" s="243" t="s">
        <v>295</v>
      </c>
      <c r="D23" s="243"/>
      <c r="E23" s="243"/>
      <c r="F23" s="243"/>
      <c r="G23" s="243" t="s">
        <v>295</v>
      </c>
      <c r="H23" s="243"/>
      <c r="I23" s="243"/>
      <c r="J23" s="243" t="s">
        <v>295</v>
      </c>
      <c r="K23" s="5">
        <v>223</v>
      </c>
    </row>
    <row r="24" spans="2:11" x14ac:dyDescent="0.25">
      <c r="B24" s="13" t="s">
        <v>296</v>
      </c>
      <c r="C24" s="243" t="s">
        <v>295</v>
      </c>
      <c r="D24" s="243"/>
      <c r="E24" s="243"/>
      <c r="F24" s="243"/>
      <c r="G24" s="243" t="s">
        <v>295</v>
      </c>
      <c r="H24" s="243"/>
      <c r="I24" s="243"/>
      <c r="J24" s="243" t="s">
        <v>295</v>
      </c>
      <c r="K24" s="5">
        <v>223</v>
      </c>
    </row>
    <row r="25" spans="2:11" x14ac:dyDescent="0.25">
      <c r="B25" s="13" t="s">
        <v>297</v>
      </c>
      <c r="C25" s="4"/>
      <c r="D25" s="4"/>
      <c r="E25" s="4"/>
      <c r="F25" s="4"/>
      <c r="G25" s="4"/>
      <c r="H25" s="4" t="s">
        <v>295</v>
      </c>
      <c r="I25" s="4"/>
      <c r="J25" s="4"/>
      <c r="K25" s="5">
        <v>273</v>
      </c>
    </row>
    <row r="26" spans="2:11" x14ac:dyDescent="0.25">
      <c r="B26" s="13" t="s">
        <v>298</v>
      </c>
      <c r="C26" s="4"/>
      <c r="D26" s="4" t="s">
        <v>295</v>
      </c>
      <c r="E26" s="4"/>
      <c r="F26" s="4"/>
      <c r="G26" s="4"/>
      <c r="H26" s="4" t="s">
        <v>295</v>
      </c>
      <c r="I26" s="4"/>
      <c r="J26" s="4"/>
      <c r="K26" s="5">
        <v>400</v>
      </c>
    </row>
    <row r="27" spans="2:11" x14ac:dyDescent="0.25">
      <c r="B27" s="272" t="s">
        <v>277</v>
      </c>
      <c r="C27" s="4"/>
      <c r="D27" s="4"/>
      <c r="E27" s="4"/>
      <c r="F27" s="4"/>
      <c r="G27" s="4"/>
      <c r="H27" s="4"/>
      <c r="I27" s="4"/>
      <c r="J27" s="4"/>
      <c r="K27" s="5"/>
    </row>
    <row r="28" spans="2:11" x14ac:dyDescent="0.25">
      <c r="B28" s="13" t="s">
        <v>299</v>
      </c>
      <c r="C28" s="4"/>
      <c r="D28" s="4"/>
      <c r="E28" s="4" t="s">
        <v>295</v>
      </c>
      <c r="F28" s="4" t="s">
        <v>295</v>
      </c>
      <c r="G28" s="4" t="s">
        <v>295</v>
      </c>
      <c r="H28" s="4" t="s">
        <v>295</v>
      </c>
      <c r="I28" s="4" t="s">
        <v>295</v>
      </c>
      <c r="J28" s="4" t="s">
        <v>295</v>
      </c>
      <c r="K28" s="5">
        <v>1999</v>
      </c>
    </row>
    <row r="29" spans="2:11" x14ac:dyDescent="0.25">
      <c r="B29" s="13" t="s">
        <v>300</v>
      </c>
      <c r="C29" s="4"/>
      <c r="D29" s="4"/>
      <c r="E29" s="4" t="s">
        <v>295</v>
      </c>
      <c r="F29" s="4" t="s">
        <v>295</v>
      </c>
      <c r="G29" s="4" t="s">
        <v>295</v>
      </c>
      <c r="H29" s="4" t="s">
        <v>295</v>
      </c>
      <c r="I29" s="4" t="s">
        <v>295</v>
      </c>
      <c r="J29" s="4" t="s">
        <v>295</v>
      </c>
      <c r="K29" s="5">
        <v>1612</v>
      </c>
    </row>
    <row r="30" spans="2:11" x14ac:dyDescent="0.25">
      <c r="B30" s="272" t="s">
        <v>278</v>
      </c>
      <c r="C30" s="4"/>
      <c r="D30" s="4"/>
      <c r="E30" s="4"/>
      <c r="F30" s="4"/>
      <c r="G30" s="4"/>
      <c r="H30" s="4"/>
      <c r="I30" s="4"/>
      <c r="J30" s="4"/>
      <c r="K30" s="5"/>
    </row>
    <row r="31" spans="2:11" x14ac:dyDescent="0.25">
      <c r="B31" s="13" t="s">
        <v>301</v>
      </c>
      <c r="C31" s="243" t="s">
        <v>295</v>
      </c>
      <c r="D31" s="243"/>
      <c r="E31" s="243"/>
      <c r="F31" s="243"/>
      <c r="G31" s="243" t="s">
        <v>295</v>
      </c>
      <c r="H31" s="243"/>
      <c r="I31" s="243"/>
      <c r="J31" s="243" t="s">
        <v>295</v>
      </c>
      <c r="K31" s="5">
        <v>1989</v>
      </c>
    </row>
    <row r="32" spans="2:11" x14ac:dyDescent="0.25">
      <c r="B32" s="13" t="s">
        <v>302</v>
      </c>
      <c r="C32" s="4"/>
      <c r="D32" s="4"/>
      <c r="E32" s="4"/>
      <c r="F32" s="4"/>
      <c r="G32" s="4"/>
      <c r="H32" s="4" t="s">
        <v>295</v>
      </c>
      <c r="I32" s="4" t="s">
        <v>295</v>
      </c>
      <c r="J32" s="4"/>
      <c r="K32" s="5">
        <v>397</v>
      </c>
    </row>
    <row r="33" spans="2:11" x14ac:dyDescent="0.25">
      <c r="B33" s="272" t="s">
        <v>279</v>
      </c>
      <c r="C33" s="4"/>
      <c r="D33" s="4"/>
      <c r="E33" s="4"/>
      <c r="F33" s="4"/>
      <c r="G33" s="4"/>
      <c r="H33" s="4"/>
      <c r="I33" s="4"/>
      <c r="J33" s="4"/>
      <c r="K33" s="5"/>
    </row>
    <row r="34" spans="2:11" x14ac:dyDescent="0.25">
      <c r="B34" s="13" t="s">
        <v>303</v>
      </c>
      <c r="C34" s="243" t="s">
        <v>295</v>
      </c>
      <c r="D34" s="243"/>
      <c r="E34" s="243"/>
      <c r="F34" s="243"/>
      <c r="G34" s="243" t="s">
        <v>295</v>
      </c>
      <c r="H34" s="243"/>
      <c r="I34" s="243"/>
      <c r="J34" s="243" t="s">
        <v>295</v>
      </c>
      <c r="K34" s="5">
        <v>3015</v>
      </c>
    </row>
    <row r="35" spans="2:11" ht="26.4" x14ac:dyDescent="0.25">
      <c r="B35" s="13" t="s">
        <v>304</v>
      </c>
      <c r="C35" s="4"/>
      <c r="D35" s="4"/>
      <c r="E35" s="4" t="s">
        <v>295</v>
      </c>
      <c r="F35" s="4"/>
      <c r="G35" s="4" t="s">
        <v>295</v>
      </c>
      <c r="H35" s="4"/>
      <c r="I35" s="4" t="s">
        <v>295</v>
      </c>
      <c r="J35" s="4"/>
      <c r="K35" s="5">
        <v>1866</v>
      </c>
    </row>
    <row r="36" spans="2:11" ht="26.4" x14ac:dyDescent="0.25">
      <c r="B36" s="13" t="s">
        <v>305</v>
      </c>
      <c r="C36" s="243" t="s">
        <v>295</v>
      </c>
      <c r="D36" s="243"/>
      <c r="E36" s="243"/>
      <c r="F36" s="243"/>
      <c r="G36" s="243" t="s">
        <v>295</v>
      </c>
      <c r="H36" s="243"/>
      <c r="I36" s="243"/>
      <c r="J36" s="243" t="s">
        <v>295</v>
      </c>
      <c r="K36" s="5">
        <v>835</v>
      </c>
    </row>
    <row r="37" spans="2:11" x14ac:dyDescent="0.25">
      <c r="B37" s="272" t="s">
        <v>306</v>
      </c>
      <c r="C37" s="4"/>
      <c r="D37" s="4"/>
      <c r="E37" s="4"/>
      <c r="F37" s="4"/>
      <c r="G37" s="4"/>
      <c r="H37" s="4"/>
      <c r="I37" s="4"/>
      <c r="J37" s="4"/>
      <c r="K37" s="5"/>
    </row>
    <row r="38" spans="2:11" x14ac:dyDescent="0.25">
      <c r="B38" s="13" t="s">
        <v>307</v>
      </c>
      <c r="C38" s="243" t="s">
        <v>295</v>
      </c>
      <c r="D38" s="243"/>
      <c r="E38" s="243"/>
      <c r="F38" s="243"/>
      <c r="G38" s="243" t="s">
        <v>295</v>
      </c>
      <c r="H38" s="243"/>
      <c r="I38" s="243"/>
      <c r="J38" s="243" t="s">
        <v>295</v>
      </c>
      <c r="K38" s="5">
        <v>3975</v>
      </c>
    </row>
    <row r="39" spans="2:11" ht="26.4" x14ac:dyDescent="0.25">
      <c r="B39" s="13" t="s">
        <v>308</v>
      </c>
      <c r="C39" s="4"/>
      <c r="D39" s="4" t="s">
        <v>295</v>
      </c>
      <c r="E39" s="4" t="s">
        <v>295</v>
      </c>
      <c r="F39" s="4" t="s">
        <v>295</v>
      </c>
      <c r="G39" s="4"/>
      <c r="H39" s="4" t="s">
        <v>295</v>
      </c>
      <c r="I39" s="4" t="s">
        <v>295</v>
      </c>
      <c r="J39" s="4" t="s">
        <v>295</v>
      </c>
      <c r="K39" s="5">
        <v>4989</v>
      </c>
    </row>
    <row r="40" spans="2:11" ht="26.4" x14ac:dyDescent="0.25">
      <c r="B40" s="13" t="s">
        <v>309</v>
      </c>
      <c r="C40" s="243" t="s">
        <v>295</v>
      </c>
      <c r="D40" s="243"/>
      <c r="E40" s="243"/>
      <c r="F40" s="243"/>
      <c r="G40" s="243" t="s">
        <v>295</v>
      </c>
      <c r="H40" s="243"/>
      <c r="I40" s="243"/>
      <c r="J40" s="243" t="s">
        <v>295</v>
      </c>
      <c r="K40" s="5">
        <v>820</v>
      </c>
    </row>
    <row r="41" spans="2:11" x14ac:dyDescent="0.25">
      <c r="B41" s="272" t="s">
        <v>281</v>
      </c>
      <c r="C41" s="4"/>
      <c r="D41" s="4"/>
      <c r="E41" s="4"/>
      <c r="F41" s="4"/>
      <c r="G41" s="4"/>
      <c r="H41" s="4"/>
      <c r="I41" s="4"/>
      <c r="J41" s="4"/>
      <c r="K41" s="5"/>
    </row>
    <row r="42" spans="2:11" x14ac:dyDescent="0.25">
      <c r="B42" s="13" t="s">
        <v>310</v>
      </c>
      <c r="C42" s="4"/>
      <c r="D42" s="4"/>
      <c r="E42" s="4" t="s">
        <v>295</v>
      </c>
      <c r="F42" s="4"/>
      <c r="G42" s="4" t="s">
        <v>295</v>
      </c>
      <c r="H42" s="4"/>
      <c r="I42" s="4" t="s">
        <v>295</v>
      </c>
      <c r="J42" s="4"/>
      <c r="K42" s="5">
        <v>4197</v>
      </c>
    </row>
    <row r="43" spans="2:11" x14ac:dyDescent="0.25">
      <c r="B43" s="13" t="s">
        <v>311</v>
      </c>
      <c r="C43" s="4"/>
      <c r="D43" s="4"/>
      <c r="E43" s="4" t="s">
        <v>295</v>
      </c>
      <c r="F43" s="4"/>
      <c r="G43" s="4"/>
      <c r="H43" s="4"/>
      <c r="I43" s="4" t="s">
        <v>295</v>
      </c>
      <c r="J43" s="4"/>
      <c r="K43" s="5">
        <v>395</v>
      </c>
    </row>
    <row r="44" spans="2:11" x14ac:dyDescent="0.25">
      <c r="B44" s="13" t="s">
        <v>312</v>
      </c>
      <c r="C44" s="4"/>
      <c r="D44" s="4"/>
      <c r="E44" s="4"/>
      <c r="F44" s="4" t="s">
        <v>295</v>
      </c>
      <c r="G44" s="4"/>
      <c r="H44" s="4" t="s">
        <v>295</v>
      </c>
      <c r="I44" s="4"/>
      <c r="J44" s="4" t="s">
        <v>295</v>
      </c>
      <c r="K44" s="5">
        <v>671</v>
      </c>
    </row>
    <row r="45" spans="2:11" x14ac:dyDescent="0.25">
      <c r="B45" s="272" t="s">
        <v>282</v>
      </c>
      <c r="C45" s="4"/>
      <c r="D45" s="4"/>
      <c r="E45" s="4"/>
      <c r="F45" s="4"/>
      <c r="G45" s="4"/>
      <c r="H45" s="4"/>
      <c r="I45" s="4"/>
      <c r="J45" s="4"/>
      <c r="K45" s="5"/>
    </row>
    <row r="46" spans="2:11" x14ac:dyDescent="0.25">
      <c r="B46" s="13" t="s">
        <v>313</v>
      </c>
      <c r="C46" s="4"/>
      <c r="D46" s="4" t="s">
        <v>295</v>
      </c>
      <c r="E46" s="4"/>
      <c r="F46" s="4" t="s">
        <v>295</v>
      </c>
      <c r="G46" s="4"/>
      <c r="H46" s="4" t="s">
        <v>295</v>
      </c>
      <c r="I46" s="4" t="s">
        <v>295</v>
      </c>
      <c r="J46" s="4" t="s">
        <v>295</v>
      </c>
      <c r="K46" s="5">
        <v>3353</v>
      </c>
    </row>
    <row r="47" spans="2:11" x14ac:dyDescent="0.25">
      <c r="B47" s="13" t="s">
        <v>314</v>
      </c>
      <c r="C47" s="4"/>
      <c r="D47" s="4" t="s">
        <v>295</v>
      </c>
      <c r="E47" s="4"/>
      <c r="F47" s="4" t="s">
        <v>295</v>
      </c>
      <c r="G47" s="4"/>
      <c r="H47" s="4" t="s">
        <v>295</v>
      </c>
      <c r="I47" s="4" t="s">
        <v>295</v>
      </c>
      <c r="J47" s="4" t="s">
        <v>295</v>
      </c>
      <c r="K47" s="5">
        <v>5853</v>
      </c>
    </row>
    <row r="48" spans="2:11" ht="26.4" x14ac:dyDescent="0.25">
      <c r="B48" s="13" t="s">
        <v>315</v>
      </c>
      <c r="C48" s="4"/>
      <c r="D48" s="4" t="s">
        <v>295</v>
      </c>
      <c r="E48" s="4"/>
      <c r="F48" s="4" t="s">
        <v>295</v>
      </c>
      <c r="G48" s="4"/>
      <c r="H48" s="4" t="s">
        <v>295</v>
      </c>
      <c r="I48" s="4" t="s">
        <v>295</v>
      </c>
      <c r="J48" s="4" t="s">
        <v>295</v>
      </c>
      <c r="K48" s="5">
        <v>1986</v>
      </c>
    </row>
    <row r="49" spans="2:11" x14ac:dyDescent="0.25">
      <c r="B49" s="272" t="s">
        <v>283</v>
      </c>
      <c r="C49" s="4"/>
      <c r="D49" s="4"/>
      <c r="E49" s="4"/>
      <c r="F49" s="4"/>
      <c r="G49" s="4"/>
      <c r="H49" s="4"/>
      <c r="I49" s="4"/>
      <c r="J49" s="4"/>
      <c r="K49" s="5"/>
    </row>
    <row r="50" spans="2:11" x14ac:dyDescent="0.25">
      <c r="B50" s="13" t="s">
        <v>316</v>
      </c>
      <c r="C50" s="4"/>
      <c r="D50" s="4"/>
      <c r="E50" s="4" t="s">
        <v>295</v>
      </c>
      <c r="F50" s="4"/>
      <c r="G50" s="4" t="s">
        <v>295</v>
      </c>
      <c r="H50" s="4"/>
      <c r="I50" s="4" t="s">
        <v>295</v>
      </c>
      <c r="J50" s="4"/>
      <c r="K50" s="5">
        <v>3117</v>
      </c>
    </row>
    <row r="51" spans="2:11" x14ac:dyDescent="0.25">
      <c r="B51" s="13" t="s">
        <v>317</v>
      </c>
      <c r="C51" s="4"/>
      <c r="D51" s="4"/>
      <c r="E51" s="4" t="s">
        <v>295</v>
      </c>
      <c r="F51" s="4"/>
      <c r="G51" s="4" t="s">
        <v>295</v>
      </c>
      <c r="H51" s="4"/>
      <c r="I51" s="4" t="s">
        <v>295</v>
      </c>
      <c r="J51" s="4"/>
      <c r="K51" s="5">
        <v>2183</v>
      </c>
    </row>
    <row r="52" spans="2:11" x14ac:dyDescent="0.25">
      <c r="B52" s="272" t="s">
        <v>318</v>
      </c>
      <c r="C52" s="4"/>
      <c r="D52" s="4"/>
      <c r="E52" s="4"/>
      <c r="F52" s="4"/>
      <c r="G52" s="4"/>
      <c r="H52" s="4"/>
      <c r="I52" s="4"/>
      <c r="J52" s="4"/>
      <c r="K52" s="5"/>
    </row>
    <row r="53" spans="2:11" x14ac:dyDescent="0.25">
      <c r="B53" s="13" t="s">
        <v>319</v>
      </c>
      <c r="C53" s="4"/>
      <c r="D53" s="4" t="s">
        <v>295</v>
      </c>
      <c r="E53" s="4" t="s">
        <v>295</v>
      </c>
      <c r="F53" s="4" t="s">
        <v>295</v>
      </c>
      <c r="G53" s="4" t="s">
        <v>295</v>
      </c>
      <c r="H53" s="4" t="s">
        <v>295</v>
      </c>
      <c r="I53" s="4" t="s">
        <v>295</v>
      </c>
      <c r="J53" s="4" t="s">
        <v>295</v>
      </c>
      <c r="K53" s="5">
        <v>6114</v>
      </c>
    </row>
    <row r="54" spans="2:11" x14ac:dyDescent="0.25">
      <c r="B54" s="13" t="s">
        <v>320</v>
      </c>
      <c r="C54" s="4"/>
      <c r="D54" s="4" t="s">
        <v>295</v>
      </c>
      <c r="E54" s="4"/>
      <c r="F54" s="4" t="s">
        <v>295</v>
      </c>
      <c r="G54" s="4"/>
      <c r="H54" s="4" t="s">
        <v>295</v>
      </c>
      <c r="I54" s="4" t="s">
        <v>295</v>
      </c>
      <c r="J54" s="4" t="s">
        <v>295</v>
      </c>
      <c r="K54" s="5">
        <v>7225</v>
      </c>
    </row>
    <row r="55" spans="2:11" x14ac:dyDescent="0.25">
      <c r="B55" s="13" t="s">
        <v>321</v>
      </c>
      <c r="C55" s="4"/>
      <c r="D55" s="4"/>
      <c r="E55" s="4" t="s">
        <v>295</v>
      </c>
      <c r="F55" s="4"/>
      <c r="G55" s="4" t="s">
        <v>295</v>
      </c>
      <c r="H55" s="4"/>
      <c r="I55" s="4" t="s">
        <v>295</v>
      </c>
      <c r="J55" s="4"/>
      <c r="K55" s="5">
        <v>3045</v>
      </c>
    </row>
    <row r="56" spans="2:11" x14ac:dyDescent="0.25">
      <c r="B56" s="272" t="s">
        <v>322</v>
      </c>
      <c r="C56" s="4"/>
      <c r="D56" s="4"/>
      <c r="E56" s="4"/>
      <c r="F56" s="4"/>
      <c r="G56" s="4"/>
      <c r="H56" s="4"/>
      <c r="I56" s="4"/>
      <c r="J56" s="4"/>
      <c r="K56" s="5"/>
    </row>
    <row r="57" spans="2:11" x14ac:dyDescent="0.25">
      <c r="B57" s="273" t="s">
        <v>323</v>
      </c>
      <c r="C57" s="9"/>
      <c r="D57" s="9"/>
      <c r="E57" s="9" t="s">
        <v>295</v>
      </c>
      <c r="F57" s="9"/>
      <c r="G57" s="9" t="s">
        <v>295</v>
      </c>
      <c r="H57" s="9"/>
      <c r="I57" s="9" t="s">
        <v>295</v>
      </c>
      <c r="J57" s="9"/>
      <c r="K57" s="6">
        <v>7803</v>
      </c>
    </row>
    <row r="59" spans="2:11" x14ac:dyDescent="0.25">
      <c r="B59" s="8" t="s">
        <v>608</v>
      </c>
    </row>
    <row r="60" spans="2:11" x14ac:dyDescent="0.25">
      <c r="B60" s="8"/>
    </row>
    <row r="61" spans="2:11" x14ac:dyDescent="0.25">
      <c r="B61" s="53" t="s">
        <v>520</v>
      </c>
      <c r="C61" s="53">
        <v>2025</v>
      </c>
      <c r="D61" s="53">
        <v>2026</v>
      </c>
      <c r="E61" s="53">
        <v>2027</v>
      </c>
      <c r="F61" s="53">
        <v>2028</v>
      </c>
      <c r="G61" s="53">
        <v>2029</v>
      </c>
      <c r="H61" s="53">
        <v>2030</v>
      </c>
    </row>
    <row r="62" spans="2:11" x14ac:dyDescent="0.25">
      <c r="B62" s="1" t="s">
        <v>0</v>
      </c>
      <c r="C62" s="5">
        <v>1656254</v>
      </c>
      <c r="D62" s="5">
        <v>2024214</v>
      </c>
      <c r="E62" s="5">
        <v>2347254</v>
      </c>
      <c r="F62" s="5">
        <v>2564553</v>
      </c>
      <c r="G62" s="5">
        <v>2760803</v>
      </c>
      <c r="H62" s="5">
        <v>2971410</v>
      </c>
    </row>
    <row r="63" spans="2:11" x14ac:dyDescent="0.25">
      <c r="B63" s="1" t="s">
        <v>1</v>
      </c>
      <c r="C63" s="5">
        <v>816893</v>
      </c>
      <c r="D63" s="5">
        <v>838355</v>
      </c>
      <c r="E63" s="5">
        <v>859397</v>
      </c>
      <c r="F63" s="5">
        <v>880439</v>
      </c>
      <c r="G63" s="5">
        <v>915332</v>
      </c>
      <c r="H63" s="5">
        <v>944420</v>
      </c>
    </row>
    <row r="64" spans="2:11" x14ac:dyDescent="0.25">
      <c r="B64" s="146" t="s">
        <v>2</v>
      </c>
      <c r="C64" s="147">
        <v>1170065</v>
      </c>
      <c r="D64" s="147">
        <v>1345893</v>
      </c>
      <c r="E64" s="147">
        <v>1473976</v>
      </c>
      <c r="F64" s="147">
        <v>1615552</v>
      </c>
      <c r="G64" s="147">
        <v>1744712</v>
      </c>
      <c r="H64" s="147">
        <v>1883779</v>
      </c>
    </row>
    <row r="65" spans="2:21" x14ac:dyDescent="0.25">
      <c r="B65" s="148" t="s">
        <v>3</v>
      </c>
      <c r="C65" s="149">
        <v>1170065</v>
      </c>
      <c r="D65" s="149">
        <v>1345893</v>
      </c>
      <c r="E65" s="149">
        <v>1473976</v>
      </c>
      <c r="F65" s="149">
        <v>1615552</v>
      </c>
      <c r="G65" s="149">
        <v>1744712</v>
      </c>
      <c r="H65" s="149">
        <v>1883779</v>
      </c>
    </row>
    <row r="66" spans="2:21" x14ac:dyDescent="0.25">
      <c r="B66" s="146" t="s">
        <v>4</v>
      </c>
      <c r="C66" s="147">
        <v>3297456.5</v>
      </c>
      <c r="D66" s="147">
        <v>3731793</v>
      </c>
      <c r="E66" s="147">
        <v>4019935.5</v>
      </c>
      <c r="F66" s="147">
        <v>4386963</v>
      </c>
      <c r="G66" s="147">
        <v>4717141.5</v>
      </c>
      <c r="H66" s="147">
        <v>5071014</v>
      </c>
    </row>
    <row r="67" spans="2:21" x14ac:dyDescent="0.25">
      <c r="B67" s="148" t="s">
        <v>5</v>
      </c>
      <c r="C67" s="149">
        <v>3297456.5</v>
      </c>
      <c r="D67" s="149">
        <v>3731793</v>
      </c>
      <c r="E67" s="149">
        <v>4019935.5</v>
      </c>
      <c r="F67" s="149">
        <v>4386963</v>
      </c>
      <c r="G67" s="149">
        <v>4717141.5</v>
      </c>
      <c r="H67" s="149">
        <v>5071014</v>
      </c>
    </row>
    <row r="68" spans="2:21" x14ac:dyDescent="0.25">
      <c r="B68" s="146" t="s">
        <v>6</v>
      </c>
      <c r="C68" s="147">
        <v>7326514</v>
      </c>
      <c r="D68" s="147">
        <v>7373911</v>
      </c>
      <c r="E68" s="147">
        <v>7464687.5</v>
      </c>
      <c r="F68" s="147">
        <v>7541971</v>
      </c>
      <c r="G68" s="147">
        <v>7775739.5</v>
      </c>
      <c r="H68" s="147">
        <v>7939221.5</v>
      </c>
    </row>
    <row r="69" spans="2:21" x14ac:dyDescent="0.25">
      <c r="B69" s="1" t="s">
        <v>7</v>
      </c>
      <c r="C69" s="5">
        <v>7326514</v>
      </c>
      <c r="D69" s="5">
        <v>7373911</v>
      </c>
      <c r="E69" s="5">
        <v>7464687.5</v>
      </c>
      <c r="F69" s="5">
        <v>7541971</v>
      </c>
      <c r="G69" s="5">
        <v>7775739.5</v>
      </c>
      <c r="H69" s="5">
        <v>7939221.5</v>
      </c>
    </row>
    <row r="70" spans="2:21" x14ac:dyDescent="0.25">
      <c r="B70" s="55" t="s">
        <v>519</v>
      </c>
      <c r="C70" s="60">
        <f>+SUM(C62:C69)</f>
        <v>26061218</v>
      </c>
      <c r="D70" s="60">
        <f t="shared" ref="D70:H70" si="0">+SUM(D62:D69)</f>
        <v>27765763</v>
      </c>
      <c r="E70" s="60">
        <f t="shared" si="0"/>
        <v>29123849</v>
      </c>
      <c r="F70" s="60">
        <f t="shared" si="0"/>
        <v>30533964</v>
      </c>
      <c r="G70" s="60">
        <f t="shared" si="0"/>
        <v>32151321</v>
      </c>
      <c r="H70" s="60">
        <f t="shared" si="0"/>
        <v>33703859</v>
      </c>
    </row>
    <row r="71" spans="2:21" x14ac:dyDescent="0.25">
      <c r="B71" s="8"/>
    </row>
    <row r="72" spans="2:21" x14ac:dyDescent="0.25">
      <c r="B72" s="53"/>
      <c r="C72" s="327" t="s">
        <v>324</v>
      </c>
      <c r="D72" s="324"/>
      <c r="E72" s="324"/>
      <c r="F72" s="324"/>
      <c r="G72" s="324"/>
      <c r="H72" s="324"/>
      <c r="I72" s="328"/>
      <c r="J72" s="324" t="s">
        <v>326</v>
      </c>
      <c r="K72" s="324"/>
      <c r="L72" s="324"/>
      <c r="M72" s="324"/>
      <c r="N72" s="324"/>
      <c r="O72" s="324"/>
      <c r="P72" s="324"/>
    </row>
    <row r="73" spans="2:21" x14ac:dyDescent="0.25">
      <c r="B73" s="53"/>
      <c r="C73" s="41">
        <v>2025</v>
      </c>
      <c r="D73" s="40">
        <v>2026</v>
      </c>
      <c r="E73" s="40">
        <v>2027</v>
      </c>
      <c r="F73" s="40">
        <v>2028</v>
      </c>
      <c r="G73" s="40">
        <v>2029</v>
      </c>
      <c r="H73" s="40">
        <v>2030</v>
      </c>
      <c r="I73" s="40" t="s">
        <v>325</v>
      </c>
      <c r="J73" s="40">
        <v>2025</v>
      </c>
      <c r="K73" s="40">
        <v>2026</v>
      </c>
      <c r="L73" s="40">
        <v>2027</v>
      </c>
      <c r="M73" s="40">
        <v>2028</v>
      </c>
      <c r="N73" s="40">
        <v>2029</v>
      </c>
      <c r="O73" s="40">
        <v>2030</v>
      </c>
      <c r="P73" s="40" t="s">
        <v>325</v>
      </c>
      <c r="T73" s="15"/>
    </row>
    <row r="74" spans="2:21" x14ac:dyDescent="0.25">
      <c r="B74" s="272" t="s">
        <v>276</v>
      </c>
      <c r="C74" s="276"/>
      <c r="D74" s="4"/>
      <c r="E74" s="4"/>
      <c r="F74" s="4"/>
      <c r="G74" s="4"/>
      <c r="H74" s="4"/>
      <c r="I74" s="279"/>
      <c r="J74" s="4"/>
      <c r="K74" s="4"/>
      <c r="L74" s="4"/>
      <c r="M74" s="4"/>
      <c r="N74" s="4"/>
      <c r="O74" s="4"/>
      <c r="P74" s="279"/>
      <c r="T74" s="4"/>
    </row>
    <row r="75" spans="2:21" x14ac:dyDescent="0.25">
      <c r="B75" s="13" t="s">
        <v>294</v>
      </c>
      <c r="C75" s="277">
        <f>+C62/(C62+C67+C64)</f>
        <v>0.27046288682529268</v>
      </c>
      <c r="D75" s="244">
        <f t="shared" ref="D75:H75" si="1">+D62/(D62+D67+D64)</f>
        <v>0.28502428927470114</v>
      </c>
      <c r="E75" s="244">
        <f t="shared" si="1"/>
        <v>0.29935014125132292</v>
      </c>
      <c r="F75" s="244">
        <f t="shared" si="1"/>
        <v>0.29935013939424782</v>
      </c>
      <c r="G75" s="244">
        <f t="shared" si="1"/>
        <v>0.29935008421922688</v>
      </c>
      <c r="H75" s="244">
        <f t="shared" si="1"/>
        <v>0.29935011403655559</v>
      </c>
      <c r="I75" s="280">
        <f>+AVERAGE(C75:H75)</f>
        <v>0.29214794250022447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282">
        <f>+AVERAGE(J75:O75)</f>
        <v>0</v>
      </c>
      <c r="T75" s="4"/>
      <c r="U75" s="5"/>
    </row>
    <row r="76" spans="2:21" x14ac:dyDescent="0.25">
      <c r="B76" s="13" t="s">
        <v>296</v>
      </c>
      <c r="C76" s="277">
        <f>+C62/(C62+C67+C64)</f>
        <v>0.27046288682529268</v>
      </c>
      <c r="D76" s="244">
        <f t="shared" ref="D76:H76" si="2">+D62/(D62+D67+D64)</f>
        <v>0.28502428927470114</v>
      </c>
      <c r="E76" s="244">
        <f t="shared" si="2"/>
        <v>0.29935014125132292</v>
      </c>
      <c r="F76" s="244">
        <f t="shared" si="2"/>
        <v>0.29935013939424782</v>
      </c>
      <c r="G76" s="244">
        <f t="shared" si="2"/>
        <v>0.29935008421922688</v>
      </c>
      <c r="H76" s="244">
        <f t="shared" si="2"/>
        <v>0.29935011403655559</v>
      </c>
      <c r="I76" s="280">
        <f t="shared" ref="I76:I109" si="3">+AVERAGE(C76:H76)</f>
        <v>0.29214794250022447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282">
        <f>+AVERAGE(J76:O76)</f>
        <v>0</v>
      </c>
      <c r="T76" s="4"/>
      <c r="U76" s="5"/>
    </row>
    <row r="77" spans="2:21" x14ac:dyDescent="0.25">
      <c r="B77" s="13" t="s">
        <v>297</v>
      </c>
      <c r="C77" s="277">
        <v>0</v>
      </c>
      <c r="D77" s="244">
        <v>0</v>
      </c>
      <c r="E77" s="244">
        <v>0</v>
      </c>
      <c r="F77" s="244">
        <v>0</v>
      </c>
      <c r="G77" s="244">
        <v>0</v>
      </c>
      <c r="H77" s="244">
        <v>0</v>
      </c>
      <c r="I77" s="280">
        <f t="shared" si="3"/>
        <v>0</v>
      </c>
      <c r="J77" s="16">
        <f>+C63/C63</f>
        <v>1</v>
      </c>
      <c r="K77" s="16">
        <f t="shared" ref="K77:O77" si="4">+D63/D63</f>
        <v>1</v>
      </c>
      <c r="L77" s="16">
        <f t="shared" si="4"/>
        <v>1</v>
      </c>
      <c r="M77" s="16">
        <f t="shared" si="4"/>
        <v>1</v>
      </c>
      <c r="N77" s="16">
        <f t="shared" si="4"/>
        <v>1</v>
      </c>
      <c r="O77" s="16">
        <f t="shared" si="4"/>
        <v>1</v>
      </c>
      <c r="P77" s="282">
        <f>+AVERAGE(J77:O77)</f>
        <v>1</v>
      </c>
      <c r="T77" s="4"/>
      <c r="U77" s="5"/>
    </row>
    <row r="78" spans="2:21" x14ac:dyDescent="0.25">
      <c r="B78" s="13" t="s">
        <v>298</v>
      </c>
      <c r="C78" s="277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80">
        <f t="shared" si="3"/>
        <v>0</v>
      </c>
      <c r="J78" s="16">
        <f>+C63/(C63+C69)</f>
        <v>0.1003134191868342</v>
      </c>
      <c r="K78" s="16">
        <f t="shared" ref="K78:O78" si="5">+D63/(D63+D69)</f>
        <v>0.10208570935232736</v>
      </c>
      <c r="L78" s="16">
        <f t="shared" si="5"/>
        <v>0.10324222441518945</v>
      </c>
      <c r="M78" s="16">
        <f t="shared" si="5"/>
        <v>0.10453528146931816</v>
      </c>
      <c r="N78" s="16">
        <f t="shared" si="5"/>
        <v>0.10531865950015484</v>
      </c>
      <c r="O78" s="16">
        <f t="shared" si="5"/>
        <v>0.10631000811998098</v>
      </c>
      <c r="P78" s="282">
        <f>+AVERAGE(J78:O78)</f>
        <v>0.10363421700730084</v>
      </c>
      <c r="T78" s="4"/>
      <c r="U78" s="5"/>
    </row>
    <row r="79" spans="2:21" x14ac:dyDescent="0.25">
      <c r="B79" s="272" t="s">
        <v>277</v>
      </c>
      <c r="C79" s="277"/>
      <c r="D79" s="244"/>
      <c r="E79" s="244"/>
      <c r="F79" s="244"/>
      <c r="G79" s="244"/>
      <c r="H79" s="244"/>
      <c r="I79" s="280"/>
      <c r="J79" s="16"/>
      <c r="K79" s="16"/>
      <c r="L79" s="16"/>
      <c r="M79" s="16"/>
      <c r="N79" s="16"/>
      <c r="O79" s="16"/>
      <c r="P79" s="282"/>
      <c r="T79" s="4"/>
      <c r="U79" s="5"/>
    </row>
    <row r="80" spans="2:21" x14ac:dyDescent="0.25">
      <c r="B80" s="13" t="s">
        <v>299</v>
      </c>
      <c r="C80" s="277">
        <f>+C62/(C62+C66+C68+C63+C64+C65)</f>
        <v>0.10728946335802415</v>
      </c>
      <c r="D80" s="244">
        <f t="shared" ref="D80:H80" si="6">+D62/(D62+D66+D68+D63+D64+D65)</f>
        <v>0.12150101029053979</v>
      </c>
      <c r="E80" s="244">
        <f t="shared" si="6"/>
        <v>0.13307012450546299</v>
      </c>
      <c r="F80" s="244">
        <f t="shared" si="6"/>
        <v>0.13784191694396622</v>
      </c>
      <c r="G80" s="244">
        <f t="shared" si="6"/>
        <v>0.14043855972294852</v>
      </c>
      <c r="H80" s="244">
        <f t="shared" si="6"/>
        <v>0.14359060896222453</v>
      </c>
      <c r="I80" s="280">
        <f t="shared" si="3"/>
        <v>0.13062194729719437</v>
      </c>
      <c r="J80" s="16">
        <f>+C63/(C63+C66+C68+C62+C64+C65)</f>
        <v>5.2917011274192502E-2</v>
      </c>
      <c r="K80" s="16">
        <f t="shared" ref="K80:O80" si="7">+D63/(D63+D66+D68+D62+D64+D65)</f>
        <v>5.032125036291888E-2</v>
      </c>
      <c r="L80" s="16">
        <f t="shared" si="7"/>
        <v>4.8720788542535823E-2</v>
      </c>
      <c r="M80" s="16">
        <f t="shared" si="7"/>
        <v>4.7322632642892812E-2</v>
      </c>
      <c r="N80" s="16">
        <f t="shared" si="7"/>
        <v>4.6561782114959274E-2</v>
      </c>
      <c r="O80" s="16">
        <f t="shared" si="7"/>
        <v>4.5638213143290252E-2</v>
      </c>
      <c r="P80" s="282">
        <f>+AVERAGE(J80:O80)</f>
        <v>4.8580279680131594E-2</v>
      </c>
      <c r="T80" s="4"/>
      <c r="U80" s="5"/>
    </row>
    <row r="81" spans="2:21" x14ac:dyDescent="0.25">
      <c r="B81" s="13" t="s">
        <v>300</v>
      </c>
      <c r="C81" s="277">
        <f>+C62/(C62+C63+C64+C65+C66+C68)</f>
        <v>0.10728946335802415</v>
      </c>
      <c r="D81" s="244">
        <f t="shared" ref="D81:H81" si="8">+D62/(D62+D63+D64+D65+D66+D68)</f>
        <v>0.12150101029053979</v>
      </c>
      <c r="E81" s="244">
        <f t="shared" si="8"/>
        <v>0.13307012450546299</v>
      </c>
      <c r="F81" s="244">
        <f t="shared" si="8"/>
        <v>0.13784191694396622</v>
      </c>
      <c r="G81" s="244">
        <f t="shared" si="8"/>
        <v>0.14043855972294852</v>
      </c>
      <c r="H81" s="244">
        <f t="shared" si="8"/>
        <v>0.14359060896222453</v>
      </c>
      <c r="I81" s="280">
        <f t="shared" si="3"/>
        <v>0.13062194729719437</v>
      </c>
      <c r="J81" s="16">
        <f>+C63/(C63+C62+C64+C65+C66+C68)</f>
        <v>5.2917011274192502E-2</v>
      </c>
      <c r="K81" s="16">
        <f t="shared" ref="K81:O81" si="9">+D63/(D63+D62+D64+D65+D66+D68)</f>
        <v>5.032125036291888E-2</v>
      </c>
      <c r="L81" s="16">
        <f t="shared" si="9"/>
        <v>4.8720788542535823E-2</v>
      </c>
      <c r="M81" s="16">
        <f t="shared" si="9"/>
        <v>4.7322632642892812E-2</v>
      </c>
      <c r="N81" s="16">
        <f t="shared" si="9"/>
        <v>4.6561782114959274E-2</v>
      </c>
      <c r="O81" s="16">
        <f t="shared" si="9"/>
        <v>4.5638213143290252E-2</v>
      </c>
      <c r="P81" s="282">
        <f>+AVERAGE(J81:O81)</f>
        <v>4.8580279680131594E-2</v>
      </c>
      <c r="T81" s="4"/>
      <c r="U81" s="5"/>
    </row>
    <row r="82" spans="2:21" x14ac:dyDescent="0.25">
      <c r="B82" s="272" t="s">
        <v>278</v>
      </c>
      <c r="C82" s="277"/>
      <c r="D82" s="244"/>
      <c r="E82" s="244"/>
      <c r="F82" s="244"/>
      <c r="G82" s="244"/>
      <c r="H82" s="244"/>
      <c r="I82" s="280"/>
      <c r="J82" s="16"/>
      <c r="K82" s="16"/>
      <c r="L82" s="16"/>
      <c r="M82" s="16"/>
      <c r="N82" s="16"/>
      <c r="O82" s="16"/>
      <c r="P82" s="282"/>
      <c r="T82" s="4"/>
      <c r="U82" s="5"/>
    </row>
    <row r="83" spans="2:21" x14ac:dyDescent="0.25">
      <c r="B83" s="13" t="s">
        <v>301</v>
      </c>
      <c r="C83" s="277">
        <f>+C62/(C62+C67+C64)</f>
        <v>0.27046288682529268</v>
      </c>
      <c r="D83" s="244">
        <f t="shared" ref="D83:H83" si="10">+D62/(D62+D67+D64)</f>
        <v>0.28502428927470114</v>
      </c>
      <c r="E83" s="244">
        <f t="shared" si="10"/>
        <v>0.29935014125132292</v>
      </c>
      <c r="F83" s="244">
        <f t="shared" si="10"/>
        <v>0.29935013939424782</v>
      </c>
      <c r="G83" s="244">
        <f t="shared" si="10"/>
        <v>0.29935008421922688</v>
      </c>
      <c r="H83" s="244">
        <f t="shared" si="10"/>
        <v>0.29935011403655559</v>
      </c>
      <c r="I83" s="280">
        <f t="shared" si="3"/>
        <v>0.29214794250022447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282">
        <f>+AVERAGE(J83:O83)</f>
        <v>0</v>
      </c>
      <c r="T83" s="4"/>
      <c r="U83" s="5"/>
    </row>
    <row r="84" spans="2:21" x14ac:dyDescent="0.25">
      <c r="B84" s="13" t="s">
        <v>302</v>
      </c>
      <c r="C84" s="277">
        <v>0</v>
      </c>
      <c r="D84" s="244">
        <v>0</v>
      </c>
      <c r="E84" s="244">
        <v>0</v>
      </c>
      <c r="F84" s="244">
        <v>0</v>
      </c>
      <c r="G84" s="244">
        <v>0</v>
      </c>
      <c r="H84" s="286">
        <v>0</v>
      </c>
      <c r="I84" s="280">
        <f t="shared" si="3"/>
        <v>0</v>
      </c>
      <c r="J84" s="16">
        <f>+C63/(C63+C65)</f>
        <v>0.41112746218088153</v>
      </c>
      <c r="K84" s="16">
        <f t="shared" ref="K84:O84" si="11">+D63/(D63+D65)</f>
        <v>0.38381859569059923</v>
      </c>
      <c r="L84" s="16">
        <f t="shared" si="11"/>
        <v>0.36830673878544062</v>
      </c>
      <c r="M84" s="16">
        <f t="shared" si="11"/>
        <v>0.35274125587792582</v>
      </c>
      <c r="N84" s="16">
        <f t="shared" si="11"/>
        <v>0.3441040824888611</v>
      </c>
      <c r="O84" s="16">
        <f t="shared" si="11"/>
        <v>0.33392982601295029</v>
      </c>
      <c r="P84" s="282">
        <f>+AVERAGE(J84:O84)</f>
        <v>0.36567132683944309</v>
      </c>
      <c r="T84" s="4"/>
      <c r="U84" s="5"/>
    </row>
    <row r="85" spans="2:21" x14ac:dyDescent="0.25">
      <c r="B85" s="272" t="s">
        <v>279</v>
      </c>
      <c r="C85" s="277"/>
      <c r="D85" s="244"/>
      <c r="E85" s="244"/>
      <c r="F85" s="244"/>
      <c r="G85" s="244"/>
      <c r="H85" s="244"/>
      <c r="I85" s="280"/>
      <c r="J85" s="16"/>
      <c r="K85" s="16"/>
      <c r="L85" s="16"/>
      <c r="M85" s="16"/>
      <c r="N85" s="16"/>
      <c r="O85" s="16"/>
      <c r="P85" s="282"/>
      <c r="T85" s="4"/>
      <c r="U85" s="5"/>
    </row>
    <row r="86" spans="2:21" x14ac:dyDescent="0.25">
      <c r="B86" s="13" t="s">
        <v>303</v>
      </c>
      <c r="C86" s="277">
        <f>+C62/(C62+C67+C64)</f>
        <v>0.27046288682529268</v>
      </c>
      <c r="D86" s="244">
        <f t="shared" ref="D86:H86" si="12">+D62/(D62+D67+D64)</f>
        <v>0.28502428927470114</v>
      </c>
      <c r="E86" s="244">
        <f t="shared" si="12"/>
        <v>0.29935014125132292</v>
      </c>
      <c r="F86" s="244">
        <f t="shared" si="12"/>
        <v>0.29935013939424782</v>
      </c>
      <c r="G86" s="244">
        <f t="shared" si="12"/>
        <v>0.29935008421922688</v>
      </c>
      <c r="H86" s="244">
        <f t="shared" si="12"/>
        <v>0.29935011403655559</v>
      </c>
      <c r="I86" s="280">
        <f t="shared" si="3"/>
        <v>0.29214794250022447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282">
        <f>+AVERAGE(J86:O86)</f>
        <v>0</v>
      </c>
      <c r="T86" s="4"/>
      <c r="U86" s="5"/>
    </row>
    <row r="87" spans="2:21" ht="26.4" x14ac:dyDescent="0.25">
      <c r="B87" s="13" t="s">
        <v>304</v>
      </c>
      <c r="C87" s="277">
        <f>+C62/(C62+C66+C65)</f>
        <v>0.27046288682529268</v>
      </c>
      <c r="D87" s="244">
        <f t="shared" ref="D87:H87" si="13">+D62/(D62+D66+D65)</f>
        <v>0.28502428927470114</v>
      </c>
      <c r="E87" s="244">
        <f t="shared" si="13"/>
        <v>0.29935014125132292</v>
      </c>
      <c r="F87" s="244">
        <f t="shared" si="13"/>
        <v>0.29935013939424782</v>
      </c>
      <c r="G87" s="244">
        <f t="shared" si="13"/>
        <v>0.29935008421922688</v>
      </c>
      <c r="H87" s="244">
        <f t="shared" si="13"/>
        <v>0.29935011403655559</v>
      </c>
      <c r="I87" s="280">
        <f t="shared" si="3"/>
        <v>0.29214794250022447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282">
        <f>+AVERAGE(J87:O87)</f>
        <v>0</v>
      </c>
      <c r="T87" s="4"/>
      <c r="U87" s="5"/>
    </row>
    <row r="88" spans="2:21" ht="26.4" x14ac:dyDescent="0.25">
      <c r="B88" s="13" t="s">
        <v>305</v>
      </c>
      <c r="C88" s="277">
        <f>+C62/(C62+C67+C64)</f>
        <v>0.27046288682529268</v>
      </c>
      <c r="D88" s="244">
        <f t="shared" ref="D88:H88" si="14">+D62/(D62+D67+D64)</f>
        <v>0.28502428927470114</v>
      </c>
      <c r="E88" s="244">
        <f t="shared" si="14"/>
        <v>0.29935014125132292</v>
      </c>
      <c r="F88" s="244">
        <f t="shared" si="14"/>
        <v>0.29935013939424782</v>
      </c>
      <c r="G88" s="244">
        <f t="shared" si="14"/>
        <v>0.29935008421922688</v>
      </c>
      <c r="H88" s="244">
        <f t="shared" si="14"/>
        <v>0.29935011403655559</v>
      </c>
      <c r="I88" s="280">
        <f t="shared" si="3"/>
        <v>0.29214794250022447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282">
        <f>+AVERAGE(J88:O88)</f>
        <v>0</v>
      </c>
      <c r="T88" s="4"/>
      <c r="U88" s="5"/>
    </row>
    <row r="89" spans="2:21" x14ac:dyDescent="0.25">
      <c r="B89" s="272" t="s">
        <v>306</v>
      </c>
      <c r="C89" s="277"/>
      <c r="D89" s="244"/>
      <c r="E89" s="244"/>
      <c r="F89" s="244"/>
      <c r="G89" s="244"/>
      <c r="H89" s="244"/>
      <c r="I89" s="280"/>
      <c r="J89" s="16"/>
      <c r="K89" s="16"/>
      <c r="L89" s="16"/>
      <c r="M89" s="16"/>
      <c r="N89" s="16"/>
      <c r="O89" s="16"/>
      <c r="P89" s="282"/>
      <c r="T89" s="4"/>
      <c r="U89" s="5"/>
    </row>
    <row r="90" spans="2:21" x14ac:dyDescent="0.25">
      <c r="B90" s="13" t="s">
        <v>307</v>
      </c>
      <c r="C90" s="277">
        <f>+C62/(C62+C64+C67)</f>
        <v>0.27046288682529268</v>
      </c>
      <c r="D90" s="244">
        <f t="shared" ref="D90:H90" si="15">+D62/(D62+D64+D67)</f>
        <v>0.28502428927470114</v>
      </c>
      <c r="E90" s="244">
        <f t="shared" si="15"/>
        <v>0.29935014125132292</v>
      </c>
      <c r="F90" s="244">
        <f t="shared" si="15"/>
        <v>0.29935013939424782</v>
      </c>
      <c r="G90" s="244">
        <f t="shared" si="15"/>
        <v>0.29935008421922688</v>
      </c>
      <c r="H90" s="244">
        <f t="shared" si="15"/>
        <v>0.29935011403655559</v>
      </c>
      <c r="I90" s="280">
        <f t="shared" si="3"/>
        <v>0.29214794250022447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282">
        <f>+AVERAGE(J90:O90)</f>
        <v>0</v>
      </c>
      <c r="T90" s="4"/>
      <c r="U90" s="5"/>
    </row>
    <row r="91" spans="2:21" ht="26.4" x14ac:dyDescent="0.25">
      <c r="B91" s="13" t="s">
        <v>308</v>
      </c>
      <c r="C91" s="277">
        <v>0</v>
      </c>
      <c r="D91" s="244">
        <v>0</v>
      </c>
      <c r="E91" s="244">
        <v>0</v>
      </c>
      <c r="F91" s="244">
        <v>0</v>
      </c>
      <c r="G91" s="244">
        <v>0</v>
      </c>
      <c r="H91" s="286">
        <v>0</v>
      </c>
      <c r="I91" s="280">
        <f t="shared" si="3"/>
        <v>0</v>
      </c>
      <c r="J91" s="16">
        <f>+C63/(C63+C69+C66+C68+C64+C65)</f>
        <v>3.870153782960873E-2</v>
      </c>
      <c r="K91" s="16">
        <f t="shared" ref="K91:O91" si="16">+D63/(D63+D69+D66+D68+D64+D65)</f>
        <v>3.8090154202527281E-2</v>
      </c>
      <c r="L91" s="16">
        <f t="shared" si="16"/>
        <v>3.7764637643763137E-2</v>
      </c>
      <c r="M91" s="16">
        <f t="shared" si="16"/>
        <v>3.7334504034526018E-2</v>
      </c>
      <c r="N91" s="16">
        <f t="shared" si="16"/>
        <v>3.7097962656225829E-2</v>
      </c>
      <c r="O91" s="16">
        <f t="shared" si="16"/>
        <v>3.6803086031626839E-2</v>
      </c>
      <c r="P91" s="282">
        <f>+AVERAGE(J91:O91)</f>
        <v>3.7631980399712973E-2</v>
      </c>
      <c r="T91" s="4"/>
      <c r="U91" s="5"/>
    </row>
    <row r="92" spans="2:21" ht="26.4" x14ac:dyDescent="0.25">
      <c r="B92" s="13" t="s">
        <v>309</v>
      </c>
      <c r="C92" s="277">
        <f>+C62/(C62+C64+C67)</f>
        <v>0.27046288682529268</v>
      </c>
      <c r="D92" s="244">
        <f t="shared" ref="D92:H92" si="17">+D62/(D62+D64+D67)</f>
        <v>0.28502428927470114</v>
      </c>
      <c r="E92" s="244">
        <f t="shared" si="17"/>
        <v>0.29935014125132292</v>
      </c>
      <c r="F92" s="244">
        <f t="shared" si="17"/>
        <v>0.29935013939424782</v>
      </c>
      <c r="G92" s="244">
        <f t="shared" si="17"/>
        <v>0.29935008421922688</v>
      </c>
      <c r="H92" s="244">
        <f t="shared" si="17"/>
        <v>0.29935011403655559</v>
      </c>
      <c r="I92" s="280">
        <f t="shared" si="3"/>
        <v>0.29214794250022447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282">
        <f>+AVERAGE(J92:O92)</f>
        <v>0</v>
      </c>
      <c r="T92" s="4"/>
      <c r="U92" s="5"/>
    </row>
    <row r="93" spans="2:21" x14ac:dyDescent="0.25">
      <c r="B93" s="272" t="s">
        <v>281</v>
      </c>
      <c r="C93" s="277"/>
      <c r="D93" s="244"/>
      <c r="E93" s="244"/>
      <c r="F93" s="244"/>
      <c r="G93" s="244"/>
      <c r="H93" s="244"/>
      <c r="I93" s="280"/>
      <c r="J93" s="16"/>
      <c r="K93" s="16"/>
      <c r="L93" s="16"/>
      <c r="M93" s="16"/>
      <c r="N93" s="16"/>
      <c r="O93" s="16"/>
      <c r="P93" s="282"/>
      <c r="T93" s="4"/>
      <c r="U93" s="5"/>
    </row>
    <row r="94" spans="2:21" x14ac:dyDescent="0.25">
      <c r="B94" s="13" t="s">
        <v>310</v>
      </c>
      <c r="C94" s="277">
        <f>+C62/(C62+C65+C66)</f>
        <v>0.27046288682529268</v>
      </c>
      <c r="D94" s="244">
        <f t="shared" ref="D94:H94" si="18">+D62/(D62+D65+D66)</f>
        <v>0.28502428927470114</v>
      </c>
      <c r="E94" s="244">
        <f t="shared" si="18"/>
        <v>0.29935014125132292</v>
      </c>
      <c r="F94" s="244">
        <f t="shared" si="18"/>
        <v>0.29935013939424782</v>
      </c>
      <c r="G94" s="244">
        <f t="shared" si="18"/>
        <v>0.29935008421922688</v>
      </c>
      <c r="H94" s="244">
        <f t="shared" si="18"/>
        <v>0.29935011403655559</v>
      </c>
      <c r="I94" s="280">
        <f t="shared" si="3"/>
        <v>0.29214794250022447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282">
        <f>+AVERAGE(J94:O94)</f>
        <v>0</v>
      </c>
      <c r="T94" s="4"/>
      <c r="U94" s="5"/>
    </row>
    <row r="95" spans="2:21" x14ac:dyDescent="0.25">
      <c r="B95" s="13" t="s">
        <v>311</v>
      </c>
      <c r="C95" s="277">
        <v>0</v>
      </c>
      <c r="D95" s="244">
        <v>0</v>
      </c>
      <c r="E95" s="244">
        <v>0</v>
      </c>
      <c r="F95" s="244">
        <v>0</v>
      </c>
      <c r="G95" s="244">
        <v>0</v>
      </c>
      <c r="H95" s="244">
        <v>0</v>
      </c>
      <c r="I95" s="280">
        <f t="shared" si="3"/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282">
        <f>+AVERAGE(J95:O95)</f>
        <v>0</v>
      </c>
      <c r="T95" s="4"/>
      <c r="U95" s="5"/>
    </row>
    <row r="96" spans="2:21" x14ac:dyDescent="0.25">
      <c r="B96" s="13" t="s">
        <v>312</v>
      </c>
      <c r="C96" s="277">
        <v>0</v>
      </c>
      <c r="D96" s="244">
        <v>0</v>
      </c>
      <c r="E96" s="244">
        <v>0</v>
      </c>
      <c r="F96" s="244">
        <v>0</v>
      </c>
      <c r="G96" s="244">
        <v>0</v>
      </c>
      <c r="H96" s="244">
        <v>0</v>
      </c>
      <c r="I96" s="280">
        <f t="shared" si="3"/>
        <v>0</v>
      </c>
      <c r="J96" s="16">
        <f>+C63/(C63+C64+C68)</f>
        <v>8.771089879263072E-2</v>
      </c>
      <c r="K96" s="16">
        <f t="shared" ref="K96:O96" si="19">+D63/(D63+D64+D68)</f>
        <v>8.7710928432975427E-2</v>
      </c>
      <c r="L96" s="16">
        <f t="shared" si="19"/>
        <v>8.7710930137653256E-2</v>
      </c>
      <c r="M96" s="16">
        <f t="shared" si="19"/>
        <v>8.7710931760849459E-2</v>
      </c>
      <c r="N96" s="16">
        <f t="shared" si="19"/>
        <v>8.7710903546437125E-2</v>
      </c>
      <c r="O96" s="16">
        <f t="shared" si="19"/>
        <v>8.7710886743951347E-2</v>
      </c>
      <c r="P96" s="282">
        <f>+AVERAGE(J96:O96)</f>
        <v>8.7710913235749574E-2</v>
      </c>
      <c r="T96" s="4"/>
      <c r="U96" s="5"/>
    </row>
    <row r="97" spans="2:32" x14ac:dyDescent="0.25">
      <c r="B97" s="272" t="s">
        <v>282</v>
      </c>
      <c r="C97" s="277"/>
      <c r="D97" s="244"/>
      <c r="E97" s="244"/>
      <c r="F97" s="244"/>
      <c r="G97" s="244"/>
      <c r="H97" s="244"/>
      <c r="I97" s="280"/>
      <c r="J97" s="16"/>
      <c r="K97" s="16"/>
      <c r="L97" s="16"/>
      <c r="M97" s="16"/>
      <c r="N97" s="16"/>
      <c r="O97" s="16"/>
      <c r="P97" s="282"/>
      <c r="T97" s="4"/>
      <c r="U97" s="5"/>
    </row>
    <row r="98" spans="2:32" x14ac:dyDescent="0.25">
      <c r="B98" s="13" t="s">
        <v>313</v>
      </c>
      <c r="C98" s="277">
        <v>0</v>
      </c>
      <c r="D98" s="244">
        <v>0</v>
      </c>
      <c r="E98" s="244">
        <v>0</v>
      </c>
      <c r="F98" s="244">
        <v>0</v>
      </c>
      <c r="G98" s="244">
        <v>0</v>
      </c>
      <c r="H98" s="244">
        <v>0</v>
      </c>
      <c r="I98" s="280">
        <f t="shared" si="3"/>
        <v>0</v>
      </c>
      <c r="J98" s="16">
        <f>+C63/(C63+C68+C69+C65+C64)</f>
        <v>4.5866965793640906E-2</v>
      </c>
      <c r="K98" s="16">
        <f t="shared" ref="K98:O98" si="20">+D63/(D63+D68+D69+D65+D64)</f>
        <v>4.586698200450455E-2</v>
      </c>
      <c r="L98" s="16">
        <f t="shared" si="20"/>
        <v>4.5866982936825028E-2</v>
      </c>
      <c r="M98" s="16">
        <f t="shared" si="20"/>
        <v>4.5866983824581667E-2</v>
      </c>
      <c r="N98" s="16">
        <f t="shared" si="20"/>
        <v>4.5866968393587268E-2</v>
      </c>
      <c r="O98" s="16">
        <f t="shared" si="20"/>
        <v>4.5866959203991024E-2</v>
      </c>
      <c r="P98" s="282">
        <f>+AVERAGE(J98:O98)</f>
        <v>4.5866973692855077E-2</v>
      </c>
      <c r="T98" s="4"/>
      <c r="U98" s="5"/>
    </row>
    <row r="99" spans="2:32" x14ac:dyDescent="0.25">
      <c r="B99" s="13" t="s">
        <v>314</v>
      </c>
      <c r="C99" s="277">
        <v>0</v>
      </c>
      <c r="D99" s="244">
        <v>0</v>
      </c>
      <c r="E99" s="244">
        <v>0</v>
      </c>
      <c r="F99" s="244">
        <v>0</v>
      </c>
      <c r="G99" s="244">
        <v>0</v>
      </c>
      <c r="H99" s="244">
        <v>0</v>
      </c>
      <c r="I99" s="280">
        <f t="shared" si="3"/>
        <v>0</v>
      </c>
      <c r="J99" s="16">
        <f>+C63/(C63+C64+C65+C68+C69)</f>
        <v>4.5866965793640906E-2</v>
      </c>
      <c r="K99" s="16">
        <f t="shared" ref="K99:O99" si="21">+D63/(D63+D64+D65+D68+D69)</f>
        <v>4.586698200450455E-2</v>
      </c>
      <c r="L99" s="16">
        <f t="shared" si="21"/>
        <v>4.5866982936825028E-2</v>
      </c>
      <c r="M99" s="16">
        <f t="shared" si="21"/>
        <v>4.5866983824581667E-2</v>
      </c>
      <c r="N99" s="16">
        <f t="shared" si="21"/>
        <v>4.5866968393587268E-2</v>
      </c>
      <c r="O99" s="16">
        <f t="shared" si="21"/>
        <v>4.5866959203991024E-2</v>
      </c>
      <c r="P99" s="282">
        <f>+AVERAGE(J99:O99)</f>
        <v>4.5866973692855077E-2</v>
      </c>
      <c r="T99" s="4"/>
      <c r="U99" s="5"/>
    </row>
    <row r="100" spans="2:32" ht="26.4" x14ac:dyDescent="0.25">
      <c r="B100" s="13" t="s">
        <v>315</v>
      </c>
      <c r="C100" s="277">
        <v>0</v>
      </c>
      <c r="D100" s="244">
        <v>0</v>
      </c>
      <c r="E100" s="244">
        <v>0</v>
      </c>
      <c r="F100" s="244">
        <v>0</v>
      </c>
      <c r="G100" s="244">
        <v>0</v>
      </c>
      <c r="H100" s="244">
        <v>0</v>
      </c>
      <c r="I100" s="280">
        <f t="shared" si="3"/>
        <v>0</v>
      </c>
      <c r="J100" s="16">
        <f>+C63/(C63+C64+C65+C68+C69)</f>
        <v>4.5866965793640906E-2</v>
      </c>
      <c r="K100" s="16">
        <f t="shared" ref="K100:O100" si="22">+D63/(D63+D64+D65+D68+D69)</f>
        <v>4.586698200450455E-2</v>
      </c>
      <c r="L100" s="16">
        <f t="shared" si="22"/>
        <v>4.5866982936825028E-2</v>
      </c>
      <c r="M100" s="16">
        <f t="shared" si="22"/>
        <v>4.5866983824581667E-2</v>
      </c>
      <c r="N100" s="16">
        <f t="shared" si="22"/>
        <v>4.5866968393587268E-2</v>
      </c>
      <c r="O100" s="16">
        <f t="shared" si="22"/>
        <v>4.5866959203991024E-2</v>
      </c>
      <c r="P100" s="282">
        <f>+AVERAGE(J100:O100)</f>
        <v>4.5866973692855077E-2</v>
      </c>
      <c r="T100" s="4"/>
      <c r="U100" s="5"/>
    </row>
    <row r="101" spans="2:32" x14ac:dyDescent="0.25">
      <c r="B101" s="272" t="s">
        <v>283</v>
      </c>
      <c r="C101" s="277"/>
      <c r="D101" s="244"/>
      <c r="E101" s="244"/>
      <c r="F101" s="244"/>
      <c r="G101" s="244"/>
      <c r="H101" s="244"/>
      <c r="I101" s="280"/>
      <c r="J101" s="16"/>
      <c r="K101" s="16"/>
      <c r="L101" s="16"/>
      <c r="M101" s="16"/>
      <c r="N101" s="16"/>
      <c r="O101" s="16"/>
      <c r="P101" s="282"/>
      <c r="T101" s="4"/>
      <c r="U101" s="5"/>
    </row>
    <row r="102" spans="2:32" x14ac:dyDescent="0.25">
      <c r="B102" s="13" t="s">
        <v>316</v>
      </c>
      <c r="C102" s="277">
        <f>+C62/(C62+C65+C66)</f>
        <v>0.27046288682529268</v>
      </c>
      <c r="D102" s="244">
        <f t="shared" ref="D102:H102" si="23">+D62/(D62+D65+D66)</f>
        <v>0.28502428927470114</v>
      </c>
      <c r="E102" s="244">
        <f t="shared" si="23"/>
        <v>0.29935014125132292</v>
      </c>
      <c r="F102" s="244">
        <f t="shared" si="23"/>
        <v>0.29935013939424782</v>
      </c>
      <c r="G102" s="244">
        <f t="shared" si="23"/>
        <v>0.29935008421922688</v>
      </c>
      <c r="H102" s="244">
        <f t="shared" si="23"/>
        <v>0.29935011403655559</v>
      </c>
      <c r="I102" s="280">
        <f t="shared" si="3"/>
        <v>0.29214794250022447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282">
        <f>+AVERAGE(J102:O102)</f>
        <v>0</v>
      </c>
      <c r="T102" s="4"/>
      <c r="U102" s="5"/>
    </row>
    <row r="103" spans="2:32" x14ac:dyDescent="0.25">
      <c r="B103" s="13" t="s">
        <v>317</v>
      </c>
      <c r="C103" s="277">
        <f>+C62/(C62+C65+C66)</f>
        <v>0.27046288682529268</v>
      </c>
      <c r="D103" s="244">
        <f t="shared" ref="D103:H103" si="24">+D62/(D62+D65+D66)</f>
        <v>0.28502428927470114</v>
      </c>
      <c r="E103" s="244">
        <f t="shared" si="24"/>
        <v>0.29935014125132292</v>
      </c>
      <c r="F103" s="244">
        <f t="shared" si="24"/>
        <v>0.29935013939424782</v>
      </c>
      <c r="G103" s="244">
        <f t="shared" si="24"/>
        <v>0.29935008421922688</v>
      </c>
      <c r="H103" s="244">
        <f t="shared" si="24"/>
        <v>0.29935011403655559</v>
      </c>
      <c r="I103" s="280">
        <f t="shared" si="3"/>
        <v>0.29214794250022447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282">
        <f>+AVERAGE(J103:O103)</f>
        <v>0</v>
      </c>
      <c r="T103" s="4"/>
      <c r="U103" s="5"/>
    </row>
    <row r="104" spans="2:32" x14ac:dyDescent="0.25">
      <c r="B104" s="272" t="s">
        <v>318</v>
      </c>
      <c r="C104" s="277"/>
      <c r="D104" s="244"/>
      <c r="E104" s="244"/>
      <c r="F104" s="244"/>
      <c r="G104" s="244"/>
      <c r="H104" s="244"/>
      <c r="I104" s="280"/>
      <c r="J104" s="16"/>
      <c r="K104" s="16"/>
      <c r="L104" s="16"/>
      <c r="M104" s="16"/>
      <c r="N104" s="16"/>
      <c r="O104" s="16"/>
      <c r="P104" s="282"/>
      <c r="T104" s="4"/>
      <c r="U104" s="5"/>
    </row>
    <row r="105" spans="2:32" x14ac:dyDescent="0.25">
      <c r="B105" s="13" t="s">
        <v>319</v>
      </c>
      <c r="C105" s="277">
        <f>+C62/(C62+C69+C66+C68+C63+C64+C65)</f>
        <v>7.2758362013237571E-2</v>
      </c>
      <c r="D105" s="244">
        <f t="shared" ref="D105:H105" si="25">+D62/(D62+D69+D66+D68+D63+D64+D65)</f>
        <v>8.4223039306448325E-2</v>
      </c>
      <c r="E105" s="244">
        <f t="shared" si="25"/>
        <v>9.3501517203682202E-2</v>
      </c>
      <c r="F105" s="244">
        <f t="shared" si="25"/>
        <v>9.8082108919489472E-2</v>
      </c>
      <c r="G105" s="244">
        <f t="shared" si="25"/>
        <v>0.10063370038094269</v>
      </c>
      <c r="H105" s="244">
        <f t="shared" si="25"/>
        <v>0.10377627511342306</v>
      </c>
      <c r="I105" s="280">
        <f t="shared" si="3"/>
        <v>9.2162500489537225E-2</v>
      </c>
      <c r="J105" s="16">
        <f>+C63/(C63+C68+C69+C66+C62+C64+C65)</f>
        <v>3.5885677329733051E-2</v>
      </c>
      <c r="K105" s="16">
        <f t="shared" ref="K105:O105" si="26">+D63/(D63+D68+D69+D66+D62+D64+D65)</f>
        <v>3.4882085647939147E-2</v>
      </c>
      <c r="L105" s="16">
        <f t="shared" si="26"/>
        <v>3.4233586727423992E-2</v>
      </c>
      <c r="M105" s="16">
        <f t="shared" si="26"/>
        <v>3.3672657143356516E-2</v>
      </c>
      <c r="N105" s="16">
        <f t="shared" si="26"/>
        <v>3.3364657397535802E-2</v>
      </c>
      <c r="O105" s="16">
        <f t="shared" si="26"/>
        <v>3.2983798850585749E-2</v>
      </c>
      <c r="P105" s="282">
        <f>+AVERAGE(J105:O105)</f>
        <v>3.4170410516095713E-2</v>
      </c>
      <c r="T105" s="4"/>
      <c r="U105" s="5"/>
    </row>
    <row r="106" spans="2:32" x14ac:dyDescent="0.25">
      <c r="B106" s="13" t="s">
        <v>320</v>
      </c>
      <c r="C106" s="277">
        <v>0</v>
      </c>
      <c r="D106" s="244">
        <v>0</v>
      </c>
      <c r="E106" s="244">
        <v>0</v>
      </c>
      <c r="F106" s="244">
        <v>0</v>
      </c>
      <c r="G106" s="244">
        <v>0</v>
      </c>
      <c r="H106" s="244">
        <v>0</v>
      </c>
      <c r="I106" s="280">
        <f t="shared" si="3"/>
        <v>0</v>
      </c>
      <c r="J106" s="16">
        <f>+C63/(C63+C68+C69+C64+C65)</f>
        <v>4.5866965793640906E-2</v>
      </c>
      <c r="K106" s="16">
        <f t="shared" ref="K106:O106" si="27">+D63/(D63+D68+D69+D64+D65)</f>
        <v>4.586698200450455E-2</v>
      </c>
      <c r="L106" s="16">
        <f t="shared" si="27"/>
        <v>4.5866982936825028E-2</v>
      </c>
      <c r="M106" s="16">
        <f t="shared" si="27"/>
        <v>4.5866983824581667E-2</v>
      </c>
      <c r="N106" s="16">
        <f t="shared" si="27"/>
        <v>4.5866968393587268E-2</v>
      </c>
      <c r="O106" s="16">
        <f t="shared" si="27"/>
        <v>4.5866959203991024E-2</v>
      </c>
      <c r="P106" s="282">
        <f>+AVERAGE(J106:O106)</f>
        <v>4.5866973692855077E-2</v>
      </c>
      <c r="T106" s="4"/>
      <c r="U106" s="5"/>
    </row>
    <row r="107" spans="2:32" x14ac:dyDescent="0.25">
      <c r="B107" s="13" t="s">
        <v>321</v>
      </c>
      <c r="C107" s="277">
        <f>+C62/(C62+C66+C65)</f>
        <v>0.27046288682529268</v>
      </c>
      <c r="D107" s="244">
        <f t="shared" ref="D107:H107" si="28">+D62/(D62+D66+D65)</f>
        <v>0.28502428927470114</v>
      </c>
      <c r="E107" s="244">
        <f t="shared" si="28"/>
        <v>0.29935014125132292</v>
      </c>
      <c r="F107" s="244">
        <f t="shared" si="28"/>
        <v>0.29935013939424782</v>
      </c>
      <c r="G107" s="244">
        <f t="shared" si="28"/>
        <v>0.29935008421922688</v>
      </c>
      <c r="H107" s="244">
        <f t="shared" si="28"/>
        <v>0.29935011403655559</v>
      </c>
      <c r="I107" s="280">
        <f t="shared" si="3"/>
        <v>0.29214794250022447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282">
        <f>+AVERAGE(J107:O107)</f>
        <v>0</v>
      </c>
      <c r="T107" s="4"/>
      <c r="U107" s="5"/>
    </row>
    <row r="108" spans="2:32" x14ac:dyDescent="0.25">
      <c r="B108" s="272" t="s">
        <v>322</v>
      </c>
      <c r="C108" s="277"/>
      <c r="D108" s="244"/>
      <c r="E108" s="244"/>
      <c r="F108" s="244"/>
      <c r="G108" s="244"/>
      <c r="H108" s="244"/>
      <c r="I108" s="280"/>
      <c r="J108" s="16"/>
      <c r="K108" s="16"/>
      <c r="L108" s="16"/>
      <c r="M108" s="16"/>
      <c r="N108" s="16"/>
      <c r="O108" s="16"/>
      <c r="P108" s="282"/>
      <c r="T108" s="4"/>
      <c r="U108" s="5"/>
    </row>
    <row r="109" spans="2:32" x14ac:dyDescent="0.25">
      <c r="B109" s="284" t="s">
        <v>323</v>
      </c>
      <c r="C109" s="278">
        <f>+C62/(C62+C66+C65)</f>
        <v>0.27046288682529268</v>
      </c>
      <c r="D109" s="274">
        <f t="shared" ref="D109:H109" si="29">+D62/(D62+D66+D65)</f>
        <v>0.28502428927470114</v>
      </c>
      <c r="E109" s="274">
        <f t="shared" si="29"/>
        <v>0.29935014125132292</v>
      </c>
      <c r="F109" s="274">
        <f t="shared" si="29"/>
        <v>0.29935013939424782</v>
      </c>
      <c r="G109" s="274">
        <f t="shared" si="29"/>
        <v>0.29935008421922688</v>
      </c>
      <c r="H109" s="274">
        <f t="shared" si="29"/>
        <v>0.29935011403655559</v>
      </c>
      <c r="I109" s="281">
        <f t="shared" si="3"/>
        <v>0.29214794250022447</v>
      </c>
      <c r="J109" s="275">
        <v>0</v>
      </c>
      <c r="K109" s="275">
        <v>0</v>
      </c>
      <c r="L109" s="275">
        <v>0</v>
      </c>
      <c r="M109" s="275">
        <v>0</v>
      </c>
      <c r="N109" s="275">
        <v>0</v>
      </c>
      <c r="O109" s="275">
        <v>0</v>
      </c>
      <c r="P109" s="283">
        <f>+AVERAGE(J109:O109)</f>
        <v>0</v>
      </c>
      <c r="T109" s="4"/>
      <c r="U109" s="5"/>
    </row>
    <row r="111" spans="2:32" x14ac:dyDescent="0.25">
      <c r="B111" s="8" t="s">
        <v>609</v>
      </c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:32" x14ac:dyDescent="0.25">
      <c r="L112" s="8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:32" x14ac:dyDescent="0.25">
      <c r="L113" s="8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:32" x14ac:dyDescent="0.25">
      <c r="B114" s="53" t="s">
        <v>327</v>
      </c>
      <c r="C114" s="53" t="s">
        <v>0</v>
      </c>
      <c r="D114" s="53" t="s">
        <v>1</v>
      </c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:32" x14ac:dyDescent="0.25">
      <c r="B115" s="272" t="s">
        <v>276</v>
      </c>
      <c r="C115" s="4"/>
      <c r="D115" s="4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:32" x14ac:dyDescent="0.25">
      <c r="B116" s="13" t="s">
        <v>294</v>
      </c>
      <c r="C116" s="285">
        <f>+K23*I75</f>
        <v>65.148991177550059</v>
      </c>
      <c r="D116" s="285">
        <f>+K23*P75</f>
        <v>0</v>
      </c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:32" x14ac:dyDescent="0.25">
      <c r="B117" s="13" t="s">
        <v>296</v>
      </c>
      <c r="C117" s="285">
        <f>+K24*I76</f>
        <v>65.148991177550059</v>
      </c>
      <c r="D117" s="285">
        <f>+K24*P76</f>
        <v>0</v>
      </c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:32" x14ac:dyDescent="0.25">
      <c r="B118" s="13" t="s">
        <v>297</v>
      </c>
      <c r="C118" s="285">
        <f>+K25*I77</f>
        <v>0</v>
      </c>
      <c r="D118" s="285">
        <f>+K25*P77</f>
        <v>273</v>
      </c>
      <c r="L118" s="8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:32" x14ac:dyDescent="0.25">
      <c r="B119" s="13" t="s">
        <v>298</v>
      </c>
      <c r="C119" s="285">
        <f>+K26*I78</f>
        <v>0</v>
      </c>
      <c r="D119" s="285">
        <f>+K26*P78</f>
        <v>41.453686802920338</v>
      </c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:32" x14ac:dyDescent="0.25">
      <c r="B120" s="272" t="s">
        <v>277</v>
      </c>
      <c r="C120" s="285"/>
      <c r="D120" s="285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:32" x14ac:dyDescent="0.25">
      <c r="B121" s="13" t="s">
        <v>299</v>
      </c>
      <c r="C121" s="285">
        <f>+K28*I80</f>
        <v>261.11327264709155</v>
      </c>
      <c r="D121" s="285">
        <f>+K28*P80</f>
        <v>97.111979080583055</v>
      </c>
      <c r="L121" s="8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:32" x14ac:dyDescent="0.25">
      <c r="B122" s="13" t="s">
        <v>300</v>
      </c>
      <c r="C122" s="285">
        <f>+K29*I81</f>
        <v>210.56257904307733</v>
      </c>
      <c r="D122" s="285">
        <f>+K29*P81</f>
        <v>78.311410844372134</v>
      </c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:32" x14ac:dyDescent="0.25">
      <c r="B123" s="272" t="s">
        <v>278</v>
      </c>
      <c r="C123" s="285"/>
      <c r="D123" s="285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:32" x14ac:dyDescent="0.25">
      <c r="B124" s="13" t="s">
        <v>301</v>
      </c>
      <c r="C124" s="285">
        <f>+K31*I83</f>
        <v>581.08225763294649</v>
      </c>
      <c r="D124" s="285">
        <f>+K31*P83</f>
        <v>0</v>
      </c>
      <c r="L124" s="8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:32" x14ac:dyDescent="0.25">
      <c r="B125" s="13" t="s">
        <v>302</v>
      </c>
      <c r="C125" s="285">
        <f>+K32*I84</f>
        <v>0</v>
      </c>
      <c r="D125" s="285">
        <f>+K32*P84</f>
        <v>145.17151675525889</v>
      </c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:32" x14ac:dyDescent="0.25">
      <c r="B126" s="272" t="s">
        <v>279</v>
      </c>
      <c r="C126" s="285"/>
      <c r="D126" s="285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:32" x14ac:dyDescent="0.25">
      <c r="B127" s="13" t="s">
        <v>303</v>
      </c>
      <c r="C127" s="285">
        <f>+K34*I86</f>
        <v>880.82604663817676</v>
      </c>
      <c r="D127" s="285">
        <f>+K34*P86</f>
        <v>0</v>
      </c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:32" ht="26.4" x14ac:dyDescent="0.25">
      <c r="B128" s="13" t="s">
        <v>304</v>
      </c>
      <c r="C128" s="285">
        <f>+K35*I87</f>
        <v>545.14806070541886</v>
      </c>
      <c r="D128" s="285">
        <f>+K35*P87</f>
        <v>0</v>
      </c>
      <c r="L128" s="8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:32" ht="26.4" x14ac:dyDescent="0.25">
      <c r="B129" s="13" t="s">
        <v>305</v>
      </c>
      <c r="C129" s="285">
        <f>+K36*I88</f>
        <v>243.94353198768744</v>
      </c>
      <c r="D129" s="285">
        <f>+K36*P88</f>
        <v>0</v>
      </c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:32" x14ac:dyDescent="0.25">
      <c r="B130" s="272" t="s">
        <v>306</v>
      </c>
      <c r="C130" s="285"/>
      <c r="D130" s="285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:32" x14ac:dyDescent="0.25">
      <c r="B131" s="13" t="s">
        <v>307</v>
      </c>
      <c r="C131" s="285">
        <f>+K38*I90</f>
        <v>1161.2880714383923</v>
      </c>
      <c r="D131" s="285">
        <f>+K38*P90</f>
        <v>0</v>
      </c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:32" ht="26.4" x14ac:dyDescent="0.25">
      <c r="B132" s="13" t="s">
        <v>308</v>
      </c>
      <c r="C132" s="285">
        <f>+K39*I91</f>
        <v>0</v>
      </c>
      <c r="D132" s="285">
        <f>+K39*P91</f>
        <v>187.74595021416803</v>
      </c>
      <c r="L132" s="8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:32" ht="26.4" x14ac:dyDescent="0.25">
      <c r="B133" s="13" t="s">
        <v>309</v>
      </c>
      <c r="C133" s="285">
        <f>+K40*I92</f>
        <v>239.56131285018407</v>
      </c>
      <c r="D133" s="285">
        <f>+K40*P92</f>
        <v>0</v>
      </c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:32" x14ac:dyDescent="0.25">
      <c r="B134" s="272" t="s">
        <v>281</v>
      </c>
      <c r="C134" s="285"/>
      <c r="D134" s="285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2:32" x14ac:dyDescent="0.25">
      <c r="B135" s="13" t="s">
        <v>310</v>
      </c>
      <c r="C135" s="285">
        <f>+K42*I94</f>
        <v>1226.1449146734421</v>
      </c>
      <c r="D135" s="285">
        <f>+K42*P94</f>
        <v>0</v>
      </c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2:32" x14ac:dyDescent="0.25">
      <c r="B136" s="13" t="s">
        <v>311</v>
      </c>
      <c r="C136" s="285">
        <f>+K43*I95</f>
        <v>0</v>
      </c>
      <c r="D136" s="285">
        <f>+K43*P95</f>
        <v>0</v>
      </c>
      <c r="L136" s="8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2:32" x14ac:dyDescent="0.25">
      <c r="B137" s="13" t="s">
        <v>312</v>
      </c>
      <c r="C137" s="285">
        <f>+K44*I96</f>
        <v>0</v>
      </c>
      <c r="D137" s="285">
        <f>+K44*P96</f>
        <v>58.854022781187965</v>
      </c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2:32" x14ac:dyDescent="0.25">
      <c r="B138" s="272" t="s">
        <v>282</v>
      </c>
      <c r="C138" s="285"/>
      <c r="D138" s="285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2:32" x14ac:dyDescent="0.25">
      <c r="B139" s="13" t="s">
        <v>313</v>
      </c>
      <c r="C139" s="285">
        <f>+K46*I98</f>
        <v>0</v>
      </c>
      <c r="D139" s="285">
        <f>+K46*P98</f>
        <v>153.79196279214307</v>
      </c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2:32" x14ac:dyDescent="0.25">
      <c r="B140" s="13" t="s">
        <v>314</v>
      </c>
      <c r="C140" s="285">
        <f>+K47*I99</f>
        <v>0</v>
      </c>
      <c r="D140" s="285">
        <f>+K47*P99</f>
        <v>268.45939702428075</v>
      </c>
      <c r="L140" s="8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2:32" ht="26.4" x14ac:dyDescent="0.25">
      <c r="B141" s="13" t="s">
        <v>315</v>
      </c>
      <c r="C141" s="285">
        <f>+K48*I100</f>
        <v>0</v>
      </c>
      <c r="D141" s="285">
        <f>+K48*P100</f>
        <v>91.091809754010185</v>
      </c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2:32" x14ac:dyDescent="0.25">
      <c r="B142" s="272" t="s">
        <v>283</v>
      </c>
      <c r="C142" s="285"/>
      <c r="D142" s="285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2:32" x14ac:dyDescent="0.25">
      <c r="B143" s="13" t="s">
        <v>316</v>
      </c>
      <c r="C143" s="285">
        <f>+K50*I102</f>
        <v>910.62513677319964</v>
      </c>
      <c r="D143" s="285">
        <f>+K50*P102</f>
        <v>0</v>
      </c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2:32" x14ac:dyDescent="0.25">
      <c r="B144" s="13" t="s">
        <v>317</v>
      </c>
      <c r="C144" s="285">
        <f>+K51*I103</f>
        <v>637.75895847799006</v>
      </c>
      <c r="D144" s="285">
        <f>+K51*P103</f>
        <v>0</v>
      </c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2:32" x14ac:dyDescent="0.25">
      <c r="B145" s="272" t="s">
        <v>318</v>
      </c>
      <c r="C145" s="285"/>
      <c r="D145" s="285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2:32" x14ac:dyDescent="0.25">
      <c r="B146" s="13" t="s">
        <v>319</v>
      </c>
      <c r="C146" s="285">
        <f>+K53*I105</f>
        <v>563.48152799303057</v>
      </c>
      <c r="D146" s="285">
        <f>+K53*P105</f>
        <v>208.91788989540919</v>
      </c>
      <c r="S146" s="14"/>
    </row>
    <row r="147" spans="2:32" x14ac:dyDescent="0.25">
      <c r="B147" s="13" t="s">
        <v>320</v>
      </c>
      <c r="C147" s="285">
        <f>+K54*I106</f>
        <v>0</v>
      </c>
      <c r="D147" s="285">
        <f>+K54*P106</f>
        <v>331.38888493087791</v>
      </c>
      <c r="S147" s="14"/>
    </row>
    <row r="148" spans="2:32" x14ac:dyDescent="0.25">
      <c r="B148" s="13" t="s">
        <v>321</v>
      </c>
      <c r="C148" s="285">
        <f>+K55*I107</f>
        <v>889.59048491318345</v>
      </c>
      <c r="D148" s="285">
        <f>+K55*P107</f>
        <v>0</v>
      </c>
      <c r="S148" s="14"/>
    </row>
    <row r="149" spans="2:32" x14ac:dyDescent="0.25">
      <c r="B149" s="272" t="s">
        <v>322</v>
      </c>
      <c r="C149" s="285"/>
      <c r="D149" s="285"/>
      <c r="S149" s="14"/>
    </row>
    <row r="150" spans="2:32" x14ac:dyDescent="0.25">
      <c r="B150" s="13" t="s">
        <v>323</v>
      </c>
      <c r="C150" s="285">
        <f>+K57*I109</f>
        <v>2279.6303953292513</v>
      </c>
      <c r="D150" s="285">
        <f>+K57*P109</f>
        <v>0</v>
      </c>
      <c r="S150" s="14"/>
    </row>
    <row r="151" spans="2:32" x14ac:dyDescent="0.25">
      <c r="B151" s="53" t="s">
        <v>8</v>
      </c>
      <c r="C151" s="242">
        <f>+SUM(C116:C150)</f>
        <v>10761.054533458173</v>
      </c>
      <c r="D151" s="242">
        <f>+SUM(D116:D150)</f>
        <v>1935.2985108752114</v>
      </c>
      <c r="S151" s="14"/>
    </row>
    <row r="153" spans="2:32" ht="26.25" customHeight="1" x14ac:dyDescent="0.25"/>
  </sheetData>
  <mergeCells count="2">
    <mergeCell ref="C72:I72"/>
    <mergeCell ref="J72:P72"/>
  </mergeCells>
  <hyperlinks>
    <hyperlink ref="I1" location="Índice!A1" display="ÍNDICE" xr:uid="{A5727A83-1487-454D-943D-AC8641901D56}"/>
  </hyperlinks>
  <pageMargins left="0.7" right="0.7" top="0.75" bottom="0.75" header="0.3" footer="0.3"/>
  <pageSetup paperSize="9" orientation="portrait" horizontalDpi="0" verticalDpi="0" r:id="rId1"/>
  <ignoredErrors>
    <ignoredError sqref="C70:H70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6975-1C83-4394-9782-4E0A0C8AF5F5}">
  <sheetPr codeName="Hoja22"/>
  <dimension ref="B1:I78"/>
  <sheetViews>
    <sheetView showGridLines="0" zoomScaleNormal="100" workbookViewId="0">
      <pane ySplit="2" topLeftCell="A3" activePane="bottomLeft" state="frozen"/>
      <selection pane="bottomLeft" activeCell="E12" sqref="E12"/>
    </sheetView>
  </sheetViews>
  <sheetFormatPr baseColWidth="10" defaultColWidth="11.5546875" defaultRowHeight="13.2" x14ac:dyDescent="0.25"/>
  <cols>
    <col min="1" max="1" width="2.6640625" style="1" customWidth="1"/>
    <col min="2" max="2" width="40" style="1" bestFit="1" customWidth="1"/>
    <col min="3" max="3" width="14.5546875" style="1" bestFit="1" customWidth="1"/>
    <col min="4" max="4" width="14.77734375" style="1" customWidth="1"/>
    <col min="5" max="5" width="14.5546875" style="1" customWidth="1"/>
    <col min="6" max="6" width="13.5546875" style="1" customWidth="1"/>
    <col min="7" max="7" width="11.5546875" style="1"/>
    <col min="8" max="8" width="32.33203125" style="1" bestFit="1" customWidth="1"/>
    <col min="9" max="9" width="17" style="1" bestFit="1" customWidth="1"/>
    <col min="10" max="10" width="15.33203125" style="1" bestFit="1" customWidth="1"/>
    <col min="11" max="16384" width="11.5546875" style="1"/>
  </cols>
  <sheetData>
    <row r="1" spans="2:9" s="38" customFormat="1" ht="16.2" thickBot="1" x14ac:dyDescent="0.35">
      <c r="B1" s="37" t="s">
        <v>611</v>
      </c>
      <c r="I1" s="39" t="s">
        <v>389</v>
      </c>
    </row>
    <row r="2" spans="2:9" s="38" customFormat="1" ht="5.0999999999999996" customHeight="1" x14ac:dyDescent="0.3">
      <c r="B2" s="37"/>
      <c r="F2" s="178"/>
    </row>
    <row r="3" spans="2:9" x14ac:dyDescent="0.25">
      <c r="B3" s="202" t="s">
        <v>612</v>
      </c>
      <c r="C3" s="202"/>
      <c r="D3" s="202"/>
      <c r="E3" s="8"/>
      <c r="G3" s="8"/>
    </row>
    <row r="5" spans="2:9" x14ac:dyDescent="0.25">
      <c r="B5" s="53" t="s">
        <v>205</v>
      </c>
      <c r="C5" s="53" t="s">
        <v>254</v>
      </c>
    </row>
    <row r="6" spans="2:9" x14ac:dyDescent="0.25">
      <c r="B6" s="38" t="s">
        <v>199</v>
      </c>
      <c r="C6" s="249">
        <v>285232634.15206164</v>
      </c>
    </row>
    <row r="7" spans="2:9" x14ac:dyDescent="0.25">
      <c r="B7" s="38" t="s">
        <v>200</v>
      </c>
      <c r="C7" s="249">
        <v>151168902.07981539</v>
      </c>
    </row>
    <row r="8" spans="2:9" x14ac:dyDescent="0.25">
      <c r="B8" s="38" t="s">
        <v>201</v>
      </c>
      <c r="C8" s="249">
        <v>77109746.988864839</v>
      </c>
    </row>
    <row r="9" spans="2:9" x14ac:dyDescent="0.25">
      <c r="B9" s="38" t="s">
        <v>202</v>
      </c>
      <c r="C9" s="249">
        <v>53653099.887594394</v>
      </c>
    </row>
    <row r="10" spans="2:9" x14ac:dyDescent="0.25">
      <c r="B10" s="38" t="s">
        <v>203</v>
      </c>
      <c r="C10" s="249">
        <v>4362737.8723125961</v>
      </c>
    </row>
    <row r="11" spans="2:9" x14ac:dyDescent="0.25">
      <c r="B11" s="38" t="s">
        <v>204</v>
      </c>
      <c r="C11" s="249">
        <v>70855617.10872975</v>
      </c>
    </row>
    <row r="12" spans="2:9" x14ac:dyDescent="0.25">
      <c r="B12" s="54" t="s">
        <v>8</v>
      </c>
      <c r="C12" s="219">
        <f>SUM(C6:C11)+33583269.9106215</f>
        <v>675966008</v>
      </c>
    </row>
    <row r="14" spans="2:9" x14ac:dyDescent="0.25">
      <c r="B14" s="202" t="s">
        <v>588</v>
      </c>
    </row>
    <row r="15" spans="2:9" ht="13.2" customHeight="1" x14ac:dyDescent="0.25"/>
    <row r="16" spans="2:9" ht="13.2" customHeight="1" x14ac:dyDescent="0.25">
      <c r="B16" s="53" t="s">
        <v>214</v>
      </c>
      <c r="C16" s="53" t="s">
        <v>0</v>
      </c>
      <c r="D16" s="53" t="s">
        <v>1</v>
      </c>
    </row>
    <row r="17" spans="2:5" x14ac:dyDescent="0.25">
      <c r="B17" s="1" t="s">
        <v>206</v>
      </c>
      <c r="C17" s="3">
        <v>1247850.18815515</v>
      </c>
      <c r="D17" s="3">
        <v>1247850.18815515</v>
      </c>
    </row>
    <row r="18" spans="2:5" x14ac:dyDescent="0.25">
      <c r="B18" s="1" t="s">
        <v>206</v>
      </c>
      <c r="C18" s="3">
        <v>151250.52558199901</v>
      </c>
      <c r="D18" s="3">
        <v>151250.52558199901</v>
      </c>
    </row>
    <row r="19" spans="2:5" x14ac:dyDescent="0.25">
      <c r="B19" s="1" t="s">
        <v>207</v>
      </c>
      <c r="C19" s="3">
        <v>7714492.5686160699</v>
      </c>
      <c r="D19" s="3">
        <v>0</v>
      </c>
    </row>
    <row r="20" spans="2:5" x14ac:dyDescent="0.25">
      <c r="B20" s="54" t="s">
        <v>8</v>
      </c>
      <c r="C20" s="219">
        <f>+SUM(C17:C19)</f>
        <v>9113593.2823532186</v>
      </c>
      <c r="D20" s="219">
        <f>+SUM(D17:D19)</f>
        <v>1399100.713737149</v>
      </c>
    </row>
    <row r="22" spans="2:5" x14ac:dyDescent="0.25">
      <c r="B22" s="202" t="s">
        <v>613</v>
      </c>
    </row>
    <row r="24" spans="2:5" ht="13.2" customHeight="1" x14ac:dyDescent="0.25">
      <c r="B24" s="53" t="s">
        <v>614</v>
      </c>
      <c r="C24" s="53" t="s">
        <v>584</v>
      </c>
    </row>
    <row r="25" spans="2:5" x14ac:dyDescent="0.25">
      <c r="B25" s="38" t="s">
        <v>0</v>
      </c>
      <c r="C25" s="249">
        <f>+(C12-C20)/'5.2 Asignación de Áreas'!E4</f>
        <v>2600.2099372604266</v>
      </c>
    </row>
    <row r="26" spans="2:5" x14ac:dyDescent="0.25">
      <c r="B26" s="260" t="s">
        <v>1</v>
      </c>
      <c r="C26" s="261">
        <f>+(C12-D20)/'5.2 Asignación de Áreas'!E5</f>
        <v>2630.2905065065174</v>
      </c>
    </row>
    <row r="29" spans="2:5" ht="13.2" customHeight="1" x14ac:dyDescent="0.25">
      <c r="B29" s="202" t="s">
        <v>615</v>
      </c>
      <c r="C29" s="8"/>
      <c r="D29" s="8"/>
      <c r="E29" s="8"/>
    </row>
    <row r="31" spans="2:5" ht="26.4" x14ac:dyDescent="0.25">
      <c r="B31" s="53" t="s">
        <v>218</v>
      </c>
      <c r="C31" s="40" t="s">
        <v>227</v>
      </c>
      <c r="D31" s="40" t="s">
        <v>228</v>
      </c>
      <c r="E31" s="40" t="s">
        <v>217</v>
      </c>
    </row>
    <row r="32" spans="2:5" x14ac:dyDescent="0.25">
      <c r="B32" s="1" t="s">
        <v>219</v>
      </c>
      <c r="C32" s="5">
        <v>30847781.189682554</v>
      </c>
      <c r="D32" s="251">
        <v>1</v>
      </c>
      <c r="E32" s="12">
        <f>+C32*D32/'5.2 Asignación de Áreas'!$E$4</f>
        <v>120.28254741464795</v>
      </c>
    </row>
    <row r="33" spans="2:6" x14ac:dyDescent="0.25">
      <c r="B33" s="1" t="s">
        <v>220</v>
      </c>
      <c r="C33" s="5">
        <v>3201386.9032425387</v>
      </c>
      <c r="D33" s="251">
        <v>0.94598317667470033</v>
      </c>
      <c r="E33" s="12">
        <f>+C33*D33/'5.2 Asignación de Áreas'!$E$4</f>
        <v>11.808650323365585</v>
      </c>
    </row>
    <row r="34" spans="2:6" x14ac:dyDescent="0.25">
      <c r="B34" s="1" t="s">
        <v>221</v>
      </c>
      <c r="C34" s="5">
        <v>4024635.6013967604</v>
      </c>
      <c r="D34" s="251">
        <v>0.94598317667470033</v>
      </c>
      <c r="E34" s="12">
        <f>+C34*D34/'5.2 Asignación de Áreas'!$E$4</f>
        <v>14.845289223781757</v>
      </c>
    </row>
    <row r="35" spans="2:6" x14ac:dyDescent="0.25">
      <c r="B35" s="1" t="s">
        <v>222</v>
      </c>
      <c r="C35" s="5">
        <v>8724560.3967785928</v>
      </c>
      <c r="D35" s="251">
        <v>0.94598317667470033</v>
      </c>
      <c r="E35" s="12">
        <f>+C35*D35/'5.2 Asignación de Áreas'!$E$4</f>
        <v>32.181453246495295</v>
      </c>
    </row>
    <row r="36" spans="2:6" x14ac:dyDescent="0.25">
      <c r="B36" s="1" t="s">
        <v>223</v>
      </c>
      <c r="C36" s="5">
        <v>19190604.167385109</v>
      </c>
      <c r="D36" s="251">
        <v>0.70980553459599194</v>
      </c>
      <c r="E36" s="12">
        <f>+C36*D36/'5.2 Asignación de Áreas'!$E$4</f>
        <v>53.113719362351596</v>
      </c>
    </row>
    <row r="37" spans="2:6" x14ac:dyDescent="0.25">
      <c r="B37" s="1" t="s">
        <v>224</v>
      </c>
      <c r="C37" s="5">
        <v>19734789.882669199</v>
      </c>
      <c r="D37" s="251">
        <v>0.70980553459599194</v>
      </c>
      <c r="E37" s="12">
        <f>+C37*D37/'5.2 Asignación de Áreas'!$E$4</f>
        <v>54.619858883051123</v>
      </c>
    </row>
    <row r="38" spans="2:6" x14ac:dyDescent="0.25">
      <c r="B38" s="1" t="s">
        <v>225</v>
      </c>
      <c r="C38" s="5">
        <v>16989388.527332935</v>
      </c>
      <c r="D38" s="251">
        <v>0.94210000000000005</v>
      </c>
      <c r="E38" s="12">
        <f>+C38*D38/'5.2 Asignación de Áreas'!$E$4</f>
        <v>62.409892949412544</v>
      </c>
    </row>
    <row r="39" spans="2:6" x14ac:dyDescent="0.25">
      <c r="B39" s="1" t="s">
        <v>226</v>
      </c>
      <c r="C39" s="5">
        <v>2695167.9316587094</v>
      </c>
      <c r="D39" s="251">
        <v>0.70980553459599194</v>
      </c>
      <c r="E39" s="12">
        <f>+C39*D39/'5.2 Asignación de Áreas'!$E$4</f>
        <v>7.4594000224244015</v>
      </c>
    </row>
    <row r="40" spans="2:6" x14ac:dyDescent="0.25">
      <c r="B40" s="54" t="s">
        <v>8</v>
      </c>
      <c r="C40" s="219"/>
      <c r="D40" s="219"/>
      <c r="E40" s="250">
        <f>+SUM(E32:E39)</f>
        <v>356.72081142553026</v>
      </c>
    </row>
    <row r="43" spans="2:6" x14ac:dyDescent="0.25">
      <c r="B43" s="202" t="s">
        <v>616</v>
      </c>
    </row>
    <row r="45" spans="2:6" x14ac:dyDescent="0.25">
      <c r="B45" s="40" t="s">
        <v>592</v>
      </c>
      <c r="C45" s="40" t="s">
        <v>230</v>
      </c>
      <c r="D45" s="40" t="s">
        <v>231</v>
      </c>
      <c r="E45" s="40" t="s">
        <v>232</v>
      </c>
      <c r="F45" s="40" t="s">
        <v>233</v>
      </c>
    </row>
    <row r="46" spans="2:6" x14ac:dyDescent="0.25">
      <c r="B46" s="1" t="s">
        <v>234</v>
      </c>
      <c r="C46" s="5">
        <f>SUM(D46:F46)</f>
        <v>1539762037</v>
      </c>
      <c r="D46" s="5">
        <v>349927657</v>
      </c>
      <c r="E46" s="5">
        <v>1085867884</v>
      </c>
      <c r="F46" s="5">
        <v>103966496</v>
      </c>
    </row>
    <row r="47" spans="2:6" x14ac:dyDescent="0.25">
      <c r="B47" s="252" t="s">
        <v>235</v>
      </c>
      <c r="C47" s="253">
        <f>+C46/$C$46</f>
        <v>1</v>
      </c>
      <c r="D47" s="253">
        <f>+D46/$C$46</f>
        <v>0.22726086797267883</v>
      </c>
      <c r="E47" s="253">
        <f>+E46/$C$46</f>
        <v>0.70521798687520176</v>
      </c>
      <c r="F47" s="253">
        <f>+F46/$C$46</f>
        <v>6.7521145152119377E-2</v>
      </c>
    </row>
    <row r="48" spans="2:6" x14ac:dyDescent="0.25">
      <c r="B48" s="1" t="s">
        <v>236</v>
      </c>
      <c r="C48" s="5">
        <v>3995414.35</v>
      </c>
      <c r="D48" s="5">
        <f>+C48*$D$47</f>
        <v>908001.33309149649</v>
      </c>
      <c r="E48" s="5">
        <f>+C48*$E$47</f>
        <v>2817638.0646392927</v>
      </c>
      <c r="F48" s="5">
        <f>+C48*$F$47</f>
        <v>269774.95226921071</v>
      </c>
    </row>
    <row r="49" spans="2:7" x14ac:dyDescent="0.25">
      <c r="B49" s="1" t="s">
        <v>237</v>
      </c>
      <c r="C49" s="5">
        <v>103159114.14</v>
      </c>
      <c r="D49" s="5">
        <f>+C49*$D$47</f>
        <v>23444029.818749048</v>
      </c>
      <c r="E49" s="5">
        <f>+C49*$E$47</f>
        <v>72749662.801639959</v>
      </c>
      <c r="F49" s="5">
        <f>+C49*$F$47</f>
        <v>6965421.5196109908</v>
      </c>
    </row>
    <row r="50" spans="2:7" x14ac:dyDescent="0.25">
      <c r="B50" s="1" t="s">
        <v>238</v>
      </c>
      <c r="C50" s="5">
        <v>39570891.579999998</v>
      </c>
      <c r="D50" s="5">
        <f>+C50*$D$47</f>
        <v>8992915.1669235677</v>
      </c>
      <c r="E50" s="5">
        <f>+C50*$E$47</f>
        <v>27906104.49890447</v>
      </c>
      <c r="F50" s="5">
        <f>+C50*$F$47</f>
        <v>2671871.9141719583</v>
      </c>
    </row>
    <row r="51" spans="2:7" x14ac:dyDescent="0.25">
      <c r="B51" s="150" t="s">
        <v>239</v>
      </c>
      <c r="C51" s="151">
        <v>15514764.84</v>
      </c>
      <c r="D51" s="151">
        <f>+C51*$D$47</f>
        <v>3525898.9239303996</v>
      </c>
      <c r="E51" s="151">
        <f>+C51*$E$47</f>
        <v>10941291.227306962</v>
      </c>
      <c r="F51" s="151">
        <f>+C51*$F$47</f>
        <v>1047574.6887626381</v>
      </c>
    </row>
    <row r="53" spans="2:7" x14ac:dyDescent="0.25">
      <c r="B53" s="202" t="s">
        <v>617</v>
      </c>
    </row>
    <row r="55" spans="2:7" ht="26.4" x14ac:dyDescent="0.25">
      <c r="B55" s="40" t="s">
        <v>618</v>
      </c>
      <c r="C55" s="40" t="s">
        <v>0</v>
      </c>
      <c r="D55" s="40" t="s">
        <v>1</v>
      </c>
    </row>
    <row r="56" spans="2:7" ht="26.4" x14ac:dyDescent="0.25">
      <c r="B56" s="13" t="s">
        <v>242</v>
      </c>
      <c r="C56" s="7">
        <f>+C12-C20</f>
        <v>666852414.71764684</v>
      </c>
      <c r="D56" s="7">
        <f>+C12-D20</f>
        <v>674566907.28626287</v>
      </c>
    </row>
    <row r="57" spans="2:7" x14ac:dyDescent="0.25">
      <c r="B57" s="1" t="s">
        <v>243</v>
      </c>
      <c r="C57" s="5">
        <f>+SUMPRODUCT($C$32:$C$39,$D$32:$D$39)</f>
        <v>91484972.451794803</v>
      </c>
      <c r="D57" s="5">
        <f>+SUMPRODUCT($C$32:$C$39,$D$32:$D$39)</f>
        <v>91484972.451794803</v>
      </c>
    </row>
    <row r="58" spans="2:7" x14ac:dyDescent="0.25">
      <c r="B58" s="255" t="s">
        <v>8</v>
      </c>
      <c r="C58" s="256">
        <f>+SUM(C56:C57)</f>
        <v>758337387.1694417</v>
      </c>
      <c r="D58" s="256">
        <f>+SUM(D56:D57)</f>
        <v>766051879.73805761</v>
      </c>
    </row>
    <row r="59" spans="2:7" x14ac:dyDescent="0.25">
      <c r="B59" s="1" t="s">
        <v>244</v>
      </c>
      <c r="C59" s="7">
        <f>+$E$46</f>
        <v>1085867884</v>
      </c>
      <c r="D59" s="7">
        <f>+$E$46</f>
        <v>1085867884</v>
      </c>
    </row>
    <row r="60" spans="2:7" x14ac:dyDescent="0.25">
      <c r="B60" s="54" t="s">
        <v>240</v>
      </c>
      <c r="C60" s="254">
        <f>+C58/C59</f>
        <v>0.69836984622471965</v>
      </c>
      <c r="D60" s="254">
        <f>+D58/D59</f>
        <v>0.70547429482503932</v>
      </c>
    </row>
    <row r="62" spans="2:7" x14ac:dyDescent="0.25">
      <c r="B62" s="202" t="s">
        <v>619</v>
      </c>
    </row>
    <row r="64" spans="2:7" ht="31.8" customHeight="1" x14ac:dyDescent="0.25">
      <c r="B64" s="40" t="s">
        <v>245</v>
      </c>
      <c r="C64" s="40" t="s">
        <v>246</v>
      </c>
      <c r="D64" s="40" t="s">
        <v>247</v>
      </c>
      <c r="E64" s="40" t="s">
        <v>248</v>
      </c>
      <c r="F64" s="40" t="s">
        <v>249</v>
      </c>
      <c r="G64" s="40" t="s">
        <v>215</v>
      </c>
    </row>
    <row r="65" spans="2:7" x14ac:dyDescent="0.25">
      <c r="B65" s="1" t="s">
        <v>236</v>
      </c>
      <c r="C65" s="7">
        <f>+E48</f>
        <v>2817638.0646392927</v>
      </c>
      <c r="D65" s="14">
        <f>+$C$60</f>
        <v>0.69836984622471965</v>
      </c>
      <c r="E65" s="3">
        <f>+C65*D65</f>
        <v>1967753.4619190595</v>
      </c>
      <c r="F65" s="3">
        <f>+'5.2 Asignación de Áreas'!$E$4</f>
        <v>256460.99</v>
      </c>
      <c r="G65" s="2">
        <f>+E65/F65</f>
        <v>7.6727203693593307</v>
      </c>
    </row>
    <row r="66" spans="2:7" x14ac:dyDescent="0.25">
      <c r="B66" s="1" t="s">
        <v>237</v>
      </c>
      <c r="C66" s="7">
        <f>+E49</f>
        <v>72749662.801639959</v>
      </c>
      <c r="D66" s="14">
        <f>+$C$60</f>
        <v>0.69836984622471965</v>
      </c>
      <c r="E66" s="3">
        <f t="shared" ref="E66:E68" si="0">+C66*D66</f>
        <v>50806170.823681504</v>
      </c>
      <c r="F66" s="3">
        <f>+'5.2 Asignación de Áreas'!$E$4</f>
        <v>256460.99</v>
      </c>
      <c r="G66" s="2">
        <f t="shared" ref="G66:G68" si="1">+E66/F66</f>
        <v>198.10486898487565</v>
      </c>
    </row>
    <row r="67" spans="2:7" x14ac:dyDescent="0.25">
      <c r="B67" s="1" t="s">
        <v>238</v>
      </c>
      <c r="C67" s="7">
        <f>+E50</f>
        <v>27906104.49890447</v>
      </c>
      <c r="D67" s="14">
        <f>+$C$60</f>
        <v>0.69836984622471965</v>
      </c>
      <c r="E67" s="3">
        <f t="shared" si="0"/>
        <v>19488781.907630872</v>
      </c>
      <c r="F67" s="3">
        <f>+'5.2 Asignación de Áreas'!$E$4</f>
        <v>256460.99</v>
      </c>
      <c r="G67" s="2">
        <f t="shared" si="1"/>
        <v>75.99121374221815</v>
      </c>
    </row>
    <row r="68" spans="2:7" x14ac:dyDescent="0.25">
      <c r="B68" s="1" t="s">
        <v>239</v>
      </c>
      <c r="C68" s="7">
        <f>+E51</f>
        <v>10941291.227306962</v>
      </c>
      <c r="D68" s="14">
        <f>+$C$60</f>
        <v>0.69836984622471965</v>
      </c>
      <c r="E68" s="3">
        <f t="shared" si="0"/>
        <v>7641067.8719142368</v>
      </c>
      <c r="F68" s="3">
        <f>+'5.2 Asignación de Áreas'!$E$4</f>
        <v>256460.99</v>
      </c>
      <c r="G68" s="2">
        <f t="shared" si="1"/>
        <v>29.794269576492852</v>
      </c>
    </row>
    <row r="69" spans="2:7" x14ac:dyDescent="0.25">
      <c r="B69" s="54" t="s">
        <v>8</v>
      </c>
      <c r="C69" s="54"/>
      <c r="D69" s="54"/>
      <c r="E69" s="54"/>
      <c r="F69" s="54"/>
      <c r="G69" s="259">
        <f>+SUM(G65:G68)</f>
        <v>311.56307267294596</v>
      </c>
    </row>
    <row r="70" spans="2:7" x14ac:dyDescent="0.25">
      <c r="B70" s="257"/>
      <c r="C70" s="8"/>
      <c r="D70" s="8"/>
      <c r="E70" s="8"/>
      <c r="F70" s="8"/>
      <c r="G70" s="258"/>
    </row>
    <row r="71" spans="2:7" x14ac:dyDescent="0.25">
      <c r="B71" s="202" t="s">
        <v>620</v>
      </c>
      <c r="C71" s="8"/>
      <c r="D71" s="8"/>
      <c r="E71" s="8"/>
      <c r="F71" s="8"/>
      <c r="G71" s="258"/>
    </row>
    <row r="73" spans="2:7" ht="33" customHeight="1" x14ac:dyDescent="0.25">
      <c r="B73" s="40" t="s">
        <v>250</v>
      </c>
      <c r="C73" s="40" t="s">
        <v>246</v>
      </c>
      <c r="D73" s="40" t="s">
        <v>247</v>
      </c>
      <c r="E73" s="40" t="s">
        <v>248</v>
      </c>
      <c r="F73" s="40" t="s">
        <v>249</v>
      </c>
      <c r="G73" s="40" t="s">
        <v>215</v>
      </c>
    </row>
    <row r="74" spans="2:7" x14ac:dyDescent="0.25">
      <c r="B74" s="1" t="s">
        <v>236</v>
      </c>
      <c r="C74" s="7">
        <f>+E48</f>
        <v>2817638.0646392927</v>
      </c>
      <c r="D74" s="14">
        <f>+$D$60</f>
        <v>0.70547429482503932</v>
      </c>
      <c r="E74" s="3">
        <f>+C74*D74</f>
        <v>1987771.2267235934</v>
      </c>
      <c r="F74" s="3">
        <f>+'5.2 Asignación de Áreas'!$E$4</f>
        <v>256460.99</v>
      </c>
      <c r="G74" s="2">
        <f>+E74/F74</f>
        <v>7.7507742082863889</v>
      </c>
    </row>
    <row r="75" spans="2:7" x14ac:dyDescent="0.25">
      <c r="B75" s="1" t="s">
        <v>237</v>
      </c>
      <c r="C75" s="7">
        <f>+E49</f>
        <v>72749662.801639959</v>
      </c>
      <c r="D75" s="14">
        <f>+$D$60</f>
        <v>0.70547429482503932</v>
      </c>
      <c r="E75" s="3">
        <f t="shared" ref="E75:E77" si="2">+C75*D75</f>
        <v>51323017.063746348</v>
      </c>
      <c r="F75" s="3">
        <f>+'5.2 Asignación de Áreas'!$E$4</f>
        <v>256460.99</v>
      </c>
      <c r="G75" s="2">
        <f t="shared" ref="G75:G77" si="3">+E75/F75</f>
        <v>200.12017057154131</v>
      </c>
    </row>
    <row r="76" spans="2:7" x14ac:dyDescent="0.25">
      <c r="B76" s="1" t="s">
        <v>238</v>
      </c>
      <c r="C76" s="7">
        <f>+E50</f>
        <v>27906104.49890447</v>
      </c>
      <c r="D76" s="14">
        <f>+$D$60</f>
        <v>0.70547429482503932</v>
      </c>
      <c r="E76" s="3">
        <f t="shared" si="2"/>
        <v>19687039.392678488</v>
      </c>
      <c r="F76" s="3">
        <f>+'5.2 Asignación de Áreas'!$E$4</f>
        <v>256460.99</v>
      </c>
      <c r="G76" s="2">
        <f t="shared" si="3"/>
        <v>76.764264977213443</v>
      </c>
    </row>
    <row r="77" spans="2:7" x14ac:dyDescent="0.25">
      <c r="B77" s="1" t="s">
        <v>239</v>
      </c>
      <c r="C77" s="7">
        <f>+E51</f>
        <v>10941291.227306962</v>
      </c>
      <c r="D77" s="14">
        <f>+$D$60</f>
        <v>0.70547429482503932</v>
      </c>
      <c r="E77" s="3">
        <f t="shared" si="2"/>
        <v>7718799.7130597681</v>
      </c>
      <c r="F77" s="3">
        <f>+'5.2 Asignación de Áreas'!$E$4</f>
        <v>256460.99</v>
      </c>
      <c r="G77" s="2">
        <f t="shared" si="3"/>
        <v>30.097363786436947</v>
      </c>
    </row>
    <row r="78" spans="2:7" x14ac:dyDescent="0.25">
      <c r="B78" s="54" t="s">
        <v>8</v>
      </c>
      <c r="C78" s="54"/>
      <c r="D78" s="54"/>
      <c r="E78" s="54"/>
      <c r="F78" s="54"/>
      <c r="G78" s="259">
        <f>+SUM(G74:G77)</f>
        <v>314.73257354347811</v>
      </c>
    </row>
  </sheetData>
  <hyperlinks>
    <hyperlink ref="I1" location="Índice!A1" display="ÍNDICE" xr:uid="{1D17B1EA-8B90-4363-AD7E-C3654227356A}"/>
  </hyperlink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95DB-EAE3-4ECC-B21F-EB4CCC2EDAD3}">
  <sheetPr codeName="Hoja23"/>
  <dimension ref="B1:G42"/>
  <sheetViews>
    <sheetView showGridLines="0" zoomScaleNormal="100" workbookViewId="0">
      <pane ySplit="2" topLeftCell="A23" activePane="bottomLeft" state="frozen"/>
      <selection pane="bottomLeft" activeCell="E42" sqref="E42"/>
    </sheetView>
  </sheetViews>
  <sheetFormatPr baseColWidth="10" defaultColWidth="11.5546875" defaultRowHeight="13.2" x14ac:dyDescent="0.25"/>
  <cols>
    <col min="1" max="1" width="2.6640625" style="1" customWidth="1"/>
    <col min="2" max="2" width="32.21875" style="1" customWidth="1"/>
    <col min="3" max="3" width="19.109375" style="1" customWidth="1"/>
    <col min="4" max="4" width="13.5546875" style="1" customWidth="1"/>
    <col min="5" max="5" width="11.5546875" style="1"/>
    <col min="6" max="6" width="13.44140625" style="1" customWidth="1"/>
    <col min="7" max="7" width="17.33203125" style="1" customWidth="1"/>
    <col min="8" max="16384" width="11.5546875" style="1"/>
  </cols>
  <sheetData>
    <row r="1" spans="2:7" s="38" customFormat="1" ht="16.2" thickBot="1" x14ac:dyDescent="0.35">
      <c r="B1" s="37" t="s">
        <v>622</v>
      </c>
      <c r="G1" s="39" t="s">
        <v>389</v>
      </c>
    </row>
    <row r="2" spans="2:7" s="38" customFormat="1" ht="5.0999999999999996" customHeight="1" x14ac:dyDescent="0.3">
      <c r="B2" s="37"/>
      <c r="D2" s="178"/>
    </row>
    <row r="3" spans="2:7" x14ac:dyDescent="0.25">
      <c r="B3" s="202"/>
      <c r="E3" s="8"/>
    </row>
    <row r="4" spans="2:7" x14ac:dyDescent="0.25">
      <c r="B4" s="8" t="s">
        <v>621</v>
      </c>
      <c r="C4" s="8"/>
      <c r="D4" s="8"/>
    </row>
    <row r="6" spans="2:7" x14ac:dyDescent="0.25">
      <c r="B6" s="53" t="s">
        <v>328</v>
      </c>
      <c r="C6" s="53" t="s">
        <v>0</v>
      </c>
      <c r="D6" s="53" t="s">
        <v>1</v>
      </c>
    </row>
    <row r="7" spans="2:7" x14ac:dyDescent="0.25">
      <c r="B7" s="1" t="s">
        <v>251</v>
      </c>
      <c r="C7" s="5">
        <f>+'3.2.2 CAPEX-Comunes'!C25</f>
        <v>2600.2099372604266</v>
      </c>
      <c r="D7" s="5">
        <f>+'3.2.2 CAPEX-Comunes'!C26</f>
        <v>2630.2905065065174</v>
      </c>
    </row>
    <row r="8" spans="2:7" x14ac:dyDescent="0.25">
      <c r="B8" s="1" t="s">
        <v>217</v>
      </c>
      <c r="C8" s="5">
        <f>+'3.2.2 CAPEX-Comunes'!E40</f>
        <v>356.72081142553026</v>
      </c>
      <c r="D8" s="5">
        <f>+'3.2.2 CAPEX-Comunes'!E40</f>
        <v>356.72081142553026</v>
      </c>
    </row>
    <row r="9" spans="2:7" x14ac:dyDescent="0.25">
      <c r="B9" s="1" t="s">
        <v>229</v>
      </c>
      <c r="C9" s="5">
        <f>+'3.2.2 CAPEX-Comunes'!G69</f>
        <v>311.56307267294596</v>
      </c>
      <c r="D9" s="5">
        <f>+'3.2.2 CAPEX-Comunes'!G78</f>
        <v>314.73257354347811</v>
      </c>
    </row>
    <row r="10" spans="2:7" x14ac:dyDescent="0.25">
      <c r="B10" s="54" t="s">
        <v>8</v>
      </c>
      <c r="C10" s="219">
        <f>+SUM(C7:C9)</f>
        <v>3268.493821358903</v>
      </c>
      <c r="D10" s="219">
        <f>+SUM(D7:D9)</f>
        <v>3301.7438914755257</v>
      </c>
    </row>
    <row r="11" spans="2:7" x14ac:dyDescent="0.25">
      <c r="B11" s="38"/>
    </row>
    <row r="12" spans="2:7" x14ac:dyDescent="0.25">
      <c r="B12" s="8" t="s">
        <v>623</v>
      </c>
      <c r="C12" s="8"/>
      <c r="D12" s="8"/>
      <c r="E12" s="8"/>
      <c r="F12" s="8"/>
    </row>
    <row r="14" spans="2:7" ht="26.4" x14ac:dyDescent="0.25">
      <c r="B14" s="40"/>
      <c r="C14" s="40" t="s">
        <v>626</v>
      </c>
      <c r="D14" s="40" t="s">
        <v>252</v>
      </c>
      <c r="E14" s="40" t="s">
        <v>253</v>
      </c>
      <c r="F14" s="40" t="s">
        <v>254</v>
      </c>
    </row>
    <row r="15" spans="2:7" ht="13.2" customHeight="1" x14ac:dyDescent="0.25">
      <c r="B15" s="38" t="s">
        <v>624</v>
      </c>
      <c r="C15" s="3">
        <f>+'3.2.1 CAPEX-Comunes'!C151</f>
        <v>10761.054533458173</v>
      </c>
      <c r="D15" s="4" t="s">
        <v>191</v>
      </c>
      <c r="E15" s="5">
        <f>+C10</f>
        <v>3268.493821358903</v>
      </c>
      <c r="F15" s="5">
        <f>+C15*E15</f>
        <v>35172440.253914252</v>
      </c>
    </row>
    <row r="16" spans="2:7" ht="13.2" customHeight="1" x14ac:dyDescent="0.25">
      <c r="B16" s="38" t="s">
        <v>625</v>
      </c>
      <c r="C16" s="3">
        <f>+'3.2.1 CAPEX-Comunes'!D151</f>
        <v>1935.2985108752114</v>
      </c>
      <c r="D16" s="4" t="s">
        <v>191</v>
      </c>
      <c r="E16" s="5">
        <f>+D10</f>
        <v>3301.7438914755257</v>
      </c>
      <c r="F16" s="5">
        <f>+C16*E16</f>
        <v>6389860.0364639107</v>
      </c>
    </row>
    <row r="17" spans="2:6" x14ac:dyDescent="0.25">
      <c r="B17" s="54" t="s">
        <v>627</v>
      </c>
      <c r="C17" s="54"/>
      <c r="D17" s="54"/>
      <c r="E17" s="54"/>
      <c r="F17" s="263">
        <f>+SUM(F15:F16)</f>
        <v>41562300.290378161</v>
      </c>
    </row>
    <row r="19" spans="2:6" x14ac:dyDescent="0.25">
      <c r="B19" s="8"/>
    </row>
    <row r="20" spans="2:6" x14ac:dyDescent="0.25">
      <c r="B20" s="202" t="s">
        <v>628</v>
      </c>
      <c r="C20" s="10"/>
      <c r="D20" s="10"/>
      <c r="E20" s="10"/>
      <c r="F20" s="10"/>
    </row>
    <row r="21" spans="2:6" x14ac:dyDescent="0.25">
      <c r="B21" s="10"/>
      <c r="C21" s="10"/>
      <c r="D21" s="10"/>
      <c r="E21" s="10"/>
      <c r="F21" s="10"/>
    </row>
    <row r="22" spans="2:6" x14ac:dyDescent="0.25">
      <c r="B22" s="53" t="s">
        <v>481</v>
      </c>
      <c r="C22" s="160" t="s">
        <v>483</v>
      </c>
      <c r="D22" s="190">
        <v>2024</v>
      </c>
      <c r="E22" s="53">
        <f>+D22+1</f>
        <v>2025</v>
      </c>
      <c r="F22" s="53">
        <f>+E22+1</f>
        <v>2026</v>
      </c>
    </row>
    <row r="23" spans="2:6" x14ac:dyDescent="0.25">
      <c r="B23" s="184" t="s">
        <v>575</v>
      </c>
      <c r="C23" s="233">
        <f>SUM(D23:F23)</f>
        <v>1</v>
      </c>
      <c r="D23" s="226">
        <v>0.89385289499714859</v>
      </c>
      <c r="E23" s="224">
        <v>9.1027410885394455E-2</v>
      </c>
      <c r="F23" s="224">
        <v>1.511969411745695E-2</v>
      </c>
    </row>
    <row r="24" spans="2:6" x14ac:dyDescent="0.25">
      <c r="B24" s="98" t="s">
        <v>601</v>
      </c>
      <c r="C24" s="234">
        <v>891483687.67999876</v>
      </c>
      <c r="D24" s="227"/>
      <c r="E24" s="228"/>
      <c r="F24" s="228"/>
    </row>
    <row r="25" spans="2:6" x14ac:dyDescent="0.25">
      <c r="B25" s="98" t="s">
        <v>602</v>
      </c>
      <c r="C25" s="234">
        <v>194384196.67999998</v>
      </c>
      <c r="D25" s="227"/>
      <c r="E25" s="228"/>
      <c r="F25" s="228"/>
    </row>
    <row r="26" spans="2:6" x14ac:dyDescent="0.25">
      <c r="B26" s="264" t="s">
        <v>603</v>
      </c>
      <c r="C26" s="265">
        <f>+C24/SUM(C24:C25)</f>
        <v>0.82098724948056789</v>
      </c>
      <c r="D26" s="227"/>
      <c r="E26" s="228"/>
      <c r="F26" s="228"/>
    </row>
    <row r="27" spans="2:6" x14ac:dyDescent="0.25">
      <c r="B27" s="266" t="s">
        <v>604</v>
      </c>
      <c r="C27" s="267">
        <f>+C25/SUM(C24:C25)</f>
        <v>0.17901275051943208</v>
      </c>
      <c r="D27" s="268"/>
      <c r="E27" s="269"/>
      <c r="F27" s="269"/>
    </row>
    <row r="29" spans="2:6" x14ac:dyDescent="0.25">
      <c r="B29" s="202" t="s">
        <v>629</v>
      </c>
    </row>
    <row r="31" spans="2:6" x14ac:dyDescent="0.25">
      <c r="B31" s="53" t="s">
        <v>0</v>
      </c>
      <c r="C31" s="190">
        <v>2024</v>
      </c>
      <c r="D31" s="53">
        <v>2025</v>
      </c>
      <c r="E31" s="53">
        <v>2026</v>
      </c>
    </row>
    <row r="32" spans="2:6" x14ac:dyDescent="0.25">
      <c r="B32" s="38" t="s">
        <v>262</v>
      </c>
      <c r="C32" s="5">
        <f>+$F$15*D23*$C$26</f>
        <v>25811007.911085363</v>
      </c>
      <c r="D32" s="5">
        <f t="shared" ref="D32:E32" si="0">+$F$15*E23*$C$26</f>
        <v>2628518.893476347</v>
      </c>
      <c r="E32" s="5">
        <f t="shared" si="0"/>
        <v>436598.17701895692</v>
      </c>
    </row>
    <row r="33" spans="2:5" x14ac:dyDescent="0.25">
      <c r="B33" s="38" t="s">
        <v>263</v>
      </c>
      <c r="C33" s="5">
        <f>+$F$15*D23*$C$27</f>
        <v>5627979.6339901322</v>
      </c>
      <c r="D33" s="5">
        <f>+$F$15*E23*$C$27</f>
        <v>573137.2773586933</v>
      </c>
      <c r="E33" s="5">
        <f>+$F$15*F23*$C$27</f>
        <v>95198.360984756422</v>
      </c>
    </row>
    <row r="34" spans="2:5" x14ac:dyDescent="0.25">
      <c r="B34" s="54" t="s">
        <v>330</v>
      </c>
      <c r="C34" s="263">
        <f>+SUM(C32:C33)</f>
        <v>31438987.545075495</v>
      </c>
      <c r="D34" s="263">
        <f>+SUM(D32:D33)</f>
        <v>3201656.1708350405</v>
      </c>
      <c r="E34" s="263">
        <f>+SUM(E32:E33)</f>
        <v>531796.53800371336</v>
      </c>
    </row>
    <row r="36" spans="2:5" x14ac:dyDescent="0.25">
      <c r="B36" s="202" t="s">
        <v>630</v>
      </c>
    </row>
    <row r="39" spans="2:5" x14ac:dyDescent="0.25">
      <c r="B39" s="53" t="s">
        <v>1</v>
      </c>
      <c r="C39" s="190">
        <v>2024</v>
      </c>
      <c r="D39" s="53">
        <v>2025</v>
      </c>
      <c r="E39" s="53">
        <v>2026</v>
      </c>
    </row>
    <row r="40" spans="2:5" x14ac:dyDescent="0.25">
      <c r="B40" s="38" t="s">
        <v>262</v>
      </c>
      <c r="C40" s="5">
        <f>$F$16*D23*$C$26</f>
        <v>4689146.5807108367</v>
      </c>
      <c r="D40" s="5">
        <f t="shared" ref="D40:E40" si="1">$F$16*E23*$C$26</f>
        <v>477529.21637689555</v>
      </c>
      <c r="E40" s="5">
        <f t="shared" si="1"/>
        <v>79317.818814574828</v>
      </c>
    </row>
    <row r="41" spans="2:5" x14ac:dyDescent="0.25">
      <c r="B41" s="38" t="s">
        <v>263</v>
      </c>
      <c r="C41" s="5">
        <f>$F$16*D23*$C$27</f>
        <v>1022448.3115090149</v>
      </c>
      <c r="D41" s="5">
        <f t="shared" ref="D41:E41" si="2">$F$16*E23*$C$27</f>
        <v>104123.19866246649</v>
      </c>
      <c r="E41" s="5">
        <f t="shared" si="2"/>
        <v>17294.910390121811</v>
      </c>
    </row>
    <row r="42" spans="2:5" x14ac:dyDescent="0.25">
      <c r="B42" s="54" t="s">
        <v>331</v>
      </c>
      <c r="C42" s="263">
        <f>+SUM(C40:C41)</f>
        <v>5711594.8922198517</v>
      </c>
      <c r="D42" s="263">
        <f>+SUM(D40:D41)</f>
        <v>581652.41503936204</v>
      </c>
      <c r="E42" s="263">
        <f>+SUM(E40:E41)</f>
        <v>96612.729204696632</v>
      </c>
    </row>
  </sheetData>
  <hyperlinks>
    <hyperlink ref="G1" location="Índice!A1" display="ÍNDICE" xr:uid="{6A1ADC93-6C8D-400E-A7E4-14A029A87428}"/>
  </hyperlink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80442-7FFE-4737-A1FA-0AB7AF614B9A}">
  <sheetPr codeName="Hoja17"/>
  <dimension ref="B1:F35"/>
  <sheetViews>
    <sheetView showGridLines="0" workbookViewId="0">
      <pane ySplit="2" topLeftCell="A19" activePane="bottomLeft" state="frozen"/>
      <selection pane="bottomLeft" activeCell="C31" sqref="C31"/>
    </sheetView>
  </sheetViews>
  <sheetFormatPr baseColWidth="10" defaultColWidth="11.44140625" defaultRowHeight="13.2" x14ac:dyDescent="0.3"/>
  <cols>
    <col min="1" max="1" width="2.6640625" style="10" customWidth="1"/>
    <col min="2" max="2" width="33.44140625" style="10" customWidth="1"/>
    <col min="3" max="6" width="13.88671875" style="10" customWidth="1"/>
    <col min="7" max="7" width="2.6640625" style="10" customWidth="1"/>
    <col min="8" max="9" width="11.5546875" style="10" bestFit="1" customWidth="1"/>
    <col min="10" max="16384" width="11.44140625" style="10"/>
  </cols>
  <sheetData>
    <row r="1" spans="2:6" s="38" customFormat="1" ht="16.2" thickBot="1" x14ac:dyDescent="0.35">
      <c r="B1" s="37" t="s">
        <v>576</v>
      </c>
      <c r="F1" s="39" t="s">
        <v>389</v>
      </c>
    </row>
    <row r="2" spans="2:6" ht="5.0999999999999996" customHeight="1" x14ac:dyDescent="0.3"/>
    <row r="3" spans="2:6" x14ac:dyDescent="0.3">
      <c r="B3" s="202" t="s">
        <v>571</v>
      </c>
    </row>
    <row r="4" spans="2:6" ht="5.0999999999999996" customHeight="1" x14ac:dyDescent="0.3">
      <c r="B4" s="202"/>
    </row>
    <row r="5" spans="2:6" x14ac:dyDescent="0.3">
      <c r="B5" s="53" t="s">
        <v>481</v>
      </c>
      <c r="C5" s="53" t="s">
        <v>254</v>
      </c>
    </row>
    <row r="6" spans="2:6" x14ac:dyDescent="0.3">
      <c r="B6" s="10" t="s">
        <v>332</v>
      </c>
      <c r="C6" s="218">
        <v>151705455</v>
      </c>
    </row>
    <row r="7" spans="2:6" x14ac:dyDescent="0.3">
      <c r="B7" s="10" t="s">
        <v>333</v>
      </c>
      <c r="C7" s="218">
        <v>93956133</v>
      </c>
    </row>
    <row r="8" spans="2:6" x14ac:dyDescent="0.3">
      <c r="B8" s="10" t="s">
        <v>334</v>
      </c>
      <c r="C8" s="218">
        <v>1076008</v>
      </c>
    </row>
    <row r="9" spans="2:6" x14ac:dyDescent="0.3">
      <c r="B9" s="54" t="s">
        <v>8</v>
      </c>
      <c r="C9" s="219">
        <f>+SUM(C6:C8)</f>
        <v>246737596</v>
      </c>
    </row>
    <row r="11" spans="2:6" x14ac:dyDescent="0.3">
      <c r="B11" s="202" t="s">
        <v>570</v>
      </c>
    </row>
    <row r="12" spans="2:6" ht="5.0999999999999996" customHeight="1" x14ac:dyDescent="0.3">
      <c r="B12" s="202"/>
    </row>
    <row r="13" spans="2:6" x14ac:dyDescent="0.3">
      <c r="B13" s="53" t="s">
        <v>481</v>
      </c>
      <c r="C13" s="53" t="s">
        <v>254</v>
      </c>
    </row>
    <row r="14" spans="2:6" x14ac:dyDescent="0.3">
      <c r="B14" s="10" t="s">
        <v>231</v>
      </c>
      <c r="C14" s="241">
        <f>+'3.1.1 CAPEX-Exclusivas'!D52</f>
        <v>349927657</v>
      </c>
    </row>
    <row r="15" spans="2:6" x14ac:dyDescent="0.3">
      <c r="B15" s="10" t="s">
        <v>232</v>
      </c>
      <c r="C15" s="241">
        <f>+'3.1.1 CAPEX-Exclusivas'!E52</f>
        <v>1085867884</v>
      </c>
    </row>
    <row r="16" spans="2:6" x14ac:dyDescent="0.3">
      <c r="B16" s="10" t="s">
        <v>233</v>
      </c>
      <c r="C16" s="241">
        <f>+'3.1.1 CAPEX-Exclusivas'!F52</f>
        <v>103966496</v>
      </c>
    </row>
    <row r="17" spans="2:6" x14ac:dyDescent="0.3">
      <c r="B17" s="54" t="s">
        <v>335</v>
      </c>
      <c r="C17" s="219">
        <f>+SUM(C14:C16)</f>
        <v>1539762037</v>
      </c>
    </row>
    <row r="18" spans="2:6" ht="5.0999999999999996" customHeight="1" x14ac:dyDescent="0.3">
      <c r="B18" s="202"/>
      <c r="C18" s="220"/>
    </row>
    <row r="19" spans="2:6" x14ac:dyDescent="0.3">
      <c r="B19" s="10" t="s">
        <v>336</v>
      </c>
      <c r="C19" s="241">
        <f>+'3.1.1 CAPEX-Exclusivas'!C12</f>
        <v>675966008</v>
      </c>
    </row>
    <row r="20" spans="2:6" x14ac:dyDescent="0.3">
      <c r="B20" s="10" t="s">
        <v>243</v>
      </c>
      <c r="C20" s="241">
        <f>+'3.1.1 CAPEX-Exclusivas'!C63</f>
        <v>91484972.451794803</v>
      </c>
    </row>
    <row r="21" spans="2:6" x14ac:dyDescent="0.3">
      <c r="B21" s="54" t="s">
        <v>337</v>
      </c>
      <c r="C21" s="219">
        <f>+SUM(C19:C20)</f>
        <v>767450980.45179486</v>
      </c>
    </row>
    <row r="22" spans="2:6" ht="5.0999999999999996" customHeight="1" x14ac:dyDescent="0.3">
      <c r="C22" s="156"/>
    </row>
    <row r="23" spans="2:6" x14ac:dyDescent="0.3">
      <c r="B23" s="54" t="s">
        <v>338</v>
      </c>
      <c r="C23" s="222">
        <f>+C21/C17</f>
        <v>0.49842180935117758</v>
      </c>
    </row>
    <row r="25" spans="2:6" x14ac:dyDescent="0.3">
      <c r="B25" s="202" t="s">
        <v>573</v>
      </c>
    </row>
    <row r="26" spans="2:6" ht="5.0999999999999996" customHeight="1" x14ac:dyDescent="0.3"/>
    <row r="27" spans="2:6" x14ac:dyDescent="0.3">
      <c r="B27" s="53" t="s">
        <v>481</v>
      </c>
      <c r="C27" s="160" t="s">
        <v>483</v>
      </c>
      <c r="D27" s="190">
        <v>2024</v>
      </c>
      <c r="E27" s="53">
        <f>+D27+1</f>
        <v>2025</v>
      </c>
      <c r="F27" s="53">
        <f>+E27+1</f>
        <v>2026</v>
      </c>
    </row>
    <row r="28" spans="2:6" x14ac:dyDescent="0.3">
      <c r="B28" s="184" t="s">
        <v>575</v>
      </c>
      <c r="C28" s="233">
        <f>SUM(D28:F28)</f>
        <v>1</v>
      </c>
      <c r="D28" s="226">
        <v>0.89385289499714859</v>
      </c>
      <c r="E28" s="224">
        <v>9.1027410885394455E-2</v>
      </c>
      <c r="F28" s="224">
        <v>1.511969411745695E-2</v>
      </c>
    </row>
    <row r="29" spans="2:6" x14ac:dyDescent="0.3">
      <c r="B29" s="98" t="s">
        <v>572</v>
      </c>
      <c r="C29" s="234">
        <f>+C9</f>
        <v>246737596</v>
      </c>
      <c r="D29" s="227"/>
      <c r="E29" s="228"/>
      <c r="F29" s="228"/>
    </row>
    <row r="30" spans="2:6" x14ac:dyDescent="0.3">
      <c r="B30" s="10" t="s">
        <v>339</v>
      </c>
      <c r="C30" s="235">
        <f>+C23</f>
        <v>0.49842180935117758</v>
      </c>
      <c r="D30" s="227"/>
      <c r="E30" s="228"/>
      <c r="F30" s="228"/>
    </row>
    <row r="31" spans="2:6" ht="26.4" x14ac:dyDescent="0.3">
      <c r="B31" s="154" t="s">
        <v>577</v>
      </c>
      <c r="C31" s="236">
        <f>+C29*C30</f>
        <v>122979399.03327988</v>
      </c>
      <c r="D31" s="239">
        <f>$C31*D28</f>
        <v>109925491.85090676</v>
      </c>
      <c r="E31" s="240">
        <f t="shared" ref="E31:F31" si="0">$C31*E28</f>
        <v>11194496.28624125</v>
      </c>
      <c r="F31" s="240">
        <f t="shared" si="0"/>
        <v>1859410.8961318727</v>
      </c>
    </row>
    <row r="32" spans="2:6" ht="5.0999999999999996" customHeight="1" x14ac:dyDescent="0.3">
      <c r="C32" s="161"/>
      <c r="D32" s="229"/>
    </row>
    <row r="33" spans="2:6" ht="26.4" x14ac:dyDescent="0.3">
      <c r="B33" s="154" t="s">
        <v>574</v>
      </c>
      <c r="C33" s="236">
        <f>SUM(C34:C35)</f>
        <v>7302372.5973245976</v>
      </c>
      <c r="D33" s="230">
        <f>SUM(D34:D35)</f>
        <v>6527246.8864664398</v>
      </c>
      <c r="E33" s="221">
        <f>SUM(E34:E35)</f>
        <v>664716.07085491135</v>
      </c>
      <c r="F33" s="221">
        <f>SUM(F34:F35)</f>
        <v>110409.64000324755</v>
      </c>
    </row>
    <row r="34" spans="2:6" ht="16.5" customHeight="1" x14ac:dyDescent="0.3">
      <c r="B34" s="98" t="s">
        <v>0</v>
      </c>
      <c r="C34" s="237">
        <f>SUM(D34:F34)</f>
        <v>6127393.7503678966</v>
      </c>
      <c r="D34" s="231">
        <f>+D31*'5.2 Asignación de Áreas'!$F$4</f>
        <v>5476988.6425537802</v>
      </c>
      <c r="E34" s="218">
        <f>+E31*'5.2 Asignación de Áreas'!$F$4</f>
        <v>557760.78857133666</v>
      </c>
      <c r="F34" s="218">
        <f>+F31*'5.2 Asignación de Áreas'!$F$4</f>
        <v>92644.319242779966</v>
      </c>
    </row>
    <row r="35" spans="2:6" ht="16.5" customHeight="1" x14ac:dyDescent="0.3">
      <c r="B35" s="223" t="s">
        <v>1</v>
      </c>
      <c r="C35" s="238">
        <f>SUM(D35:F35)</f>
        <v>1174978.8469567013</v>
      </c>
      <c r="D35" s="232">
        <f>+D31*'5.2 Asignación de Áreas'!$F$5</f>
        <v>1050258.2439126591</v>
      </c>
      <c r="E35" s="225">
        <f>+E31*'5.2 Asignación de Áreas'!$F$5</f>
        <v>106955.28228357466</v>
      </c>
      <c r="F35" s="225">
        <f>+F31*'5.2 Asignación de Áreas'!$F$5</f>
        <v>17765.320760467584</v>
      </c>
    </row>
  </sheetData>
  <hyperlinks>
    <hyperlink ref="F1" location="Índice!A1" display="ÍNDICE" xr:uid="{9962FF2A-7EFF-4F1F-B4E9-67AFA858B252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40C02-DFA8-4074-B3C1-B546724737DE}">
  <sheetPr codeName="Hoja10"/>
  <dimension ref="A1:I63"/>
  <sheetViews>
    <sheetView showGridLines="0" workbookViewId="0">
      <selection activeCell="E28" sqref="E28"/>
    </sheetView>
  </sheetViews>
  <sheetFormatPr baseColWidth="10" defaultColWidth="0" defaultRowHeight="12.75" customHeight="1" x14ac:dyDescent="0.25"/>
  <cols>
    <col min="1" max="1" width="2.33203125" style="38" customWidth="1"/>
    <col min="2" max="2" width="29.5546875" style="38" customWidth="1"/>
    <col min="3" max="3" width="12.5546875" style="38" customWidth="1"/>
    <col min="4" max="4" width="43.44140625" style="38" customWidth="1"/>
    <col min="5" max="5" width="15.6640625" style="38" customWidth="1"/>
    <col min="6" max="6" width="2.44140625" style="38" customWidth="1"/>
    <col min="7" max="7" width="11.44140625" style="38" hidden="1" customWidth="1"/>
    <col min="8" max="8" width="18.88671875" style="38" hidden="1" customWidth="1"/>
    <col min="9" max="9" width="25.33203125" style="38" hidden="1" customWidth="1"/>
    <col min="10" max="16384" width="11.44140625" style="38" hidden="1"/>
  </cols>
  <sheetData>
    <row r="1" spans="2:5" ht="16.2" thickBot="1" x14ac:dyDescent="0.35">
      <c r="B1" s="37" t="s">
        <v>405</v>
      </c>
      <c r="E1" s="39" t="s">
        <v>389</v>
      </c>
    </row>
    <row r="2" spans="2:5" ht="5.0999999999999996" customHeight="1" x14ac:dyDescent="0.25"/>
    <row r="3" spans="2:5" ht="13.2" x14ac:dyDescent="0.25">
      <c r="B3" s="8" t="s">
        <v>406</v>
      </c>
    </row>
    <row r="4" spans="2:5" ht="5.0999999999999996" customHeight="1" x14ac:dyDescent="0.25"/>
    <row r="5" spans="2:5" ht="13.2" x14ac:dyDescent="0.25">
      <c r="B5" s="40" t="s">
        <v>407</v>
      </c>
      <c r="C5" s="40" t="s">
        <v>408</v>
      </c>
      <c r="D5" s="40" t="s">
        <v>409</v>
      </c>
      <c r="E5" s="40" t="s">
        <v>410</v>
      </c>
    </row>
    <row r="6" spans="2:5" ht="13.2" x14ac:dyDescent="0.25">
      <c r="B6" s="78" t="s">
        <v>411</v>
      </c>
      <c r="C6" s="79">
        <f>+'5.1 Var-Macro'!C104</f>
        <v>4.7917109451754321E-2</v>
      </c>
      <c r="D6" s="78" t="s">
        <v>412</v>
      </c>
      <c r="E6" s="80" t="s">
        <v>413</v>
      </c>
    </row>
    <row r="7" spans="2:5" ht="13.2" x14ac:dyDescent="0.25">
      <c r="B7" s="78" t="s">
        <v>414</v>
      </c>
      <c r="C7" s="79">
        <f>+'5.1 Var-Macro'!E104</f>
        <v>7.0024348860185173E-2</v>
      </c>
      <c r="D7" s="78" t="s">
        <v>415</v>
      </c>
      <c r="E7" s="80" t="s">
        <v>413</v>
      </c>
    </row>
    <row r="8" spans="2:5" ht="13.2" x14ac:dyDescent="0.25">
      <c r="B8" s="78" t="s">
        <v>416</v>
      </c>
      <c r="C8" s="81">
        <f>+'4.1 Betas'!I25</f>
        <v>0.7208002297457099</v>
      </c>
      <c r="D8" s="78" t="s">
        <v>417</v>
      </c>
      <c r="E8" s="80" t="s">
        <v>418</v>
      </c>
    </row>
    <row r="9" spans="2:5" ht="13.2" x14ac:dyDescent="0.25">
      <c r="B9" s="78" t="s">
        <v>419</v>
      </c>
      <c r="C9" s="81">
        <f>+'4.2 Deuda'!C7</f>
        <v>3</v>
      </c>
      <c r="D9" s="78" t="s">
        <v>420</v>
      </c>
      <c r="E9" s="80" t="s">
        <v>392</v>
      </c>
    </row>
    <row r="10" spans="2:5" ht="13.2" x14ac:dyDescent="0.25">
      <c r="B10" s="78" t="s">
        <v>421</v>
      </c>
      <c r="C10" s="81">
        <f>C8*(1+C9*(1-C14))</f>
        <v>2.3231391404704227</v>
      </c>
      <c r="D10" s="78" t="s">
        <v>422</v>
      </c>
      <c r="E10" s="80" t="s">
        <v>394</v>
      </c>
    </row>
    <row r="11" spans="2:5" ht="13.2" x14ac:dyDescent="0.25">
      <c r="B11" s="78" t="s">
        <v>423</v>
      </c>
      <c r="C11" s="82">
        <f>+'5.1 Var-Macro'!C133/10000</f>
        <v>1.7143044376421949E-2</v>
      </c>
      <c r="D11" s="78" t="s">
        <v>424</v>
      </c>
      <c r="E11" s="80" t="s">
        <v>425</v>
      </c>
    </row>
    <row r="12" spans="2:5" ht="13.2" x14ac:dyDescent="0.25">
      <c r="B12" s="83" t="s">
        <v>426</v>
      </c>
      <c r="C12" s="84">
        <f>C6+C7*C10+C11</f>
        <v>0.22773645945122786</v>
      </c>
      <c r="D12" s="83" t="s">
        <v>422</v>
      </c>
      <c r="E12" s="80" t="s">
        <v>394</v>
      </c>
    </row>
    <row r="13" spans="2:5" ht="13.2" x14ac:dyDescent="0.25">
      <c r="B13" s="78" t="s">
        <v>427</v>
      </c>
      <c r="C13" s="79">
        <f>+'4.2 Deuda'!C6</f>
        <v>0.25</v>
      </c>
      <c r="D13" s="78" t="s">
        <v>420</v>
      </c>
      <c r="E13" s="80" t="s">
        <v>392</v>
      </c>
    </row>
    <row r="14" spans="2:5" ht="13.2" x14ac:dyDescent="0.25">
      <c r="B14" s="78" t="s">
        <v>428</v>
      </c>
      <c r="C14" s="79">
        <f>+(22%+5%*(1-0.22))</f>
        <v>0.25900000000000001</v>
      </c>
      <c r="D14" s="78" t="s">
        <v>420</v>
      </c>
      <c r="E14" s="80" t="s">
        <v>392</v>
      </c>
    </row>
    <row r="15" spans="2:5" ht="13.2" x14ac:dyDescent="0.25">
      <c r="B15" s="83" t="s">
        <v>429</v>
      </c>
      <c r="C15" s="84">
        <f>+'4.2 Deuda'!C84</f>
        <v>7.3309419219361072E-2</v>
      </c>
      <c r="D15" s="83" t="s">
        <v>430</v>
      </c>
      <c r="E15" s="85" t="s">
        <v>392</v>
      </c>
    </row>
    <row r="16" spans="2:5" ht="13.2" x14ac:dyDescent="0.25">
      <c r="B16" s="78" t="s">
        <v>431</v>
      </c>
      <c r="C16" s="79">
        <f>+'4.2 Deuda'!C5</f>
        <v>0.75</v>
      </c>
      <c r="D16" s="78" t="s">
        <v>420</v>
      </c>
      <c r="E16" s="80" t="s">
        <v>392</v>
      </c>
    </row>
    <row r="17" spans="2:5" ht="13.2" x14ac:dyDescent="0.25">
      <c r="B17" s="86" t="s">
        <v>432</v>
      </c>
      <c r="C17" s="87">
        <f>(C15*(1-C14)*C16)+(C12*C13)</f>
        <v>9.767582459396687E-2</v>
      </c>
      <c r="D17" s="88"/>
      <c r="E17" s="88"/>
    </row>
    <row r="18" spans="2:5" ht="13.2" x14ac:dyDescent="0.25">
      <c r="B18" s="78" t="s">
        <v>637</v>
      </c>
      <c r="C18" s="79">
        <f>+AVERAGE('5.1 Var-Macro'!D140:I140)</f>
        <v>2.0758635899652805E-2</v>
      </c>
      <c r="D18" s="78" t="s">
        <v>638</v>
      </c>
      <c r="E18" s="80"/>
    </row>
    <row r="19" spans="2:5" ht="12.75" customHeight="1" x14ac:dyDescent="0.25">
      <c r="B19" s="86" t="s">
        <v>639</v>
      </c>
      <c r="C19" s="298">
        <f>+(1+C17)/(1+C18)-1</f>
        <v>7.5352963951681451E-2</v>
      </c>
      <c r="D19" s="86" t="s">
        <v>422</v>
      </c>
      <c r="E19" s="88"/>
    </row>
    <row r="63" ht="15" customHeight="1" x14ac:dyDescent="0.25"/>
  </sheetData>
  <hyperlinks>
    <hyperlink ref="E1" location="Índice!A1" display="ÍNDICE" xr:uid="{4C489808-A775-4E34-A883-6C04B195CC73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E5E74-0D55-47F6-961E-43788742431D}">
  <sheetPr codeName="Hoja11"/>
  <dimension ref="A1:L26"/>
  <sheetViews>
    <sheetView showGridLines="0" workbookViewId="0">
      <selection activeCell="I1" sqref="I1"/>
    </sheetView>
  </sheetViews>
  <sheetFormatPr baseColWidth="10" defaultColWidth="0" defaultRowHeight="12.75" customHeight="1" zeroHeight="1" x14ac:dyDescent="0.25"/>
  <cols>
    <col min="1" max="1" width="2.33203125" style="38" customWidth="1"/>
    <col min="2" max="2" width="40.44140625" style="38" customWidth="1"/>
    <col min="3" max="3" width="16" style="38" customWidth="1"/>
    <col min="4" max="4" width="13.88671875" style="38" customWidth="1"/>
    <col min="5" max="5" width="19.5546875" style="38" customWidth="1"/>
    <col min="6" max="6" width="16" style="38" customWidth="1"/>
    <col min="7" max="8" width="11.44140625" style="38" customWidth="1"/>
    <col min="9" max="9" width="16.33203125" style="38" customWidth="1"/>
    <col min="10" max="10" width="2.5546875" style="38" customWidth="1"/>
    <col min="11" max="12" width="0" style="38" hidden="1" customWidth="1"/>
    <col min="13" max="16384" width="11.44140625" style="38" hidden="1"/>
  </cols>
  <sheetData>
    <row r="1" spans="2:9" ht="16.2" thickBot="1" x14ac:dyDescent="0.35">
      <c r="B1" s="37" t="s">
        <v>433</v>
      </c>
      <c r="I1" s="39" t="s">
        <v>389</v>
      </c>
    </row>
    <row r="2" spans="2:9" ht="5.0999999999999996" customHeight="1" x14ac:dyDescent="0.25"/>
    <row r="3" spans="2:9" ht="13.2" x14ac:dyDescent="0.25">
      <c r="B3" s="8" t="s">
        <v>434</v>
      </c>
    </row>
    <row r="4" spans="2:9" ht="5.0999999999999996" customHeight="1" x14ac:dyDescent="0.25"/>
    <row r="5" spans="2:9" ht="13.2" x14ac:dyDescent="0.25">
      <c r="B5" s="52" t="s">
        <v>435</v>
      </c>
      <c r="C5" s="88"/>
    </row>
    <row r="6" spans="2:9" ht="13.2" x14ac:dyDescent="0.25">
      <c r="B6" s="89" t="s">
        <v>436</v>
      </c>
      <c r="C6" s="90">
        <v>43831</v>
      </c>
    </row>
    <row r="7" spans="2:9" ht="13.2" x14ac:dyDescent="0.25">
      <c r="B7" s="89" t="s">
        <v>437</v>
      </c>
      <c r="C7" s="90">
        <v>45657</v>
      </c>
    </row>
    <row r="8" spans="2:9" ht="13.2" x14ac:dyDescent="0.25">
      <c r="B8" s="52" t="s">
        <v>438</v>
      </c>
      <c r="C8" s="91" t="s">
        <v>439</v>
      </c>
    </row>
    <row r="9" spans="2:9" ht="5.0999999999999996" customHeight="1" x14ac:dyDescent="0.25"/>
    <row r="10" spans="2:9" ht="13.2" x14ac:dyDescent="0.25">
      <c r="B10" s="52" t="s">
        <v>440</v>
      </c>
      <c r="C10" s="91" t="s">
        <v>439</v>
      </c>
    </row>
    <row r="11" spans="2:9" ht="5.0999999999999996" customHeight="1" x14ac:dyDescent="0.25"/>
    <row r="12" spans="2:9" ht="13.2" x14ac:dyDescent="0.25">
      <c r="B12" s="52" t="s">
        <v>441</v>
      </c>
      <c r="C12" s="91" t="s">
        <v>442</v>
      </c>
    </row>
    <row r="13" spans="2:9" ht="13.2" x14ac:dyDescent="0.25"/>
    <row r="14" spans="2:9" ht="13.2" x14ac:dyDescent="0.25">
      <c r="B14" s="8" t="s">
        <v>443</v>
      </c>
    </row>
    <row r="15" spans="2:9" ht="5.0999999999999996" customHeight="1" x14ac:dyDescent="0.25">
      <c r="G15" s="92"/>
      <c r="H15" s="92"/>
    </row>
    <row r="16" spans="2:9" ht="26.4" x14ac:dyDescent="0.25">
      <c r="B16" s="40" t="s">
        <v>444</v>
      </c>
      <c r="C16" s="40" t="s">
        <v>445</v>
      </c>
      <c r="D16" s="40" t="s">
        <v>446</v>
      </c>
      <c r="E16" s="40" t="s">
        <v>447</v>
      </c>
      <c r="F16" s="40" t="s">
        <v>421</v>
      </c>
      <c r="G16" s="40" t="s">
        <v>448</v>
      </c>
      <c r="H16" s="40" t="s">
        <v>419</v>
      </c>
      <c r="I16" s="40" t="s">
        <v>449</v>
      </c>
    </row>
    <row r="17" spans="2:9" ht="13.2" x14ac:dyDescent="0.25">
      <c r="B17" s="93" t="s">
        <v>450</v>
      </c>
      <c r="C17" s="94" t="s">
        <v>451</v>
      </c>
      <c r="D17" s="94" t="s">
        <v>452</v>
      </c>
      <c r="E17" s="94" t="s">
        <v>453</v>
      </c>
      <c r="F17" s="95">
        <v>0.65700000000000003</v>
      </c>
      <c r="G17" s="95">
        <v>0.26109300000000002</v>
      </c>
      <c r="H17" s="95">
        <v>3.3914E-2</v>
      </c>
      <c r="I17" s="95">
        <f t="shared" ref="I17:I24" si="0">F17/(1+H17*(1-G17))</f>
        <v>0.64093853412069934</v>
      </c>
    </row>
    <row r="18" spans="2:9" ht="13.2" x14ac:dyDescent="0.25">
      <c r="B18" s="93" t="s">
        <v>454</v>
      </c>
      <c r="C18" s="94" t="s">
        <v>455</v>
      </c>
      <c r="D18" s="94" t="s">
        <v>456</v>
      </c>
      <c r="E18" s="94" t="s">
        <v>457</v>
      </c>
      <c r="F18" s="95">
        <v>1.377</v>
      </c>
      <c r="G18" s="95">
        <v>0.25467499999999998</v>
      </c>
      <c r="H18" s="95">
        <v>2.2301869999999999</v>
      </c>
      <c r="I18" s="95">
        <f t="shared" si="0"/>
        <v>0.5172386348145982</v>
      </c>
    </row>
    <row r="19" spans="2:9" ht="13.2" x14ac:dyDescent="0.25">
      <c r="B19" s="93" t="s">
        <v>458</v>
      </c>
      <c r="C19" s="94" t="s">
        <v>459</v>
      </c>
      <c r="D19" s="94" t="s">
        <v>460</v>
      </c>
      <c r="E19" s="94" t="s">
        <v>461</v>
      </c>
      <c r="F19" s="95">
        <v>0.52900000000000003</v>
      </c>
      <c r="G19" s="95">
        <v>0.22163099999999999</v>
      </c>
      <c r="H19" s="95">
        <v>2.1983429999999999</v>
      </c>
      <c r="I19" s="95">
        <f t="shared" si="0"/>
        <v>0.19512216406868996</v>
      </c>
    </row>
    <row r="20" spans="2:9" ht="13.2" x14ac:dyDescent="0.25">
      <c r="B20" s="93" t="s">
        <v>462</v>
      </c>
      <c r="C20" s="94" t="s">
        <v>455</v>
      </c>
      <c r="D20" s="94" t="s">
        <v>463</v>
      </c>
      <c r="E20" s="94" t="s">
        <v>457</v>
      </c>
      <c r="F20" s="95">
        <v>1.22</v>
      </c>
      <c r="G20" s="95">
        <v>0.30545899999999998</v>
      </c>
      <c r="H20" s="95">
        <v>0.24582799999999999</v>
      </c>
      <c r="I20" s="95">
        <f t="shared" si="0"/>
        <v>1.0420780660006448</v>
      </c>
    </row>
    <row r="21" spans="2:9" ht="13.2" x14ac:dyDescent="0.25">
      <c r="B21" s="93" t="s">
        <v>464</v>
      </c>
      <c r="C21" s="94" t="s">
        <v>455</v>
      </c>
      <c r="D21" s="94" t="s">
        <v>465</v>
      </c>
      <c r="E21" s="94" t="s">
        <v>457</v>
      </c>
      <c r="F21" s="95">
        <v>1.367</v>
      </c>
      <c r="G21" s="95">
        <v>0.26979700000000001</v>
      </c>
      <c r="H21" s="95">
        <v>1.1587399999999999</v>
      </c>
      <c r="I21" s="95">
        <f t="shared" si="0"/>
        <v>0.74047374398465349</v>
      </c>
    </row>
    <row r="22" spans="2:9" ht="13.2" x14ac:dyDescent="0.25">
      <c r="B22" s="93" t="s">
        <v>466</v>
      </c>
      <c r="C22" s="94" t="s">
        <v>467</v>
      </c>
      <c r="D22" s="94" t="s">
        <v>468</v>
      </c>
      <c r="E22" s="94" t="s">
        <v>469</v>
      </c>
      <c r="F22" s="95">
        <v>1.0149999999999999</v>
      </c>
      <c r="G22" s="95">
        <v>0.35402900000000004</v>
      </c>
      <c r="H22" s="95">
        <v>0.27723999999999999</v>
      </c>
      <c r="I22" s="95">
        <f t="shared" si="0"/>
        <v>0.86083408459036292</v>
      </c>
    </row>
    <row r="23" spans="2:9" ht="13.2" x14ac:dyDescent="0.25">
      <c r="B23" s="93" t="s">
        <v>470</v>
      </c>
      <c r="C23" s="94" t="s">
        <v>471</v>
      </c>
      <c r="D23" s="94" t="s">
        <v>472</v>
      </c>
      <c r="E23" s="94" t="s">
        <v>473</v>
      </c>
      <c r="F23" s="95">
        <v>0.75900000000000001</v>
      </c>
      <c r="G23" s="95">
        <v>0.29048999999999997</v>
      </c>
      <c r="H23" s="95">
        <v>0.16337299999999999</v>
      </c>
      <c r="I23" s="95">
        <f t="shared" si="0"/>
        <v>0.6801594669120179</v>
      </c>
    </row>
    <row r="24" spans="2:9" ht="13.2" x14ac:dyDescent="0.25">
      <c r="B24" s="93" t="s">
        <v>474</v>
      </c>
      <c r="C24" s="94" t="s">
        <v>475</v>
      </c>
      <c r="D24" s="94" t="s">
        <v>476</v>
      </c>
      <c r="E24" s="94" t="s">
        <v>477</v>
      </c>
      <c r="F24" s="95">
        <v>1.095</v>
      </c>
      <c r="G24" s="95">
        <v>0.98397900000000005</v>
      </c>
      <c r="H24" s="95">
        <v>0.31180800000000003</v>
      </c>
      <c r="I24" s="95">
        <f t="shared" si="0"/>
        <v>1.0895571434740128</v>
      </c>
    </row>
    <row r="25" spans="2:9" ht="13.2" x14ac:dyDescent="0.25">
      <c r="B25" s="324" t="s">
        <v>478</v>
      </c>
      <c r="C25" s="324"/>
      <c r="D25" s="324"/>
      <c r="E25" s="324"/>
      <c r="F25" s="324"/>
      <c r="G25" s="324"/>
      <c r="H25" s="324"/>
      <c r="I25" s="96">
        <f>AVERAGE(I17:I24)</f>
        <v>0.7208002297457099</v>
      </c>
    </row>
    <row r="26" spans="2:9" ht="13.2" x14ac:dyDescent="0.25"/>
  </sheetData>
  <mergeCells count="1">
    <mergeCell ref="B25:H25"/>
  </mergeCells>
  <hyperlinks>
    <hyperlink ref="I1" location="Índice!A1" display="ÍNDICE" xr:uid="{1FA52193-A448-4C54-A4FA-2373247A8EBD}"/>
  </hyperlink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51F1F-8E80-419E-89C2-18291480EDDB}">
  <sheetPr codeName="Hoja12"/>
  <dimension ref="A1:M117"/>
  <sheetViews>
    <sheetView showGridLines="0" workbookViewId="0">
      <pane ySplit="2" topLeftCell="A3" activePane="bottomLeft" state="frozen"/>
      <selection activeCell="E1" sqref="E1"/>
      <selection pane="bottomLeft" activeCell="C8" sqref="C8"/>
    </sheetView>
  </sheetViews>
  <sheetFormatPr baseColWidth="10" defaultColWidth="0" defaultRowHeight="13.2" zeroHeight="1" outlineLevelRow="1" x14ac:dyDescent="0.25"/>
  <cols>
    <col min="1" max="1" width="2.88671875" style="38" customWidth="1"/>
    <col min="2" max="2" width="18.33203125" style="38" customWidth="1"/>
    <col min="3" max="3" width="22.33203125" style="38" customWidth="1"/>
    <col min="4" max="5" width="13.5546875" style="38" customWidth="1"/>
    <col min="6" max="6" width="12.88671875" style="38" customWidth="1"/>
    <col min="7" max="7" width="12.6640625" style="38" customWidth="1"/>
    <col min="8" max="11" width="14.5546875" style="38" customWidth="1"/>
    <col min="12" max="12" width="16.5546875" style="38" customWidth="1"/>
    <col min="13" max="13" width="2.6640625" style="38" customWidth="1"/>
    <col min="14" max="16384" width="11.44140625" style="38" hidden="1"/>
  </cols>
  <sheetData>
    <row r="1" spans="2:12" ht="16.2" thickBot="1" x14ac:dyDescent="0.35">
      <c r="B1" s="37" t="s">
        <v>479</v>
      </c>
      <c r="L1" s="39" t="s">
        <v>389</v>
      </c>
    </row>
    <row r="2" spans="2:12" ht="5.0999999999999996" customHeight="1" x14ac:dyDescent="0.25"/>
    <row r="3" spans="2:12" x14ac:dyDescent="0.25">
      <c r="B3" s="8" t="s">
        <v>480</v>
      </c>
    </row>
    <row r="4" spans="2:12" ht="5.0999999999999996" customHeight="1" x14ac:dyDescent="0.25"/>
    <row r="5" spans="2:12" x14ac:dyDescent="0.25">
      <c r="B5" s="101" t="s">
        <v>484</v>
      </c>
      <c r="C5" s="102">
        <v>0.75</v>
      </c>
    </row>
    <row r="6" spans="2:12" x14ac:dyDescent="0.25">
      <c r="B6" s="101" t="s">
        <v>485</v>
      </c>
      <c r="C6" s="103">
        <v>0.25</v>
      </c>
    </row>
    <row r="7" spans="2:12" x14ac:dyDescent="0.25">
      <c r="B7" s="53" t="s">
        <v>419</v>
      </c>
      <c r="C7" s="104">
        <f>+C5/C6</f>
        <v>3</v>
      </c>
    </row>
    <row r="8" spans="2:12" x14ac:dyDescent="0.25"/>
    <row r="9" spans="2:12" x14ac:dyDescent="0.25">
      <c r="B9" s="8" t="s">
        <v>486</v>
      </c>
    </row>
    <row r="10" spans="2:12" ht="5.0999999999999996" customHeight="1" x14ac:dyDescent="0.25"/>
    <row r="11" spans="2:12" x14ac:dyDescent="0.25">
      <c r="B11" s="8" t="s">
        <v>487</v>
      </c>
    </row>
    <row r="12" spans="2:12" customFormat="1" ht="14.4" x14ac:dyDescent="0.3">
      <c r="B12" s="331" t="s">
        <v>488</v>
      </c>
      <c r="C12" s="333" t="s">
        <v>489</v>
      </c>
      <c r="D12" s="329"/>
      <c r="E12" s="329"/>
      <c r="F12" s="329"/>
      <c r="G12" s="329"/>
      <c r="H12" s="329" t="s">
        <v>490</v>
      </c>
      <c r="I12" s="329"/>
      <c r="J12" s="329"/>
      <c r="K12" s="329"/>
      <c r="L12" s="330"/>
    </row>
    <row r="13" spans="2:12" customFormat="1" ht="32.25" customHeight="1" x14ac:dyDescent="0.3">
      <c r="B13" s="332"/>
      <c r="C13" s="105" t="s">
        <v>491</v>
      </c>
      <c r="D13" s="106" t="s">
        <v>492</v>
      </c>
      <c r="E13" s="106" t="s">
        <v>493</v>
      </c>
      <c r="F13" s="106" t="s">
        <v>494</v>
      </c>
      <c r="G13" s="107" t="s">
        <v>495</v>
      </c>
      <c r="H13" s="106" t="s">
        <v>491</v>
      </c>
      <c r="I13" s="106" t="s">
        <v>492</v>
      </c>
      <c r="J13" s="106" t="s">
        <v>493</v>
      </c>
      <c r="K13" s="106" t="s">
        <v>494</v>
      </c>
      <c r="L13" s="107" t="s">
        <v>495</v>
      </c>
    </row>
    <row r="14" spans="2:12" customFormat="1" ht="14.4" hidden="1" outlineLevel="1" x14ac:dyDescent="0.3">
      <c r="B14" s="108">
        <v>44196</v>
      </c>
      <c r="C14" s="109"/>
      <c r="D14" s="109"/>
      <c r="E14" s="109"/>
      <c r="F14" s="109"/>
      <c r="G14" s="109"/>
      <c r="H14" s="110">
        <v>28</v>
      </c>
      <c r="I14" s="109"/>
      <c r="J14" s="109">
        <v>-5.4029033333333323E-2</v>
      </c>
      <c r="K14" s="109">
        <v>-0.51967499999999989</v>
      </c>
      <c r="L14" s="109">
        <v>-3.3079999999999998</v>
      </c>
    </row>
    <row r="15" spans="2:12" customFormat="1" ht="14.4" hidden="1" outlineLevel="1" x14ac:dyDescent="0.3">
      <c r="B15" s="111">
        <v>44286</v>
      </c>
      <c r="C15" s="112"/>
      <c r="D15" s="112"/>
      <c r="E15" s="112"/>
      <c r="F15" s="112"/>
      <c r="G15" s="112"/>
      <c r="H15" s="113">
        <v>0</v>
      </c>
      <c r="I15" s="112"/>
      <c r="J15" s="112">
        <v>-0.120155</v>
      </c>
      <c r="K15" s="112">
        <v>-0.47474999999999995</v>
      </c>
      <c r="L15" s="112"/>
    </row>
    <row r="16" spans="2:12" customFormat="1" ht="14.4" hidden="1" outlineLevel="1" x14ac:dyDescent="0.3">
      <c r="B16" s="108">
        <v>44377</v>
      </c>
      <c r="C16" s="109"/>
      <c r="D16" s="109"/>
      <c r="E16" s="109"/>
      <c r="F16" s="109"/>
      <c r="G16" s="109"/>
      <c r="H16" s="110">
        <v>0</v>
      </c>
      <c r="I16" s="109"/>
      <c r="J16" s="109">
        <v>-0.12049096888888891</v>
      </c>
      <c r="K16" s="109">
        <v>-0.48529999999999995</v>
      </c>
      <c r="L16" s="109"/>
    </row>
    <row r="17" spans="2:12" customFormat="1" ht="14.4" hidden="1" outlineLevel="1" x14ac:dyDescent="0.3">
      <c r="B17" s="111">
        <v>44469</v>
      </c>
      <c r="C17" s="112"/>
      <c r="D17" s="112"/>
      <c r="E17" s="112"/>
      <c r="F17" s="112"/>
      <c r="G17" s="112"/>
      <c r="H17" s="113">
        <v>0</v>
      </c>
      <c r="I17" s="112"/>
      <c r="J17" s="112">
        <v>-0.11583985777777776</v>
      </c>
      <c r="K17" s="112">
        <v>-0.48529999999999995</v>
      </c>
      <c r="L17" s="112"/>
    </row>
    <row r="18" spans="2:12" customFormat="1" ht="14.4" hidden="1" outlineLevel="1" x14ac:dyDescent="0.3">
      <c r="B18" s="108">
        <v>44561</v>
      </c>
      <c r="C18" s="109"/>
      <c r="D18" s="109"/>
      <c r="E18" s="109"/>
      <c r="F18" s="109"/>
      <c r="G18" s="109">
        <v>-1.0349999999999999</v>
      </c>
      <c r="H18" s="110">
        <v>42</v>
      </c>
      <c r="I18" s="109"/>
      <c r="J18" s="109">
        <v>-0.23029105555555557</v>
      </c>
      <c r="K18" s="109">
        <v>-0.4474749999999999</v>
      </c>
      <c r="L18" s="109"/>
    </row>
    <row r="19" spans="2:12" customFormat="1" ht="14.4" hidden="1" outlineLevel="1" x14ac:dyDescent="0.3">
      <c r="B19" s="111">
        <v>44651</v>
      </c>
      <c r="C19" s="112"/>
      <c r="D19" s="112"/>
      <c r="E19" s="112"/>
      <c r="F19" s="112"/>
      <c r="G19" s="112">
        <v>0</v>
      </c>
      <c r="H19" s="113">
        <v>50</v>
      </c>
      <c r="I19" s="112"/>
      <c r="J19" s="112">
        <v>-0.44020571527777774</v>
      </c>
      <c r="K19" s="112">
        <v>-0.38937500000000003</v>
      </c>
      <c r="L19" s="112"/>
    </row>
    <row r="20" spans="2:12" customFormat="1" ht="14.4" hidden="1" outlineLevel="1" x14ac:dyDescent="0.3">
      <c r="B20" s="108">
        <v>44742</v>
      </c>
      <c r="C20" s="109"/>
      <c r="D20" s="109"/>
      <c r="E20" s="109"/>
      <c r="F20" s="109"/>
      <c r="G20" s="109">
        <v>0</v>
      </c>
      <c r="H20" s="110">
        <v>100</v>
      </c>
      <c r="I20" s="109"/>
      <c r="J20" s="109">
        <v>-0.76430065373563205</v>
      </c>
      <c r="K20" s="109">
        <v>-0.37012499999999998</v>
      </c>
      <c r="L20" s="109"/>
    </row>
    <row r="21" spans="2:12" customFormat="1" ht="14.4" hidden="1" outlineLevel="1" x14ac:dyDescent="0.3">
      <c r="B21" s="111">
        <v>44834</v>
      </c>
      <c r="C21" s="112"/>
      <c r="D21" s="112"/>
      <c r="E21" s="112"/>
      <c r="F21" s="112"/>
      <c r="G21" s="112">
        <v>0</v>
      </c>
      <c r="H21" s="113">
        <v>100</v>
      </c>
      <c r="I21" s="112">
        <v>0</v>
      </c>
      <c r="J21" s="112">
        <v>-2.5756897319444447</v>
      </c>
      <c r="K21" s="112">
        <v>-0.18262500000000001</v>
      </c>
      <c r="L21" s="112">
        <v>-0.45</v>
      </c>
    </row>
    <row r="22" spans="2:12" customFormat="1" ht="14.4" hidden="1" outlineLevel="1" x14ac:dyDescent="0.3">
      <c r="B22" s="108">
        <v>44926</v>
      </c>
      <c r="C22" s="109"/>
      <c r="D22" s="109"/>
      <c r="E22" s="109"/>
      <c r="F22" s="109"/>
      <c r="G22" s="109">
        <v>-15.489075829999997</v>
      </c>
      <c r="H22" s="110">
        <v>15</v>
      </c>
      <c r="I22" s="109"/>
      <c r="J22" s="109">
        <v>-4.021196629166667</v>
      </c>
      <c r="K22" s="109">
        <v>-0.1476875</v>
      </c>
      <c r="L22" s="109">
        <v>-0.28124999999999994</v>
      </c>
    </row>
    <row r="23" spans="2:12" customFormat="1" ht="14.4" hidden="1" outlineLevel="1" x14ac:dyDescent="0.3">
      <c r="B23" s="111">
        <v>45016</v>
      </c>
      <c r="C23" s="112">
        <v>400</v>
      </c>
      <c r="D23" s="112"/>
      <c r="E23" s="112"/>
      <c r="F23" s="112">
        <v>-2.4487878422222158</v>
      </c>
      <c r="G23" s="112">
        <v>-15.227495949999998</v>
      </c>
      <c r="H23" s="113">
        <v>65</v>
      </c>
      <c r="I23" s="112">
        <v>-400</v>
      </c>
      <c r="J23" s="112">
        <v>-6.6967996577777855</v>
      </c>
      <c r="K23" s="112">
        <v>-0.10911249999999999</v>
      </c>
      <c r="L23" s="112"/>
    </row>
    <row r="24" spans="2:12" customFormat="1" ht="14.4" hidden="1" outlineLevel="1" x14ac:dyDescent="0.3">
      <c r="B24" s="108">
        <v>45107</v>
      </c>
      <c r="C24" s="109">
        <v>100</v>
      </c>
      <c r="D24" s="109">
        <v>0</v>
      </c>
      <c r="E24" s="109">
        <v>-7.69079595</v>
      </c>
      <c r="F24" s="109">
        <v>0</v>
      </c>
      <c r="G24" s="109">
        <v>-3.2343719100000001</v>
      </c>
      <c r="H24" s="110"/>
      <c r="I24" s="109"/>
      <c r="J24" s="109"/>
      <c r="K24" s="109"/>
      <c r="L24" s="109"/>
    </row>
    <row r="25" spans="2:12" customFormat="1" ht="14.4" hidden="1" outlineLevel="1" x14ac:dyDescent="0.3">
      <c r="B25" s="111">
        <v>45199</v>
      </c>
      <c r="C25" s="112">
        <v>110</v>
      </c>
      <c r="D25" s="112">
        <v>0</v>
      </c>
      <c r="E25" s="112">
        <v>-9.5942313099999996</v>
      </c>
      <c r="F25" s="112">
        <v>0</v>
      </c>
      <c r="G25" s="112">
        <v>0</v>
      </c>
      <c r="H25" s="113"/>
      <c r="I25" s="112"/>
      <c r="J25" s="112"/>
      <c r="K25" s="112"/>
      <c r="L25" s="112"/>
    </row>
    <row r="26" spans="2:12" customFormat="1" ht="14.4" hidden="1" outlineLevel="1" x14ac:dyDescent="0.3">
      <c r="B26" s="108">
        <v>45291</v>
      </c>
      <c r="C26" s="109">
        <v>120</v>
      </c>
      <c r="D26" s="109">
        <v>0</v>
      </c>
      <c r="E26" s="109">
        <v>-10.756379999999996</v>
      </c>
      <c r="F26" s="109">
        <v>0</v>
      </c>
      <c r="G26" s="109">
        <v>0</v>
      </c>
      <c r="H26" s="110"/>
      <c r="I26" s="109"/>
      <c r="J26" s="109"/>
      <c r="K26" s="109"/>
      <c r="L26" s="109"/>
    </row>
    <row r="27" spans="2:12" customFormat="1" ht="14.4" hidden="1" outlineLevel="1" x14ac:dyDescent="0.3">
      <c r="B27" s="111">
        <v>45382</v>
      </c>
      <c r="C27" s="112">
        <v>80</v>
      </c>
      <c r="D27" s="112">
        <v>0</v>
      </c>
      <c r="E27" s="112">
        <v>-12.256374576871016</v>
      </c>
      <c r="F27" s="112">
        <v>-1.1511946110935691</v>
      </c>
      <c r="G27" s="112">
        <v>0</v>
      </c>
      <c r="H27" s="113"/>
      <c r="I27" s="112"/>
      <c r="J27" s="112"/>
      <c r="K27" s="112"/>
      <c r="L27" s="112"/>
    </row>
    <row r="28" spans="2:12" customFormat="1" ht="14.4" hidden="1" outlineLevel="1" x14ac:dyDescent="0.3">
      <c r="B28" s="108">
        <v>45473</v>
      </c>
      <c r="C28" s="109">
        <v>105</v>
      </c>
      <c r="D28" s="109">
        <v>0</v>
      </c>
      <c r="E28" s="109">
        <v>-13.693340108612068</v>
      </c>
      <c r="F28" s="109">
        <v>-0.94014226572641468</v>
      </c>
      <c r="G28" s="109">
        <v>0</v>
      </c>
      <c r="H28" s="110"/>
      <c r="I28" s="109"/>
      <c r="J28" s="109"/>
      <c r="K28" s="109"/>
      <c r="L28" s="109"/>
    </row>
    <row r="29" spans="2:12" customFormat="1" ht="14.4" hidden="1" outlineLevel="1" x14ac:dyDescent="0.3">
      <c r="B29" s="111">
        <v>45565</v>
      </c>
      <c r="C29" s="112">
        <v>105</v>
      </c>
      <c r="D29" s="112">
        <v>0</v>
      </c>
      <c r="E29" s="112">
        <v>-15.221756779272154</v>
      </c>
      <c r="F29" s="112">
        <v>-0.69839139739676526</v>
      </c>
      <c r="G29" s="112">
        <v>0</v>
      </c>
      <c r="H29" s="113"/>
      <c r="I29" s="112"/>
      <c r="J29" s="112"/>
      <c r="K29" s="112"/>
      <c r="L29" s="112"/>
    </row>
    <row r="30" spans="2:12" customFormat="1" ht="14.4" hidden="1" outlineLevel="1" x14ac:dyDescent="0.3">
      <c r="B30" s="108">
        <v>45657</v>
      </c>
      <c r="C30" s="109">
        <v>75</v>
      </c>
      <c r="D30" s="109">
        <v>0</v>
      </c>
      <c r="E30" s="109">
        <v>-16.549287860880117</v>
      </c>
      <c r="F30" s="109">
        <v>-0.47198979054836326</v>
      </c>
      <c r="G30" s="109">
        <v>0</v>
      </c>
      <c r="H30" s="110"/>
      <c r="I30" s="109"/>
      <c r="J30" s="109"/>
      <c r="K30" s="109"/>
      <c r="L30" s="109"/>
    </row>
    <row r="31" spans="2:12" customFormat="1" ht="14.4" hidden="1" outlineLevel="1" x14ac:dyDescent="0.3">
      <c r="B31" s="111">
        <v>45747</v>
      </c>
      <c r="C31" s="112">
        <v>50</v>
      </c>
      <c r="D31" s="112">
        <v>0</v>
      </c>
      <c r="E31" s="112">
        <v>-17.306374138708453</v>
      </c>
      <c r="F31" s="112">
        <v>-0.32233449110619933</v>
      </c>
      <c r="G31" s="112">
        <v>0</v>
      </c>
      <c r="H31" s="113"/>
      <c r="I31" s="112"/>
      <c r="J31" s="112"/>
      <c r="K31" s="112"/>
      <c r="L31" s="112"/>
    </row>
    <row r="32" spans="2:12" customFormat="1" ht="14.4" hidden="1" outlineLevel="1" x14ac:dyDescent="0.3">
      <c r="B32" s="108">
        <v>45838</v>
      </c>
      <c r="C32" s="109">
        <v>50</v>
      </c>
      <c r="D32" s="109">
        <v>0</v>
      </c>
      <c r="E32" s="109">
        <v>-17.85070200164785</v>
      </c>
      <c r="F32" s="109">
        <v>-0.20721502999684241</v>
      </c>
      <c r="G32" s="109">
        <v>0</v>
      </c>
      <c r="H32" s="110"/>
      <c r="I32" s="109"/>
      <c r="J32" s="109"/>
      <c r="K32" s="109"/>
      <c r="L32" s="109"/>
    </row>
    <row r="33" spans="2:12" customFormat="1" ht="14.4" hidden="1" outlineLevel="1" x14ac:dyDescent="0.3">
      <c r="B33" s="111">
        <v>45930</v>
      </c>
      <c r="C33" s="112">
        <v>30</v>
      </c>
      <c r="D33" s="112">
        <v>0</v>
      </c>
      <c r="E33" s="112">
        <v>-18.371280514381922</v>
      </c>
      <c r="F33" s="112">
        <v>-0.1036075149984212</v>
      </c>
      <c r="G33" s="112">
        <v>0</v>
      </c>
      <c r="H33" s="113"/>
      <c r="I33" s="112"/>
      <c r="J33" s="112"/>
      <c r="K33" s="112"/>
      <c r="L33" s="112"/>
    </row>
    <row r="34" spans="2:12" customFormat="1" ht="14.4" hidden="1" outlineLevel="1" x14ac:dyDescent="0.3">
      <c r="B34" s="108">
        <v>46022</v>
      </c>
      <c r="C34" s="109">
        <v>25</v>
      </c>
      <c r="D34" s="109">
        <v>0</v>
      </c>
      <c r="E34" s="109">
        <v>-18.570665649253645</v>
      </c>
      <c r="F34" s="109">
        <v>-5.7559730554678452E-2</v>
      </c>
      <c r="G34" s="109">
        <v>0</v>
      </c>
      <c r="H34" s="110"/>
      <c r="I34" s="109"/>
      <c r="J34" s="109"/>
      <c r="K34" s="109"/>
      <c r="L34" s="109"/>
    </row>
    <row r="35" spans="2:12" customFormat="1" ht="14.4" hidden="1" outlineLevel="1" x14ac:dyDescent="0.3">
      <c r="B35" s="111">
        <v>46112</v>
      </c>
      <c r="C35" s="112">
        <v>0</v>
      </c>
      <c r="D35" s="112">
        <v>0</v>
      </c>
      <c r="E35" s="112">
        <v>-18.889789011178287</v>
      </c>
      <c r="F35" s="112">
        <v>0</v>
      </c>
      <c r="G35" s="112">
        <v>0</v>
      </c>
      <c r="H35" s="113"/>
      <c r="I35" s="112"/>
      <c r="J35" s="112"/>
      <c r="K35" s="112"/>
      <c r="L35" s="112"/>
    </row>
    <row r="36" spans="2:12" customFormat="1" ht="14.4" hidden="1" outlineLevel="1" x14ac:dyDescent="0.3">
      <c r="B36" s="108">
        <v>46203</v>
      </c>
      <c r="C36" s="109">
        <v>0</v>
      </c>
      <c r="D36" s="109">
        <v>0</v>
      </c>
      <c r="E36" s="109">
        <v>-18.941042820578517</v>
      </c>
      <c r="F36" s="109">
        <v>0</v>
      </c>
      <c r="G36" s="109">
        <v>0</v>
      </c>
      <c r="H36" s="110"/>
      <c r="I36" s="109"/>
      <c r="J36" s="109"/>
      <c r="K36" s="109"/>
      <c r="L36" s="109"/>
    </row>
    <row r="37" spans="2:12" customFormat="1" ht="14.4" hidden="1" outlineLevel="1" x14ac:dyDescent="0.3">
      <c r="B37" s="111">
        <v>46295</v>
      </c>
      <c r="C37" s="112">
        <v>0</v>
      </c>
      <c r="D37" s="112">
        <v>0</v>
      </c>
      <c r="E37" s="112">
        <v>-18.910762712906589</v>
      </c>
      <c r="F37" s="112">
        <v>0</v>
      </c>
      <c r="G37" s="112">
        <v>0</v>
      </c>
      <c r="H37" s="113"/>
      <c r="I37" s="112"/>
      <c r="J37" s="112"/>
      <c r="K37" s="112"/>
      <c r="L37" s="112"/>
    </row>
    <row r="38" spans="2:12" customFormat="1" ht="14.4" hidden="1" outlineLevel="1" x14ac:dyDescent="0.3">
      <c r="B38" s="108">
        <v>46387</v>
      </c>
      <c r="C38" s="109">
        <v>0</v>
      </c>
      <c r="D38" s="109">
        <v>0</v>
      </c>
      <c r="E38" s="109">
        <v>-18.887743435811558</v>
      </c>
      <c r="F38" s="109">
        <v>0</v>
      </c>
      <c r="G38" s="109">
        <v>0</v>
      </c>
      <c r="H38" s="110"/>
      <c r="I38" s="109"/>
      <c r="J38" s="109"/>
      <c r="K38" s="109"/>
      <c r="L38" s="109"/>
    </row>
    <row r="39" spans="2:12" customFormat="1" ht="14.4" hidden="1" outlineLevel="1" x14ac:dyDescent="0.3">
      <c r="B39" s="111">
        <v>46477</v>
      </c>
      <c r="C39" s="112">
        <v>0</v>
      </c>
      <c r="D39" s="112">
        <v>0</v>
      </c>
      <c r="E39" s="112">
        <v>0</v>
      </c>
      <c r="F39" s="112">
        <v>0</v>
      </c>
      <c r="G39" s="112">
        <v>0</v>
      </c>
      <c r="H39" s="113"/>
      <c r="I39" s="112"/>
      <c r="J39" s="112"/>
      <c r="K39" s="112"/>
      <c r="L39" s="112"/>
    </row>
    <row r="40" spans="2:12" customFormat="1" ht="14.4" hidden="1" outlineLevel="1" x14ac:dyDescent="0.3">
      <c r="B40" s="108">
        <v>46568</v>
      </c>
      <c r="C40" s="109">
        <v>0</v>
      </c>
      <c r="D40" s="109">
        <v>-5.7275</v>
      </c>
      <c r="E40" s="109">
        <v>-37.509773866805993</v>
      </c>
      <c r="F40" s="109">
        <v>0</v>
      </c>
      <c r="G40" s="109">
        <v>0</v>
      </c>
      <c r="H40" s="110"/>
      <c r="I40" s="109"/>
      <c r="J40" s="109"/>
      <c r="K40" s="109"/>
      <c r="L40" s="109"/>
    </row>
    <row r="41" spans="2:12" customFormat="1" ht="14.4" hidden="1" outlineLevel="1" x14ac:dyDescent="0.3">
      <c r="B41" s="111">
        <v>46660</v>
      </c>
      <c r="C41" s="112">
        <v>0</v>
      </c>
      <c r="D41" s="112">
        <v>0</v>
      </c>
      <c r="E41" s="112">
        <v>0</v>
      </c>
      <c r="F41" s="112">
        <v>0</v>
      </c>
      <c r="G41" s="112">
        <v>0</v>
      </c>
      <c r="H41" s="113"/>
      <c r="I41" s="112"/>
      <c r="J41" s="112"/>
      <c r="K41" s="112"/>
      <c r="L41" s="112"/>
    </row>
    <row r="42" spans="2:12" customFormat="1" ht="14.4" hidden="1" outlineLevel="1" x14ac:dyDescent="0.3">
      <c r="B42" s="108">
        <v>46752</v>
      </c>
      <c r="C42" s="109">
        <v>0</v>
      </c>
      <c r="D42" s="109">
        <v>-8.9337499999999999</v>
      </c>
      <c r="E42" s="109">
        <v>-37.370227496764954</v>
      </c>
      <c r="F42" s="109">
        <v>0</v>
      </c>
      <c r="G42" s="109">
        <v>0</v>
      </c>
      <c r="H42" s="110"/>
      <c r="I42" s="109"/>
      <c r="J42" s="109"/>
      <c r="K42" s="109"/>
      <c r="L42" s="109"/>
    </row>
    <row r="43" spans="2:12" customFormat="1" ht="14.4" hidden="1" outlineLevel="1" x14ac:dyDescent="0.3">
      <c r="B43" s="111">
        <v>46843</v>
      </c>
      <c r="C43" s="112">
        <v>0</v>
      </c>
      <c r="D43" s="112">
        <v>0</v>
      </c>
      <c r="E43" s="112">
        <v>0</v>
      </c>
      <c r="F43" s="112">
        <v>0</v>
      </c>
      <c r="G43" s="112">
        <v>0</v>
      </c>
      <c r="H43" s="113"/>
      <c r="I43" s="112"/>
      <c r="J43" s="112"/>
      <c r="K43" s="112"/>
      <c r="L43" s="112"/>
    </row>
    <row r="44" spans="2:12" customFormat="1" ht="14.4" hidden="1" outlineLevel="1" x14ac:dyDescent="0.3">
      <c r="B44" s="108">
        <v>46934</v>
      </c>
      <c r="C44" s="109">
        <v>0</v>
      </c>
      <c r="D44" s="109">
        <v>-4.5837500000000002</v>
      </c>
      <c r="E44" s="109">
        <v>-38.752049093175451</v>
      </c>
      <c r="F44" s="109">
        <v>0</v>
      </c>
      <c r="G44" s="109">
        <v>0</v>
      </c>
      <c r="H44" s="110"/>
      <c r="I44" s="109"/>
      <c r="J44" s="109"/>
      <c r="K44" s="109"/>
      <c r="L44" s="109"/>
    </row>
    <row r="45" spans="2:12" customFormat="1" ht="14.4" hidden="1" outlineLevel="1" x14ac:dyDescent="0.3">
      <c r="B45" s="111">
        <v>47026</v>
      </c>
      <c r="C45" s="112">
        <v>0</v>
      </c>
      <c r="D45" s="112">
        <v>0</v>
      </c>
      <c r="E45" s="112">
        <v>0</v>
      </c>
      <c r="F45" s="112">
        <v>0</v>
      </c>
      <c r="G45" s="112">
        <v>0</v>
      </c>
      <c r="H45" s="113"/>
      <c r="I45" s="112"/>
      <c r="J45" s="112"/>
      <c r="K45" s="112"/>
      <c r="L45" s="112"/>
    </row>
    <row r="46" spans="2:12" customFormat="1" ht="14.4" hidden="1" outlineLevel="1" x14ac:dyDescent="0.3">
      <c r="B46" s="108">
        <v>47118</v>
      </c>
      <c r="C46" s="109">
        <v>0</v>
      </c>
      <c r="D46" s="109">
        <v>-1230.7550000000001</v>
      </c>
      <c r="E46" s="109">
        <v>-38.782069619586046</v>
      </c>
      <c r="F46" s="109">
        <v>0</v>
      </c>
      <c r="G46" s="109">
        <v>0</v>
      </c>
      <c r="H46" s="110"/>
      <c r="I46" s="109"/>
      <c r="J46" s="109"/>
      <c r="K46" s="109"/>
      <c r="L46" s="109"/>
    </row>
    <row r="47" spans="2:12" collapsed="1" x14ac:dyDescent="0.25">
      <c r="C47" s="114"/>
    </row>
    <row r="48" spans="2:12" x14ac:dyDescent="0.25">
      <c r="B48" s="8" t="s">
        <v>496</v>
      </c>
    </row>
    <row r="49" spans="2:10" ht="20.399999999999999" x14ac:dyDescent="0.25">
      <c r="B49" s="115" t="s">
        <v>488</v>
      </c>
      <c r="C49" s="116" t="s">
        <v>497</v>
      </c>
      <c r="D49" s="115" t="s">
        <v>492</v>
      </c>
      <c r="E49" s="115" t="s">
        <v>498</v>
      </c>
      <c r="F49" s="115" t="s">
        <v>499</v>
      </c>
      <c r="G49" s="117" t="s">
        <v>494</v>
      </c>
      <c r="H49" s="115" t="s">
        <v>500</v>
      </c>
    </row>
    <row r="50" spans="2:10" hidden="1" outlineLevel="1" x14ac:dyDescent="0.25">
      <c r="B50" s="118">
        <v>44561</v>
      </c>
      <c r="C50" s="119">
        <f>+C18</f>
        <v>0</v>
      </c>
      <c r="D50" s="120">
        <f>+D18</f>
        <v>0</v>
      </c>
      <c r="E50" s="120">
        <f>+E18</f>
        <v>0</v>
      </c>
      <c r="F50" s="120">
        <f>+G18</f>
        <v>-1.0349999999999999</v>
      </c>
      <c r="G50" s="121">
        <f>+F18</f>
        <v>0</v>
      </c>
      <c r="H50" s="120">
        <f>-C50-SUM(D50:G50)</f>
        <v>1.0349999999999999</v>
      </c>
      <c r="J50" s="70"/>
    </row>
    <row r="51" spans="2:10" hidden="1" outlineLevel="1" x14ac:dyDescent="0.25">
      <c r="B51" s="118">
        <v>44651</v>
      </c>
      <c r="C51" s="119">
        <f t="shared" ref="C51:E66" si="0">+C19</f>
        <v>0</v>
      </c>
      <c r="D51" s="120">
        <f t="shared" si="0"/>
        <v>0</v>
      </c>
      <c r="E51" s="120">
        <f t="shared" si="0"/>
        <v>0</v>
      </c>
      <c r="F51" s="120">
        <f t="shared" ref="F51:F78" si="1">+G19</f>
        <v>0</v>
      </c>
      <c r="G51" s="121">
        <f t="shared" ref="G51:G78" si="2">+F19</f>
        <v>0</v>
      </c>
      <c r="H51" s="120">
        <f t="shared" ref="H51:H78" si="3">-C51-SUM(D51:G51)</f>
        <v>0</v>
      </c>
      <c r="J51" s="70"/>
    </row>
    <row r="52" spans="2:10" hidden="1" outlineLevel="1" x14ac:dyDescent="0.25">
      <c r="B52" s="118">
        <v>44742</v>
      </c>
      <c r="C52" s="119">
        <f t="shared" si="0"/>
        <v>0</v>
      </c>
      <c r="D52" s="120">
        <f t="shared" si="0"/>
        <v>0</v>
      </c>
      <c r="E52" s="120">
        <f t="shared" si="0"/>
        <v>0</v>
      </c>
      <c r="F52" s="120">
        <f t="shared" si="1"/>
        <v>0</v>
      </c>
      <c r="G52" s="121">
        <f t="shared" si="2"/>
        <v>0</v>
      </c>
      <c r="H52" s="120">
        <f t="shared" si="3"/>
        <v>0</v>
      </c>
      <c r="J52" s="70"/>
    </row>
    <row r="53" spans="2:10" hidden="1" outlineLevel="1" x14ac:dyDescent="0.25">
      <c r="B53" s="118">
        <v>44834</v>
      </c>
      <c r="C53" s="119">
        <f t="shared" si="0"/>
        <v>0</v>
      </c>
      <c r="D53" s="120">
        <f t="shared" si="0"/>
        <v>0</v>
      </c>
      <c r="E53" s="120">
        <f t="shared" si="0"/>
        <v>0</v>
      </c>
      <c r="F53" s="120">
        <f t="shared" si="1"/>
        <v>0</v>
      </c>
      <c r="G53" s="121">
        <f t="shared" si="2"/>
        <v>0</v>
      </c>
      <c r="H53" s="120">
        <f t="shared" si="3"/>
        <v>0</v>
      </c>
      <c r="J53" s="70"/>
    </row>
    <row r="54" spans="2:10" hidden="1" outlineLevel="1" x14ac:dyDescent="0.25">
      <c r="B54" s="118">
        <v>44926</v>
      </c>
      <c r="C54" s="119">
        <f t="shared" si="0"/>
        <v>0</v>
      </c>
      <c r="D54" s="120">
        <f t="shared" si="0"/>
        <v>0</v>
      </c>
      <c r="E54" s="120">
        <f t="shared" si="0"/>
        <v>0</v>
      </c>
      <c r="F54" s="120">
        <f t="shared" si="1"/>
        <v>-15.489075829999997</v>
      </c>
      <c r="G54" s="121">
        <f t="shared" si="2"/>
        <v>0</v>
      </c>
      <c r="H54" s="120">
        <f t="shared" si="3"/>
        <v>15.489075829999997</v>
      </c>
      <c r="J54" s="70"/>
    </row>
    <row r="55" spans="2:10" hidden="1" outlineLevel="1" x14ac:dyDescent="0.25">
      <c r="B55" s="118">
        <v>45016</v>
      </c>
      <c r="C55" s="119">
        <f t="shared" si="0"/>
        <v>400</v>
      </c>
      <c r="D55" s="120">
        <f t="shared" si="0"/>
        <v>0</v>
      </c>
      <c r="E55" s="120">
        <f t="shared" si="0"/>
        <v>0</v>
      </c>
      <c r="F55" s="120">
        <f t="shared" si="1"/>
        <v>-15.227495949999998</v>
      </c>
      <c r="G55" s="121">
        <f t="shared" si="2"/>
        <v>-2.4487878422222158</v>
      </c>
      <c r="H55" s="120">
        <f t="shared" si="3"/>
        <v>-382.32371620777781</v>
      </c>
      <c r="J55" s="70"/>
    </row>
    <row r="56" spans="2:10" hidden="1" outlineLevel="1" x14ac:dyDescent="0.25">
      <c r="B56" s="118">
        <v>45107</v>
      </c>
      <c r="C56" s="119">
        <f t="shared" si="0"/>
        <v>100</v>
      </c>
      <c r="D56" s="120">
        <f t="shared" si="0"/>
        <v>0</v>
      </c>
      <c r="E56" s="120">
        <f t="shared" si="0"/>
        <v>-7.69079595</v>
      </c>
      <c r="F56" s="120">
        <f t="shared" si="1"/>
        <v>-3.2343719100000001</v>
      </c>
      <c r="G56" s="121">
        <f t="shared" si="2"/>
        <v>0</v>
      </c>
      <c r="H56" s="120">
        <f t="shared" si="3"/>
        <v>-89.074832139999998</v>
      </c>
      <c r="J56" s="70"/>
    </row>
    <row r="57" spans="2:10" hidden="1" outlineLevel="1" x14ac:dyDescent="0.25">
      <c r="B57" s="118">
        <v>45199</v>
      </c>
      <c r="C57" s="119">
        <f t="shared" si="0"/>
        <v>110</v>
      </c>
      <c r="D57" s="120">
        <f t="shared" si="0"/>
        <v>0</v>
      </c>
      <c r="E57" s="120">
        <f t="shared" si="0"/>
        <v>-9.5942313099999996</v>
      </c>
      <c r="F57" s="120">
        <f t="shared" si="1"/>
        <v>0</v>
      </c>
      <c r="G57" s="121">
        <f t="shared" si="2"/>
        <v>0</v>
      </c>
      <c r="H57" s="120">
        <f t="shared" si="3"/>
        <v>-100.40576869</v>
      </c>
      <c r="J57" s="70"/>
    </row>
    <row r="58" spans="2:10" hidden="1" outlineLevel="1" x14ac:dyDescent="0.25">
      <c r="B58" s="118">
        <v>45291</v>
      </c>
      <c r="C58" s="119">
        <f t="shared" si="0"/>
        <v>120</v>
      </c>
      <c r="D58" s="120">
        <f t="shared" si="0"/>
        <v>0</v>
      </c>
      <c r="E58" s="120">
        <f t="shared" si="0"/>
        <v>-10.756379999999996</v>
      </c>
      <c r="F58" s="120">
        <f t="shared" si="1"/>
        <v>0</v>
      </c>
      <c r="G58" s="121">
        <f t="shared" si="2"/>
        <v>0</v>
      </c>
      <c r="H58" s="120">
        <f t="shared" si="3"/>
        <v>-109.24362000000001</v>
      </c>
      <c r="J58" s="70"/>
    </row>
    <row r="59" spans="2:10" hidden="1" outlineLevel="1" x14ac:dyDescent="0.25">
      <c r="B59" s="118">
        <v>45382</v>
      </c>
      <c r="C59" s="119">
        <f t="shared" si="0"/>
        <v>80</v>
      </c>
      <c r="D59" s="120">
        <f t="shared" si="0"/>
        <v>0</v>
      </c>
      <c r="E59" s="120">
        <f t="shared" si="0"/>
        <v>-12.256374576871016</v>
      </c>
      <c r="F59" s="120">
        <f t="shared" si="1"/>
        <v>0</v>
      </c>
      <c r="G59" s="121">
        <f t="shared" si="2"/>
        <v>-1.1511946110935691</v>
      </c>
      <c r="H59" s="120">
        <f t="shared" si="3"/>
        <v>-66.592430812035417</v>
      </c>
      <c r="J59" s="70"/>
    </row>
    <row r="60" spans="2:10" hidden="1" outlineLevel="1" x14ac:dyDescent="0.25">
      <c r="B60" s="118">
        <v>45473</v>
      </c>
      <c r="C60" s="119">
        <f t="shared" si="0"/>
        <v>105</v>
      </c>
      <c r="D60" s="120">
        <f t="shared" si="0"/>
        <v>0</v>
      </c>
      <c r="E60" s="120">
        <f t="shared" si="0"/>
        <v>-13.693340108612068</v>
      </c>
      <c r="F60" s="120">
        <f t="shared" si="1"/>
        <v>0</v>
      </c>
      <c r="G60" s="121">
        <f t="shared" si="2"/>
        <v>-0.94014226572641468</v>
      </c>
      <c r="H60" s="120">
        <f t="shared" si="3"/>
        <v>-90.366517625661515</v>
      </c>
      <c r="J60" s="70"/>
    </row>
    <row r="61" spans="2:10" hidden="1" outlineLevel="1" x14ac:dyDescent="0.25">
      <c r="B61" s="118">
        <v>45565</v>
      </c>
      <c r="C61" s="119">
        <f t="shared" si="0"/>
        <v>105</v>
      </c>
      <c r="D61" s="120">
        <f t="shared" si="0"/>
        <v>0</v>
      </c>
      <c r="E61" s="120">
        <f t="shared" si="0"/>
        <v>-15.221756779272154</v>
      </c>
      <c r="F61" s="120">
        <f t="shared" si="1"/>
        <v>0</v>
      </c>
      <c r="G61" s="121">
        <f t="shared" si="2"/>
        <v>-0.69839139739676526</v>
      </c>
      <c r="H61" s="120">
        <f t="shared" si="3"/>
        <v>-89.079851823331083</v>
      </c>
      <c r="J61" s="70"/>
    </row>
    <row r="62" spans="2:10" hidden="1" outlineLevel="1" x14ac:dyDescent="0.25">
      <c r="B62" s="118">
        <v>45657</v>
      </c>
      <c r="C62" s="119">
        <f t="shared" si="0"/>
        <v>75</v>
      </c>
      <c r="D62" s="120">
        <f t="shared" si="0"/>
        <v>0</v>
      </c>
      <c r="E62" s="120">
        <f t="shared" si="0"/>
        <v>-16.549287860880117</v>
      </c>
      <c r="F62" s="120">
        <f t="shared" si="1"/>
        <v>0</v>
      </c>
      <c r="G62" s="121">
        <f t="shared" si="2"/>
        <v>-0.47198979054836326</v>
      </c>
      <c r="H62" s="120">
        <f t="shared" si="3"/>
        <v>-57.978722348571523</v>
      </c>
      <c r="J62" s="70"/>
    </row>
    <row r="63" spans="2:10" hidden="1" outlineLevel="1" x14ac:dyDescent="0.25">
      <c r="B63" s="118">
        <v>45747</v>
      </c>
      <c r="C63" s="119">
        <f t="shared" si="0"/>
        <v>50</v>
      </c>
      <c r="D63" s="120">
        <f t="shared" si="0"/>
        <v>0</v>
      </c>
      <c r="E63" s="120">
        <f t="shared" si="0"/>
        <v>-17.306374138708453</v>
      </c>
      <c r="F63" s="120">
        <f t="shared" si="1"/>
        <v>0</v>
      </c>
      <c r="G63" s="121">
        <f t="shared" si="2"/>
        <v>-0.32233449110619933</v>
      </c>
      <c r="H63" s="120">
        <f t="shared" si="3"/>
        <v>-32.371291370185347</v>
      </c>
      <c r="J63" s="70"/>
    </row>
    <row r="64" spans="2:10" hidden="1" outlineLevel="1" x14ac:dyDescent="0.25">
      <c r="B64" s="118">
        <v>45838</v>
      </c>
      <c r="C64" s="119">
        <f t="shared" si="0"/>
        <v>50</v>
      </c>
      <c r="D64" s="120">
        <f t="shared" si="0"/>
        <v>0</v>
      </c>
      <c r="E64" s="120">
        <f t="shared" si="0"/>
        <v>-17.85070200164785</v>
      </c>
      <c r="F64" s="120">
        <f t="shared" si="1"/>
        <v>0</v>
      </c>
      <c r="G64" s="121">
        <f t="shared" si="2"/>
        <v>-0.20721502999684241</v>
      </c>
      <c r="H64" s="120">
        <f t="shared" si="3"/>
        <v>-31.942082968355308</v>
      </c>
      <c r="J64" s="70"/>
    </row>
    <row r="65" spans="2:12" hidden="1" outlineLevel="1" x14ac:dyDescent="0.25">
      <c r="B65" s="118">
        <v>45930</v>
      </c>
      <c r="C65" s="119">
        <f t="shared" si="0"/>
        <v>30</v>
      </c>
      <c r="D65" s="120">
        <f t="shared" si="0"/>
        <v>0</v>
      </c>
      <c r="E65" s="120">
        <f t="shared" si="0"/>
        <v>-18.371280514381922</v>
      </c>
      <c r="F65" s="120">
        <f t="shared" si="1"/>
        <v>0</v>
      </c>
      <c r="G65" s="121">
        <f t="shared" si="2"/>
        <v>-0.1036075149984212</v>
      </c>
      <c r="H65" s="120">
        <f t="shared" si="3"/>
        <v>-11.525111970619655</v>
      </c>
      <c r="J65" s="70"/>
    </row>
    <row r="66" spans="2:12" hidden="1" outlineLevel="1" x14ac:dyDescent="0.25">
      <c r="B66" s="118">
        <v>46022</v>
      </c>
      <c r="C66" s="119">
        <f t="shared" si="0"/>
        <v>25</v>
      </c>
      <c r="D66" s="120">
        <f t="shared" si="0"/>
        <v>0</v>
      </c>
      <c r="E66" s="120">
        <f t="shared" si="0"/>
        <v>-18.570665649253645</v>
      </c>
      <c r="F66" s="120">
        <f t="shared" si="1"/>
        <v>0</v>
      </c>
      <c r="G66" s="121">
        <f t="shared" si="2"/>
        <v>-5.7559730554678452E-2</v>
      </c>
      <c r="H66" s="120">
        <f t="shared" si="3"/>
        <v>-6.3717746201916761</v>
      </c>
      <c r="J66" s="70"/>
    </row>
    <row r="67" spans="2:12" hidden="1" outlineLevel="1" x14ac:dyDescent="0.25">
      <c r="B67" s="118">
        <v>46112</v>
      </c>
      <c r="C67" s="119">
        <f t="shared" ref="C67:E78" si="4">+C35</f>
        <v>0</v>
      </c>
      <c r="D67" s="120">
        <f t="shared" si="4"/>
        <v>0</v>
      </c>
      <c r="E67" s="120">
        <f t="shared" si="4"/>
        <v>-18.889789011178287</v>
      </c>
      <c r="F67" s="120">
        <f t="shared" si="1"/>
        <v>0</v>
      </c>
      <c r="G67" s="121">
        <f t="shared" si="2"/>
        <v>0</v>
      </c>
      <c r="H67" s="120">
        <f t="shared" si="3"/>
        <v>18.889789011178287</v>
      </c>
      <c r="J67" s="70"/>
    </row>
    <row r="68" spans="2:12" hidden="1" outlineLevel="1" x14ac:dyDescent="0.25">
      <c r="B68" s="118">
        <v>46203</v>
      </c>
      <c r="C68" s="119">
        <f t="shared" si="4"/>
        <v>0</v>
      </c>
      <c r="D68" s="120">
        <f t="shared" si="4"/>
        <v>0</v>
      </c>
      <c r="E68" s="120">
        <f t="shared" si="4"/>
        <v>-18.941042820578517</v>
      </c>
      <c r="F68" s="120">
        <f t="shared" si="1"/>
        <v>0</v>
      </c>
      <c r="G68" s="121">
        <f t="shared" si="2"/>
        <v>0</v>
      </c>
      <c r="H68" s="120">
        <f t="shared" si="3"/>
        <v>18.941042820578517</v>
      </c>
      <c r="J68" s="70"/>
    </row>
    <row r="69" spans="2:12" hidden="1" outlineLevel="1" x14ac:dyDescent="0.25">
      <c r="B69" s="118">
        <v>46295</v>
      </c>
      <c r="C69" s="119">
        <f t="shared" si="4"/>
        <v>0</v>
      </c>
      <c r="D69" s="120">
        <f t="shared" si="4"/>
        <v>0</v>
      </c>
      <c r="E69" s="120">
        <f t="shared" si="4"/>
        <v>-18.910762712906589</v>
      </c>
      <c r="F69" s="120">
        <f t="shared" si="1"/>
        <v>0</v>
      </c>
      <c r="G69" s="121">
        <f t="shared" si="2"/>
        <v>0</v>
      </c>
      <c r="H69" s="120">
        <f t="shared" si="3"/>
        <v>18.910762712906589</v>
      </c>
      <c r="J69" s="70"/>
    </row>
    <row r="70" spans="2:12" hidden="1" outlineLevel="1" x14ac:dyDescent="0.25">
      <c r="B70" s="118">
        <v>46387</v>
      </c>
      <c r="C70" s="119">
        <f t="shared" si="4"/>
        <v>0</v>
      </c>
      <c r="D70" s="120">
        <f t="shared" si="4"/>
        <v>0</v>
      </c>
      <c r="E70" s="120">
        <f t="shared" si="4"/>
        <v>-18.887743435811558</v>
      </c>
      <c r="F70" s="120">
        <f t="shared" si="1"/>
        <v>0</v>
      </c>
      <c r="G70" s="121">
        <f t="shared" si="2"/>
        <v>0</v>
      </c>
      <c r="H70" s="120">
        <f t="shared" si="3"/>
        <v>18.887743435811558</v>
      </c>
      <c r="J70" s="70"/>
    </row>
    <row r="71" spans="2:12" hidden="1" outlineLevel="1" x14ac:dyDescent="0.25">
      <c r="B71" s="118">
        <v>46477</v>
      </c>
      <c r="C71" s="119">
        <f t="shared" si="4"/>
        <v>0</v>
      </c>
      <c r="D71" s="120">
        <f t="shared" si="4"/>
        <v>0</v>
      </c>
      <c r="E71" s="120">
        <f t="shared" si="4"/>
        <v>0</v>
      </c>
      <c r="F71" s="120">
        <f t="shared" si="1"/>
        <v>0</v>
      </c>
      <c r="G71" s="121">
        <f t="shared" si="2"/>
        <v>0</v>
      </c>
      <c r="H71" s="120">
        <f t="shared" si="3"/>
        <v>0</v>
      </c>
      <c r="J71" s="70"/>
    </row>
    <row r="72" spans="2:12" hidden="1" outlineLevel="1" x14ac:dyDescent="0.25">
      <c r="B72" s="118">
        <v>46568</v>
      </c>
      <c r="C72" s="119">
        <f t="shared" si="4"/>
        <v>0</v>
      </c>
      <c r="D72" s="120">
        <f t="shared" si="4"/>
        <v>-5.7275</v>
      </c>
      <c r="E72" s="120">
        <f t="shared" si="4"/>
        <v>-37.509773866805993</v>
      </c>
      <c r="F72" s="120">
        <f t="shared" si="1"/>
        <v>0</v>
      </c>
      <c r="G72" s="121">
        <f t="shared" si="2"/>
        <v>0</v>
      </c>
      <c r="H72" s="120">
        <f t="shared" si="3"/>
        <v>43.237273866805992</v>
      </c>
      <c r="J72" s="70"/>
    </row>
    <row r="73" spans="2:12" hidden="1" outlineLevel="1" x14ac:dyDescent="0.25">
      <c r="B73" s="118">
        <v>46660</v>
      </c>
      <c r="C73" s="119">
        <f t="shared" si="4"/>
        <v>0</v>
      </c>
      <c r="D73" s="120">
        <f t="shared" si="4"/>
        <v>0</v>
      </c>
      <c r="E73" s="120">
        <f t="shared" si="4"/>
        <v>0</v>
      </c>
      <c r="F73" s="120">
        <f t="shared" si="1"/>
        <v>0</v>
      </c>
      <c r="G73" s="121">
        <f t="shared" si="2"/>
        <v>0</v>
      </c>
      <c r="H73" s="120">
        <f t="shared" si="3"/>
        <v>0</v>
      </c>
      <c r="J73" s="70"/>
    </row>
    <row r="74" spans="2:12" hidden="1" outlineLevel="1" x14ac:dyDescent="0.25">
      <c r="B74" s="118">
        <v>46752</v>
      </c>
      <c r="C74" s="119">
        <f t="shared" si="4"/>
        <v>0</v>
      </c>
      <c r="D74" s="120">
        <f t="shared" si="4"/>
        <v>-8.9337499999999999</v>
      </c>
      <c r="E74" s="120">
        <f t="shared" si="4"/>
        <v>-37.370227496764954</v>
      </c>
      <c r="F74" s="120">
        <f t="shared" si="1"/>
        <v>0</v>
      </c>
      <c r="G74" s="121">
        <f t="shared" si="2"/>
        <v>0</v>
      </c>
      <c r="H74" s="120">
        <f t="shared" si="3"/>
        <v>46.303977496764958</v>
      </c>
      <c r="J74" s="70"/>
    </row>
    <row r="75" spans="2:12" hidden="1" outlineLevel="1" x14ac:dyDescent="0.25">
      <c r="B75" s="118">
        <v>46843</v>
      </c>
      <c r="C75" s="119">
        <f t="shared" si="4"/>
        <v>0</v>
      </c>
      <c r="D75" s="120">
        <f t="shared" si="4"/>
        <v>0</v>
      </c>
      <c r="E75" s="120">
        <f t="shared" si="4"/>
        <v>0</v>
      </c>
      <c r="F75" s="120">
        <f t="shared" si="1"/>
        <v>0</v>
      </c>
      <c r="G75" s="121">
        <f t="shared" si="2"/>
        <v>0</v>
      </c>
      <c r="H75" s="120">
        <f t="shared" si="3"/>
        <v>0</v>
      </c>
      <c r="J75" s="70"/>
    </row>
    <row r="76" spans="2:12" hidden="1" outlineLevel="1" x14ac:dyDescent="0.25">
      <c r="B76" s="118">
        <v>46934</v>
      </c>
      <c r="C76" s="119">
        <f t="shared" si="4"/>
        <v>0</v>
      </c>
      <c r="D76" s="120">
        <f t="shared" si="4"/>
        <v>-4.5837500000000002</v>
      </c>
      <c r="E76" s="120">
        <f t="shared" si="4"/>
        <v>-38.752049093175451</v>
      </c>
      <c r="F76" s="120">
        <f t="shared" si="1"/>
        <v>0</v>
      </c>
      <c r="G76" s="121">
        <f t="shared" si="2"/>
        <v>0</v>
      </c>
      <c r="H76" s="120">
        <f t="shared" si="3"/>
        <v>43.335799093175453</v>
      </c>
      <c r="J76" s="70"/>
      <c r="L76" s="70"/>
    </row>
    <row r="77" spans="2:12" hidden="1" outlineLevel="1" x14ac:dyDescent="0.25">
      <c r="B77" s="118">
        <v>47026</v>
      </c>
      <c r="C77" s="119">
        <f t="shared" si="4"/>
        <v>0</v>
      </c>
      <c r="D77" s="120">
        <f t="shared" si="4"/>
        <v>0</v>
      </c>
      <c r="E77" s="120">
        <f t="shared" si="4"/>
        <v>0</v>
      </c>
      <c r="F77" s="120">
        <f t="shared" si="1"/>
        <v>0</v>
      </c>
      <c r="G77" s="121">
        <f t="shared" si="2"/>
        <v>0</v>
      </c>
      <c r="H77" s="120">
        <f t="shared" si="3"/>
        <v>0</v>
      </c>
      <c r="J77" s="70"/>
    </row>
    <row r="78" spans="2:12" hidden="1" outlineLevel="1" x14ac:dyDescent="0.25">
      <c r="B78" s="118">
        <v>47118</v>
      </c>
      <c r="C78" s="119">
        <f t="shared" si="4"/>
        <v>0</v>
      </c>
      <c r="D78" s="120">
        <f t="shared" si="4"/>
        <v>-1230.7550000000001</v>
      </c>
      <c r="E78" s="120">
        <f t="shared" si="4"/>
        <v>-38.782069619586046</v>
      </c>
      <c r="F78" s="120">
        <f t="shared" si="1"/>
        <v>0</v>
      </c>
      <c r="G78" s="121">
        <f t="shared" si="2"/>
        <v>0</v>
      </c>
      <c r="H78" s="120">
        <f t="shared" si="3"/>
        <v>1269.5370696195862</v>
      </c>
      <c r="J78" s="70"/>
    </row>
    <row r="79" spans="2:12" collapsed="1" x14ac:dyDescent="0.25">
      <c r="B79" s="122" t="s">
        <v>501</v>
      </c>
      <c r="C79" s="123"/>
      <c r="D79" s="123"/>
      <c r="E79" s="123"/>
      <c r="F79" s="123"/>
      <c r="G79" s="124"/>
      <c r="H79" s="125">
        <f>NPV(C83,H50:H78)</f>
        <v>5.031548575397893E-4</v>
      </c>
      <c r="J79" s="70"/>
    </row>
    <row r="80" spans="2:12" x14ac:dyDescent="0.25">
      <c r="B80" s="126"/>
      <c r="C80" s="72"/>
      <c r="D80" s="72"/>
      <c r="E80" s="72"/>
      <c r="F80" s="72"/>
      <c r="G80" s="72"/>
      <c r="H80" s="72"/>
    </row>
    <row r="81" spans="2:8" x14ac:dyDescent="0.25">
      <c r="B81" s="8" t="s">
        <v>502</v>
      </c>
      <c r="C81" s="72"/>
      <c r="D81" s="72"/>
      <c r="E81" s="72"/>
      <c r="F81" s="72"/>
      <c r="G81" s="72"/>
      <c r="H81" s="72"/>
    </row>
    <row r="82" spans="2:8" x14ac:dyDescent="0.25">
      <c r="B82" s="53" t="s">
        <v>503</v>
      </c>
      <c r="C82" s="53" t="s">
        <v>408</v>
      </c>
      <c r="D82" s="72"/>
      <c r="E82" s="72"/>
      <c r="F82" s="72"/>
      <c r="G82" s="72"/>
      <c r="H82" s="72"/>
    </row>
    <row r="83" spans="2:8" x14ac:dyDescent="0.25">
      <c r="B83" s="64" t="s">
        <v>504</v>
      </c>
      <c r="C83" s="127">
        <v>1.7844033453543101E-2</v>
      </c>
      <c r="D83" s="72"/>
      <c r="E83" s="72"/>
      <c r="F83" s="72"/>
      <c r="G83" s="72"/>
      <c r="H83" s="72"/>
    </row>
    <row r="84" spans="2:8" x14ac:dyDescent="0.25">
      <c r="B84" s="128" t="s">
        <v>505</v>
      </c>
      <c r="C84" s="129">
        <f>(1+C83)^4-1</f>
        <v>7.3309419219361072E-2</v>
      </c>
      <c r="D84" s="72"/>
      <c r="E84" s="72"/>
      <c r="F84" s="72"/>
      <c r="G84" s="72"/>
      <c r="H84" s="72"/>
    </row>
    <row r="85" spans="2:8" x14ac:dyDescent="0.25"/>
    <row r="86" spans="2:8" x14ac:dyDescent="0.25"/>
    <row r="87" spans="2:8" x14ac:dyDescent="0.25"/>
    <row r="88" spans="2:8" x14ac:dyDescent="0.25"/>
    <row r="89" spans="2:8" x14ac:dyDescent="0.25"/>
    <row r="90" spans="2:8" x14ac:dyDescent="0.25"/>
    <row r="91" spans="2:8" x14ac:dyDescent="0.25"/>
    <row r="92" spans="2:8" x14ac:dyDescent="0.25"/>
    <row r="93" spans="2:8" x14ac:dyDescent="0.25"/>
    <row r="94" spans="2:8" x14ac:dyDescent="0.25"/>
    <row r="95" spans="2:8" x14ac:dyDescent="0.25"/>
    <row r="96" spans="2:8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12" x14ac:dyDescent="0.25"/>
    <row r="117" x14ac:dyDescent="0.25"/>
  </sheetData>
  <mergeCells count="3">
    <mergeCell ref="H12:L12"/>
    <mergeCell ref="B12:B13"/>
    <mergeCell ref="C12:G12"/>
  </mergeCells>
  <hyperlinks>
    <hyperlink ref="L1" location="Índice!A1" display="ÍNDICE" xr:uid="{73FCC9ED-D198-4CAB-A698-3114F484F8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52754-33FC-4B44-BA74-591A1BEBD925}">
  <sheetPr codeName="Hoja2"/>
  <dimension ref="A1:F32"/>
  <sheetViews>
    <sheetView showGridLines="0" workbookViewId="0"/>
  </sheetViews>
  <sheetFormatPr baseColWidth="10" defaultColWidth="0" defaultRowHeight="15" customHeight="1" zeroHeight="1" x14ac:dyDescent="0.3"/>
  <cols>
    <col min="1" max="1" width="3.109375" customWidth="1"/>
    <col min="2" max="2" width="51.44140625" customWidth="1"/>
    <col min="3" max="3" width="3.109375" customWidth="1"/>
    <col min="4" max="6" width="0" hidden="1" customWidth="1"/>
    <col min="7" max="16384" width="11.44140625" hidden="1"/>
  </cols>
  <sheetData>
    <row r="1" spans="2:2" ht="14.4" x14ac:dyDescent="0.3"/>
    <row r="2" spans="2:2" ht="14.4" x14ac:dyDescent="0.3">
      <c r="B2" s="31" t="s">
        <v>374</v>
      </c>
    </row>
    <row r="3" spans="2:2" ht="5.0999999999999996" customHeight="1" x14ac:dyDescent="0.3">
      <c r="B3" s="32"/>
    </row>
    <row r="4" spans="2:2" ht="14.4" x14ac:dyDescent="0.3">
      <c r="B4" s="33" t="s">
        <v>375</v>
      </c>
    </row>
    <row r="5" spans="2:2" ht="5.0999999999999996" customHeight="1" x14ac:dyDescent="0.3">
      <c r="B5" s="34"/>
    </row>
    <row r="6" spans="2:2" ht="14.4" x14ac:dyDescent="0.3">
      <c r="B6" s="33" t="s">
        <v>376</v>
      </c>
    </row>
    <row r="7" spans="2:2" ht="14.4" x14ac:dyDescent="0.3">
      <c r="B7" s="35" t="s">
        <v>387</v>
      </c>
    </row>
    <row r="8" spans="2:2" ht="14.4" x14ac:dyDescent="0.3">
      <c r="B8" s="35" t="s">
        <v>388</v>
      </c>
    </row>
    <row r="9" spans="2:2" ht="5.0999999999999996" customHeight="1" x14ac:dyDescent="0.3">
      <c r="B9" s="34"/>
    </row>
    <row r="10" spans="2:2" ht="14.4" x14ac:dyDescent="0.3">
      <c r="B10" s="33" t="s">
        <v>377</v>
      </c>
    </row>
    <row r="11" spans="2:2" ht="14.4" x14ac:dyDescent="0.3">
      <c r="B11" s="35" t="s">
        <v>378</v>
      </c>
    </row>
    <row r="12" spans="2:2" ht="5.0999999999999996" customHeight="1" x14ac:dyDescent="0.3">
      <c r="B12" s="34"/>
    </row>
    <row r="13" spans="2:2" ht="14.4" x14ac:dyDescent="0.3">
      <c r="B13" s="33" t="s">
        <v>379</v>
      </c>
    </row>
    <row r="14" spans="2:2" ht="14.4" x14ac:dyDescent="0.3">
      <c r="B14" s="35" t="s">
        <v>380</v>
      </c>
    </row>
    <row r="15" spans="2:2" ht="14.4" x14ac:dyDescent="0.3">
      <c r="B15" s="35" t="s">
        <v>381</v>
      </c>
    </row>
    <row r="16" spans="2:2" ht="14.4" x14ac:dyDescent="0.3">
      <c r="B16" s="35" t="s">
        <v>580</v>
      </c>
    </row>
    <row r="17" spans="2:2" ht="14.4" x14ac:dyDescent="0.3">
      <c r="B17" s="35" t="s">
        <v>581</v>
      </c>
    </row>
    <row r="18" spans="2:2" ht="14.4" x14ac:dyDescent="0.3">
      <c r="B18" s="35" t="s">
        <v>582</v>
      </c>
    </row>
    <row r="19" spans="2:2" ht="5.0999999999999996" customHeight="1" x14ac:dyDescent="0.3">
      <c r="B19" s="32"/>
    </row>
    <row r="20" spans="2:2" ht="14.4" x14ac:dyDescent="0.3">
      <c r="B20" s="33" t="s">
        <v>382</v>
      </c>
    </row>
    <row r="21" spans="2:2" ht="14.4" x14ac:dyDescent="0.3">
      <c r="B21" s="35" t="s">
        <v>383</v>
      </c>
    </row>
    <row r="22" spans="2:2" ht="14.4" x14ac:dyDescent="0.3">
      <c r="B22" s="35" t="s">
        <v>384</v>
      </c>
    </row>
    <row r="23" spans="2:2" ht="14.4" x14ac:dyDescent="0.3">
      <c r="B23" s="35" t="s">
        <v>385</v>
      </c>
    </row>
    <row r="24" spans="2:2" ht="5.0999999999999996" customHeight="1" x14ac:dyDescent="0.3">
      <c r="B24" s="33"/>
    </row>
    <row r="25" spans="2:2" ht="14.4" x14ac:dyDescent="0.3">
      <c r="B25" s="33" t="s">
        <v>386</v>
      </c>
    </row>
    <row r="26" spans="2:2" ht="14.4" x14ac:dyDescent="0.3">
      <c r="B26" s="35" t="s">
        <v>583</v>
      </c>
    </row>
    <row r="27" spans="2:2" ht="14.4" x14ac:dyDescent="0.3">
      <c r="B27" s="35" t="s">
        <v>542</v>
      </c>
    </row>
    <row r="28" spans="2:2" ht="14.4" x14ac:dyDescent="0.3">
      <c r="B28" s="35" t="s">
        <v>543</v>
      </c>
    </row>
    <row r="29" spans="2:2" ht="14.4" x14ac:dyDescent="0.3">
      <c r="B29" s="35" t="s">
        <v>544</v>
      </c>
    </row>
    <row r="30" spans="2:2" ht="14.4" x14ac:dyDescent="0.3">
      <c r="B30" s="35" t="s">
        <v>545</v>
      </c>
    </row>
    <row r="31" spans="2:2" ht="5.0999999999999996" customHeight="1" x14ac:dyDescent="0.3">
      <c r="B31" s="36"/>
    </row>
    <row r="32" spans="2:2" ht="14.4" x14ac:dyDescent="0.3"/>
  </sheetData>
  <hyperlinks>
    <hyperlink ref="B11" location="'1. Demanda'!A1" display="a. Proyección de demanda" xr:uid="{38FD2AC5-5FB6-43F2-A2F3-3C60DF904C43}"/>
    <hyperlink ref="B22" location="'4.1 Betas'!A1" display="Estimación del beta de la empresa" xr:uid="{16FD52FA-D718-4F12-BEE7-F7E28EEE4DDF}"/>
    <hyperlink ref="B23" location="'4.2 Deuda'!A1" display="Información referida a la deuda de la empresa" xr:uid="{E99C3EBE-2369-48D9-B765-BD6E70EA7B67}"/>
    <hyperlink ref="B14" location="'2. OPEX'!A1" display="a. Costos de operación y mantenimiento - OPEX" xr:uid="{3F5C2F74-AF5C-4AE5-9746-156C1D595406}"/>
    <hyperlink ref="B15" location="'3. CAPEX'!A1" display="b. Base de capital e inversiones - CAPEX" xr:uid="{00CCECA2-836F-4277-98E6-8FA024E3709E}"/>
    <hyperlink ref="B26" location="'5.1 Var-Macro'!A1" display="Índices empleadas para el WACC" xr:uid="{3975CA11-EDD0-48BC-9B56-87FD27C6D7F6}"/>
    <hyperlink ref="B4" location="Propuesta!A1" display="Propuesta del Ositrán" xr:uid="{40EDFB52-A5E7-4735-8AFA-5738DD5EA6B8}"/>
    <hyperlink ref="B21" location="'4. WACC'!A1" display="Costo Promedio Ponderado del Capital (WACC) al 2021" xr:uid="{A66E8FA8-1AE9-4AFC-99CE-33D9600EBB1A}"/>
    <hyperlink ref="B27" location="'2.2 OPEX LAP 2023'!A1" display="Proyección de OPEX Total del AIJC, 2025-2030" xr:uid="{593EEF83-2FE9-4080-8E2F-1E6DDCE7D0FE}"/>
    <hyperlink ref="B16" location="'3.1 CAPEX-Exclusivas'!A1" display="c. CAPEX - Exclusivas" xr:uid="{A9AC25BF-52A7-4EF3-B75F-9BD372AC2066}"/>
    <hyperlink ref="B7" location="'0. Flujo DOM-DOM'!A1" display="a. Flujo DOM-DOM" xr:uid="{5B8AC2C0-A595-4D8F-A416-99E78BB40342}"/>
    <hyperlink ref="B8" location="'0. Flujo INT-INT'!A1" display="b. Flujo INT-INT" xr:uid="{9D647B54-765E-413C-BCC5-A2A78AC073FC}"/>
    <hyperlink ref="B18" location="'3.3 CAPEX Indirecto'!A1" display="e. CAPEX - Indirecto" xr:uid="{01156590-062F-4D91-AA62-F32EBAB38F22}"/>
    <hyperlink ref="B17" location="'3.2 CAPEX-Comunes'!A1" display="d. CAPEX - Comunes" xr:uid="{CE3C383B-E5D3-4F96-8DAC-9037DAB99D32}"/>
    <hyperlink ref="B30" location="'5.3 Var OPEX 2023-25'!A1" display="Variación del OPEX 2023 vs. 2025" xr:uid="{AE4CAAFC-8C90-463E-829C-D953596B8405}"/>
    <hyperlink ref="B29" location="'5.2 Asignación de Áreas'!A1" display="Asignación de áreas, por tipo de transferencia" xr:uid="{5C5A8FD6-7BE1-4C2D-B1B8-7F167D922949}"/>
    <hyperlink ref="B28" location="'2.1 OPEX TUUA'!A1" display="Proyección de OPEX TUUA de Transferencia" xr:uid="{1599926E-1286-4A45-80BC-0F21E6855C75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9916F-B6EF-4A16-A98D-BE9FBE129C1B}">
  <sheetPr codeName="Hoja13"/>
  <dimension ref="A1:R149"/>
  <sheetViews>
    <sheetView showGridLines="0" workbookViewId="0">
      <pane ySplit="2" topLeftCell="A104" activePane="bottomLeft" state="frozen"/>
      <selection activeCell="E1" sqref="E1"/>
      <selection pane="bottomLeft" activeCell="B151" sqref="B151"/>
    </sheetView>
  </sheetViews>
  <sheetFormatPr baseColWidth="10" defaultColWidth="0" defaultRowHeight="13.8" outlineLevelRow="1" x14ac:dyDescent="0.25"/>
  <cols>
    <col min="1" max="1" width="1.88671875" style="131" customWidth="1"/>
    <col min="2" max="2" width="28.109375" style="131" customWidth="1"/>
    <col min="3" max="5" width="13.6640625" style="131" customWidth="1"/>
    <col min="6" max="9" width="11.44140625" style="131" customWidth="1"/>
    <col min="10" max="10" width="2.6640625" style="131" customWidth="1"/>
    <col min="11" max="12" width="11.44140625" style="131" customWidth="1"/>
    <col min="13" max="13" width="2.6640625" style="131" customWidth="1"/>
    <col min="14" max="16384" width="11.44140625" style="131" hidden="1"/>
  </cols>
  <sheetData>
    <row r="1" spans="2:12" ht="16.2" thickBot="1" x14ac:dyDescent="0.35">
      <c r="B1" s="130" t="s">
        <v>506</v>
      </c>
      <c r="L1" s="39" t="s">
        <v>389</v>
      </c>
    </row>
    <row r="2" spans="2:12" ht="5.0999999999999996" customHeight="1" x14ac:dyDescent="0.25"/>
    <row r="3" spans="2:12" x14ac:dyDescent="0.25">
      <c r="B3" s="132" t="s">
        <v>507</v>
      </c>
      <c r="C3" s="133"/>
      <c r="D3" s="133"/>
      <c r="E3" s="133"/>
    </row>
    <row r="4" spans="2:12" ht="5.0999999999999996" customHeight="1" x14ac:dyDescent="0.25">
      <c r="B4" s="132"/>
      <c r="C4" s="133"/>
      <c r="D4" s="133"/>
      <c r="E4" s="133"/>
    </row>
    <row r="5" spans="2:12" x14ac:dyDescent="0.25">
      <c r="B5" s="134" t="s">
        <v>508</v>
      </c>
      <c r="C5" s="68"/>
      <c r="D5" s="68"/>
      <c r="E5" s="68"/>
    </row>
    <row r="6" spans="2:12" ht="26.4" x14ac:dyDescent="0.25">
      <c r="B6" s="135" t="s">
        <v>343</v>
      </c>
      <c r="C6" s="135" t="s">
        <v>509</v>
      </c>
      <c r="D6" s="135" t="s">
        <v>510</v>
      </c>
      <c r="E6" s="135" t="s">
        <v>414</v>
      </c>
    </row>
    <row r="7" spans="2:12" hidden="1" outlineLevel="1" x14ac:dyDescent="0.25">
      <c r="B7" s="80">
        <v>1928</v>
      </c>
      <c r="C7" s="136">
        <v>8.354708589799302E-3</v>
      </c>
      <c r="D7" s="136">
        <v>0.43811155152887893</v>
      </c>
      <c r="E7" s="136">
        <f>+D7-C7</f>
        <v>0.42975684293907962</v>
      </c>
    </row>
    <row r="8" spans="2:12" hidden="1" outlineLevel="1" x14ac:dyDescent="0.25">
      <c r="B8" s="80">
        <v>1929</v>
      </c>
      <c r="C8" s="136">
        <v>4.2038041563204259E-2</v>
      </c>
      <c r="D8" s="136">
        <v>-8.2979466119096595E-2</v>
      </c>
      <c r="E8" s="136">
        <f t="shared" ref="E8:E71" si="0">+D8-C8</f>
        <v>-0.12501750768230085</v>
      </c>
    </row>
    <row r="9" spans="2:12" hidden="1" outlineLevel="1" x14ac:dyDescent="0.25">
      <c r="B9" s="80">
        <v>1930</v>
      </c>
      <c r="C9" s="136">
        <v>4.5409314348970366E-2</v>
      </c>
      <c r="D9" s="136">
        <v>-0.25123636363636365</v>
      </c>
      <c r="E9" s="136">
        <f t="shared" si="0"/>
        <v>-0.29664567798533403</v>
      </c>
    </row>
    <row r="10" spans="2:12" hidden="1" outlineLevel="1" x14ac:dyDescent="0.25">
      <c r="B10" s="80">
        <v>1931</v>
      </c>
      <c r="C10" s="136">
        <v>-2.5588559619422531E-2</v>
      </c>
      <c r="D10" s="136">
        <v>-0.43837548891786188</v>
      </c>
      <c r="E10" s="136">
        <f t="shared" si="0"/>
        <v>-0.41278692929843935</v>
      </c>
    </row>
    <row r="11" spans="2:12" hidden="1" outlineLevel="1" x14ac:dyDescent="0.25">
      <c r="B11" s="80">
        <v>1932</v>
      </c>
      <c r="C11" s="136">
        <v>8.7903069904773257E-2</v>
      </c>
      <c r="D11" s="136">
        <v>-8.642364532019696E-2</v>
      </c>
      <c r="E11" s="136">
        <f t="shared" si="0"/>
        <v>-0.17432671522497023</v>
      </c>
    </row>
    <row r="12" spans="2:12" hidden="1" outlineLevel="1" x14ac:dyDescent="0.25">
      <c r="B12" s="80">
        <v>1933</v>
      </c>
      <c r="C12" s="136">
        <v>1.8552720891857361E-2</v>
      </c>
      <c r="D12" s="136">
        <v>0.49982225433526023</v>
      </c>
      <c r="E12" s="136">
        <f t="shared" si="0"/>
        <v>0.48126953344340284</v>
      </c>
    </row>
    <row r="13" spans="2:12" hidden="1" outlineLevel="1" x14ac:dyDescent="0.25">
      <c r="B13" s="80">
        <v>1934</v>
      </c>
      <c r="C13" s="136">
        <v>7.9634426179656104E-2</v>
      </c>
      <c r="D13" s="136">
        <v>-1.1885656970912803E-2</v>
      </c>
      <c r="E13" s="136">
        <f t="shared" si="0"/>
        <v>-9.1520083150568907E-2</v>
      </c>
    </row>
    <row r="14" spans="2:12" hidden="1" outlineLevel="1" x14ac:dyDescent="0.25">
      <c r="B14" s="80">
        <v>1935</v>
      </c>
      <c r="C14" s="136">
        <v>4.4720477296566127E-2</v>
      </c>
      <c r="D14" s="136">
        <v>0.46740421052631581</v>
      </c>
      <c r="E14" s="136">
        <f t="shared" si="0"/>
        <v>0.42268373322974967</v>
      </c>
    </row>
    <row r="15" spans="2:12" hidden="1" outlineLevel="1" x14ac:dyDescent="0.25">
      <c r="B15" s="80">
        <v>1936</v>
      </c>
      <c r="C15" s="136">
        <v>5.0178754045450601E-2</v>
      </c>
      <c r="D15" s="136">
        <v>0.31943410275502609</v>
      </c>
      <c r="E15" s="136">
        <f t="shared" si="0"/>
        <v>0.26925534870957551</v>
      </c>
    </row>
    <row r="16" spans="2:12" hidden="1" outlineLevel="1" x14ac:dyDescent="0.25">
      <c r="B16" s="80">
        <v>1937</v>
      </c>
      <c r="C16" s="136">
        <v>1.379146059646038E-2</v>
      </c>
      <c r="D16" s="136">
        <v>-0.35336728754365537</v>
      </c>
      <c r="E16" s="136">
        <f t="shared" si="0"/>
        <v>-0.36715874814011573</v>
      </c>
    </row>
    <row r="17" spans="2:5" hidden="1" outlineLevel="1" x14ac:dyDescent="0.25">
      <c r="B17" s="80">
        <v>1938</v>
      </c>
      <c r="C17" s="136">
        <v>4.2132485322046068E-2</v>
      </c>
      <c r="D17" s="136">
        <v>0.29282654028436017</v>
      </c>
      <c r="E17" s="136">
        <f t="shared" si="0"/>
        <v>0.25069405496231412</v>
      </c>
    </row>
    <row r="18" spans="2:5" hidden="1" outlineLevel="1" x14ac:dyDescent="0.25">
      <c r="B18" s="80">
        <v>1939</v>
      </c>
      <c r="C18" s="136">
        <v>4.4122613942060671E-2</v>
      </c>
      <c r="D18" s="136">
        <v>-1.0975646879756443E-2</v>
      </c>
      <c r="E18" s="136">
        <f t="shared" si="0"/>
        <v>-5.509826082181711E-2</v>
      </c>
    </row>
    <row r="19" spans="2:5" hidden="1" outlineLevel="1" x14ac:dyDescent="0.25">
      <c r="B19" s="80">
        <v>1940</v>
      </c>
      <c r="C19" s="136">
        <v>5.4024815962845509E-2</v>
      </c>
      <c r="D19" s="136">
        <v>-0.10672873194221515</v>
      </c>
      <c r="E19" s="136">
        <f t="shared" si="0"/>
        <v>-0.16075354790506066</v>
      </c>
    </row>
    <row r="20" spans="2:5" hidden="1" outlineLevel="1" x14ac:dyDescent="0.25">
      <c r="B20" s="80">
        <v>1941</v>
      </c>
      <c r="C20" s="136">
        <v>-2.0221975848580105E-2</v>
      </c>
      <c r="D20" s="136">
        <v>-0.12771455576559551</v>
      </c>
      <c r="E20" s="136">
        <f t="shared" si="0"/>
        <v>-0.10749257991701541</v>
      </c>
    </row>
    <row r="21" spans="2:5" hidden="1" outlineLevel="1" x14ac:dyDescent="0.25">
      <c r="B21" s="80">
        <v>1942</v>
      </c>
      <c r="C21" s="136">
        <v>2.2948682374484164E-2</v>
      </c>
      <c r="D21" s="136">
        <v>0.19173762945914843</v>
      </c>
      <c r="E21" s="136">
        <f t="shared" si="0"/>
        <v>0.16878894708466427</v>
      </c>
    </row>
    <row r="22" spans="2:5" hidden="1" outlineLevel="1" x14ac:dyDescent="0.25">
      <c r="B22" s="80">
        <v>1943</v>
      </c>
      <c r="C22" s="136">
        <v>2.4899999999999999E-2</v>
      </c>
      <c r="D22" s="136">
        <v>0.25061310133060394</v>
      </c>
      <c r="E22" s="136">
        <f t="shared" si="0"/>
        <v>0.22571310133060393</v>
      </c>
    </row>
    <row r="23" spans="2:5" hidden="1" outlineLevel="1" x14ac:dyDescent="0.25">
      <c r="B23" s="80">
        <v>1944</v>
      </c>
      <c r="C23" s="136">
        <v>2.5776111579070303E-2</v>
      </c>
      <c r="D23" s="136">
        <v>0.19030676949443009</v>
      </c>
      <c r="E23" s="136">
        <f t="shared" si="0"/>
        <v>0.16453065791535978</v>
      </c>
    </row>
    <row r="24" spans="2:5" hidden="1" outlineLevel="1" x14ac:dyDescent="0.25">
      <c r="B24" s="80">
        <v>1945</v>
      </c>
      <c r="C24" s="136">
        <v>3.8044173419237229E-2</v>
      </c>
      <c r="D24" s="136">
        <v>0.35821084337349401</v>
      </c>
      <c r="E24" s="136">
        <f t="shared" si="0"/>
        <v>0.3201666699542568</v>
      </c>
    </row>
    <row r="25" spans="2:5" hidden="1" outlineLevel="1" x14ac:dyDescent="0.25">
      <c r="B25" s="80">
        <v>1946</v>
      </c>
      <c r="C25" s="136">
        <v>3.1283745375695685E-2</v>
      </c>
      <c r="D25" s="136">
        <v>-8.4291474654377807E-2</v>
      </c>
      <c r="E25" s="136">
        <f t="shared" si="0"/>
        <v>-0.11557522003007349</v>
      </c>
    </row>
    <row r="26" spans="2:5" hidden="1" outlineLevel="1" x14ac:dyDescent="0.25">
      <c r="B26" s="80">
        <v>1947</v>
      </c>
      <c r="C26" s="136">
        <v>9.1969680628322358E-3</v>
      </c>
      <c r="D26" s="136">
        <v>5.1999999999999998E-2</v>
      </c>
      <c r="E26" s="136">
        <f t="shared" si="0"/>
        <v>4.2803031937167765E-2</v>
      </c>
    </row>
    <row r="27" spans="2:5" hidden="1" outlineLevel="1" x14ac:dyDescent="0.25">
      <c r="B27" s="80">
        <v>1948</v>
      </c>
      <c r="C27" s="136">
        <v>1.9510369413175046E-2</v>
      </c>
      <c r="D27" s="136">
        <v>5.7045751633986834E-2</v>
      </c>
      <c r="E27" s="136">
        <f t="shared" si="0"/>
        <v>3.7535382220811792E-2</v>
      </c>
    </row>
    <row r="28" spans="2:5" hidden="1" outlineLevel="1" x14ac:dyDescent="0.25">
      <c r="B28" s="80">
        <v>1949</v>
      </c>
      <c r="C28" s="136">
        <v>4.6634851827973139E-2</v>
      </c>
      <c r="D28" s="136">
        <v>0.18303223684210526</v>
      </c>
      <c r="E28" s="136">
        <f t="shared" si="0"/>
        <v>0.13639738501413212</v>
      </c>
    </row>
    <row r="29" spans="2:5" hidden="1" outlineLevel="1" x14ac:dyDescent="0.25">
      <c r="B29" s="80">
        <v>1950</v>
      </c>
      <c r="C29" s="136">
        <v>4.2959574171096103E-3</v>
      </c>
      <c r="D29" s="136">
        <v>0.30805539011316263</v>
      </c>
      <c r="E29" s="136">
        <f t="shared" si="0"/>
        <v>0.30375943269605304</v>
      </c>
    </row>
    <row r="30" spans="2:5" hidden="1" outlineLevel="1" x14ac:dyDescent="0.25">
      <c r="B30" s="80">
        <v>1951</v>
      </c>
      <c r="C30" s="136">
        <v>-2.9531392208319886E-3</v>
      </c>
      <c r="D30" s="136">
        <v>0.23678463044542339</v>
      </c>
      <c r="E30" s="136">
        <f t="shared" si="0"/>
        <v>0.23973776966625537</v>
      </c>
    </row>
    <row r="31" spans="2:5" hidden="1" outlineLevel="1" x14ac:dyDescent="0.25">
      <c r="B31" s="80">
        <v>1952</v>
      </c>
      <c r="C31" s="136">
        <v>2.2679961918305656E-2</v>
      </c>
      <c r="D31" s="136">
        <v>0.18150988641144306</v>
      </c>
      <c r="E31" s="136">
        <f t="shared" si="0"/>
        <v>0.1588299244931374</v>
      </c>
    </row>
    <row r="32" spans="2:5" hidden="1" outlineLevel="1" x14ac:dyDescent="0.25">
      <c r="B32" s="80">
        <v>1953</v>
      </c>
      <c r="C32" s="136">
        <v>4.1438402589088513E-2</v>
      </c>
      <c r="D32" s="136">
        <v>-1.2082047421904465E-2</v>
      </c>
      <c r="E32" s="136">
        <f t="shared" si="0"/>
        <v>-5.3520450010992981E-2</v>
      </c>
    </row>
    <row r="33" spans="2:5" hidden="1" outlineLevel="1" x14ac:dyDescent="0.25">
      <c r="B33" s="80">
        <v>1954</v>
      </c>
      <c r="C33" s="136">
        <v>3.2898034558095555E-2</v>
      </c>
      <c r="D33" s="136">
        <v>0.52563321241434902</v>
      </c>
      <c r="E33" s="136">
        <f t="shared" si="0"/>
        <v>0.49273517785625348</v>
      </c>
    </row>
    <row r="34" spans="2:5" hidden="1" outlineLevel="1" x14ac:dyDescent="0.25">
      <c r="B34" s="80">
        <v>1955</v>
      </c>
      <c r="C34" s="136">
        <v>-1.3364391288618781E-2</v>
      </c>
      <c r="D34" s="136">
        <v>0.32597331851028349</v>
      </c>
      <c r="E34" s="136">
        <f t="shared" si="0"/>
        <v>0.33933770979890227</v>
      </c>
    </row>
    <row r="35" spans="2:5" hidden="1" outlineLevel="1" x14ac:dyDescent="0.25">
      <c r="B35" s="80">
        <v>1956</v>
      </c>
      <c r="C35" s="136">
        <v>-2.2557738173154165E-2</v>
      </c>
      <c r="D35" s="136">
        <v>7.4395118733509347E-2</v>
      </c>
      <c r="E35" s="136">
        <f t="shared" si="0"/>
        <v>9.6952856906663512E-2</v>
      </c>
    </row>
    <row r="36" spans="2:5" hidden="1" outlineLevel="1" x14ac:dyDescent="0.25">
      <c r="B36" s="80">
        <v>1957</v>
      </c>
      <c r="C36" s="136">
        <v>6.7970128466249904E-2</v>
      </c>
      <c r="D36" s="136">
        <v>-0.1045736018855796</v>
      </c>
      <c r="E36" s="136">
        <f t="shared" si="0"/>
        <v>-0.17254373035182952</v>
      </c>
    </row>
    <row r="37" spans="2:5" hidden="1" outlineLevel="1" x14ac:dyDescent="0.25">
      <c r="B37" s="80">
        <v>1958</v>
      </c>
      <c r="C37" s="136">
        <v>-2.0990181755274694E-2</v>
      </c>
      <c r="D37" s="136">
        <v>0.43719954988747184</v>
      </c>
      <c r="E37" s="136">
        <f t="shared" si="0"/>
        <v>0.45818973164274651</v>
      </c>
    </row>
    <row r="38" spans="2:5" hidden="1" outlineLevel="1" x14ac:dyDescent="0.25">
      <c r="B38" s="80">
        <v>1959</v>
      </c>
      <c r="C38" s="136">
        <v>-2.6466312591385065E-2</v>
      </c>
      <c r="D38" s="136">
        <v>0.12056457163557326</v>
      </c>
      <c r="E38" s="136">
        <f t="shared" si="0"/>
        <v>0.14703088422695831</v>
      </c>
    </row>
    <row r="39" spans="2:5" hidden="1" outlineLevel="1" x14ac:dyDescent="0.25">
      <c r="B39" s="80">
        <v>1960</v>
      </c>
      <c r="C39" s="136">
        <v>0.11639503690963365</v>
      </c>
      <c r="D39" s="136">
        <v>3.36535314743695E-3</v>
      </c>
      <c r="E39" s="136">
        <f t="shared" si="0"/>
        <v>-0.1130296837621967</v>
      </c>
    </row>
    <row r="40" spans="2:5" hidden="1" outlineLevel="1" x14ac:dyDescent="0.25">
      <c r="B40" s="80">
        <v>1961</v>
      </c>
      <c r="C40" s="136">
        <v>2.0609208076323167E-2</v>
      </c>
      <c r="D40" s="136">
        <v>0.26637712958182752</v>
      </c>
      <c r="E40" s="136">
        <f t="shared" si="0"/>
        <v>0.24576792150550436</v>
      </c>
    </row>
    <row r="41" spans="2:5" hidden="1" outlineLevel="1" x14ac:dyDescent="0.25">
      <c r="B41" s="80">
        <v>1962</v>
      </c>
      <c r="C41" s="136">
        <v>5.693544054008462E-2</v>
      </c>
      <c r="D41" s="136">
        <v>-8.8114605171208879E-2</v>
      </c>
      <c r="E41" s="136">
        <f t="shared" si="0"/>
        <v>-0.14505004571129348</v>
      </c>
    </row>
    <row r="42" spans="2:5" hidden="1" outlineLevel="1" x14ac:dyDescent="0.25">
      <c r="B42" s="80">
        <v>1963</v>
      </c>
      <c r="C42" s="136">
        <v>1.6841620739546127E-2</v>
      </c>
      <c r="D42" s="136">
        <v>0.22611927099841514</v>
      </c>
      <c r="E42" s="136">
        <f t="shared" si="0"/>
        <v>0.20927765025886902</v>
      </c>
    </row>
    <row r="43" spans="2:5" hidden="1" outlineLevel="1" x14ac:dyDescent="0.25">
      <c r="B43" s="80">
        <v>1964</v>
      </c>
      <c r="C43" s="136">
        <v>3.7280648911540815E-2</v>
      </c>
      <c r="D43" s="136">
        <v>0.16415455878432425</v>
      </c>
      <c r="E43" s="136">
        <f t="shared" si="0"/>
        <v>0.12687390987278344</v>
      </c>
    </row>
    <row r="44" spans="2:5" hidden="1" outlineLevel="1" x14ac:dyDescent="0.25">
      <c r="B44" s="80">
        <v>1965</v>
      </c>
      <c r="C44" s="136">
        <v>7.1885509359262342E-3</v>
      </c>
      <c r="D44" s="136">
        <v>0.12399242477876114</v>
      </c>
      <c r="E44" s="136">
        <f t="shared" si="0"/>
        <v>0.11680387384283492</v>
      </c>
    </row>
    <row r="45" spans="2:5" hidden="1" outlineLevel="1" x14ac:dyDescent="0.25">
      <c r="B45" s="80">
        <v>1966</v>
      </c>
      <c r="C45" s="136">
        <v>2.9079409324299622E-2</v>
      </c>
      <c r="D45" s="136">
        <v>-9.9709542356377898E-2</v>
      </c>
      <c r="E45" s="136">
        <f t="shared" si="0"/>
        <v>-0.12878895168067753</v>
      </c>
    </row>
    <row r="46" spans="2:5" hidden="1" outlineLevel="1" x14ac:dyDescent="0.25">
      <c r="B46" s="80">
        <v>1967</v>
      </c>
      <c r="C46" s="136">
        <v>-1.5806209932824666E-2</v>
      </c>
      <c r="D46" s="136">
        <v>0.23802966513133328</v>
      </c>
      <c r="E46" s="136">
        <f t="shared" si="0"/>
        <v>0.25383587506415795</v>
      </c>
    </row>
    <row r="47" spans="2:5" hidden="1" outlineLevel="1" x14ac:dyDescent="0.25">
      <c r="B47" s="80">
        <v>1968</v>
      </c>
      <c r="C47" s="136">
        <v>3.2746196950768365E-2</v>
      </c>
      <c r="D47" s="136">
        <v>0.10814862651601535</v>
      </c>
      <c r="E47" s="136">
        <f t="shared" si="0"/>
        <v>7.5402429565246981E-2</v>
      </c>
    </row>
    <row r="48" spans="2:5" hidden="1" outlineLevel="1" x14ac:dyDescent="0.25">
      <c r="B48" s="80">
        <v>1969</v>
      </c>
      <c r="C48" s="136">
        <v>-5.0140493209926106E-2</v>
      </c>
      <c r="D48" s="136">
        <v>-8.2413710764490639E-2</v>
      </c>
      <c r="E48" s="136">
        <f t="shared" si="0"/>
        <v>-3.2273217554564533E-2</v>
      </c>
    </row>
    <row r="49" spans="2:5" hidden="1" outlineLevel="1" x14ac:dyDescent="0.25">
      <c r="B49" s="80">
        <v>1970</v>
      </c>
      <c r="C49" s="136">
        <v>0.16754737183412338</v>
      </c>
      <c r="D49" s="136">
        <v>3.5611449054964189E-2</v>
      </c>
      <c r="E49" s="136">
        <f t="shared" si="0"/>
        <v>-0.13193592277915919</v>
      </c>
    </row>
    <row r="50" spans="2:5" hidden="1" outlineLevel="1" x14ac:dyDescent="0.25">
      <c r="B50" s="80">
        <v>1971</v>
      </c>
      <c r="C50" s="136">
        <v>9.7868966197122972E-2</v>
      </c>
      <c r="D50" s="136">
        <v>0.14221150298426474</v>
      </c>
      <c r="E50" s="136">
        <f t="shared" si="0"/>
        <v>4.434253678714177E-2</v>
      </c>
    </row>
    <row r="51" spans="2:5" hidden="1" outlineLevel="1" x14ac:dyDescent="0.25">
      <c r="B51" s="80">
        <v>1972</v>
      </c>
      <c r="C51" s="136">
        <v>2.818449050444969E-2</v>
      </c>
      <c r="D51" s="136">
        <v>0.18755362915074925</v>
      </c>
      <c r="E51" s="136">
        <f t="shared" si="0"/>
        <v>0.15936913864629956</v>
      </c>
    </row>
    <row r="52" spans="2:5" hidden="1" outlineLevel="1" x14ac:dyDescent="0.25">
      <c r="B52" s="80">
        <v>1973</v>
      </c>
      <c r="C52" s="136">
        <v>3.6586646024150085E-2</v>
      </c>
      <c r="D52" s="136">
        <v>-0.14308047437526472</v>
      </c>
      <c r="E52" s="136">
        <f t="shared" si="0"/>
        <v>-0.17966712039941479</v>
      </c>
    </row>
    <row r="53" spans="2:5" hidden="1" outlineLevel="1" x14ac:dyDescent="0.25">
      <c r="B53" s="80">
        <v>1974</v>
      </c>
      <c r="C53" s="136">
        <v>1.9886086932378574E-2</v>
      </c>
      <c r="D53" s="136">
        <v>-0.25901785750896972</v>
      </c>
      <c r="E53" s="136">
        <f t="shared" si="0"/>
        <v>-0.27890394444134831</v>
      </c>
    </row>
    <row r="54" spans="2:5" hidden="1" outlineLevel="1" x14ac:dyDescent="0.25">
      <c r="B54" s="80">
        <v>1975</v>
      </c>
      <c r="C54" s="136">
        <v>3.6052536026033838E-2</v>
      </c>
      <c r="D54" s="136">
        <v>0.36995137106184356</v>
      </c>
      <c r="E54" s="136">
        <f t="shared" si="0"/>
        <v>0.33389883503580975</v>
      </c>
    </row>
    <row r="55" spans="2:5" hidden="1" outlineLevel="1" x14ac:dyDescent="0.25">
      <c r="B55" s="80">
        <v>1976</v>
      </c>
      <c r="C55" s="136">
        <v>0.1598456074290921</v>
      </c>
      <c r="D55" s="136">
        <v>0.23830999002106662</v>
      </c>
      <c r="E55" s="136">
        <f t="shared" si="0"/>
        <v>7.8464382591974524E-2</v>
      </c>
    </row>
    <row r="56" spans="2:5" hidden="1" outlineLevel="1" x14ac:dyDescent="0.25">
      <c r="B56" s="80">
        <v>1977</v>
      </c>
      <c r="C56" s="136">
        <v>1.2899606071070449E-2</v>
      </c>
      <c r="D56" s="136">
        <v>-6.9797040759352322E-2</v>
      </c>
      <c r="E56" s="136">
        <f t="shared" si="0"/>
        <v>-8.2696646830422771E-2</v>
      </c>
    </row>
    <row r="57" spans="2:5" hidden="1" outlineLevel="1" x14ac:dyDescent="0.25">
      <c r="B57" s="80">
        <v>1978</v>
      </c>
      <c r="C57" s="136">
        <v>-7.7758069075086478E-3</v>
      </c>
      <c r="D57" s="136">
        <v>6.50928391167193E-2</v>
      </c>
      <c r="E57" s="136">
        <f t="shared" si="0"/>
        <v>7.2868646024227948E-2</v>
      </c>
    </row>
    <row r="58" spans="2:5" hidden="1" outlineLevel="1" x14ac:dyDescent="0.25">
      <c r="B58" s="80">
        <v>1979</v>
      </c>
      <c r="C58" s="136">
        <v>6.7072031247235459E-3</v>
      </c>
      <c r="D58" s="136">
        <v>0.18519490167516386</v>
      </c>
      <c r="E58" s="136">
        <f t="shared" si="0"/>
        <v>0.17848769855044033</v>
      </c>
    </row>
    <row r="59" spans="2:5" hidden="1" outlineLevel="1" x14ac:dyDescent="0.25">
      <c r="B59" s="80">
        <v>1980</v>
      </c>
      <c r="C59" s="136">
        <v>-2.989744251999403E-2</v>
      </c>
      <c r="D59" s="136">
        <v>0.3173524550676301</v>
      </c>
      <c r="E59" s="136">
        <f t="shared" si="0"/>
        <v>0.34724989758762415</v>
      </c>
    </row>
    <row r="60" spans="2:5" hidden="1" outlineLevel="1" x14ac:dyDescent="0.25">
      <c r="B60" s="80">
        <v>1981</v>
      </c>
      <c r="C60" s="136">
        <v>8.1992153358923542E-2</v>
      </c>
      <c r="D60" s="136">
        <v>-4.7023902474955762E-2</v>
      </c>
      <c r="E60" s="136">
        <f t="shared" si="0"/>
        <v>-0.12901605583387932</v>
      </c>
    </row>
    <row r="61" spans="2:5" hidden="1" outlineLevel="1" x14ac:dyDescent="0.25">
      <c r="B61" s="80">
        <v>1982</v>
      </c>
      <c r="C61" s="136">
        <v>0.32814549486295586</v>
      </c>
      <c r="D61" s="136">
        <v>0.20419055079559353</v>
      </c>
      <c r="E61" s="136">
        <f t="shared" si="0"/>
        <v>-0.12395494406736232</v>
      </c>
    </row>
    <row r="62" spans="2:5" hidden="1" outlineLevel="1" x14ac:dyDescent="0.25">
      <c r="B62" s="80">
        <v>1983</v>
      </c>
      <c r="C62" s="136">
        <v>3.2002094451429264E-2</v>
      </c>
      <c r="D62" s="136">
        <v>0.22337155858930619</v>
      </c>
      <c r="E62" s="136">
        <f t="shared" si="0"/>
        <v>0.19136946413787692</v>
      </c>
    </row>
    <row r="63" spans="2:5" hidden="1" outlineLevel="1" x14ac:dyDescent="0.25">
      <c r="B63" s="80">
        <v>1984</v>
      </c>
      <c r="C63" s="136">
        <v>0.13733364344102345</v>
      </c>
      <c r="D63" s="136">
        <v>6.14614199963621E-2</v>
      </c>
      <c r="E63" s="136">
        <f t="shared" si="0"/>
        <v>-7.5872223444661352E-2</v>
      </c>
    </row>
    <row r="64" spans="2:5" hidden="1" outlineLevel="1" x14ac:dyDescent="0.25">
      <c r="B64" s="80">
        <v>1985</v>
      </c>
      <c r="C64" s="136">
        <v>0.2571248821260641</v>
      </c>
      <c r="D64" s="136">
        <v>0.31235149485768948</v>
      </c>
      <c r="E64" s="136">
        <f t="shared" si="0"/>
        <v>5.522661273162538E-2</v>
      </c>
    </row>
    <row r="65" spans="2:5" hidden="1" outlineLevel="1" x14ac:dyDescent="0.25">
      <c r="B65" s="80">
        <v>1986</v>
      </c>
      <c r="C65" s="136">
        <v>0.24284215141767618</v>
      </c>
      <c r="D65" s="136">
        <v>0.18494578758046187</v>
      </c>
      <c r="E65" s="136">
        <f t="shared" si="0"/>
        <v>-5.7896363837214304E-2</v>
      </c>
    </row>
    <row r="66" spans="2:5" hidden="1" outlineLevel="1" x14ac:dyDescent="0.25">
      <c r="B66" s="80">
        <v>1987</v>
      </c>
      <c r="C66" s="136">
        <v>-4.9605089379262279E-2</v>
      </c>
      <c r="D66" s="136">
        <v>5.8127216418218712E-2</v>
      </c>
      <c r="E66" s="136">
        <f t="shared" si="0"/>
        <v>0.107732305797481</v>
      </c>
    </row>
    <row r="67" spans="2:5" hidden="1" outlineLevel="1" x14ac:dyDescent="0.25">
      <c r="B67" s="80">
        <v>1988</v>
      </c>
      <c r="C67" s="136">
        <v>8.2235958434841674E-2</v>
      </c>
      <c r="D67" s="136">
        <v>0.16537192812044688</v>
      </c>
      <c r="E67" s="136">
        <f t="shared" si="0"/>
        <v>8.3135969685605202E-2</v>
      </c>
    </row>
    <row r="68" spans="2:5" hidden="1" outlineLevel="1" x14ac:dyDescent="0.25">
      <c r="B68" s="80">
        <v>1989</v>
      </c>
      <c r="C68" s="136">
        <v>0.17693647159446219</v>
      </c>
      <c r="D68" s="136">
        <v>0.31475183638196724</v>
      </c>
      <c r="E68" s="136">
        <f t="shared" si="0"/>
        <v>0.13781536478750506</v>
      </c>
    </row>
    <row r="69" spans="2:5" hidden="1" outlineLevel="1" x14ac:dyDescent="0.25">
      <c r="B69" s="80">
        <v>1990</v>
      </c>
      <c r="C69" s="136">
        <v>6.2353753335533363E-2</v>
      </c>
      <c r="D69" s="136">
        <v>-3.0644516129032118E-2</v>
      </c>
      <c r="E69" s="136">
        <f t="shared" si="0"/>
        <v>-9.2998269464565478E-2</v>
      </c>
    </row>
    <row r="70" spans="2:5" hidden="1" outlineLevel="1" x14ac:dyDescent="0.25">
      <c r="B70" s="80">
        <v>1991</v>
      </c>
      <c r="C70" s="136">
        <v>0.15004510019517303</v>
      </c>
      <c r="D70" s="136">
        <v>0.30234843134879757</v>
      </c>
      <c r="E70" s="136">
        <f t="shared" si="0"/>
        <v>0.15230333115362454</v>
      </c>
    </row>
    <row r="71" spans="2:5" hidden="1" outlineLevel="1" x14ac:dyDescent="0.25">
      <c r="B71" s="80">
        <v>1992</v>
      </c>
      <c r="C71" s="136">
        <v>9.3616373162079422E-2</v>
      </c>
      <c r="D71" s="136">
        <v>7.493727972380064E-2</v>
      </c>
      <c r="E71" s="136">
        <f t="shared" si="0"/>
        <v>-1.8679093438278782E-2</v>
      </c>
    </row>
    <row r="72" spans="2:5" hidden="1" outlineLevel="1" x14ac:dyDescent="0.25">
      <c r="B72" s="80">
        <v>1993</v>
      </c>
      <c r="C72" s="136">
        <v>0.14210957589263107</v>
      </c>
      <c r="D72" s="136">
        <v>9.96705147919488E-2</v>
      </c>
      <c r="E72" s="136">
        <f t="shared" ref="E72:E103" si="1">+D72-C72</f>
        <v>-4.2439061100682268E-2</v>
      </c>
    </row>
    <row r="73" spans="2:5" hidden="1" outlineLevel="1" x14ac:dyDescent="0.25">
      <c r="B73" s="80">
        <v>1994</v>
      </c>
      <c r="C73" s="136">
        <v>-8.0366555509985921E-2</v>
      </c>
      <c r="D73" s="136">
        <v>1.3259206774573897E-2</v>
      </c>
      <c r="E73" s="136">
        <f t="shared" si="1"/>
        <v>9.3625762284559821E-2</v>
      </c>
    </row>
    <row r="74" spans="2:5" hidden="1" outlineLevel="1" x14ac:dyDescent="0.25">
      <c r="B74" s="80">
        <v>1995</v>
      </c>
      <c r="C74" s="136">
        <v>0.23480780112538907</v>
      </c>
      <c r="D74" s="136">
        <v>0.37195198902606308</v>
      </c>
      <c r="E74" s="136">
        <f t="shared" si="1"/>
        <v>0.13714418790067401</v>
      </c>
    </row>
    <row r="75" spans="2:5" hidden="1" outlineLevel="1" x14ac:dyDescent="0.25">
      <c r="B75" s="80">
        <v>1996</v>
      </c>
      <c r="C75" s="136">
        <v>1.428607793401844E-2</v>
      </c>
      <c r="D75" s="136">
        <v>0.22680966018865789</v>
      </c>
      <c r="E75" s="136">
        <f t="shared" si="1"/>
        <v>0.21252358225463946</v>
      </c>
    </row>
    <row r="76" spans="2:5" hidden="1" outlineLevel="1" x14ac:dyDescent="0.25">
      <c r="B76" s="80">
        <v>1997</v>
      </c>
      <c r="C76" s="136">
        <v>9.939130272977531E-2</v>
      </c>
      <c r="D76" s="136">
        <v>0.33103653103653097</v>
      </c>
      <c r="E76" s="136">
        <f t="shared" si="1"/>
        <v>0.23164522830675566</v>
      </c>
    </row>
    <row r="77" spans="2:5" hidden="1" outlineLevel="1" x14ac:dyDescent="0.25">
      <c r="B77" s="80">
        <v>1998</v>
      </c>
      <c r="C77" s="136">
        <v>0.14921431922606215</v>
      </c>
      <c r="D77" s="136">
        <v>0.28337953278443584</v>
      </c>
      <c r="E77" s="136">
        <f t="shared" si="1"/>
        <v>0.13416521355837369</v>
      </c>
    </row>
    <row r="78" spans="2:5" hidden="1" outlineLevel="1" x14ac:dyDescent="0.25">
      <c r="B78" s="80">
        <v>1999</v>
      </c>
      <c r="C78" s="136">
        <v>-8.2542147962685761E-2</v>
      </c>
      <c r="D78" s="136">
        <v>0.20885350992084475</v>
      </c>
      <c r="E78" s="136">
        <f t="shared" si="1"/>
        <v>0.2913956578835305</v>
      </c>
    </row>
    <row r="79" spans="2:5" hidden="1" outlineLevel="1" x14ac:dyDescent="0.25">
      <c r="B79" s="80">
        <v>2000</v>
      </c>
      <c r="C79" s="136">
        <v>0.16655267125397488</v>
      </c>
      <c r="D79" s="136">
        <v>-9.0318189552492781E-2</v>
      </c>
      <c r="E79" s="136">
        <f t="shared" si="1"/>
        <v>-0.25687086080646765</v>
      </c>
    </row>
    <row r="80" spans="2:5" hidden="1" outlineLevel="1" x14ac:dyDescent="0.25">
      <c r="B80" s="80">
        <v>2001</v>
      </c>
      <c r="C80" s="136">
        <v>5.5721811892492555E-2</v>
      </c>
      <c r="D80" s="136">
        <v>-0.11849759142000185</v>
      </c>
      <c r="E80" s="136">
        <f t="shared" si="1"/>
        <v>-0.17421940331249441</v>
      </c>
    </row>
    <row r="81" spans="2:5" hidden="1" outlineLevel="1" x14ac:dyDescent="0.25">
      <c r="B81" s="80">
        <v>2002</v>
      </c>
      <c r="C81" s="136">
        <v>0.15116400378109285</v>
      </c>
      <c r="D81" s="136">
        <v>-0.21966047957912699</v>
      </c>
      <c r="E81" s="136">
        <f t="shared" si="1"/>
        <v>-0.37082448336021984</v>
      </c>
    </row>
    <row r="82" spans="2:5" hidden="1" outlineLevel="1" x14ac:dyDescent="0.25">
      <c r="B82" s="80">
        <v>2003</v>
      </c>
      <c r="C82" s="136">
        <v>3.7531858817758529E-3</v>
      </c>
      <c r="D82" s="136">
        <v>0.28355800050010233</v>
      </c>
      <c r="E82" s="136">
        <f t="shared" si="1"/>
        <v>0.27980481461832646</v>
      </c>
    </row>
    <row r="83" spans="2:5" hidden="1" outlineLevel="1" x14ac:dyDescent="0.25">
      <c r="B83" s="80">
        <v>2004</v>
      </c>
      <c r="C83" s="136">
        <v>4.490683702274547E-2</v>
      </c>
      <c r="D83" s="136">
        <v>0.10742775944096193</v>
      </c>
      <c r="E83" s="136">
        <f t="shared" si="1"/>
        <v>6.2520922418216468E-2</v>
      </c>
    </row>
    <row r="84" spans="2:5" hidden="1" outlineLevel="1" x14ac:dyDescent="0.25">
      <c r="B84" s="80">
        <v>2005</v>
      </c>
      <c r="C84" s="136">
        <v>2.8675329597779506E-2</v>
      </c>
      <c r="D84" s="136">
        <v>4.8344775232688535E-2</v>
      </c>
      <c r="E84" s="136">
        <f t="shared" si="1"/>
        <v>1.9669445634909029E-2</v>
      </c>
    </row>
    <row r="85" spans="2:5" hidden="1" outlineLevel="1" x14ac:dyDescent="0.25">
      <c r="B85" s="80">
        <v>2006</v>
      </c>
      <c r="C85" s="136">
        <v>1.9610012417568386E-2</v>
      </c>
      <c r="D85" s="136">
        <v>0.15612557979315703</v>
      </c>
      <c r="E85" s="136">
        <f t="shared" si="1"/>
        <v>0.13651556737558865</v>
      </c>
    </row>
    <row r="86" spans="2:5" hidden="1" outlineLevel="1" x14ac:dyDescent="0.25">
      <c r="B86" s="80">
        <v>2007</v>
      </c>
      <c r="C86" s="136">
        <v>0.10209921930012807</v>
      </c>
      <c r="D86" s="136">
        <v>5.4847352464217694E-2</v>
      </c>
      <c r="E86" s="136">
        <f t="shared" si="1"/>
        <v>-4.7251866835910372E-2</v>
      </c>
    </row>
    <row r="87" spans="2:5" hidden="1" outlineLevel="1" x14ac:dyDescent="0.25">
      <c r="B87" s="80">
        <v>2008</v>
      </c>
      <c r="C87" s="136">
        <v>0.20101279926977011</v>
      </c>
      <c r="D87" s="136">
        <v>-0.36552344111798191</v>
      </c>
      <c r="E87" s="136">
        <f t="shared" si="1"/>
        <v>-0.56653624038775208</v>
      </c>
    </row>
    <row r="88" spans="2:5" hidden="1" outlineLevel="1" x14ac:dyDescent="0.25">
      <c r="B88" s="80">
        <v>2009</v>
      </c>
      <c r="C88" s="136">
        <v>-0.11116695313259162</v>
      </c>
      <c r="D88" s="136">
        <v>0.25935233877663982</v>
      </c>
      <c r="E88" s="136">
        <f t="shared" si="1"/>
        <v>0.37051929190923144</v>
      </c>
    </row>
    <row r="89" spans="2:5" hidden="1" outlineLevel="1" x14ac:dyDescent="0.25">
      <c r="B89" s="80">
        <v>2010</v>
      </c>
      <c r="C89" s="136">
        <v>8.4629338803557719E-2</v>
      </c>
      <c r="D89" s="136">
        <v>0.14821092278719414</v>
      </c>
      <c r="E89" s="136">
        <f t="shared" si="1"/>
        <v>6.3581583983636419E-2</v>
      </c>
    </row>
    <row r="90" spans="2:5" hidden="1" outlineLevel="1" x14ac:dyDescent="0.25">
      <c r="B90" s="80">
        <v>2011</v>
      </c>
      <c r="C90" s="136">
        <v>0.16035334999461354</v>
      </c>
      <c r="D90" s="136">
        <v>2.09837473362805E-2</v>
      </c>
      <c r="E90" s="136">
        <f t="shared" si="1"/>
        <v>-0.13936960265833304</v>
      </c>
    </row>
    <row r="91" spans="2:5" hidden="1" outlineLevel="1" x14ac:dyDescent="0.25">
      <c r="B91" s="80">
        <v>2012</v>
      </c>
      <c r="C91" s="136">
        <v>2.971571978018946E-2</v>
      </c>
      <c r="D91" s="136">
        <v>0.15890585241730293</v>
      </c>
      <c r="E91" s="136">
        <f t="shared" si="1"/>
        <v>0.12919013263711346</v>
      </c>
    </row>
    <row r="92" spans="2:5" hidden="1" outlineLevel="1" x14ac:dyDescent="0.25">
      <c r="B92" s="80">
        <v>2013</v>
      </c>
      <c r="C92" s="136">
        <v>-9.104568794347262E-2</v>
      </c>
      <c r="D92" s="136">
        <v>0.32145085858125483</v>
      </c>
      <c r="E92" s="136">
        <f t="shared" si="1"/>
        <v>0.41249654652472745</v>
      </c>
    </row>
    <row r="93" spans="2:5" hidden="1" outlineLevel="1" x14ac:dyDescent="0.25">
      <c r="B93" s="80">
        <v>2014</v>
      </c>
      <c r="C93" s="136">
        <v>0.10746180452004755</v>
      </c>
      <c r="D93" s="136">
        <v>0.13524421649462237</v>
      </c>
      <c r="E93" s="136">
        <f t="shared" si="1"/>
        <v>2.7782411974574817E-2</v>
      </c>
    </row>
    <row r="94" spans="2:5" hidden="1" outlineLevel="1" x14ac:dyDescent="0.25">
      <c r="B94" s="80">
        <v>2015</v>
      </c>
      <c r="C94" s="136">
        <v>1.2842996709792224E-2</v>
      </c>
      <c r="D94" s="136">
        <v>1.3788916411676138E-2</v>
      </c>
      <c r="E94" s="136">
        <f t="shared" si="1"/>
        <v>9.4591970188391376E-4</v>
      </c>
    </row>
    <row r="95" spans="2:5" hidden="1" outlineLevel="1" x14ac:dyDescent="0.25">
      <c r="B95" s="80">
        <v>2016</v>
      </c>
      <c r="C95" s="136">
        <v>6.9055046987477921E-3</v>
      </c>
      <c r="D95" s="136">
        <v>0.11773080874798171</v>
      </c>
      <c r="E95" s="136">
        <f t="shared" si="1"/>
        <v>0.11082530404923392</v>
      </c>
    </row>
    <row r="96" spans="2:5" hidden="1" outlineLevel="1" x14ac:dyDescent="0.25">
      <c r="B96" s="80">
        <v>2017</v>
      </c>
      <c r="C96" s="136">
        <v>2.8017162707789457E-2</v>
      </c>
      <c r="D96" s="136">
        <v>0.2160548143449928</v>
      </c>
      <c r="E96" s="136">
        <f t="shared" si="1"/>
        <v>0.18803765163720335</v>
      </c>
    </row>
    <row r="97" spans="2:5" hidden="1" outlineLevel="1" x14ac:dyDescent="0.25">
      <c r="B97" s="80">
        <v>2018</v>
      </c>
      <c r="C97" s="136">
        <v>-1.6692385713402633E-4</v>
      </c>
      <c r="D97" s="136">
        <v>-4.2268692890885438E-2</v>
      </c>
      <c r="E97" s="136">
        <f t="shared" si="1"/>
        <v>-4.2101769033751416E-2</v>
      </c>
    </row>
    <row r="98" spans="2:5" hidden="1" outlineLevel="1" x14ac:dyDescent="0.25">
      <c r="B98" s="80">
        <v>2019</v>
      </c>
      <c r="C98" s="136">
        <v>9.6356307415483927E-2</v>
      </c>
      <c r="D98" s="136">
        <v>0.31211679996808755</v>
      </c>
      <c r="E98" s="136">
        <f t="shared" si="1"/>
        <v>0.21576049255260363</v>
      </c>
    </row>
    <row r="99" spans="2:5" hidden="1" outlineLevel="1" x14ac:dyDescent="0.25">
      <c r="B99" s="80">
        <v>2020</v>
      </c>
      <c r="C99" s="136">
        <v>0.1133189764661412</v>
      </c>
      <c r="D99" s="136">
        <v>0.18023201827422478</v>
      </c>
      <c r="E99" s="136">
        <f t="shared" si="1"/>
        <v>6.6913041808083579E-2</v>
      </c>
    </row>
    <row r="100" spans="2:5" hidden="1" outlineLevel="1" x14ac:dyDescent="0.25">
      <c r="B100" s="80">
        <v>2021</v>
      </c>
      <c r="C100" s="136">
        <v>-4.416034448604475E-2</v>
      </c>
      <c r="D100" s="136">
        <v>0.28468851751964158</v>
      </c>
      <c r="E100" s="136">
        <f t="shared" si="1"/>
        <v>0.3288488620056863</v>
      </c>
    </row>
    <row r="101" spans="2:5" hidden="1" outlineLevel="1" x14ac:dyDescent="0.25">
      <c r="B101" s="80">
        <v>2022</v>
      </c>
      <c r="C101" s="136">
        <v>-0.1782817153825067</v>
      </c>
      <c r="D101" s="136">
        <v>-0.18037505927178585</v>
      </c>
      <c r="E101" s="136">
        <f t="shared" si="1"/>
        <v>-2.0933438892791478E-3</v>
      </c>
    </row>
    <row r="102" spans="2:5" hidden="1" outlineLevel="1" x14ac:dyDescent="0.25">
      <c r="B102" s="80">
        <v>2023</v>
      </c>
      <c r="C102" s="136">
        <v>3.8800000000000001E-2</v>
      </c>
      <c r="D102" s="136">
        <v>0.26060684985024096</v>
      </c>
      <c r="E102" s="136">
        <f t="shared" si="1"/>
        <v>0.22180684985024096</v>
      </c>
    </row>
    <row r="103" spans="2:5" hidden="1" outlineLevel="1" x14ac:dyDescent="0.25">
      <c r="B103" s="80">
        <v>2024</v>
      </c>
      <c r="C103" s="136">
        <v>-1.6371801436629807E-2</v>
      </c>
      <c r="D103" s="136">
        <v>0.24878611262526726</v>
      </c>
      <c r="E103" s="136">
        <f t="shared" si="1"/>
        <v>0.26515791406189704</v>
      </c>
    </row>
    <row r="104" spans="2:5" collapsed="1" x14ac:dyDescent="0.25">
      <c r="B104" s="55" t="s">
        <v>511</v>
      </c>
      <c r="C104" s="137">
        <f>AVERAGE(C7:C103)</f>
        <v>4.7917109451754321E-2</v>
      </c>
      <c r="D104" s="137">
        <f>AVERAGE(D7:D103)</f>
        <v>0.11794145831193953</v>
      </c>
      <c r="E104" s="137">
        <f>AVERAGE(E7:E103)</f>
        <v>7.0024348860185173E-2</v>
      </c>
    </row>
    <row r="105" spans="2:5" x14ac:dyDescent="0.25">
      <c r="B105" s="138" t="s">
        <v>512</v>
      </c>
      <c r="C105" s="68"/>
      <c r="D105" s="68"/>
      <c r="E105" s="139"/>
    </row>
    <row r="106" spans="2:5" x14ac:dyDescent="0.25">
      <c r="B106" s="68"/>
      <c r="C106" s="68"/>
      <c r="D106" s="68"/>
      <c r="E106" s="139"/>
    </row>
    <row r="107" spans="2:5" x14ac:dyDescent="0.25">
      <c r="B107" s="134" t="s">
        <v>513</v>
      </c>
      <c r="C107" s="68"/>
      <c r="D107" s="68"/>
      <c r="E107" s="139"/>
    </row>
    <row r="108" spans="2:5" x14ac:dyDescent="0.25">
      <c r="B108" s="140" t="s">
        <v>514</v>
      </c>
      <c r="C108" s="140" t="s">
        <v>515</v>
      </c>
      <c r="D108" s="139"/>
      <c r="E108" s="139"/>
    </row>
    <row r="109" spans="2:5" hidden="1" outlineLevel="1" x14ac:dyDescent="0.25">
      <c r="B109" s="141">
        <v>44927</v>
      </c>
      <c r="C109" s="142">
        <v>207.04545454545499</v>
      </c>
      <c r="D109" s="139"/>
      <c r="E109" s="139"/>
    </row>
    <row r="110" spans="2:5" hidden="1" outlineLevel="1" x14ac:dyDescent="0.25">
      <c r="B110" s="141">
        <v>44958</v>
      </c>
      <c r="C110" s="142">
        <v>192.3</v>
      </c>
      <c r="D110" s="139"/>
      <c r="E110" s="139"/>
    </row>
    <row r="111" spans="2:5" hidden="1" outlineLevel="1" x14ac:dyDescent="0.25">
      <c r="B111" s="141">
        <v>44986</v>
      </c>
      <c r="C111" s="142">
        <v>203.826086956522</v>
      </c>
      <c r="D111" s="139"/>
      <c r="E111" s="139"/>
    </row>
    <row r="112" spans="2:5" hidden="1" outlineLevel="1" x14ac:dyDescent="0.25">
      <c r="B112" s="141">
        <v>45017</v>
      </c>
      <c r="C112" s="142">
        <v>201.9</v>
      </c>
      <c r="D112" s="139"/>
      <c r="E112" s="139"/>
    </row>
    <row r="113" spans="2:5" hidden="1" outlineLevel="1" x14ac:dyDescent="0.25">
      <c r="B113" s="141">
        <v>45047</v>
      </c>
      <c r="C113" s="142">
        <v>197.39130434782601</v>
      </c>
      <c r="D113" s="139"/>
      <c r="E113" s="139"/>
    </row>
    <row r="114" spans="2:5" hidden="1" outlineLevel="1" x14ac:dyDescent="0.25">
      <c r="B114" s="141">
        <v>45078</v>
      </c>
      <c r="C114" s="142">
        <v>181.09090909090901</v>
      </c>
      <c r="D114" s="139"/>
      <c r="E114" s="139"/>
    </row>
    <row r="115" spans="2:5" hidden="1" outlineLevel="1" x14ac:dyDescent="0.25">
      <c r="B115" s="141">
        <v>45108</v>
      </c>
      <c r="C115" s="142">
        <v>168.90476190476201</v>
      </c>
      <c r="D115" s="139"/>
      <c r="E115" s="139"/>
    </row>
    <row r="116" spans="2:5" hidden="1" outlineLevel="1" x14ac:dyDescent="0.25">
      <c r="B116" s="141">
        <v>45139</v>
      </c>
      <c r="C116" s="142">
        <v>167.227272727273</v>
      </c>
      <c r="D116" s="139"/>
      <c r="E116" s="139"/>
    </row>
    <row r="117" spans="2:5" hidden="1" outlineLevel="1" x14ac:dyDescent="0.25">
      <c r="B117" s="141">
        <v>45170</v>
      </c>
      <c r="C117" s="142">
        <v>169.09523809523799</v>
      </c>
      <c r="D117" s="139"/>
      <c r="E117" s="139"/>
    </row>
    <row r="118" spans="2:5" hidden="1" outlineLevel="1" x14ac:dyDescent="0.25">
      <c r="B118" s="141">
        <v>45200</v>
      </c>
      <c r="C118" s="142">
        <v>179.95454545454501</v>
      </c>
      <c r="D118" s="139"/>
      <c r="E118" s="139"/>
    </row>
    <row r="119" spans="2:5" hidden="1" outlineLevel="1" x14ac:dyDescent="0.25">
      <c r="B119" s="141">
        <v>45231</v>
      </c>
      <c r="C119" s="142">
        <v>175.18181818181799</v>
      </c>
      <c r="D119" s="139"/>
      <c r="E119" s="139"/>
    </row>
    <row r="120" spans="2:5" hidden="1" outlineLevel="1" x14ac:dyDescent="0.25">
      <c r="B120" s="141">
        <v>45261</v>
      </c>
      <c r="C120" s="142">
        <v>162.42857142857099</v>
      </c>
      <c r="D120" s="139"/>
      <c r="E120" s="139"/>
    </row>
    <row r="121" spans="2:5" hidden="1" outlineLevel="1" x14ac:dyDescent="0.25">
      <c r="B121" s="141">
        <v>45292</v>
      </c>
      <c r="C121" s="142">
        <v>170.434782608696</v>
      </c>
      <c r="D121" s="139"/>
      <c r="E121" s="139"/>
    </row>
    <row r="122" spans="2:5" hidden="1" outlineLevel="1" x14ac:dyDescent="0.25">
      <c r="B122" s="141">
        <v>45323</v>
      </c>
      <c r="C122" s="142">
        <v>160.28571428571399</v>
      </c>
      <c r="D122" s="139"/>
      <c r="E122" s="139"/>
    </row>
    <row r="123" spans="2:5" hidden="1" outlineLevel="1" x14ac:dyDescent="0.25">
      <c r="B123" s="141">
        <v>45352</v>
      </c>
      <c r="C123" s="142">
        <v>152.666666666667</v>
      </c>
      <c r="D123" s="139"/>
      <c r="E123" s="139"/>
    </row>
    <row r="124" spans="2:5" hidden="1" outlineLevel="1" x14ac:dyDescent="0.25">
      <c r="B124" s="141">
        <v>45383</v>
      </c>
      <c r="C124" s="142">
        <v>153.772727272727</v>
      </c>
      <c r="D124" s="139"/>
      <c r="E124" s="139"/>
    </row>
    <row r="125" spans="2:5" hidden="1" outlineLevel="1" x14ac:dyDescent="0.25">
      <c r="B125" s="141">
        <v>45413</v>
      </c>
      <c r="C125" s="142">
        <v>155.826086956522</v>
      </c>
      <c r="D125" s="139"/>
      <c r="E125" s="139"/>
    </row>
    <row r="126" spans="2:5" hidden="1" outlineLevel="1" x14ac:dyDescent="0.25">
      <c r="B126" s="141">
        <v>45444</v>
      </c>
      <c r="C126" s="142">
        <v>160.9</v>
      </c>
      <c r="D126" s="139"/>
      <c r="E126" s="139"/>
    </row>
    <row r="127" spans="2:5" hidden="1" outlineLevel="1" x14ac:dyDescent="0.25">
      <c r="B127" s="141">
        <v>45474</v>
      </c>
      <c r="C127" s="142">
        <v>158.695652173913</v>
      </c>
      <c r="D127" s="139"/>
      <c r="E127" s="139"/>
    </row>
    <row r="128" spans="2:5" hidden="1" outlineLevel="1" x14ac:dyDescent="0.25">
      <c r="B128" s="141">
        <v>45505</v>
      </c>
      <c r="C128" s="142">
        <v>169.5</v>
      </c>
      <c r="D128" s="139"/>
      <c r="E128" s="139"/>
    </row>
    <row r="129" spans="2:18" hidden="1" outlineLevel="1" x14ac:dyDescent="0.25">
      <c r="B129" s="141">
        <v>45536</v>
      </c>
      <c r="C129" s="142">
        <v>162.57894736842101</v>
      </c>
      <c r="D129" s="139"/>
      <c r="E129" s="139"/>
    </row>
    <row r="130" spans="2:18" hidden="1" outlineLevel="1" x14ac:dyDescent="0.25">
      <c r="B130" s="141">
        <v>45566</v>
      </c>
      <c r="C130" s="142">
        <v>153.68</v>
      </c>
      <c r="D130" s="139"/>
      <c r="E130" s="139"/>
    </row>
    <row r="131" spans="2:18" hidden="1" outlineLevel="1" x14ac:dyDescent="0.25">
      <c r="B131" s="141">
        <v>45597</v>
      </c>
      <c r="C131" s="142">
        <v>155.26315789473699</v>
      </c>
      <c r="D131" s="139"/>
      <c r="E131" s="139"/>
    </row>
    <row r="132" spans="2:18" hidden="1" outlineLevel="1" x14ac:dyDescent="0.25">
      <c r="B132" s="141">
        <v>45627</v>
      </c>
      <c r="C132" s="142">
        <v>154.38095238095201</v>
      </c>
      <c r="D132" s="139"/>
      <c r="E132" s="139"/>
    </row>
    <row r="133" spans="2:18" collapsed="1" x14ac:dyDescent="0.25">
      <c r="B133" s="55" t="s">
        <v>516</v>
      </c>
      <c r="C133" s="143">
        <f>AVERAGE(C109:C132)</f>
        <v>171.43044376421949</v>
      </c>
      <c r="D133" s="139"/>
      <c r="E133" s="139"/>
    </row>
    <row r="134" spans="2:18" x14ac:dyDescent="0.25">
      <c r="B134" s="138" t="s">
        <v>517</v>
      </c>
      <c r="C134" s="139"/>
      <c r="D134" s="139"/>
      <c r="E134" s="139"/>
    </row>
    <row r="135" spans="2:18" x14ac:dyDescent="0.25">
      <c r="B135" s="133"/>
      <c r="K135" s="139"/>
      <c r="L135" s="139"/>
      <c r="M135" s="139"/>
      <c r="N135" s="139"/>
      <c r="O135" s="139"/>
      <c r="P135" s="139"/>
      <c r="Q135" s="139"/>
      <c r="R135" s="139"/>
    </row>
    <row r="137" spans="2:18" x14ac:dyDescent="0.25">
      <c r="B137" s="134" t="s">
        <v>631</v>
      </c>
    </row>
    <row r="138" spans="2:18" x14ac:dyDescent="0.25">
      <c r="B138" s="140" t="s">
        <v>343</v>
      </c>
      <c r="C138" s="288">
        <v>2024</v>
      </c>
      <c r="D138" s="289">
        <v>2025</v>
      </c>
      <c r="E138" s="140">
        <v>2026</v>
      </c>
      <c r="F138" s="140">
        <v>2027</v>
      </c>
      <c r="G138" s="140">
        <v>2028</v>
      </c>
      <c r="H138" s="140">
        <v>2029</v>
      </c>
      <c r="I138" s="140" t="s">
        <v>632</v>
      </c>
    </row>
    <row r="139" spans="2:18" x14ac:dyDescent="0.25">
      <c r="B139" s="290" t="s">
        <v>633</v>
      </c>
      <c r="C139" s="291">
        <v>313.68883333333332</v>
      </c>
      <c r="D139" s="292">
        <v>319.61599999999999</v>
      </c>
      <c r="E139" s="293">
        <v>326.17599999999999</v>
      </c>
      <c r="F139" s="293">
        <v>333.04</v>
      </c>
      <c r="G139" s="293">
        <v>340.11099999999999</v>
      </c>
      <c r="H139" s="293">
        <v>347.399</v>
      </c>
      <c r="I139" s="293"/>
    </row>
    <row r="140" spans="2:18" x14ac:dyDescent="0.25">
      <c r="B140" s="294" t="s">
        <v>634</v>
      </c>
      <c r="C140" s="295"/>
      <c r="D140" s="296">
        <f>+D139/C139-1</f>
        <v>1.8895051518675876E-2</v>
      </c>
      <c r="E140" s="297">
        <f>+E139/D139-1</f>
        <v>2.0524629555466634E-2</v>
      </c>
      <c r="F140" s="297">
        <f t="shared" ref="F140:H140" si="2">+F139/E139-1</f>
        <v>2.1043853625036801E-2</v>
      </c>
      <c r="G140" s="297">
        <f t="shared" si="2"/>
        <v>2.1231683881815844E-2</v>
      </c>
      <c r="H140" s="297">
        <f t="shared" si="2"/>
        <v>2.1428298408460833E-2</v>
      </c>
      <c r="I140" s="297">
        <f>+H140</f>
        <v>2.1428298408460833E-2</v>
      </c>
    </row>
    <row r="141" spans="2:18" ht="25.2" customHeight="1" x14ac:dyDescent="0.25">
      <c r="B141" s="334" t="s">
        <v>635</v>
      </c>
      <c r="C141" s="334"/>
      <c r="D141" s="334"/>
      <c r="E141" s="334"/>
      <c r="F141" s="334"/>
      <c r="G141" s="334"/>
      <c r="H141" s="334"/>
      <c r="I141" s="334"/>
      <c r="J141" s="334"/>
      <c r="K141" s="334"/>
    </row>
    <row r="142" spans="2:18" x14ac:dyDescent="0.25">
      <c r="B142" s="138" t="s">
        <v>636</v>
      </c>
    </row>
    <row r="145" spans="2:11" x14ac:dyDescent="0.25">
      <c r="B145" s="134" t="s">
        <v>645</v>
      </c>
    </row>
    <row r="146" spans="2:11" x14ac:dyDescent="0.25">
      <c r="B146" s="307" t="s">
        <v>643</v>
      </c>
      <c r="C146" s="308">
        <v>310.32600000000002</v>
      </c>
    </row>
    <row r="147" spans="2:11" x14ac:dyDescent="0.25">
      <c r="B147" s="305" t="s">
        <v>644</v>
      </c>
      <c r="C147" s="131">
        <v>319.08199999999999</v>
      </c>
    </row>
    <row r="148" spans="2:11" x14ac:dyDescent="0.25">
      <c r="B148" s="140" t="s">
        <v>642</v>
      </c>
      <c r="C148" s="306">
        <f>+C147/C146-1</f>
        <v>2.8215489517475101E-2</v>
      </c>
    </row>
    <row r="149" spans="2:11" x14ac:dyDescent="0.25">
      <c r="B149" s="334" t="s">
        <v>646</v>
      </c>
      <c r="C149" s="334"/>
      <c r="D149" s="334"/>
      <c r="E149" s="334"/>
      <c r="F149" s="334"/>
      <c r="G149" s="334"/>
      <c r="H149" s="334"/>
      <c r="I149" s="334"/>
      <c r="J149" s="334"/>
      <c r="K149" s="334"/>
    </row>
  </sheetData>
  <mergeCells count="2">
    <mergeCell ref="B141:K141"/>
    <mergeCell ref="B149:K149"/>
  </mergeCells>
  <hyperlinks>
    <hyperlink ref="L1" location="Índice!A1" display="ÍNDICE" xr:uid="{48C2F7DC-A96F-45F9-98C9-25D2D02D4112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FAC17-1F97-467F-977F-5A7298B7F895}">
  <sheetPr codeName="Hoja19"/>
  <dimension ref="B1:F5"/>
  <sheetViews>
    <sheetView showGridLines="0" workbookViewId="0">
      <selection activeCell="E8" sqref="E8"/>
    </sheetView>
  </sheetViews>
  <sheetFormatPr baseColWidth="10" defaultColWidth="11.5546875" defaultRowHeight="13.2" x14ac:dyDescent="0.25"/>
  <cols>
    <col min="1" max="1" width="2.6640625" style="1" customWidth="1"/>
    <col min="2" max="2" width="15.33203125" style="1" customWidth="1"/>
    <col min="3" max="6" width="19.33203125" style="1" customWidth="1"/>
    <col min="7" max="7" width="2.6640625" style="1" customWidth="1"/>
    <col min="8" max="16384" width="11.5546875" style="1"/>
  </cols>
  <sheetData>
    <row r="1" spans="2:6" ht="16.2" thickBot="1" x14ac:dyDescent="0.35">
      <c r="B1" s="130" t="s">
        <v>578</v>
      </c>
      <c r="F1" s="39" t="s">
        <v>389</v>
      </c>
    </row>
    <row r="2" spans="2:6" ht="5.0999999999999996" customHeight="1" x14ac:dyDescent="0.25"/>
    <row r="3" spans="2:6" ht="26.4" x14ac:dyDescent="0.25">
      <c r="B3" s="40" t="s">
        <v>541</v>
      </c>
      <c r="C3" s="41" t="s">
        <v>196</v>
      </c>
      <c r="D3" s="40" t="s">
        <v>197</v>
      </c>
      <c r="E3" s="42" t="s">
        <v>198</v>
      </c>
      <c r="F3" s="41" t="s">
        <v>531</v>
      </c>
    </row>
    <row r="4" spans="2:6" x14ac:dyDescent="0.25">
      <c r="B4" s="1" t="s">
        <v>194</v>
      </c>
      <c r="C4" s="172">
        <v>2017</v>
      </c>
      <c r="D4" s="11">
        <f>+'3.2.1 CAPEX-Comunes'!C151</f>
        <v>10761.054533458173</v>
      </c>
      <c r="E4" s="173">
        <v>256460.99</v>
      </c>
      <c r="F4" s="171">
        <f>+SUM(C4:D4)/E4</f>
        <v>4.9824554344339751E-2</v>
      </c>
    </row>
    <row r="5" spans="2:6" x14ac:dyDescent="0.25">
      <c r="B5" s="150" t="s">
        <v>195</v>
      </c>
      <c r="C5" s="174">
        <v>515</v>
      </c>
      <c r="D5" s="175">
        <f>+'3.2.1 CAPEX-Comunes'!D151</f>
        <v>1935.2985108752114</v>
      </c>
      <c r="E5" s="176">
        <f>+E4</f>
        <v>256460.99</v>
      </c>
      <c r="F5" s="177">
        <f>+SUM(C5:D5)/E5</f>
        <v>9.5542737742500775E-3</v>
      </c>
    </row>
  </sheetData>
  <hyperlinks>
    <hyperlink ref="F1" location="Índice!A1" display="ÍNDICE" xr:uid="{59AC7E2E-BD44-4CF7-99A6-E308FCF90E5C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1B2C4-2CC3-4B0B-8830-E1367F7A4DD5}">
  <sheetPr codeName="Hoja9"/>
  <dimension ref="B1:F160"/>
  <sheetViews>
    <sheetView showGridLines="0" workbookViewId="0">
      <pane ySplit="3" topLeftCell="A4" activePane="bottomLeft" state="frozen"/>
      <selection pane="bottomLeft" activeCell="D4" sqref="D4"/>
    </sheetView>
  </sheetViews>
  <sheetFormatPr baseColWidth="10" defaultColWidth="11.5546875" defaultRowHeight="13.2" x14ac:dyDescent="0.25"/>
  <cols>
    <col min="1" max="1" width="2.6640625" style="1" customWidth="1"/>
    <col min="2" max="2" width="12.109375" style="1" bestFit="1" customWidth="1"/>
    <col min="3" max="3" width="40.44140625" style="1" customWidth="1"/>
    <col min="4" max="4" width="11.6640625" style="1" bestFit="1" customWidth="1"/>
    <col min="5" max="5" width="8.21875" style="1" bestFit="1" customWidth="1"/>
    <col min="6" max="16384" width="11.5546875" style="1"/>
  </cols>
  <sheetData>
    <row r="1" spans="2:6" ht="16.2" thickBot="1" x14ac:dyDescent="0.35">
      <c r="B1" s="130" t="s">
        <v>530</v>
      </c>
      <c r="D1" s="39" t="s">
        <v>389</v>
      </c>
    </row>
    <row r="2" spans="2:6" ht="5.0999999999999996" customHeight="1" x14ac:dyDescent="0.25"/>
    <row r="3" spans="2:6" ht="21.75" customHeight="1" x14ac:dyDescent="0.25">
      <c r="B3" s="53" t="s">
        <v>9</v>
      </c>
      <c r="C3" s="53" t="s">
        <v>178</v>
      </c>
      <c r="D3" s="53" t="s">
        <v>179</v>
      </c>
    </row>
    <row r="4" spans="2:6" x14ac:dyDescent="0.25">
      <c r="B4" s="10">
        <v>6211000001</v>
      </c>
      <c r="C4" s="10" t="s">
        <v>15</v>
      </c>
      <c r="D4" s="58">
        <v>0.39130162327539963</v>
      </c>
      <c r="E4" s="58"/>
      <c r="F4" s="58"/>
    </row>
    <row r="5" spans="2:6" x14ac:dyDescent="0.25">
      <c r="B5" s="10">
        <v>6212000001</v>
      </c>
      <c r="C5" s="10" t="s">
        <v>16</v>
      </c>
      <c r="D5" s="58">
        <v>0.39130162327539963</v>
      </c>
      <c r="E5" s="58"/>
      <c r="F5" s="58"/>
    </row>
    <row r="6" spans="2:6" x14ac:dyDescent="0.25">
      <c r="B6" s="10">
        <v>6213000001</v>
      </c>
      <c r="C6" s="10" t="s">
        <v>17</v>
      </c>
      <c r="D6" s="58">
        <v>0.39130162327539963</v>
      </c>
      <c r="E6" s="58"/>
      <c r="F6" s="58"/>
    </row>
    <row r="7" spans="2:6" x14ac:dyDescent="0.25">
      <c r="B7" s="10">
        <v>6214000001</v>
      </c>
      <c r="C7" s="10" t="s">
        <v>18</v>
      </c>
      <c r="D7" s="58">
        <v>0.39130162327539963</v>
      </c>
      <c r="E7" s="58"/>
      <c r="F7" s="58"/>
    </row>
    <row r="8" spans="2:6" x14ac:dyDescent="0.25">
      <c r="B8" s="10">
        <v>6221000001</v>
      </c>
      <c r="C8" s="10" t="s">
        <v>19</v>
      </c>
      <c r="D8" s="58">
        <v>0.39130162327539963</v>
      </c>
      <c r="E8" s="58"/>
      <c r="F8" s="58"/>
    </row>
    <row r="9" spans="2:6" x14ac:dyDescent="0.25">
      <c r="B9" s="10">
        <v>6231000001</v>
      </c>
      <c r="C9" s="10" t="s">
        <v>20</v>
      </c>
      <c r="D9" s="58">
        <v>0.39130162327539963</v>
      </c>
      <c r="E9" s="58"/>
      <c r="F9" s="58"/>
    </row>
    <row r="10" spans="2:6" x14ac:dyDescent="0.25">
      <c r="B10" s="10">
        <v>6240000001</v>
      </c>
      <c r="C10" s="10" t="s">
        <v>21</v>
      </c>
      <c r="D10" s="58">
        <v>0.39130162327539963</v>
      </c>
      <c r="E10" s="58"/>
      <c r="F10" s="58"/>
    </row>
    <row r="11" spans="2:6" x14ac:dyDescent="0.25">
      <c r="B11" s="10">
        <v>6250000001</v>
      </c>
      <c r="C11" s="10" t="s">
        <v>22</v>
      </c>
      <c r="D11" s="58">
        <v>0.39130162327539963</v>
      </c>
      <c r="E11" s="58"/>
      <c r="F11" s="58"/>
    </row>
    <row r="12" spans="2:6" x14ac:dyDescent="0.25">
      <c r="B12" s="10">
        <v>6250000003</v>
      </c>
      <c r="C12" s="10" t="s">
        <v>23</v>
      </c>
      <c r="D12" s="58">
        <v>0.39130162327539963</v>
      </c>
      <c r="E12" s="58"/>
      <c r="F12" s="58"/>
    </row>
    <row r="13" spans="2:6" x14ac:dyDescent="0.25">
      <c r="B13" s="10">
        <v>6250000004</v>
      </c>
      <c r="C13" s="10" t="s">
        <v>24</v>
      </c>
      <c r="D13" s="58">
        <v>0.39130162327539963</v>
      </c>
      <c r="E13" s="58"/>
      <c r="F13" s="58"/>
    </row>
    <row r="14" spans="2:6" x14ac:dyDescent="0.25">
      <c r="B14" s="10">
        <v>6250000005</v>
      </c>
      <c r="C14" s="10" t="s">
        <v>25</v>
      </c>
      <c r="D14" s="58">
        <v>0.39130162327539963</v>
      </c>
      <c r="E14" s="58"/>
      <c r="F14" s="58"/>
    </row>
    <row r="15" spans="2:6" x14ac:dyDescent="0.25">
      <c r="B15" s="10">
        <v>6250000006</v>
      </c>
      <c r="C15" s="10" t="s">
        <v>26</v>
      </c>
      <c r="D15" s="58">
        <v>0.39130162327539963</v>
      </c>
      <c r="E15" s="58"/>
      <c r="F15" s="58"/>
    </row>
    <row r="16" spans="2:6" x14ac:dyDescent="0.25">
      <c r="B16" s="10">
        <v>6250000007</v>
      </c>
      <c r="C16" s="10" t="s">
        <v>27</v>
      </c>
      <c r="D16" s="58">
        <v>0.39130162327539963</v>
      </c>
      <c r="E16" s="58"/>
      <c r="F16" s="58"/>
    </row>
    <row r="17" spans="2:6" x14ac:dyDescent="0.25">
      <c r="B17" s="10">
        <v>6250000008</v>
      </c>
      <c r="C17" s="10" t="s">
        <v>28</v>
      </c>
      <c r="D17" s="58">
        <v>0.39130162327539963</v>
      </c>
      <c r="E17" s="58"/>
      <c r="F17" s="58"/>
    </row>
    <row r="18" spans="2:6" x14ac:dyDescent="0.25">
      <c r="B18" s="10">
        <v>6250000009</v>
      </c>
      <c r="C18" s="10" t="s">
        <v>29</v>
      </c>
      <c r="D18" s="58">
        <v>0.39130162327539963</v>
      </c>
      <c r="E18" s="58"/>
      <c r="F18" s="58"/>
    </row>
    <row r="19" spans="2:6" x14ac:dyDescent="0.25">
      <c r="B19" s="10">
        <v>6270000001</v>
      </c>
      <c r="C19" s="10" t="s">
        <v>30</v>
      </c>
      <c r="D19" s="58">
        <v>0.39130162327539963</v>
      </c>
      <c r="E19" s="58"/>
      <c r="F19" s="58"/>
    </row>
    <row r="20" spans="2:6" x14ac:dyDescent="0.25">
      <c r="B20" s="10">
        <v>6270000002</v>
      </c>
      <c r="C20" s="10" t="s">
        <v>31</v>
      </c>
      <c r="D20" s="58">
        <v>0.39130162327539963</v>
      </c>
      <c r="E20" s="58"/>
      <c r="F20" s="58"/>
    </row>
    <row r="21" spans="2:6" x14ac:dyDescent="0.25">
      <c r="B21" s="10">
        <v>6270000003</v>
      </c>
      <c r="C21" s="10" t="s">
        <v>32</v>
      </c>
      <c r="D21" s="58">
        <v>0.39130162327539963</v>
      </c>
      <c r="E21" s="58"/>
      <c r="F21" s="58"/>
    </row>
    <row r="22" spans="2:6" x14ac:dyDescent="0.25">
      <c r="B22" s="10">
        <v>6270000004</v>
      </c>
      <c r="C22" s="10" t="s">
        <v>33</v>
      </c>
      <c r="D22" s="58">
        <v>0.39130162327539963</v>
      </c>
      <c r="E22" s="58"/>
      <c r="F22" s="58"/>
    </row>
    <row r="23" spans="2:6" x14ac:dyDescent="0.25">
      <c r="B23" s="10">
        <v>6270000005</v>
      </c>
      <c r="C23" s="10" t="s">
        <v>34</v>
      </c>
      <c r="D23" s="58">
        <v>0.39130162327539963</v>
      </c>
      <c r="E23" s="58"/>
      <c r="F23" s="58"/>
    </row>
    <row r="24" spans="2:6" x14ac:dyDescent="0.25">
      <c r="B24" s="10">
        <v>6270000006</v>
      </c>
      <c r="C24" s="10" t="s">
        <v>35</v>
      </c>
      <c r="D24" s="58">
        <v>0.39130162327539963</v>
      </c>
      <c r="E24" s="58"/>
      <c r="F24" s="58"/>
    </row>
    <row r="25" spans="2:6" x14ac:dyDescent="0.25">
      <c r="B25" s="10">
        <v>6270000007</v>
      </c>
      <c r="C25" s="10" t="s">
        <v>36</v>
      </c>
      <c r="D25" s="58">
        <v>0.39130162327539963</v>
      </c>
      <c r="E25" s="58"/>
      <c r="F25" s="58"/>
    </row>
    <row r="26" spans="2:6" x14ac:dyDescent="0.25">
      <c r="B26" s="10">
        <v>6290000001</v>
      </c>
      <c r="C26" s="10" t="s">
        <v>37</v>
      </c>
      <c r="D26" s="58">
        <v>0.39130162327539963</v>
      </c>
      <c r="E26" s="58"/>
      <c r="F26" s="58"/>
    </row>
    <row r="27" spans="2:6" x14ac:dyDescent="0.25">
      <c r="B27" s="10">
        <v>6310000001</v>
      </c>
      <c r="C27" s="10" t="s">
        <v>39</v>
      </c>
      <c r="D27" s="58">
        <v>4.4009396000000096E-2</v>
      </c>
      <c r="E27" s="246"/>
      <c r="F27" s="58"/>
    </row>
    <row r="28" spans="2:6" x14ac:dyDescent="0.25">
      <c r="B28" s="10">
        <v>6311300001</v>
      </c>
      <c r="C28" s="10" t="s">
        <v>41</v>
      </c>
      <c r="D28" s="58">
        <v>4.4009396000000096E-2</v>
      </c>
      <c r="E28" s="246"/>
      <c r="F28" s="58"/>
    </row>
    <row r="29" spans="2:6" x14ac:dyDescent="0.25">
      <c r="B29" s="10">
        <v>6311300002</v>
      </c>
      <c r="C29" s="10" t="s">
        <v>42</v>
      </c>
      <c r="D29" s="58">
        <v>4.4009396000000096E-2</v>
      </c>
      <c r="E29" s="246"/>
      <c r="F29" s="58"/>
    </row>
    <row r="30" spans="2:6" x14ac:dyDescent="0.25">
      <c r="B30" s="10">
        <v>6320000001</v>
      </c>
      <c r="C30" s="10" t="s">
        <v>43</v>
      </c>
      <c r="D30" s="58">
        <v>0.34886581637258263</v>
      </c>
      <c r="E30" s="58"/>
      <c r="F30" s="58"/>
    </row>
    <row r="31" spans="2:6" x14ac:dyDescent="0.25">
      <c r="B31" s="10">
        <v>6320000002</v>
      </c>
      <c r="C31" s="10" t="s">
        <v>44</v>
      </c>
      <c r="D31" s="58">
        <v>4.4009396000000096E-2</v>
      </c>
      <c r="E31" s="246"/>
      <c r="F31" s="58"/>
    </row>
    <row r="32" spans="2:6" x14ac:dyDescent="0.25">
      <c r="B32" s="10">
        <v>6320000003</v>
      </c>
      <c r="C32" s="10" t="s">
        <v>45</v>
      </c>
      <c r="D32" s="58">
        <v>4.4009396000000096E-2</v>
      </c>
      <c r="E32" s="246"/>
      <c r="F32" s="58"/>
    </row>
    <row r="33" spans="2:6" x14ac:dyDescent="0.25">
      <c r="B33" s="10">
        <v>6320000004</v>
      </c>
      <c r="C33" s="10" t="s">
        <v>46</v>
      </c>
      <c r="D33" s="58">
        <v>4.4009396000000096E-2</v>
      </c>
      <c r="E33" s="246"/>
      <c r="F33" s="58"/>
    </row>
    <row r="34" spans="2:6" x14ac:dyDescent="0.25">
      <c r="B34" s="10">
        <v>6320000005</v>
      </c>
      <c r="C34" s="10" t="s">
        <v>47</v>
      </c>
      <c r="D34" s="58">
        <v>4.4009396000000096E-2</v>
      </c>
      <c r="E34" s="246"/>
      <c r="F34" s="58"/>
    </row>
    <row r="35" spans="2:6" x14ac:dyDescent="0.25">
      <c r="B35" s="10">
        <v>6320000006</v>
      </c>
      <c r="C35" s="10" t="s">
        <v>48</v>
      </c>
      <c r="D35" s="58">
        <v>4.4009396000000096E-2</v>
      </c>
      <c r="E35" s="246"/>
      <c r="F35" s="58"/>
    </row>
    <row r="36" spans="2:6" x14ac:dyDescent="0.25">
      <c r="B36" s="10">
        <v>6320000007</v>
      </c>
      <c r="C36" s="10" t="s">
        <v>50</v>
      </c>
      <c r="D36" s="58">
        <v>1.0054865169395515</v>
      </c>
      <c r="E36" s="58"/>
      <c r="F36" s="58"/>
    </row>
    <row r="37" spans="2:6" x14ac:dyDescent="0.25">
      <c r="B37" s="10">
        <v>6329000003</v>
      </c>
      <c r="C37" s="10" t="s">
        <v>51</v>
      </c>
      <c r="D37" s="58">
        <v>4.4009396000000096E-2</v>
      </c>
      <c r="E37" s="246"/>
      <c r="F37" s="58"/>
    </row>
    <row r="38" spans="2:6" x14ac:dyDescent="0.25">
      <c r="B38" s="10">
        <v>6341100001</v>
      </c>
      <c r="C38" s="10" t="s">
        <v>53</v>
      </c>
      <c r="D38" s="58">
        <v>4.4009396000000096E-2</v>
      </c>
      <c r="E38" s="246"/>
      <c r="F38" s="58"/>
    </row>
    <row r="39" spans="2:6" x14ac:dyDescent="0.25">
      <c r="B39" s="10">
        <v>6341100002</v>
      </c>
      <c r="C39" s="10" t="s">
        <v>54</v>
      </c>
      <c r="D39" s="58">
        <v>4.4009396000000096E-2</v>
      </c>
      <c r="E39" s="246"/>
      <c r="F39" s="58"/>
    </row>
    <row r="40" spans="2:6" x14ac:dyDescent="0.25">
      <c r="B40" s="10">
        <v>6341100003</v>
      </c>
      <c r="C40" s="10" t="s">
        <v>55</v>
      </c>
      <c r="D40" s="58">
        <v>0.13114375863339878</v>
      </c>
      <c r="E40" s="58"/>
      <c r="F40" s="58"/>
    </row>
    <row r="41" spans="2:6" x14ac:dyDescent="0.25">
      <c r="B41" s="10">
        <v>6341100004</v>
      </c>
      <c r="C41" s="10" t="s">
        <v>56</v>
      </c>
      <c r="D41" s="58">
        <v>4.4009396000000096E-2</v>
      </c>
      <c r="E41" s="246"/>
      <c r="F41" s="58"/>
    </row>
    <row r="42" spans="2:6" x14ac:dyDescent="0.25">
      <c r="B42" s="10">
        <v>6341100005</v>
      </c>
      <c r="C42" s="10" t="s">
        <v>57</v>
      </c>
      <c r="D42" s="58">
        <v>4.4009396000000096E-2</v>
      </c>
      <c r="E42" s="246"/>
      <c r="F42" s="58"/>
    </row>
    <row r="43" spans="2:6" x14ac:dyDescent="0.25">
      <c r="B43" s="10">
        <v>6341100007</v>
      </c>
      <c r="C43" s="10" t="s">
        <v>58</v>
      </c>
      <c r="D43" s="58">
        <v>4.4009396000000096E-2</v>
      </c>
      <c r="E43" s="246"/>
      <c r="F43" s="58"/>
    </row>
    <row r="44" spans="2:6" x14ac:dyDescent="0.25">
      <c r="B44" s="10">
        <v>6341100008</v>
      </c>
      <c r="C44" s="10" t="s">
        <v>59</v>
      </c>
      <c r="D44" s="58">
        <v>4.4009396000000096E-2</v>
      </c>
      <c r="E44" s="246"/>
      <c r="F44" s="58"/>
    </row>
    <row r="45" spans="2:6" x14ac:dyDescent="0.25">
      <c r="B45" s="10">
        <v>6341100009</v>
      </c>
      <c r="C45" s="10" t="s">
        <v>60</v>
      </c>
      <c r="D45" s="58">
        <v>4.4009396000000096E-2</v>
      </c>
      <c r="E45" s="246"/>
      <c r="F45" s="58"/>
    </row>
    <row r="46" spans="2:6" x14ac:dyDescent="0.25">
      <c r="B46" s="10">
        <v>6341100010</v>
      </c>
      <c r="C46" s="10" t="s">
        <v>61</v>
      </c>
      <c r="D46" s="58">
        <v>4.4009396000000096E-2</v>
      </c>
      <c r="E46" s="246"/>
      <c r="F46" s="58"/>
    </row>
    <row r="47" spans="2:6" x14ac:dyDescent="0.25">
      <c r="B47" s="10">
        <v>6342000001</v>
      </c>
      <c r="C47" s="10" t="s">
        <v>62</v>
      </c>
      <c r="D47" s="58">
        <v>4.4009396000000096E-2</v>
      </c>
      <c r="E47" s="246"/>
      <c r="F47" s="58"/>
    </row>
    <row r="48" spans="2:6" x14ac:dyDescent="0.25">
      <c r="B48" s="10">
        <v>6342000002</v>
      </c>
      <c r="C48" s="10" t="s">
        <v>63</v>
      </c>
      <c r="D48" s="58">
        <v>4.4009396000000096E-2</v>
      </c>
      <c r="E48" s="246"/>
      <c r="F48" s="58"/>
    </row>
    <row r="49" spans="2:6" x14ac:dyDescent="0.25">
      <c r="B49" s="10">
        <v>6343000001</v>
      </c>
      <c r="C49" s="10" t="s">
        <v>64</v>
      </c>
      <c r="D49" s="58">
        <v>1.922702215525852</v>
      </c>
      <c r="E49" s="58"/>
      <c r="F49" s="58"/>
    </row>
    <row r="50" spans="2:6" x14ac:dyDescent="0.25">
      <c r="B50" s="10">
        <v>6343000002</v>
      </c>
      <c r="C50" s="10" t="s">
        <v>65</v>
      </c>
      <c r="D50" s="58">
        <v>4.4009396000000096E-2</v>
      </c>
      <c r="E50" s="246"/>
      <c r="F50" s="58"/>
    </row>
    <row r="51" spans="2:6" x14ac:dyDescent="0.25">
      <c r="B51" s="10">
        <v>6343100001</v>
      </c>
      <c r="C51" s="10" t="s">
        <v>66</v>
      </c>
      <c r="D51" s="58">
        <v>4.4009396000000096E-2</v>
      </c>
      <c r="E51" s="246"/>
      <c r="F51" s="58"/>
    </row>
    <row r="52" spans="2:6" x14ac:dyDescent="0.25">
      <c r="B52" s="10">
        <v>6343100002</v>
      </c>
      <c r="C52" s="10" t="s">
        <v>67</v>
      </c>
      <c r="D52" s="58">
        <v>4.4009396000000096E-2</v>
      </c>
      <c r="E52" s="246"/>
      <c r="F52" s="58"/>
    </row>
    <row r="53" spans="2:6" x14ac:dyDescent="0.25">
      <c r="B53" s="10">
        <v>6343100003</v>
      </c>
      <c r="C53" s="10" t="s">
        <v>68</v>
      </c>
      <c r="D53" s="58">
        <v>4.4009396000000096E-2</v>
      </c>
      <c r="E53" s="246"/>
      <c r="F53" s="58"/>
    </row>
    <row r="54" spans="2:6" x14ac:dyDescent="0.25">
      <c r="B54" s="10">
        <v>6343100004</v>
      </c>
      <c r="C54" s="10" t="s">
        <v>69</v>
      </c>
      <c r="D54" s="58">
        <v>4.4009396000000096E-2</v>
      </c>
      <c r="E54" s="246"/>
      <c r="F54" s="58"/>
    </row>
    <row r="55" spans="2:6" x14ac:dyDescent="0.25">
      <c r="B55" s="10">
        <v>6343100005</v>
      </c>
      <c r="C55" s="10" t="s">
        <v>70</v>
      </c>
      <c r="D55" s="58">
        <v>4.4009396000000096E-2</v>
      </c>
      <c r="E55" s="246"/>
      <c r="F55" s="58"/>
    </row>
    <row r="56" spans="2:6" x14ac:dyDescent="0.25">
      <c r="B56" s="10">
        <v>6343100006</v>
      </c>
      <c r="C56" s="10" t="s">
        <v>71</v>
      </c>
      <c r="D56" s="58">
        <v>4.4009396000000096E-2</v>
      </c>
      <c r="E56" s="246"/>
      <c r="F56" s="58"/>
    </row>
    <row r="57" spans="2:6" x14ac:dyDescent="0.25">
      <c r="B57" s="10">
        <v>6343100007</v>
      </c>
      <c r="C57" s="10" t="s">
        <v>72</v>
      </c>
      <c r="D57" s="58">
        <v>4.4009396000000096E-2</v>
      </c>
      <c r="E57" s="246"/>
      <c r="F57" s="58"/>
    </row>
    <row r="58" spans="2:6" x14ac:dyDescent="0.25">
      <c r="B58" s="10">
        <v>6343100008</v>
      </c>
      <c r="C58" s="10" t="s">
        <v>73</v>
      </c>
      <c r="D58" s="58">
        <v>4.4009396000000096E-2</v>
      </c>
      <c r="E58" s="246"/>
      <c r="F58" s="58"/>
    </row>
    <row r="59" spans="2:6" x14ac:dyDescent="0.25">
      <c r="B59" s="10">
        <v>6343100009</v>
      </c>
      <c r="C59" s="10" t="s">
        <v>74</v>
      </c>
      <c r="D59" s="58">
        <v>4.4009396000000096E-2</v>
      </c>
      <c r="E59" s="246"/>
      <c r="F59" s="58"/>
    </row>
    <row r="60" spans="2:6" x14ac:dyDescent="0.25">
      <c r="B60" s="10">
        <v>6343100010</v>
      </c>
      <c r="C60" s="10" t="s">
        <v>75</v>
      </c>
      <c r="D60" s="58">
        <v>4.4009396000000096E-2</v>
      </c>
      <c r="E60" s="246"/>
      <c r="F60" s="58"/>
    </row>
    <row r="61" spans="2:6" x14ac:dyDescent="0.25">
      <c r="B61" s="10">
        <v>6343100011</v>
      </c>
      <c r="C61" s="10" t="s">
        <v>76</v>
      </c>
      <c r="D61" s="58">
        <v>4.4009396000000096E-2</v>
      </c>
      <c r="E61" s="246"/>
      <c r="F61" s="58"/>
    </row>
    <row r="62" spans="2:6" x14ac:dyDescent="0.25">
      <c r="B62" s="10">
        <v>6343100012</v>
      </c>
      <c r="C62" s="10" t="s">
        <v>77</v>
      </c>
      <c r="D62" s="58">
        <v>4.4009396000000096E-2</v>
      </c>
      <c r="E62" s="246"/>
      <c r="F62" s="58"/>
    </row>
    <row r="63" spans="2:6" x14ac:dyDescent="0.25">
      <c r="B63" s="10">
        <v>6343100013</v>
      </c>
      <c r="C63" s="10" t="s">
        <v>78</v>
      </c>
      <c r="D63" s="58">
        <v>4.4009396000000096E-2</v>
      </c>
      <c r="E63" s="246"/>
      <c r="F63" s="58"/>
    </row>
    <row r="64" spans="2:6" x14ac:dyDescent="0.25">
      <c r="B64" s="10">
        <v>6343100014</v>
      </c>
      <c r="C64" s="10" t="s">
        <v>79</v>
      </c>
      <c r="D64" s="58">
        <v>4.4009396000000096E-2</v>
      </c>
      <c r="E64" s="246"/>
      <c r="F64" s="58"/>
    </row>
    <row r="65" spans="2:6" x14ac:dyDescent="0.25">
      <c r="B65" s="10">
        <v>6343100015</v>
      </c>
      <c r="C65" s="10" t="s">
        <v>80</v>
      </c>
      <c r="D65" s="58">
        <v>4.4009396000000096E-2</v>
      </c>
      <c r="E65" s="246"/>
      <c r="F65" s="58"/>
    </row>
    <row r="66" spans="2:6" x14ac:dyDescent="0.25">
      <c r="B66" s="10">
        <v>6343100016</v>
      </c>
      <c r="C66" s="10" t="s">
        <v>81</v>
      </c>
      <c r="D66" s="58">
        <v>4.4009396000000096E-2</v>
      </c>
      <c r="E66" s="246"/>
      <c r="F66" s="58"/>
    </row>
    <row r="67" spans="2:6" x14ac:dyDescent="0.25">
      <c r="B67" s="10">
        <v>6343100017</v>
      </c>
      <c r="C67" s="10" t="s">
        <v>82</v>
      </c>
      <c r="D67" s="58">
        <v>4.4009396000000096E-2</v>
      </c>
      <c r="E67" s="246"/>
      <c r="F67" s="58"/>
    </row>
    <row r="68" spans="2:6" x14ac:dyDescent="0.25">
      <c r="B68" s="10">
        <v>6344000001</v>
      </c>
      <c r="C68" s="10" t="s">
        <v>83</v>
      </c>
      <c r="D68" s="58">
        <v>4.4009396000000096E-2</v>
      </c>
      <c r="E68" s="246"/>
      <c r="F68" s="58"/>
    </row>
    <row r="69" spans="2:6" x14ac:dyDescent="0.25">
      <c r="B69" s="10">
        <v>6344000002</v>
      </c>
      <c r="C69" s="10" t="s">
        <v>84</v>
      </c>
      <c r="D69" s="58">
        <v>4.4009396000000096E-2</v>
      </c>
      <c r="E69" s="246"/>
      <c r="F69" s="58"/>
    </row>
    <row r="70" spans="2:6" x14ac:dyDescent="0.25">
      <c r="B70" s="10">
        <v>6344000003</v>
      </c>
      <c r="C70" s="10" t="s">
        <v>85</v>
      </c>
      <c r="D70" s="58">
        <v>4.4009396000000096E-2</v>
      </c>
      <c r="E70" s="246"/>
      <c r="F70" s="58"/>
    </row>
    <row r="71" spans="2:6" x14ac:dyDescent="0.25">
      <c r="B71" s="10">
        <v>6345000001</v>
      </c>
      <c r="C71" s="10" t="s">
        <v>86</v>
      </c>
      <c r="D71" s="58">
        <v>4.4009396000000096E-2</v>
      </c>
      <c r="E71" s="246"/>
      <c r="F71" s="58"/>
    </row>
    <row r="72" spans="2:6" x14ac:dyDescent="0.25">
      <c r="B72" s="10">
        <v>6346000001</v>
      </c>
      <c r="C72" s="10" t="s">
        <v>87</v>
      </c>
      <c r="D72" s="58">
        <v>4.4009396000000096E-2</v>
      </c>
      <c r="E72" s="246"/>
      <c r="F72" s="58"/>
    </row>
    <row r="73" spans="2:6" x14ac:dyDescent="0.25">
      <c r="B73" s="10">
        <v>6347000001</v>
      </c>
      <c r="C73" s="10" t="s">
        <v>88</v>
      </c>
      <c r="D73" s="58">
        <v>1.0811688463956868</v>
      </c>
      <c r="E73" s="58"/>
      <c r="F73" s="58"/>
    </row>
    <row r="74" spans="2:6" x14ac:dyDescent="0.25">
      <c r="B74" s="10">
        <v>6348000001</v>
      </c>
      <c r="C74" s="10" t="s">
        <v>89</v>
      </c>
      <c r="D74" s="58">
        <v>4.4009396000000096E-2</v>
      </c>
      <c r="E74" s="246"/>
      <c r="F74" s="58"/>
    </row>
    <row r="75" spans="2:6" x14ac:dyDescent="0.25">
      <c r="B75" s="10">
        <v>6354000001</v>
      </c>
      <c r="C75" s="10" t="s">
        <v>90</v>
      </c>
      <c r="D75" s="58">
        <v>1.1277145310168262</v>
      </c>
      <c r="E75" s="58"/>
      <c r="F75" s="58"/>
    </row>
    <row r="76" spans="2:6" x14ac:dyDescent="0.25">
      <c r="B76" s="10">
        <v>6356000001</v>
      </c>
      <c r="C76" s="10" t="s">
        <v>91</v>
      </c>
      <c r="D76" s="58">
        <v>4.4009396000000096E-2</v>
      </c>
      <c r="E76" s="246"/>
      <c r="F76" s="58"/>
    </row>
    <row r="77" spans="2:6" x14ac:dyDescent="0.25">
      <c r="B77" s="10">
        <v>6356000002</v>
      </c>
      <c r="C77" s="10" t="s">
        <v>92</v>
      </c>
      <c r="D77" s="58">
        <v>4.4009396000000096E-2</v>
      </c>
      <c r="E77" s="246"/>
      <c r="F77" s="58"/>
    </row>
    <row r="78" spans="2:6" x14ac:dyDescent="0.25">
      <c r="B78" s="10">
        <v>6357000001</v>
      </c>
      <c r="C78" s="10" t="s">
        <v>93</v>
      </c>
      <c r="D78" s="58">
        <v>4.4009396000000096E-2</v>
      </c>
      <c r="E78" s="246"/>
      <c r="F78" s="58"/>
    </row>
    <row r="79" spans="2:6" x14ac:dyDescent="0.25">
      <c r="B79" s="10">
        <v>6358000001</v>
      </c>
      <c r="C79" s="10" t="s">
        <v>94</v>
      </c>
      <c r="D79" s="58">
        <v>4.4009396000000096E-2</v>
      </c>
      <c r="E79" s="246"/>
      <c r="F79" s="58"/>
    </row>
    <row r="80" spans="2:6" x14ac:dyDescent="0.25">
      <c r="B80" s="10">
        <v>6360000001</v>
      </c>
      <c r="C80" s="10" t="s">
        <v>95</v>
      </c>
      <c r="D80" s="58">
        <v>4.4009396000000096E-2</v>
      </c>
      <c r="E80" s="246"/>
      <c r="F80" s="58"/>
    </row>
    <row r="81" spans="2:6" x14ac:dyDescent="0.25">
      <c r="B81" s="10">
        <v>6360000002</v>
      </c>
      <c r="C81" s="10" t="s">
        <v>96</v>
      </c>
      <c r="D81" s="58">
        <v>0.77919024215254873</v>
      </c>
      <c r="E81" s="58"/>
      <c r="F81" s="58"/>
    </row>
    <row r="82" spans="2:6" x14ac:dyDescent="0.25">
      <c r="B82" s="10">
        <v>6360000003</v>
      </c>
      <c r="C82" s="10" t="s">
        <v>97</v>
      </c>
      <c r="D82" s="58">
        <v>0.33589966958431128</v>
      </c>
      <c r="E82" s="58"/>
      <c r="F82" s="58"/>
    </row>
    <row r="83" spans="2:6" x14ac:dyDescent="0.25">
      <c r="B83" s="10">
        <v>6360000004</v>
      </c>
      <c r="C83" s="10" t="s">
        <v>98</v>
      </c>
      <c r="D83" s="58">
        <v>4.4009396000000096E-2</v>
      </c>
      <c r="E83" s="246"/>
      <c r="F83" s="58"/>
    </row>
    <row r="84" spans="2:6" x14ac:dyDescent="0.25">
      <c r="B84" s="10">
        <v>6360000005</v>
      </c>
      <c r="C84" s="10" t="s">
        <v>99</v>
      </c>
      <c r="D84" s="58">
        <v>4.4009396000000096E-2</v>
      </c>
      <c r="E84" s="246"/>
      <c r="F84" s="58"/>
    </row>
    <row r="85" spans="2:6" x14ac:dyDescent="0.25">
      <c r="B85" s="10">
        <v>6370000001</v>
      </c>
      <c r="C85" s="10" t="s">
        <v>100</v>
      </c>
      <c r="D85" s="58">
        <v>0.48851763260317993</v>
      </c>
      <c r="E85" s="58"/>
      <c r="F85" s="58"/>
    </row>
    <row r="86" spans="2:6" x14ac:dyDescent="0.25">
      <c r="B86" s="10">
        <v>6370000002</v>
      </c>
      <c r="C86" s="10" t="s">
        <v>101</v>
      </c>
      <c r="D86" s="58">
        <v>4.4009396000000096E-2</v>
      </c>
      <c r="E86" s="246"/>
      <c r="F86" s="58"/>
    </row>
    <row r="87" spans="2:6" x14ac:dyDescent="0.25">
      <c r="B87" s="10">
        <v>6370000003</v>
      </c>
      <c r="C87" s="10" t="s">
        <v>102</v>
      </c>
      <c r="D87" s="58">
        <v>4.4009396000000096E-2</v>
      </c>
      <c r="E87" s="246"/>
      <c r="F87" s="58"/>
    </row>
    <row r="88" spans="2:6" x14ac:dyDescent="0.25">
      <c r="B88" s="10">
        <v>6380000002</v>
      </c>
      <c r="C88" s="10" t="s">
        <v>103</v>
      </c>
      <c r="D88" s="58">
        <v>4.4009396000000096E-2</v>
      </c>
      <c r="E88" s="246"/>
      <c r="F88" s="58"/>
    </row>
    <row r="89" spans="2:6" x14ac:dyDescent="0.25">
      <c r="B89" s="10">
        <v>6380000003</v>
      </c>
      <c r="C89" s="10" t="s">
        <v>104</v>
      </c>
      <c r="D89" s="58">
        <v>4.4009396000000096E-2</v>
      </c>
      <c r="E89" s="246"/>
      <c r="F89" s="58"/>
    </row>
    <row r="90" spans="2:6" x14ac:dyDescent="0.25">
      <c r="B90" s="10">
        <v>6380000004</v>
      </c>
      <c r="C90" s="10" t="s">
        <v>105</v>
      </c>
      <c r="D90" s="58">
        <v>1.1454126819228176</v>
      </c>
      <c r="E90" s="58"/>
      <c r="F90" s="58"/>
    </row>
    <row r="91" spans="2:6" x14ac:dyDescent="0.25">
      <c r="B91" s="10">
        <v>6380000005</v>
      </c>
      <c r="C91" s="10" t="s">
        <v>106</v>
      </c>
      <c r="D91" s="58">
        <v>4.4009396000000096E-2</v>
      </c>
      <c r="E91" s="246"/>
      <c r="F91" s="58"/>
    </row>
    <row r="92" spans="2:6" x14ac:dyDescent="0.25">
      <c r="B92" s="10">
        <v>6380000007</v>
      </c>
      <c r="C92" s="10" t="s">
        <v>107</v>
      </c>
      <c r="D92" s="58">
        <v>4.4009396000000096E-2</v>
      </c>
      <c r="E92" s="246"/>
      <c r="F92" s="58"/>
    </row>
    <row r="93" spans="2:6" x14ac:dyDescent="0.25">
      <c r="B93" s="10">
        <v>6380000008</v>
      </c>
      <c r="C93" s="10" t="s">
        <v>108</v>
      </c>
      <c r="D93" s="58">
        <v>1.7577982488676596</v>
      </c>
      <c r="E93" s="58"/>
      <c r="F93" s="58"/>
    </row>
    <row r="94" spans="2:6" x14ac:dyDescent="0.25">
      <c r="B94" s="10">
        <v>6380000009</v>
      </c>
      <c r="C94" s="10" t="s">
        <v>109</v>
      </c>
      <c r="D94" s="58">
        <v>9.5138088966381096E-2</v>
      </c>
      <c r="E94" s="58"/>
      <c r="F94" s="58"/>
    </row>
    <row r="95" spans="2:6" x14ac:dyDescent="0.25">
      <c r="B95" s="10">
        <v>6380000010</v>
      </c>
      <c r="C95" s="10" t="s">
        <v>110</v>
      </c>
      <c r="D95" s="58">
        <v>4.4009396000000096E-2</v>
      </c>
      <c r="E95" s="246"/>
      <c r="F95" s="58"/>
    </row>
    <row r="96" spans="2:6" x14ac:dyDescent="0.25">
      <c r="B96" s="10">
        <v>6380000012</v>
      </c>
      <c r="C96" s="10" t="s">
        <v>111</v>
      </c>
      <c r="D96" s="58">
        <v>4.4009396000000096E-2</v>
      </c>
      <c r="E96" s="246"/>
      <c r="F96" s="58"/>
    </row>
    <row r="97" spans="2:6" x14ac:dyDescent="0.25">
      <c r="B97" s="10">
        <v>6380000014</v>
      </c>
      <c r="C97" s="10" t="s">
        <v>112</v>
      </c>
      <c r="D97" s="58">
        <v>4.4009396000000096E-2</v>
      </c>
      <c r="E97" s="246"/>
      <c r="F97" s="58"/>
    </row>
    <row r="98" spans="2:6" x14ac:dyDescent="0.25">
      <c r="B98" s="10">
        <v>6380000015</v>
      </c>
      <c r="C98" s="10" t="s">
        <v>113</v>
      </c>
      <c r="D98" s="58">
        <v>4.4009396000000096E-2</v>
      </c>
      <c r="E98" s="246"/>
      <c r="F98" s="58"/>
    </row>
    <row r="99" spans="2:6" x14ac:dyDescent="0.25">
      <c r="B99" s="10">
        <v>6380000017</v>
      </c>
      <c r="C99" s="10" t="s">
        <v>115</v>
      </c>
      <c r="D99" s="58">
        <v>4.4009396000000096E-2</v>
      </c>
      <c r="E99" s="246"/>
      <c r="F99" s="58"/>
    </row>
    <row r="100" spans="2:6" x14ac:dyDescent="0.25">
      <c r="B100" s="10">
        <v>6380000018</v>
      </c>
      <c r="C100" s="10" t="s">
        <v>116</v>
      </c>
      <c r="D100" s="58">
        <v>4.4009396000000096E-2</v>
      </c>
      <c r="E100" s="246"/>
      <c r="F100" s="58"/>
    </row>
    <row r="101" spans="2:6" x14ac:dyDescent="0.25">
      <c r="B101" s="10">
        <v>6380000019</v>
      </c>
      <c r="C101" s="10" t="s">
        <v>117</v>
      </c>
      <c r="D101" s="58">
        <v>4.4009396000000096E-2</v>
      </c>
      <c r="E101" s="246"/>
      <c r="F101" s="58"/>
    </row>
    <row r="102" spans="2:6" x14ac:dyDescent="0.25">
      <c r="B102" s="10">
        <v>6380000020</v>
      </c>
      <c r="C102" s="10" t="s">
        <v>118</v>
      </c>
      <c r="D102" s="58">
        <v>4.4009396000000096E-2</v>
      </c>
      <c r="E102" s="246"/>
      <c r="F102" s="58"/>
    </row>
    <row r="103" spans="2:6" x14ac:dyDescent="0.25">
      <c r="B103" s="10">
        <v>6380000021</v>
      </c>
      <c r="C103" s="10" t="s">
        <v>119</v>
      </c>
      <c r="D103" s="58">
        <v>4.4009396000000096E-2</v>
      </c>
      <c r="E103" s="246"/>
      <c r="F103" s="58"/>
    </row>
    <row r="104" spans="2:6" x14ac:dyDescent="0.25">
      <c r="B104" s="10">
        <v>6380000022</v>
      </c>
      <c r="C104" s="10" t="s">
        <v>120</v>
      </c>
      <c r="D104" s="58">
        <v>4.4009396000000096E-2</v>
      </c>
      <c r="E104" s="246"/>
      <c r="F104" s="58"/>
    </row>
    <row r="105" spans="2:6" x14ac:dyDescent="0.25">
      <c r="B105" s="10">
        <v>6380000023</v>
      </c>
      <c r="C105" s="10" t="s">
        <v>121</v>
      </c>
      <c r="D105" s="58">
        <v>4.4009396000000096E-2</v>
      </c>
      <c r="E105" s="246"/>
      <c r="F105" s="58"/>
    </row>
    <row r="106" spans="2:6" x14ac:dyDescent="0.25">
      <c r="B106" s="10">
        <v>6380000024</v>
      </c>
      <c r="C106" s="10" t="s">
        <v>122</v>
      </c>
      <c r="D106" s="58">
        <v>4.4009396000000096E-2</v>
      </c>
      <c r="E106" s="246"/>
      <c r="F106" s="58"/>
    </row>
    <row r="107" spans="2:6" x14ac:dyDescent="0.25">
      <c r="B107" s="10">
        <v>6380000025</v>
      </c>
      <c r="C107" s="10" t="s">
        <v>123</v>
      </c>
      <c r="D107" s="58">
        <v>4.4009396000000096E-2</v>
      </c>
      <c r="E107" s="246"/>
      <c r="F107" s="58"/>
    </row>
    <row r="108" spans="2:6" x14ac:dyDescent="0.25">
      <c r="B108" s="10">
        <v>6380000026</v>
      </c>
      <c r="C108" s="10" t="s">
        <v>124</v>
      </c>
      <c r="D108" s="58">
        <v>4.4009396000000096E-2</v>
      </c>
      <c r="E108" s="246"/>
      <c r="F108" s="58"/>
    </row>
    <row r="109" spans="2:6" x14ac:dyDescent="0.25">
      <c r="B109" s="10">
        <v>6380000027</v>
      </c>
      <c r="C109" s="10" t="s">
        <v>125</v>
      </c>
      <c r="D109" s="58">
        <v>4.4009396000000096E-2</v>
      </c>
      <c r="E109" s="246"/>
      <c r="F109" s="58"/>
    </row>
    <row r="110" spans="2:6" x14ac:dyDescent="0.25">
      <c r="B110" s="10">
        <v>6380000028</v>
      </c>
      <c r="C110" s="10" t="s">
        <v>126</v>
      </c>
      <c r="D110" s="58">
        <v>4.4009396000000096E-2</v>
      </c>
      <c r="E110" s="246"/>
      <c r="F110" s="58"/>
    </row>
    <row r="111" spans="2:6" x14ac:dyDescent="0.25">
      <c r="B111" s="10">
        <v>6380000029</v>
      </c>
      <c r="C111" s="10" t="s">
        <v>127</v>
      </c>
      <c r="D111" s="58">
        <v>4.4009396000000096E-2</v>
      </c>
      <c r="E111" s="246"/>
      <c r="F111" s="58"/>
    </row>
    <row r="112" spans="2:6" x14ac:dyDescent="0.25">
      <c r="B112" s="10">
        <v>6380000030</v>
      </c>
      <c r="C112" s="10" t="s">
        <v>128</v>
      </c>
      <c r="D112" s="58">
        <v>3.290536457674488</v>
      </c>
      <c r="E112" s="58"/>
      <c r="F112" s="58"/>
    </row>
    <row r="113" spans="2:6" x14ac:dyDescent="0.25">
      <c r="B113" s="10">
        <v>6380000031</v>
      </c>
      <c r="C113" s="10" t="s">
        <v>129</v>
      </c>
      <c r="D113" s="58">
        <v>4.4009396000000096E-2</v>
      </c>
      <c r="E113" s="246"/>
      <c r="F113" s="58"/>
    </row>
    <row r="114" spans="2:6" x14ac:dyDescent="0.25">
      <c r="B114" s="10">
        <v>6381000001</v>
      </c>
      <c r="C114" s="10" t="s">
        <v>130</v>
      </c>
      <c r="D114" s="58">
        <v>4.4009396000000096E-2</v>
      </c>
      <c r="E114" s="246"/>
      <c r="F114" s="58"/>
    </row>
    <row r="115" spans="2:6" x14ac:dyDescent="0.25">
      <c r="B115" s="10">
        <v>6381000002</v>
      </c>
      <c r="C115" s="10" t="s">
        <v>131</v>
      </c>
      <c r="D115" s="58">
        <v>4.4009396000000096E-2</v>
      </c>
      <c r="E115" s="246"/>
      <c r="F115" s="58"/>
    </row>
    <row r="116" spans="2:6" x14ac:dyDescent="0.25">
      <c r="B116" s="10">
        <v>6381000003</v>
      </c>
      <c r="C116" s="10" t="s">
        <v>132</v>
      </c>
      <c r="D116" s="58">
        <v>4.4009396000000096E-2</v>
      </c>
      <c r="E116" s="246"/>
      <c r="F116" s="58"/>
    </row>
    <row r="117" spans="2:6" x14ac:dyDescent="0.25">
      <c r="B117" s="10">
        <v>6381000004</v>
      </c>
      <c r="C117" s="10" t="s">
        <v>133</v>
      </c>
      <c r="D117" s="58">
        <v>4.4009396000000096E-2</v>
      </c>
      <c r="E117" s="246"/>
      <c r="F117" s="58"/>
    </row>
    <row r="118" spans="2:6" x14ac:dyDescent="0.25">
      <c r="B118" s="10">
        <v>6381000005</v>
      </c>
      <c r="C118" s="10" t="s">
        <v>134</v>
      </c>
      <c r="D118" s="58">
        <v>4.4009396000000096E-2</v>
      </c>
      <c r="E118" s="246"/>
      <c r="F118" s="58"/>
    </row>
    <row r="119" spans="2:6" x14ac:dyDescent="0.25">
      <c r="B119" s="10">
        <v>6381000006</v>
      </c>
      <c r="C119" s="10" t="s">
        <v>135</v>
      </c>
      <c r="D119" s="58">
        <v>4.4009396000000096E-2</v>
      </c>
      <c r="E119" s="246"/>
      <c r="F119" s="58"/>
    </row>
    <row r="120" spans="2:6" x14ac:dyDescent="0.25">
      <c r="B120" s="10">
        <v>6382000001</v>
      </c>
      <c r="C120" s="10" t="s">
        <v>136</v>
      </c>
      <c r="D120" s="58">
        <v>1.0528702981147076</v>
      </c>
      <c r="E120" s="58"/>
      <c r="F120" s="58"/>
    </row>
    <row r="121" spans="2:6" x14ac:dyDescent="0.25">
      <c r="B121" s="10">
        <v>6382000002</v>
      </c>
      <c r="C121" s="10" t="s">
        <v>137</v>
      </c>
      <c r="D121" s="58">
        <v>4.4009396000000096E-2</v>
      </c>
      <c r="E121" s="246"/>
      <c r="F121" s="58"/>
    </row>
    <row r="122" spans="2:6" x14ac:dyDescent="0.25">
      <c r="B122" s="10">
        <v>6390000001</v>
      </c>
      <c r="C122" s="10" t="s">
        <v>138</v>
      </c>
      <c r="D122" s="58">
        <v>4.4009396000000096E-2</v>
      </c>
      <c r="E122" s="246"/>
      <c r="F122" s="58"/>
    </row>
    <row r="123" spans="2:6" x14ac:dyDescent="0.25">
      <c r="B123" s="10">
        <v>6391000001</v>
      </c>
      <c r="C123" s="10" t="s">
        <v>139</v>
      </c>
      <c r="D123" s="58">
        <v>4.4009396000000096E-2</v>
      </c>
      <c r="E123" s="246"/>
      <c r="F123" s="58"/>
    </row>
    <row r="124" spans="2:6" x14ac:dyDescent="0.25">
      <c r="B124" s="10">
        <v>6391000003</v>
      </c>
      <c r="C124" s="10" t="s">
        <v>140</v>
      </c>
      <c r="D124" s="58">
        <v>4.4009396000000096E-2</v>
      </c>
      <c r="E124" s="246"/>
      <c r="F124" s="58"/>
    </row>
    <row r="125" spans="2:6" x14ac:dyDescent="0.25">
      <c r="B125" s="10">
        <v>6410000001</v>
      </c>
      <c r="C125" s="10" t="s">
        <v>141</v>
      </c>
      <c r="D125" s="58">
        <v>4.4009396000000096E-2</v>
      </c>
      <c r="E125" s="246"/>
      <c r="F125" s="58"/>
    </row>
    <row r="126" spans="2:6" x14ac:dyDescent="0.25">
      <c r="B126" s="10">
        <v>6410000002</v>
      </c>
      <c r="C126" s="10" t="s">
        <v>142</v>
      </c>
      <c r="D126" s="58">
        <v>4.4009396000000096E-2</v>
      </c>
      <c r="E126" s="246"/>
      <c r="F126" s="58"/>
    </row>
    <row r="127" spans="2:6" x14ac:dyDescent="0.25">
      <c r="B127" s="10">
        <v>6430000001</v>
      </c>
      <c r="C127" s="10" t="s">
        <v>143</v>
      </c>
      <c r="D127" s="58">
        <v>4.4009396000000096E-2</v>
      </c>
      <c r="E127" s="246"/>
      <c r="F127" s="58"/>
    </row>
    <row r="128" spans="2:6" x14ac:dyDescent="0.25">
      <c r="B128" s="10">
        <v>6430000002</v>
      </c>
      <c r="C128" s="10" t="s">
        <v>144</v>
      </c>
      <c r="D128" s="58">
        <v>4.4009396000000096E-2</v>
      </c>
      <c r="E128" s="246"/>
      <c r="F128" s="58"/>
    </row>
    <row r="129" spans="2:6" x14ac:dyDescent="0.25">
      <c r="B129" s="10">
        <v>6430000003</v>
      </c>
      <c r="C129" s="10" t="s">
        <v>145</v>
      </c>
      <c r="D129" s="58">
        <v>4.4009396000000096E-2</v>
      </c>
      <c r="E129" s="246"/>
      <c r="F129" s="58"/>
    </row>
    <row r="130" spans="2:6" x14ac:dyDescent="0.25">
      <c r="B130" s="10">
        <v>6510000001</v>
      </c>
      <c r="C130" s="10" t="s">
        <v>146</v>
      </c>
      <c r="D130" s="58">
        <v>0.2404668693070342</v>
      </c>
      <c r="E130" s="58"/>
      <c r="F130" s="58"/>
    </row>
    <row r="131" spans="2:6" x14ac:dyDescent="0.25">
      <c r="B131" s="10">
        <v>6530000001</v>
      </c>
      <c r="C131" s="10" t="s">
        <v>147</v>
      </c>
      <c r="D131" s="58">
        <v>4.4009396000000096E-2</v>
      </c>
      <c r="E131" s="246"/>
      <c r="F131" s="58"/>
    </row>
    <row r="132" spans="2:6" x14ac:dyDescent="0.25">
      <c r="B132" s="10">
        <v>6530000002</v>
      </c>
      <c r="C132" s="10" t="s">
        <v>148</v>
      </c>
      <c r="D132" s="58">
        <v>0.17007525835504156</v>
      </c>
      <c r="E132" s="58"/>
      <c r="F132" s="58"/>
    </row>
    <row r="133" spans="2:6" x14ac:dyDescent="0.25">
      <c r="B133" s="10">
        <v>6540000001</v>
      </c>
      <c r="C133" s="10" t="s">
        <v>149</v>
      </c>
      <c r="D133" s="58">
        <v>4.4009396000000096E-2</v>
      </c>
      <c r="E133" s="246"/>
      <c r="F133" s="58"/>
    </row>
    <row r="134" spans="2:6" x14ac:dyDescent="0.25">
      <c r="B134" s="10">
        <v>6561000001</v>
      </c>
      <c r="C134" s="10" t="s">
        <v>150</v>
      </c>
      <c r="D134" s="58">
        <v>4.4009396000000096E-2</v>
      </c>
      <c r="E134" s="246"/>
      <c r="F134" s="58"/>
    </row>
    <row r="135" spans="2:6" x14ac:dyDescent="0.25">
      <c r="B135" s="10">
        <v>6561000002</v>
      </c>
      <c r="C135" s="10" t="s">
        <v>151</v>
      </c>
      <c r="D135" s="58">
        <v>4.4009396000000096E-2</v>
      </c>
      <c r="E135" s="246"/>
      <c r="F135" s="58"/>
    </row>
    <row r="136" spans="2:6" x14ac:dyDescent="0.25">
      <c r="B136" s="10">
        <v>6561000003</v>
      </c>
      <c r="C136" s="10" t="s">
        <v>152</v>
      </c>
      <c r="D136" s="58">
        <v>9.8026320203328909E-2</v>
      </c>
      <c r="E136" s="58"/>
      <c r="F136" s="58"/>
    </row>
    <row r="137" spans="2:6" x14ac:dyDescent="0.25">
      <c r="B137" s="10">
        <v>6561000004</v>
      </c>
      <c r="C137" s="10" t="s">
        <v>153</v>
      </c>
      <c r="D137" s="58">
        <v>4.4009396000000096E-2</v>
      </c>
      <c r="E137" s="246"/>
      <c r="F137" s="58"/>
    </row>
    <row r="138" spans="2:6" x14ac:dyDescent="0.25">
      <c r="B138" s="10">
        <v>6561000005</v>
      </c>
      <c r="C138" s="10" t="s">
        <v>154</v>
      </c>
      <c r="D138" s="58">
        <v>4.4009396000000096E-2</v>
      </c>
      <c r="E138" s="246"/>
      <c r="F138" s="58"/>
    </row>
    <row r="139" spans="2:6" x14ac:dyDescent="0.25">
      <c r="B139" s="10">
        <v>6562000001</v>
      </c>
      <c r="C139" s="10" t="s">
        <v>155</v>
      </c>
      <c r="D139" s="58">
        <v>4.4009396000000096E-2</v>
      </c>
      <c r="E139" s="246"/>
      <c r="F139" s="58"/>
    </row>
    <row r="140" spans="2:6" x14ac:dyDescent="0.25">
      <c r="B140" s="10">
        <v>6562000002</v>
      </c>
      <c r="C140" s="10" t="s">
        <v>156</v>
      </c>
      <c r="D140" s="58">
        <v>4.4009396000000096E-2</v>
      </c>
      <c r="E140" s="246"/>
      <c r="F140" s="58"/>
    </row>
    <row r="141" spans="2:6" x14ac:dyDescent="0.25">
      <c r="B141" s="10">
        <v>6562000003</v>
      </c>
      <c r="C141" s="10" t="s">
        <v>157</v>
      </c>
      <c r="D141" s="58">
        <v>4.4009396000000096E-2</v>
      </c>
      <c r="E141" s="246"/>
      <c r="F141" s="58"/>
    </row>
    <row r="142" spans="2:6" x14ac:dyDescent="0.25">
      <c r="B142" s="10">
        <v>6562000004</v>
      </c>
      <c r="C142" s="10" t="s">
        <v>158</v>
      </c>
      <c r="D142" s="58">
        <v>4.4009396000000096E-2</v>
      </c>
      <c r="E142" s="246"/>
      <c r="F142" s="58"/>
    </row>
    <row r="143" spans="2:6" x14ac:dyDescent="0.25">
      <c r="B143" s="10">
        <v>6562000005</v>
      </c>
      <c r="C143" s="10" t="s">
        <v>159</v>
      </c>
      <c r="D143" s="58">
        <v>4.4009396000000096E-2</v>
      </c>
      <c r="E143" s="246"/>
      <c r="F143" s="58"/>
    </row>
    <row r="144" spans="2:6" x14ac:dyDescent="0.25">
      <c r="B144" s="10">
        <v>6563000001</v>
      </c>
      <c r="C144" s="10" t="s">
        <v>160</v>
      </c>
      <c r="D144" s="58">
        <v>4.4009396000000096E-2</v>
      </c>
      <c r="E144" s="246"/>
      <c r="F144" s="58"/>
    </row>
    <row r="145" spans="2:6" x14ac:dyDescent="0.25">
      <c r="B145" s="10">
        <v>6563000002</v>
      </c>
      <c r="C145" s="10" t="s">
        <v>161</v>
      </c>
      <c r="D145" s="58">
        <v>4.4009396000000096E-2</v>
      </c>
      <c r="E145" s="246"/>
      <c r="F145" s="58"/>
    </row>
    <row r="146" spans="2:6" x14ac:dyDescent="0.25">
      <c r="B146" s="10">
        <v>6563000003</v>
      </c>
      <c r="C146" s="10" t="s">
        <v>162</v>
      </c>
      <c r="D146" s="58">
        <v>4.4009396000000096E-2</v>
      </c>
      <c r="E146" s="246"/>
      <c r="F146" s="58"/>
    </row>
    <row r="147" spans="2:6" x14ac:dyDescent="0.25">
      <c r="B147" s="10">
        <v>6563000004</v>
      </c>
      <c r="C147" s="10" t="s">
        <v>163</v>
      </c>
      <c r="D147" s="58">
        <v>4.4009396000000096E-2</v>
      </c>
      <c r="E147" s="246"/>
      <c r="F147" s="58"/>
    </row>
    <row r="148" spans="2:6" x14ac:dyDescent="0.25">
      <c r="B148" s="10">
        <v>6563000005</v>
      </c>
      <c r="C148" s="10" t="s">
        <v>164</v>
      </c>
      <c r="D148" s="58">
        <v>4.4009396000000096E-2</v>
      </c>
      <c r="E148" s="246"/>
      <c r="F148" s="58"/>
    </row>
    <row r="149" spans="2:6" x14ac:dyDescent="0.25">
      <c r="B149" s="10">
        <v>6590000001</v>
      </c>
      <c r="C149" s="10" t="s">
        <v>165</v>
      </c>
      <c r="D149" s="58">
        <v>4.4009396000000096E-2</v>
      </c>
      <c r="E149" s="246"/>
      <c r="F149" s="58"/>
    </row>
    <row r="150" spans="2:6" x14ac:dyDescent="0.25">
      <c r="B150" s="10">
        <v>6590000002</v>
      </c>
      <c r="C150" s="10" t="s">
        <v>166</v>
      </c>
      <c r="D150" s="58">
        <v>4.4009396000000096E-2</v>
      </c>
      <c r="E150" s="246"/>
      <c r="F150" s="58"/>
    </row>
    <row r="151" spans="2:6" x14ac:dyDescent="0.25">
      <c r="B151" s="10">
        <v>6590000003</v>
      </c>
      <c r="C151" s="10" t="s">
        <v>167</v>
      </c>
      <c r="D151" s="58">
        <v>4.4009396000000096E-2</v>
      </c>
      <c r="E151" s="246"/>
      <c r="F151" s="58"/>
    </row>
    <row r="152" spans="2:6" x14ac:dyDescent="0.25">
      <c r="B152" s="10">
        <v>6590000004</v>
      </c>
      <c r="C152" s="10" t="s">
        <v>168</v>
      </c>
      <c r="D152" s="58">
        <v>4.4009396000000096E-2</v>
      </c>
      <c r="E152" s="246"/>
      <c r="F152" s="58"/>
    </row>
    <row r="153" spans="2:6" x14ac:dyDescent="0.25">
      <c r="B153" s="10">
        <v>6590000005</v>
      </c>
      <c r="C153" s="10" t="s">
        <v>169</v>
      </c>
      <c r="D153" s="58">
        <v>4.4009396000000096E-2</v>
      </c>
      <c r="E153" s="246"/>
      <c r="F153" s="58"/>
    </row>
    <row r="154" spans="2:6" x14ac:dyDescent="0.25">
      <c r="B154" s="10">
        <v>6590000006</v>
      </c>
      <c r="C154" s="10" t="s">
        <v>170</v>
      </c>
      <c r="D154" s="58">
        <v>0.55350740986062807</v>
      </c>
      <c r="E154" s="246"/>
      <c r="F154" s="58"/>
    </row>
    <row r="155" spans="2:6" x14ac:dyDescent="0.25">
      <c r="B155" s="10">
        <v>6590000007</v>
      </c>
      <c r="C155" s="10" t="s">
        <v>171</v>
      </c>
      <c r="D155" s="58">
        <v>4.4009396000000096E-2</v>
      </c>
      <c r="E155" s="246"/>
      <c r="F155" s="58"/>
    </row>
    <row r="156" spans="2:6" x14ac:dyDescent="0.25">
      <c r="B156" s="10">
        <v>6590000010</v>
      </c>
      <c r="C156" s="10" t="s">
        <v>172</v>
      </c>
      <c r="D156" s="58">
        <v>4.4009396000000096E-2</v>
      </c>
      <c r="E156" s="246"/>
      <c r="F156" s="58"/>
    </row>
    <row r="157" spans="2:6" x14ac:dyDescent="0.25">
      <c r="B157" s="10">
        <v>6590000011</v>
      </c>
      <c r="C157" s="10" t="s">
        <v>173</v>
      </c>
      <c r="D157" s="58">
        <v>4.4009396000000096E-2</v>
      </c>
      <c r="E157" s="246"/>
      <c r="F157" s="58"/>
    </row>
    <row r="158" spans="2:6" x14ac:dyDescent="0.25">
      <c r="B158" s="10">
        <v>6840000001</v>
      </c>
      <c r="C158" s="10" t="s">
        <v>174</v>
      </c>
      <c r="D158" s="58">
        <v>4.4009396000000096E-2</v>
      </c>
      <c r="E158" s="246"/>
      <c r="F158" s="58"/>
    </row>
    <row r="159" spans="2:6" x14ac:dyDescent="0.25">
      <c r="B159" s="10">
        <v>8710000001</v>
      </c>
      <c r="C159" s="10" t="s">
        <v>175</v>
      </c>
      <c r="D159" s="58">
        <v>0</v>
      </c>
      <c r="E159" s="58"/>
      <c r="F159" s="58"/>
    </row>
    <row r="160" spans="2:6" x14ac:dyDescent="0.25">
      <c r="B160" s="157">
        <v>6380000016</v>
      </c>
      <c r="C160" s="157" t="s">
        <v>114</v>
      </c>
      <c r="D160" s="158">
        <v>0</v>
      </c>
      <c r="E160" s="158"/>
      <c r="F160" s="158"/>
    </row>
  </sheetData>
  <hyperlinks>
    <hyperlink ref="D1" location="Índice!A1" display="ÍNDICE" xr:uid="{766AE9B1-03CA-4215-87C8-7F6A41106A7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FBCBE-F56D-4D43-B2A5-987A5DA36962}">
  <sheetPr codeName="Hoja3"/>
  <dimension ref="A1:M23"/>
  <sheetViews>
    <sheetView showGridLines="0" tabSelected="1" workbookViewId="0">
      <selection activeCell="G1" sqref="G1"/>
    </sheetView>
  </sheetViews>
  <sheetFormatPr baseColWidth="10" defaultColWidth="0" defaultRowHeight="0" customHeight="1" zeroHeight="1" x14ac:dyDescent="0.25"/>
  <cols>
    <col min="1" max="1" width="1.6640625" style="38" customWidth="1"/>
    <col min="2" max="2" width="15.6640625" style="38" customWidth="1"/>
    <col min="3" max="3" width="14.6640625" style="38" customWidth="1"/>
    <col min="4" max="4" width="12.33203125" style="38" customWidth="1"/>
    <col min="5" max="6" width="12.6640625" style="38" customWidth="1"/>
    <col min="7" max="7" width="15.5546875" style="38" customWidth="1"/>
    <col min="8" max="8" width="12" style="38" hidden="1" customWidth="1"/>
    <col min="9" max="9" width="12.109375" style="38" hidden="1" customWidth="1"/>
    <col min="10" max="10" width="0" style="38" hidden="1" customWidth="1"/>
    <col min="11" max="11" width="12" style="38" hidden="1" customWidth="1"/>
    <col min="12" max="13" width="12.109375" style="38" hidden="1" customWidth="1"/>
    <col min="14" max="16384" width="9.109375" style="38" hidden="1"/>
  </cols>
  <sheetData>
    <row r="1" spans="2:8" ht="16.2" thickBot="1" x14ac:dyDescent="0.35">
      <c r="B1" s="37" t="s">
        <v>397</v>
      </c>
      <c r="F1" s="39" t="s">
        <v>389</v>
      </c>
    </row>
    <row r="2" spans="2:8" ht="13.2" x14ac:dyDescent="0.25"/>
    <row r="3" spans="2:8" ht="12.75" customHeight="1" x14ac:dyDescent="0.25">
      <c r="B3" s="319" t="s">
        <v>396</v>
      </c>
      <c r="C3" s="319" t="s">
        <v>390</v>
      </c>
      <c r="D3" s="287" t="s">
        <v>391</v>
      </c>
    </row>
    <row r="4" spans="2:8" ht="13.2" hidden="1" x14ac:dyDescent="0.25">
      <c r="B4" s="319"/>
      <c r="C4" s="319"/>
      <c r="D4" s="40" t="s">
        <v>393</v>
      </c>
    </row>
    <row r="5" spans="2:8" ht="15.75" customHeight="1" x14ac:dyDescent="0.25">
      <c r="B5" s="49" t="s">
        <v>1</v>
      </c>
      <c r="C5" s="47" t="s">
        <v>395</v>
      </c>
      <c r="D5" s="45">
        <f>+'0. Flujo DOM-DOM'!E6*(1+'5.1 Var-Macro'!C148)</f>
        <v>6.7894735945401967</v>
      </c>
      <c r="G5" s="309"/>
      <c r="H5" s="43"/>
    </row>
    <row r="6" spans="2:8" ht="15.75" customHeight="1" x14ac:dyDescent="0.25">
      <c r="B6" s="50" t="s">
        <v>0</v>
      </c>
      <c r="C6" s="48" t="s">
        <v>395</v>
      </c>
      <c r="D6" s="46">
        <f>+'0. Flujo INT-INT'!E6*(1+'5.1 Var-Macro'!C148)</f>
        <v>10.742867177503362</v>
      </c>
      <c r="G6" s="309"/>
      <c r="H6" s="43"/>
    </row>
    <row r="7" spans="2:8" ht="13.2" x14ac:dyDescent="0.25">
      <c r="E7" s="44"/>
      <c r="H7" s="8"/>
    </row>
    <row r="8" spans="2:8" ht="13.2" x14ac:dyDescent="0.25">
      <c r="H8" s="8"/>
    </row>
    <row r="9" spans="2:8" ht="13.2" hidden="1" x14ac:dyDescent="0.25">
      <c r="H9" s="8"/>
    </row>
    <row r="10" spans="2:8" ht="13.2" hidden="1" x14ac:dyDescent="0.25"/>
    <row r="11" spans="2:8" ht="13.2" hidden="1" x14ac:dyDescent="0.25"/>
    <row r="12" spans="2:8" ht="13.2" hidden="1" x14ac:dyDescent="0.25"/>
    <row r="13" spans="2:8" ht="13.2" hidden="1" x14ac:dyDescent="0.25"/>
    <row r="14" spans="2:8" ht="13.2" hidden="1" x14ac:dyDescent="0.25"/>
    <row r="15" spans="2:8" ht="13.2" hidden="1" x14ac:dyDescent="0.25"/>
    <row r="16" spans="2:8" ht="13.2" hidden="1" x14ac:dyDescent="0.25"/>
    <row r="17" ht="13.2" hidden="1" x14ac:dyDescent="0.25"/>
    <row r="18" ht="13.2" hidden="1" x14ac:dyDescent="0.25"/>
    <row r="19" ht="13.2" hidden="1" x14ac:dyDescent="0.25"/>
    <row r="20" ht="13.2" hidden="1" x14ac:dyDescent="0.25"/>
    <row r="21" ht="13.2" hidden="1" x14ac:dyDescent="0.25"/>
    <row r="22" ht="13.2" hidden="1" x14ac:dyDescent="0.25"/>
    <row r="23" ht="13.2" hidden="1" x14ac:dyDescent="0.25"/>
  </sheetData>
  <mergeCells count="2">
    <mergeCell ref="B3:B4"/>
    <mergeCell ref="C3:C4"/>
  </mergeCells>
  <dataValidations count="3">
    <dataValidation type="list" allowBlank="1" showInputMessage="1" showErrorMessage="1" sqref="I9" xr:uid="{C02788FC-33E9-443C-847B-3E0A6AC601AD}">
      <formula1>"Propuesta LAP, Cargos 2022"</formula1>
    </dataValidation>
    <dataValidation type="list" allowBlank="1" showInputMessage="1" showErrorMessage="1" sqref="I8" xr:uid="{2187D26B-C3FD-4BCC-8623-6DC1AFE3FFEB}">
      <formula1>"Todo Año 0,Año 0 + 2025"</formula1>
    </dataValidation>
    <dataValidation type="list" allowBlank="1" showInputMessage="1" showErrorMessage="1" sqref="I7" xr:uid="{9F8DAE59-B7D6-4F52-8576-86BFD625442D}">
      <formula1>"Ratio,Factor de Ocupación"</formula1>
    </dataValidation>
  </dataValidations>
  <hyperlinks>
    <hyperlink ref="F1" location="Índice!A1" display="ÍNDICE" xr:uid="{F014ACD1-769A-4126-B7E9-226C6BAA6A60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Tarifa_TUUA_Transferencia">
                <anchor moveWithCells="1" sizeWithCells="1">
                  <from>
                    <xdr:col>4</xdr:col>
                    <xdr:colOff>220980</xdr:colOff>
                    <xdr:row>4</xdr:row>
                    <xdr:rowOff>152400</xdr:rowOff>
                  </from>
                  <to>
                    <xdr:col>5</xdr:col>
                    <xdr:colOff>335280</xdr:colOff>
                    <xdr:row>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467A-066F-4631-9A31-96D6654F3FA5}">
  <sheetPr codeName="Hoja4"/>
  <dimension ref="A1:Y47"/>
  <sheetViews>
    <sheetView showGridLines="0" zoomScaleNormal="100" workbookViewId="0">
      <pane ySplit="2" topLeftCell="A3" activePane="bottomLeft" state="frozen"/>
      <selection pane="bottomLeft" activeCell="D30" sqref="D30"/>
    </sheetView>
  </sheetViews>
  <sheetFormatPr baseColWidth="10" defaultColWidth="0" defaultRowHeight="13.2" x14ac:dyDescent="0.25"/>
  <cols>
    <col min="1" max="1" width="2.6640625" style="1" customWidth="1"/>
    <col min="2" max="2" width="27.33203125" style="1" bestFit="1" customWidth="1"/>
    <col min="3" max="10" width="11.33203125" style="1" customWidth="1"/>
    <col min="11" max="11" width="2.6640625" style="1" customWidth="1"/>
    <col min="12" max="12" width="14.88671875" style="1" hidden="1" customWidth="1"/>
    <col min="13" max="17" width="13.6640625" style="1" hidden="1" customWidth="1"/>
    <col min="18" max="18" width="13.88671875" style="1" hidden="1" customWidth="1"/>
    <col min="19" max="19" width="11.5546875" style="1" hidden="1" customWidth="1"/>
    <col min="20" max="21" width="11.6640625" style="1" hidden="1" customWidth="1"/>
    <col min="22" max="25" width="13.6640625" style="1" hidden="1" customWidth="1"/>
    <col min="26" max="16384" width="11.5546875" style="1" hidden="1"/>
  </cols>
  <sheetData>
    <row r="1" spans="2:25" ht="16.2" thickBot="1" x14ac:dyDescent="0.35">
      <c r="B1" s="37" t="s">
        <v>398</v>
      </c>
      <c r="J1" s="39" t="s">
        <v>389</v>
      </c>
    </row>
    <row r="2" spans="2:25" x14ac:dyDescent="0.25">
      <c r="B2" s="51" t="s">
        <v>399</v>
      </c>
    </row>
    <row r="3" spans="2:25" ht="5.0999999999999996" customHeight="1" x14ac:dyDescent="0.25"/>
    <row r="4" spans="2:25" x14ac:dyDescent="0.25">
      <c r="B4" s="53" t="s">
        <v>343</v>
      </c>
      <c r="C4" s="53"/>
      <c r="D4" s="53">
        <v>2024</v>
      </c>
      <c r="E4" s="53">
        <v>2025</v>
      </c>
      <c r="F4" s="53">
        <v>2026</v>
      </c>
      <c r="G4" s="53">
        <v>2027</v>
      </c>
      <c r="H4" s="53">
        <v>2028</v>
      </c>
      <c r="I4" s="53">
        <v>2029</v>
      </c>
      <c r="J4" s="53">
        <v>2030</v>
      </c>
    </row>
    <row r="5" spans="2:25" x14ac:dyDescent="0.25">
      <c r="B5" s="38" t="s">
        <v>401</v>
      </c>
      <c r="E5" s="57">
        <f>+'1. Demanda'!C24</f>
        <v>619943.45479452051</v>
      </c>
      <c r="F5" s="57">
        <f>+'1. Demanda'!D24</f>
        <v>838355</v>
      </c>
      <c r="G5" s="57">
        <f>+'1. Demanda'!E24</f>
        <v>859397</v>
      </c>
      <c r="H5" s="57">
        <f>+'1. Demanda'!F24</f>
        <v>880439</v>
      </c>
      <c r="I5" s="57">
        <f>+'1. Demanda'!G24</f>
        <v>915332</v>
      </c>
      <c r="J5" s="57">
        <f>+'1. Demanda'!H24</f>
        <v>944420</v>
      </c>
      <c r="L5" s="2"/>
      <c r="M5" s="2"/>
      <c r="N5" s="2"/>
      <c r="O5" s="2"/>
      <c r="P5" s="2"/>
      <c r="Q5" s="2"/>
      <c r="R5" s="2"/>
      <c r="T5" s="2"/>
      <c r="U5" s="2"/>
      <c r="V5" s="2"/>
      <c r="W5" s="2"/>
      <c r="X5" s="2"/>
      <c r="Y5" s="2"/>
    </row>
    <row r="6" spans="2:25" x14ac:dyDescent="0.25">
      <c r="B6" s="38" t="s">
        <v>400</v>
      </c>
      <c r="D6" s="5"/>
      <c r="E6" s="56">
        <v>6.6031621423310662</v>
      </c>
      <c r="F6" s="56">
        <f>+E6</f>
        <v>6.6031621423310662</v>
      </c>
      <c r="G6" s="56">
        <f t="shared" ref="G6:J6" si="0">+F6</f>
        <v>6.6031621423310662</v>
      </c>
      <c r="H6" s="56">
        <f t="shared" si="0"/>
        <v>6.6031621423310662</v>
      </c>
      <c r="I6" s="56">
        <f t="shared" si="0"/>
        <v>6.6031621423310662</v>
      </c>
      <c r="J6" s="56">
        <f t="shared" si="0"/>
        <v>6.6031621423310662</v>
      </c>
      <c r="L6" s="2"/>
      <c r="M6" s="2"/>
      <c r="N6" s="2"/>
      <c r="O6" s="2"/>
      <c r="P6" s="2"/>
      <c r="Q6" s="2"/>
      <c r="R6" s="2"/>
      <c r="T6" s="2"/>
      <c r="U6" s="2"/>
      <c r="V6" s="2"/>
      <c r="W6" s="2"/>
      <c r="X6" s="2"/>
      <c r="Y6" s="2"/>
    </row>
    <row r="7" spans="2:25" x14ac:dyDescent="0.25">
      <c r="B7" s="52" t="s">
        <v>344</v>
      </c>
      <c r="C7" s="52"/>
      <c r="D7" s="60"/>
      <c r="E7" s="61">
        <f>+E5*E6</f>
        <v>4093587.1510851085</v>
      </c>
      <c r="F7" s="61">
        <f t="shared" ref="F7:J7" si="1">+F5*F6</f>
        <v>5535793.9978339607</v>
      </c>
      <c r="G7" s="61">
        <f t="shared" si="1"/>
        <v>5674737.7356328918</v>
      </c>
      <c r="H7" s="61">
        <f t="shared" si="1"/>
        <v>5813681.4734318219</v>
      </c>
      <c r="I7" s="61">
        <f t="shared" si="1"/>
        <v>6044085.6100641796</v>
      </c>
      <c r="J7" s="61">
        <f t="shared" si="1"/>
        <v>6236158.3904603058</v>
      </c>
      <c r="L7" s="2"/>
      <c r="M7" s="2"/>
      <c r="N7" s="2"/>
      <c r="O7" s="2"/>
      <c r="P7" s="2"/>
      <c r="Q7" s="2"/>
      <c r="R7" s="2"/>
      <c r="T7" s="2"/>
      <c r="U7" s="2"/>
      <c r="V7" s="2"/>
      <c r="W7" s="2"/>
      <c r="X7" s="2"/>
      <c r="Y7" s="2"/>
    </row>
    <row r="8" spans="2:25" ht="5.0999999999999996" customHeight="1" x14ac:dyDescent="0.25">
      <c r="D8" s="5"/>
      <c r="E8" s="57"/>
      <c r="F8" s="57"/>
      <c r="G8" s="57"/>
      <c r="H8" s="57"/>
      <c r="I8" s="57"/>
      <c r="J8" s="57"/>
      <c r="L8" s="2"/>
      <c r="M8" s="2"/>
      <c r="N8" s="2"/>
      <c r="O8" s="2"/>
      <c r="P8" s="2"/>
      <c r="Q8" s="2"/>
      <c r="R8" s="2"/>
      <c r="T8" s="2"/>
      <c r="U8" s="2"/>
      <c r="V8" s="2"/>
      <c r="W8" s="2"/>
      <c r="X8" s="2"/>
      <c r="Y8" s="2"/>
    </row>
    <row r="9" spans="2:25" x14ac:dyDescent="0.25">
      <c r="B9" s="1" t="s">
        <v>345</v>
      </c>
      <c r="C9" s="59">
        <v>0.46511000000000002</v>
      </c>
      <c r="D9" s="5"/>
      <c r="E9" s="57">
        <f>-$C$9*E7</f>
        <v>-1903968.3198411949</v>
      </c>
      <c r="F9" s="57">
        <f t="shared" ref="F9:J9" si="2">-$C$9*F7</f>
        <v>-2574753.1463325536</v>
      </c>
      <c r="G9" s="57">
        <f t="shared" si="2"/>
        <v>-2639377.2682202146</v>
      </c>
      <c r="H9" s="57">
        <f t="shared" si="2"/>
        <v>-2704001.3901078748</v>
      </c>
      <c r="I9" s="57">
        <f t="shared" si="2"/>
        <v>-2811164.6580969505</v>
      </c>
      <c r="J9" s="57">
        <f t="shared" si="2"/>
        <v>-2900499.6289869929</v>
      </c>
      <c r="L9" s="2"/>
      <c r="M9" s="2"/>
      <c r="N9" s="2"/>
      <c r="O9" s="2"/>
      <c r="P9" s="2"/>
      <c r="Q9" s="2"/>
      <c r="R9" s="2"/>
      <c r="T9" s="2"/>
      <c r="U9" s="2"/>
      <c r="V9" s="2"/>
      <c r="W9" s="2"/>
      <c r="X9" s="2"/>
      <c r="Y9" s="2"/>
    </row>
    <row r="10" spans="2:25" x14ac:dyDescent="0.25">
      <c r="B10" s="1" t="s">
        <v>346</v>
      </c>
      <c r="C10" s="58">
        <v>0.01</v>
      </c>
      <c r="D10" s="5"/>
      <c r="E10" s="57">
        <f>-$C$10*E7</f>
        <v>-40935.871510851088</v>
      </c>
      <c r="F10" s="57">
        <f t="shared" ref="F10:J10" si="3">-$C$10*F7</f>
        <v>-55357.939978339607</v>
      </c>
      <c r="G10" s="57">
        <f t="shared" si="3"/>
        <v>-56747.377356328921</v>
      </c>
      <c r="H10" s="57">
        <f t="shared" si="3"/>
        <v>-58136.814734318221</v>
      </c>
      <c r="I10" s="57">
        <f t="shared" si="3"/>
        <v>-60440.856100641795</v>
      </c>
      <c r="J10" s="57">
        <f t="shared" si="3"/>
        <v>-62361.58390460306</v>
      </c>
      <c r="L10" s="2"/>
      <c r="M10" s="2"/>
      <c r="N10" s="2"/>
      <c r="O10" s="2"/>
      <c r="P10" s="2"/>
      <c r="Q10" s="2"/>
      <c r="R10" s="2"/>
      <c r="T10" s="2"/>
      <c r="U10" s="2"/>
      <c r="V10" s="2"/>
      <c r="W10" s="2"/>
      <c r="X10" s="2"/>
      <c r="Y10" s="2"/>
    </row>
    <row r="11" spans="2:25" x14ac:dyDescent="0.25">
      <c r="B11" s="52" t="s">
        <v>347</v>
      </c>
      <c r="C11" s="52"/>
      <c r="D11" s="60"/>
      <c r="E11" s="61">
        <f>+SUM(E7:E10)</f>
        <v>2148682.9597330624</v>
      </c>
      <c r="F11" s="61">
        <f t="shared" ref="F11:J11" si="4">+SUM(F7:F10)</f>
        <v>2905682.9115230674</v>
      </c>
      <c r="G11" s="61">
        <f t="shared" si="4"/>
        <v>2978613.0900563481</v>
      </c>
      <c r="H11" s="61">
        <f t="shared" si="4"/>
        <v>3051543.2685896289</v>
      </c>
      <c r="I11" s="61">
        <f t="shared" si="4"/>
        <v>3172480.0958665875</v>
      </c>
      <c r="J11" s="61">
        <f t="shared" si="4"/>
        <v>3273297.1775687099</v>
      </c>
      <c r="L11" s="2"/>
      <c r="M11" s="2"/>
      <c r="N11" s="2"/>
      <c r="O11" s="2"/>
      <c r="P11" s="2"/>
      <c r="Q11" s="2"/>
      <c r="R11" s="2"/>
      <c r="T11" s="2"/>
      <c r="U11" s="2"/>
      <c r="V11" s="2"/>
      <c r="W11" s="2"/>
      <c r="X11" s="2"/>
      <c r="Y11" s="2"/>
    </row>
    <row r="12" spans="2:25" ht="5.0999999999999996" customHeight="1" x14ac:dyDescent="0.25">
      <c r="D12" s="5"/>
      <c r="E12" s="57"/>
      <c r="F12" s="57"/>
      <c r="G12" s="57"/>
      <c r="H12" s="57"/>
      <c r="I12" s="57"/>
      <c r="J12" s="57"/>
      <c r="L12" s="2"/>
      <c r="M12" s="2"/>
      <c r="N12" s="2"/>
      <c r="O12" s="2"/>
      <c r="P12" s="2"/>
      <c r="Q12" s="2"/>
      <c r="R12" s="2"/>
      <c r="T12" s="2"/>
      <c r="U12" s="2"/>
      <c r="V12" s="2"/>
      <c r="W12" s="2"/>
      <c r="X12" s="2"/>
      <c r="Y12" s="2"/>
    </row>
    <row r="13" spans="2:25" x14ac:dyDescent="0.25">
      <c r="B13" s="1" t="s">
        <v>348</v>
      </c>
      <c r="D13" s="5"/>
      <c r="E13" s="57">
        <f>-'2. OPEX'!C30</f>
        <v>-305368.34478419914</v>
      </c>
      <c r="F13" s="57">
        <f>-'2. OPEX'!D30</f>
        <v>-399305.73195529031</v>
      </c>
      <c r="G13" s="57">
        <f>-'2. OPEX'!E30</f>
        <v>-398627.21159416094</v>
      </c>
      <c r="H13" s="57">
        <f>-'2. OPEX'!F30</f>
        <v>-397878.75202329818</v>
      </c>
      <c r="I13" s="57">
        <f>-'2. OPEX'!G30</f>
        <v>-400896.79763376049</v>
      </c>
      <c r="J13" s="57">
        <f>-'2. OPEX'!H30</f>
        <v>-402378.58094364509</v>
      </c>
      <c r="L13" s="2"/>
      <c r="M13" s="2"/>
      <c r="N13" s="2"/>
      <c r="O13" s="2"/>
      <c r="P13" s="2"/>
      <c r="Q13" s="2"/>
      <c r="R13" s="2"/>
      <c r="S13" s="7"/>
      <c r="T13" s="2"/>
      <c r="U13" s="2"/>
      <c r="V13" s="2"/>
      <c r="W13" s="2"/>
      <c r="X13" s="2"/>
      <c r="Y13" s="2"/>
    </row>
    <row r="14" spans="2:25" x14ac:dyDescent="0.25">
      <c r="B14" s="1" t="s">
        <v>350</v>
      </c>
      <c r="D14" s="5"/>
      <c r="E14" s="57">
        <f>-'2. OPEX'!C31</f>
        <v>-566492.65362473705</v>
      </c>
      <c r="F14" s="57">
        <f>-'2. OPEX'!D31</f>
        <v>-735488.88609366026</v>
      </c>
      <c r="G14" s="57">
        <f>-'2. OPEX'!E31</f>
        <v>-731054.29474509566</v>
      </c>
      <c r="H14" s="57">
        <f>-'2. OPEX'!F31</f>
        <v>-726435.66671385709</v>
      </c>
      <c r="I14" s="57">
        <f>-'2. OPEX'!G31</f>
        <v>-730404.42685376084</v>
      </c>
      <c r="J14" s="57">
        <f>-'2. OPEX'!H31</f>
        <v>-730967.39819513133</v>
      </c>
      <c r="L14" s="2"/>
      <c r="M14" s="2"/>
      <c r="N14" s="2"/>
      <c r="O14" s="2"/>
      <c r="P14" s="2"/>
      <c r="Q14" s="2"/>
      <c r="R14" s="2"/>
      <c r="S14" s="7"/>
      <c r="T14" s="2"/>
      <c r="U14" s="2"/>
      <c r="V14" s="2"/>
      <c r="W14" s="2"/>
      <c r="X14" s="2"/>
      <c r="Y14" s="2"/>
    </row>
    <row r="15" spans="2:25" x14ac:dyDescent="0.25">
      <c r="B15" s="1" t="s">
        <v>349</v>
      </c>
      <c r="D15" s="5"/>
      <c r="E15" s="57">
        <f>-'2. OPEX'!C32</f>
        <v>-271200.37902386865</v>
      </c>
      <c r="F15" s="57">
        <f>-'2. OPEX'!D32</f>
        <v>-344291.96093836724</v>
      </c>
      <c r="G15" s="57">
        <f>-'2. OPEX'!E32</f>
        <v>-336512.66449344391</v>
      </c>
      <c r="H15" s="57">
        <f>-'2. OPEX'!F32</f>
        <v>-328868.00966594456</v>
      </c>
      <c r="I15" s="57">
        <f>-'2. OPEX'!G32</f>
        <v>-324722.97515564883</v>
      </c>
      <c r="J15" s="57">
        <f>-'2. OPEX'!H32</f>
        <v>-319634.50869311712</v>
      </c>
      <c r="L15" s="2"/>
      <c r="M15" s="2"/>
      <c r="N15" s="2"/>
      <c r="O15" s="2"/>
      <c r="P15" s="2"/>
      <c r="Q15" s="2"/>
      <c r="R15" s="2"/>
      <c r="S15" s="7"/>
      <c r="T15" s="2"/>
      <c r="U15" s="2"/>
      <c r="V15" s="2"/>
      <c r="W15" s="2"/>
      <c r="X15" s="2"/>
      <c r="Y15" s="2"/>
    </row>
    <row r="16" spans="2:25" x14ac:dyDescent="0.25">
      <c r="B16" s="52" t="s">
        <v>351</v>
      </c>
      <c r="C16" s="52"/>
      <c r="D16" s="60"/>
      <c r="E16" s="61">
        <f>+SUM(E13:E15)</f>
        <v>-1143061.3774328048</v>
      </c>
      <c r="F16" s="61">
        <f t="shared" ref="F16:J16" si="5">+SUM(F13:F15)</f>
        <v>-1479086.5789873179</v>
      </c>
      <c r="G16" s="61">
        <f t="shared" si="5"/>
        <v>-1466194.1708327006</v>
      </c>
      <c r="H16" s="61">
        <f t="shared" si="5"/>
        <v>-1453182.4284031</v>
      </c>
      <c r="I16" s="61">
        <f t="shared" si="5"/>
        <v>-1456024.19964317</v>
      </c>
      <c r="J16" s="61">
        <f t="shared" si="5"/>
        <v>-1452980.4878318936</v>
      </c>
      <c r="L16" s="2"/>
      <c r="M16" s="2"/>
      <c r="N16" s="2"/>
      <c r="O16" s="2"/>
      <c r="P16" s="2"/>
      <c r="Q16" s="2"/>
      <c r="R16" s="2"/>
      <c r="S16" s="7"/>
      <c r="T16" s="2"/>
      <c r="U16" s="2"/>
      <c r="V16" s="2"/>
      <c r="W16" s="2"/>
      <c r="X16" s="2"/>
      <c r="Y16" s="2"/>
    </row>
    <row r="17" spans="2:25" ht="5.0999999999999996" customHeight="1" x14ac:dyDescent="0.25">
      <c r="D17" s="5"/>
      <c r="E17" s="57"/>
      <c r="F17" s="57"/>
      <c r="G17" s="57"/>
      <c r="H17" s="57"/>
      <c r="I17" s="57"/>
      <c r="J17" s="57"/>
      <c r="L17" s="2"/>
      <c r="M17" s="2"/>
      <c r="N17" s="2"/>
      <c r="O17" s="2"/>
      <c r="P17" s="2"/>
      <c r="Q17" s="2"/>
      <c r="R17" s="2"/>
      <c r="T17" s="2"/>
      <c r="U17" s="2"/>
      <c r="V17" s="2"/>
      <c r="W17" s="2"/>
      <c r="X17" s="2"/>
      <c r="Y17" s="2"/>
    </row>
    <row r="18" spans="2:25" x14ac:dyDescent="0.25">
      <c r="B18" s="18" t="s">
        <v>352</v>
      </c>
      <c r="D18" s="57">
        <f>+D35</f>
        <v>-1534503.196320225</v>
      </c>
      <c r="E18" s="57">
        <f t="shared" ref="E18:J18" si="6">+E35</f>
        <v>415419.38985465444</v>
      </c>
      <c r="F18" s="57">
        <f t="shared" si="6"/>
        <v>753834.75911022024</v>
      </c>
      <c r="G18" s="57">
        <f t="shared" si="6"/>
        <v>805578.35482976877</v>
      </c>
      <c r="H18" s="57">
        <f t="shared" si="6"/>
        <v>832378.49354226096</v>
      </c>
      <c r="I18" s="57">
        <f t="shared" si="6"/>
        <v>873331.78696620523</v>
      </c>
      <c r="J18" s="57">
        <f t="shared" si="6"/>
        <v>908249.1082830854</v>
      </c>
      <c r="L18" s="2"/>
      <c r="M18" s="2"/>
      <c r="N18" s="2"/>
      <c r="O18" s="2"/>
      <c r="P18" s="2"/>
      <c r="Q18" s="2"/>
      <c r="R18" s="2"/>
      <c r="T18" s="2"/>
      <c r="U18" s="2"/>
      <c r="V18" s="2"/>
      <c r="W18" s="2"/>
      <c r="X18" s="2"/>
      <c r="Y18" s="2"/>
    </row>
    <row r="19" spans="2:25" x14ac:dyDescent="0.25">
      <c r="B19" s="18" t="s">
        <v>353</v>
      </c>
      <c r="D19" s="57">
        <f>-D40</f>
        <v>0</v>
      </c>
      <c r="E19" s="57">
        <f t="shared" ref="E19:J19" si="7">-E40</f>
        <v>0</v>
      </c>
      <c r="F19" s="57">
        <f t="shared" si="7"/>
        <v>0</v>
      </c>
      <c r="G19" s="57">
        <f t="shared" si="7"/>
        <v>-440329.30747441843</v>
      </c>
      <c r="H19" s="57">
        <f t="shared" si="7"/>
        <v>-832378.49354226096</v>
      </c>
      <c r="I19" s="57">
        <f t="shared" si="7"/>
        <v>-873331.78696620523</v>
      </c>
      <c r="J19" s="57">
        <f t="shared" si="7"/>
        <v>-908249.1082830854</v>
      </c>
      <c r="L19" s="2"/>
      <c r="M19" s="2"/>
      <c r="N19" s="2"/>
      <c r="O19" s="2"/>
      <c r="P19" s="2"/>
      <c r="Q19" s="2"/>
      <c r="R19" s="2"/>
      <c r="T19" s="2"/>
      <c r="U19" s="2"/>
      <c r="V19" s="2"/>
      <c r="W19" s="2"/>
      <c r="X19" s="2"/>
      <c r="Y19" s="2"/>
    </row>
    <row r="20" spans="2:25" x14ac:dyDescent="0.25">
      <c r="B20" s="18" t="s">
        <v>354</v>
      </c>
      <c r="D20" s="57">
        <f>+D47</f>
        <v>0</v>
      </c>
      <c r="E20" s="57">
        <f t="shared" ref="E20:J20" si="8">+E47</f>
        <v>-145033.65059176879</v>
      </c>
      <c r="F20" s="57">
        <f t="shared" si="8"/>
        <v>-201635.47472328361</v>
      </c>
      <c r="G20" s="57">
        <f t="shared" si="8"/>
        <v>-221156.78401857131</v>
      </c>
      <c r="H20" s="57">
        <f t="shared" si="8"/>
        <v>-243415.74154795759</v>
      </c>
      <c r="I20" s="57">
        <f t="shared" si="8"/>
        <v>-274002.3610615115</v>
      </c>
      <c r="J20" s="57">
        <f t="shared" si="8"/>
        <v>-300902.306581482</v>
      </c>
      <c r="L20" s="2"/>
      <c r="M20" s="2"/>
      <c r="N20" s="2"/>
      <c r="O20" s="2"/>
      <c r="P20" s="2"/>
      <c r="Q20" s="2"/>
      <c r="R20" s="2"/>
      <c r="T20" s="2"/>
      <c r="U20" s="2"/>
      <c r="V20" s="2"/>
      <c r="W20" s="2"/>
      <c r="X20" s="2"/>
      <c r="Y20" s="2"/>
    </row>
    <row r="21" spans="2:25" ht="5.0999999999999996" customHeight="1" x14ac:dyDescent="0.25">
      <c r="D21" s="5"/>
      <c r="E21" s="57"/>
      <c r="F21" s="57"/>
      <c r="G21" s="57"/>
      <c r="H21" s="57"/>
      <c r="I21" s="57"/>
      <c r="J21" s="57"/>
      <c r="L21" s="2"/>
      <c r="M21" s="2"/>
      <c r="N21" s="2"/>
      <c r="O21" s="2"/>
      <c r="P21" s="2"/>
      <c r="Q21" s="2"/>
      <c r="R21" s="2"/>
      <c r="T21" s="2"/>
      <c r="U21" s="2"/>
      <c r="V21" s="2"/>
      <c r="W21" s="2"/>
      <c r="X21" s="2"/>
      <c r="Y21" s="2"/>
    </row>
    <row r="22" spans="2:25" x14ac:dyDescent="0.25">
      <c r="B22" s="52" t="s">
        <v>355</v>
      </c>
      <c r="C22" s="52"/>
      <c r="D22" s="61">
        <f>+D11+D16+SUM(D18:D20)</f>
        <v>-1534503.196320225</v>
      </c>
      <c r="E22" s="61">
        <f>+E11+E16+SUM(E18:E20)</f>
        <v>1276007.3215631433</v>
      </c>
      <c r="F22" s="61">
        <f t="shared" ref="F22:J22" si="9">+F11+F16+SUM(F18:F20)</f>
        <v>1978795.6169226861</v>
      </c>
      <c r="G22" s="61">
        <f t="shared" si="9"/>
        <v>1656511.1825604266</v>
      </c>
      <c r="H22" s="61">
        <f t="shared" si="9"/>
        <v>1354945.0986385713</v>
      </c>
      <c r="I22" s="61">
        <f t="shared" si="9"/>
        <v>1442453.5351619059</v>
      </c>
      <c r="J22" s="61">
        <f t="shared" si="9"/>
        <v>1519414.3831553343</v>
      </c>
      <c r="L22" s="2"/>
      <c r="M22" s="2"/>
      <c r="N22" s="2"/>
      <c r="O22" s="2"/>
      <c r="P22" s="2"/>
      <c r="Q22" s="2"/>
      <c r="R22" s="2"/>
      <c r="T22" s="2"/>
      <c r="U22" s="2"/>
      <c r="V22" s="2"/>
      <c r="W22" s="2"/>
      <c r="X22" s="2"/>
      <c r="Y22" s="2"/>
    </row>
    <row r="23" spans="2:25" ht="5.0999999999999996" customHeight="1" x14ac:dyDescent="0.25">
      <c r="D23" s="5"/>
      <c r="E23" s="57"/>
      <c r="F23" s="57"/>
      <c r="G23" s="57"/>
      <c r="H23" s="57"/>
      <c r="I23" s="57"/>
      <c r="J23" s="57"/>
      <c r="L23" s="2"/>
      <c r="M23" s="2"/>
      <c r="N23" s="2"/>
      <c r="O23" s="2"/>
      <c r="P23" s="2"/>
      <c r="Q23" s="2"/>
      <c r="R23" s="2"/>
      <c r="T23" s="2"/>
      <c r="U23" s="2"/>
      <c r="V23" s="2"/>
      <c r="W23" s="2"/>
      <c r="X23" s="2"/>
      <c r="Y23" s="2"/>
    </row>
    <row r="24" spans="2:25" x14ac:dyDescent="0.25">
      <c r="B24" s="18" t="s">
        <v>358</v>
      </c>
      <c r="D24" s="57">
        <f>-'3. CAPEX'!D107</f>
        <v>0</v>
      </c>
      <c r="E24" s="57"/>
      <c r="F24" s="57"/>
      <c r="G24" s="57"/>
      <c r="H24" s="57"/>
      <c r="I24" s="57"/>
      <c r="J24" s="57"/>
      <c r="L24" s="2"/>
      <c r="M24" s="2"/>
      <c r="N24" s="2"/>
      <c r="O24" s="2"/>
      <c r="P24" s="2"/>
      <c r="Q24" s="2"/>
      <c r="R24" s="2"/>
      <c r="T24" s="2"/>
      <c r="U24" s="2"/>
      <c r="V24" s="2"/>
      <c r="W24" s="2"/>
      <c r="X24" s="2"/>
      <c r="Y24" s="2"/>
    </row>
    <row r="25" spans="2:25" x14ac:dyDescent="0.25">
      <c r="B25" s="18" t="s">
        <v>342</v>
      </c>
      <c r="D25" s="57">
        <f>-'3. CAPEX'!D108</f>
        <v>-8525017.7573345844</v>
      </c>
      <c r="E25" s="57">
        <f>-'3. CAPEX'!E108</f>
        <v>-852063.53262192977</v>
      </c>
      <c r="F25" s="57">
        <f>-'3. CAPEX'!F108</f>
        <v>-138681.74665898152</v>
      </c>
      <c r="G25" s="57">
        <f>-'3. CAPEX'!G108</f>
        <v>0</v>
      </c>
      <c r="H25" s="57">
        <f>-'3. CAPEX'!H108</f>
        <v>0</v>
      </c>
      <c r="I25" s="57">
        <f>-'3. CAPEX'!I108</f>
        <v>0</v>
      </c>
      <c r="J25" s="57">
        <f>-'3. CAPEX'!J108</f>
        <v>0</v>
      </c>
      <c r="L25" s="2"/>
      <c r="M25" s="2"/>
      <c r="N25" s="2"/>
      <c r="O25" s="2"/>
      <c r="P25" s="2"/>
      <c r="Q25" s="2"/>
      <c r="R25" s="2"/>
      <c r="T25" s="2"/>
      <c r="U25" s="2"/>
      <c r="V25" s="2"/>
      <c r="W25" s="2"/>
      <c r="X25" s="2"/>
      <c r="Y25" s="2"/>
    </row>
    <row r="26" spans="2:25" x14ac:dyDescent="0.25">
      <c r="B26" s="18" t="s">
        <v>359</v>
      </c>
      <c r="D26" s="57"/>
      <c r="E26" s="57"/>
      <c r="F26" s="57"/>
      <c r="G26" s="57"/>
      <c r="H26" s="57"/>
      <c r="I26" s="57"/>
      <c r="J26" s="57">
        <f>'3. CAPEX'!J109</f>
        <v>5787909.0641487492</v>
      </c>
      <c r="L26" s="2"/>
      <c r="M26" s="2"/>
      <c r="N26" s="2"/>
      <c r="O26" s="2"/>
      <c r="P26" s="2"/>
      <c r="Q26" s="2"/>
      <c r="R26" s="2"/>
      <c r="T26" s="2"/>
      <c r="U26" s="2"/>
      <c r="V26" s="2"/>
      <c r="W26" s="2"/>
      <c r="X26" s="2"/>
      <c r="Y26" s="2"/>
    </row>
    <row r="27" spans="2:25" ht="5.0999999999999996" customHeight="1" x14ac:dyDescent="0.25">
      <c r="D27" s="5"/>
      <c r="E27" s="57"/>
      <c r="F27" s="57"/>
      <c r="G27" s="57"/>
      <c r="H27" s="57"/>
      <c r="I27" s="57"/>
      <c r="J27" s="57"/>
      <c r="L27" s="2"/>
      <c r="M27" s="2"/>
      <c r="N27" s="2"/>
      <c r="O27" s="2"/>
      <c r="P27" s="2"/>
      <c r="Q27" s="2"/>
      <c r="R27" s="2"/>
      <c r="T27" s="2"/>
      <c r="U27" s="2"/>
      <c r="V27" s="2"/>
      <c r="W27" s="2"/>
      <c r="X27" s="2"/>
      <c r="Y27" s="2"/>
    </row>
    <row r="28" spans="2:25" x14ac:dyDescent="0.25">
      <c r="B28" s="52" t="s">
        <v>360</v>
      </c>
      <c r="C28" s="52"/>
      <c r="D28" s="61">
        <f>+D22+SUM(D24:D26)</f>
        <v>-10059520.953654809</v>
      </c>
      <c r="E28" s="61">
        <f t="shared" ref="E28:J28" si="10">+E22+SUM(E24:E26)</f>
        <v>423943.78894121351</v>
      </c>
      <c r="F28" s="61">
        <f t="shared" si="10"/>
        <v>1840113.8702637046</v>
      </c>
      <c r="G28" s="61">
        <f t="shared" si="10"/>
        <v>1656511.1825604266</v>
      </c>
      <c r="H28" s="61">
        <f t="shared" si="10"/>
        <v>1354945.0986385713</v>
      </c>
      <c r="I28" s="61">
        <f t="shared" si="10"/>
        <v>1442453.5351619059</v>
      </c>
      <c r="J28" s="61">
        <f t="shared" si="10"/>
        <v>7307323.447304083</v>
      </c>
      <c r="L28" s="2"/>
      <c r="M28" s="2"/>
      <c r="N28" s="2"/>
      <c r="O28" s="2"/>
      <c r="P28" s="2"/>
      <c r="Q28" s="2"/>
      <c r="R28" s="2"/>
      <c r="T28" s="2"/>
      <c r="U28" s="2"/>
      <c r="V28" s="2"/>
      <c r="W28" s="2"/>
      <c r="X28" s="2"/>
      <c r="Y28" s="2"/>
    </row>
    <row r="30" spans="2:25" x14ac:dyDescent="0.25">
      <c r="B30" s="52" t="s">
        <v>356</v>
      </c>
      <c r="C30" s="62">
        <f>+'4. WACC'!C19</f>
        <v>7.5352963951681451E-2</v>
      </c>
    </row>
    <row r="31" spans="2:25" x14ac:dyDescent="0.25">
      <c r="B31" s="52" t="s">
        <v>357</v>
      </c>
      <c r="C31" s="245">
        <f>+D28+NPV(C30,E28:J28)</f>
        <v>0</v>
      </c>
    </row>
    <row r="33" spans="2:10" x14ac:dyDescent="0.25">
      <c r="B33" s="52" t="s">
        <v>361</v>
      </c>
      <c r="C33" s="67">
        <v>0.18</v>
      </c>
      <c r="D33" s="53">
        <v>2024</v>
      </c>
      <c r="E33" s="53">
        <v>2025</v>
      </c>
      <c r="F33" s="53">
        <v>2026</v>
      </c>
      <c r="G33" s="53">
        <v>2027</v>
      </c>
      <c r="H33" s="53">
        <v>2028</v>
      </c>
      <c r="I33" s="53">
        <v>2029</v>
      </c>
      <c r="J33" s="53">
        <v>2030</v>
      </c>
    </row>
    <row r="34" spans="2:10" x14ac:dyDescent="0.25">
      <c r="B34" s="64" t="s">
        <v>362</v>
      </c>
      <c r="C34" s="68"/>
      <c r="D34" s="73">
        <v>0</v>
      </c>
      <c r="E34" s="73">
        <f>+D39</f>
        <v>-1534503.196320225</v>
      </c>
      <c r="F34" s="73">
        <f>+E39</f>
        <v>-1119083.8064655706</v>
      </c>
      <c r="G34" s="73">
        <f t="shared" ref="G34:J34" si="11">+F39</f>
        <v>-365249.04735535034</v>
      </c>
      <c r="H34" s="73">
        <f t="shared" si="11"/>
        <v>0</v>
      </c>
      <c r="I34" s="73">
        <f t="shared" si="11"/>
        <v>0</v>
      </c>
      <c r="J34" s="73">
        <f t="shared" si="11"/>
        <v>0</v>
      </c>
    </row>
    <row r="35" spans="2:10" x14ac:dyDescent="0.25">
      <c r="B35" s="52" t="s">
        <v>363</v>
      </c>
      <c r="C35" s="52"/>
      <c r="D35" s="74">
        <f>+SUM(D36:D38)</f>
        <v>-1534503.196320225</v>
      </c>
      <c r="E35" s="74">
        <f>+SUM(E36:E38)</f>
        <v>415419.38985465444</v>
      </c>
      <c r="F35" s="74">
        <f t="shared" ref="F35:J35" si="12">+SUM(F36:F38)</f>
        <v>753834.75911022024</v>
      </c>
      <c r="G35" s="74">
        <f t="shared" si="12"/>
        <v>805578.35482976877</v>
      </c>
      <c r="H35" s="74">
        <f t="shared" si="12"/>
        <v>832378.49354226096</v>
      </c>
      <c r="I35" s="74">
        <f t="shared" si="12"/>
        <v>873331.78696620523</v>
      </c>
      <c r="J35" s="74">
        <f t="shared" si="12"/>
        <v>908249.1082830854</v>
      </c>
    </row>
    <row r="36" spans="2:10" x14ac:dyDescent="0.25">
      <c r="B36" s="65" t="s">
        <v>364</v>
      </c>
      <c r="C36" s="69"/>
      <c r="D36" s="75">
        <f t="shared" ref="D36:J36" si="13">+D7*$C$33</f>
        <v>0</v>
      </c>
      <c r="E36" s="75">
        <f t="shared" si="13"/>
        <v>736845.68719531945</v>
      </c>
      <c r="F36" s="75">
        <f t="shared" si="13"/>
        <v>996442.91961011291</v>
      </c>
      <c r="G36" s="75">
        <f t="shared" si="13"/>
        <v>1021452.7924139205</v>
      </c>
      <c r="H36" s="75">
        <f t="shared" si="13"/>
        <v>1046462.6652177279</v>
      </c>
      <c r="I36" s="75">
        <f t="shared" si="13"/>
        <v>1087935.4098115524</v>
      </c>
      <c r="J36" s="75">
        <f t="shared" si="13"/>
        <v>1122508.510282855</v>
      </c>
    </row>
    <row r="37" spans="2:10" x14ac:dyDescent="0.25">
      <c r="B37" s="65" t="s">
        <v>365</v>
      </c>
      <c r="C37" s="69"/>
      <c r="D37" s="75">
        <f t="shared" ref="D37:J37" si="14">+(D13+SUM(D14:D15)*0.75)*$C$33</f>
        <v>0</v>
      </c>
      <c r="E37" s="75">
        <f t="shared" si="14"/>
        <v>-168054.86146871763</v>
      </c>
      <c r="F37" s="75">
        <f t="shared" si="14"/>
        <v>-217645.44610127597</v>
      </c>
      <c r="G37" s="75">
        <f t="shared" si="14"/>
        <v>-215874.43758415178</v>
      </c>
      <c r="H37" s="75">
        <f t="shared" si="14"/>
        <v>-214084.1716754669</v>
      </c>
      <c r="I37" s="75">
        <f t="shared" si="14"/>
        <v>-214603.62284534718</v>
      </c>
      <c r="J37" s="75">
        <f t="shared" si="14"/>
        <v>-214259.40199976962</v>
      </c>
    </row>
    <row r="38" spans="2:10" x14ac:dyDescent="0.25">
      <c r="B38" s="65" t="s">
        <v>366</v>
      </c>
      <c r="C38" s="69"/>
      <c r="D38" s="75">
        <f>+D25*$C$33</f>
        <v>-1534503.196320225</v>
      </c>
      <c r="E38" s="75">
        <f>+E25*$C$33</f>
        <v>-153371.43587194735</v>
      </c>
      <c r="F38" s="75">
        <f>+F25*$C$33</f>
        <v>-24962.71439861667</v>
      </c>
      <c r="G38" s="75">
        <f t="shared" ref="G38:J38" si="15">+G25*$C$33</f>
        <v>0</v>
      </c>
      <c r="H38" s="75">
        <f t="shared" si="15"/>
        <v>0</v>
      </c>
      <c r="I38" s="75">
        <f t="shared" si="15"/>
        <v>0</v>
      </c>
      <c r="J38" s="75">
        <f t="shared" si="15"/>
        <v>0</v>
      </c>
    </row>
    <row r="39" spans="2:10" x14ac:dyDescent="0.25">
      <c r="B39" s="64" t="s">
        <v>367</v>
      </c>
      <c r="C39" s="68"/>
      <c r="D39" s="73">
        <f>IF(SUM(D34:D35)&lt;0,SUM(D34:D35),0)</f>
        <v>-1534503.196320225</v>
      </c>
      <c r="E39" s="76">
        <f>IF(SUM(E34:E35)&lt;0,SUM(E34:E35),0)</f>
        <v>-1119083.8064655706</v>
      </c>
      <c r="F39" s="76">
        <f t="shared" ref="F39:J39" si="16">IF(SUM(F34:F35)&lt;0,SUM(F34:F35),0)</f>
        <v>-365249.04735535034</v>
      </c>
      <c r="G39" s="76">
        <f t="shared" si="16"/>
        <v>0</v>
      </c>
      <c r="H39" s="76">
        <f t="shared" si="16"/>
        <v>0</v>
      </c>
      <c r="I39" s="76">
        <f t="shared" si="16"/>
        <v>0</v>
      </c>
      <c r="J39" s="76">
        <f t="shared" si="16"/>
        <v>0</v>
      </c>
    </row>
    <row r="40" spans="2:10" x14ac:dyDescent="0.25">
      <c r="B40" s="52" t="s">
        <v>368</v>
      </c>
      <c r="C40" s="52"/>
      <c r="D40" s="74">
        <f>IF(SUM(D34:D35)&lt;0,0,SUM(D34:D35))</f>
        <v>0</v>
      </c>
      <c r="E40" s="74">
        <f>IF(SUM(E34:E35)&lt;0,0,SUM(E34:E35))</f>
        <v>0</v>
      </c>
      <c r="F40" s="74">
        <f t="shared" ref="F40:J40" si="17">IF(SUM(F34:F35)&lt;0,0,SUM(F34:F35))</f>
        <v>0</v>
      </c>
      <c r="G40" s="74">
        <f t="shared" si="17"/>
        <v>440329.30747441843</v>
      </c>
      <c r="H40" s="74">
        <f t="shared" si="17"/>
        <v>832378.49354226096</v>
      </c>
      <c r="I40" s="74">
        <f t="shared" si="17"/>
        <v>873331.78696620523</v>
      </c>
      <c r="J40" s="74">
        <f t="shared" si="17"/>
        <v>908249.1082830854</v>
      </c>
    </row>
    <row r="41" spans="2:10" x14ac:dyDescent="0.25">
      <c r="B41" s="38"/>
      <c r="C41" s="38"/>
      <c r="D41" s="76"/>
      <c r="E41" s="76"/>
      <c r="F41" s="76"/>
      <c r="G41" s="76"/>
      <c r="H41" s="76"/>
      <c r="I41" s="76"/>
      <c r="J41" s="76"/>
    </row>
    <row r="42" spans="2:10" x14ac:dyDescent="0.25">
      <c r="B42" s="52" t="s">
        <v>354</v>
      </c>
      <c r="C42" s="67">
        <v>0.25900000000000001</v>
      </c>
      <c r="D42" s="53">
        <v>2024</v>
      </c>
      <c r="E42" s="53">
        <v>2025</v>
      </c>
      <c r="F42" s="53">
        <v>2026</v>
      </c>
      <c r="G42" s="53">
        <v>2027</v>
      </c>
      <c r="H42" s="53">
        <v>2028</v>
      </c>
      <c r="I42" s="53">
        <v>2029</v>
      </c>
      <c r="J42" s="53">
        <v>2030</v>
      </c>
    </row>
    <row r="43" spans="2:10" x14ac:dyDescent="0.25">
      <c r="B43" s="38" t="s">
        <v>369</v>
      </c>
      <c r="C43" s="38"/>
      <c r="D43" s="76"/>
      <c r="E43" s="76">
        <f>+E7</f>
        <v>4093587.1510851085</v>
      </c>
      <c r="F43" s="76">
        <f t="shared" ref="F43:J43" si="18">+F7</f>
        <v>5535793.9978339607</v>
      </c>
      <c r="G43" s="76">
        <f t="shared" si="18"/>
        <v>5674737.7356328918</v>
      </c>
      <c r="H43" s="76">
        <f t="shared" si="18"/>
        <v>5813681.4734318219</v>
      </c>
      <c r="I43" s="76">
        <f t="shared" si="18"/>
        <v>6044085.6100641796</v>
      </c>
      <c r="J43" s="76">
        <f t="shared" si="18"/>
        <v>6236158.3904603058</v>
      </c>
    </row>
    <row r="44" spans="2:10" x14ac:dyDescent="0.25">
      <c r="B44" s="38" t="s">
        <v>370</v>
      </c>
      <c r="C44" s="38"/>
      <c r="D44" s="76"/>
      <c r="E44" s="76">
        <f>+E16+E9+E10</f>
        <v>-3087965.5687848506</v>
      </c>
      <c r="F44" s="76">
        <f t="shared" ref="F44:J44" si="19">+F16+F9+F10</f>
        <v>-4109197.6652982114</v>
      </c>
      <c r="G44" s="76">
        <f t="shared" si="19"/>
        <v>-4162318.8164092442</v>
      </c>
      <c r="H44" s="76">
        <f t="shared" si="19"/>
        <v>-4215320.6332452931</v>
      </c>
      <c r="I44" s="76">
        <f t="shared" si="19"/>
        <v>-4327629.7138407631</v>
      </c>
      <c r="J44" s="76">
        <f t="shared" si="19"/>
        <v>-4415841.7007234897</v>
      </c>
    </row>
    <row r="45" spans="2:10" x14ac:dyDescent="0.25">
      <c r="B45" s="38" t="s">
        <v>371</v>
      </c>
      <c r="C45" s="38"/>
      <c r="D45" s="76"/>
      <c r="E45" s="76">
        <f>-'3. CAPEX'!I67</f>
        <v>-445646.09738995362</v>
      </c>
      <c r="F45" s="76">
        <f>-'3. CAPEX'!J67</f>
        <v>-648080.98611380486</v>
      </c>
      <c r="G45" s="76">
        <f>-'3. CAPEX'!K67</f>
        <v>-658531.72224074672</v>
      </c>
      <c r="H45" s="76">
        <f>-'3. CAPEX'!L67</f>
        <v>-658531.72224074672</v>
      </c>
      <c r="I45" s="76">
        <f>-'3. CAPEX'!M67</f>
        <v>-658531.72224074672</v>
      </c>
      <c r="J45" s="76">
        <f>-'3. CAPEX'!N67</f>
        <v>-658531.72224074672</v>
      </c>
    </row>
    <row r="46" spans="2:10" x14ac:dyDescent="0.25">
      <c r="B46" s="52" t="s">
        <v>372</v>
      </c>
      <c r="C46" s="52"/>
      <c r="D46" s="74"/>
      <c r="E46" s="74">
        <f>+SUM(E43:E45)</f>
        <v>559975.48491030419</v>
      </c>
      <c r="F46" s="74">
        <f t="shared" ref="F46:J46" si="20">+SUM(F43:F45)</f>
        <v>778515.34642194444</v>
      </c>
      <c r="G46" s="74">
        <f t="shared" si="20"/>
        <v>853887.19698290084</v>
      </c>
      <c r="H46" s="74">
        <f t="shared" si="20"/>
        <v>939829.11794578214</v>
      </c>
      <c r="I46" s="74">
        <f t="shared" si="20"/>
        <v>1057924.1739826698</v>
      </c>
      <c r="J46" s="74">
        <f t="shared" si="20"/>
        <v>1161784.9674960694</v>
      </c>
    </row>
    <row r="47" spans="2:10" x14ac:dyDescent="0.25">
      <c r="B47" s="66" t="s">
        <v>354</v>
      </c>
      <c r="C47" s="66"/>
      <c r="D47" s="77"/>
      <c r="E47" s="77">
        <f>-IF(E46&lt;0,0,E46*$C$42)</f>
        <v>-145033.65059176879</v>
      </c>
      <c r="F47" s="77">
        <f t="shared" ref="F47:J47" si="21">-IF(F46&lt;0,0,F46*$C$42)</f>
        <v>-201635.47472328361</v>
      </c>
      <c r="G47" s="77">
        <f t="shared" si="21"/>
        <v>-221156.78401857131</v>
      </c>
      <c r="H47" s="77">
        <f t="shared" si="21"/>
        <v>-243415.74154795759</v>
      </c>
      <c r="I47" s="77">
        <f t="shared" si="21"/>
        <v>-274002.3610615115</v>
      </c>
      <c r="J47" s="77">
        <f t="shared" si="21"/>
        <v>-300902.306581482</v>
      </c>
    </row>
  </sheetData>
  <hyperlinks>
    <hyperlink ref="J1" location="Índice!A1" display="ÍNDICE" xr:uid="{AD9DB4C5-359E-4AC2-8252-6279384BF7EF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1702F-235D-4B69-9A17-0A8DAF9F5D06}">
  <sheetPr codeName="Hoja5"/>
  <dimension ref="A1:K47"/>
  <sheetViews>
    <sheetView showGridLines="0" zoomScaleNormal="100" workbookViewId="0">
      <selection activeCell="I30" sqref="I30"/>
    </sheetView>
  </sheetViews>
  <sheetFormatPr baseColWidth="10" defaultColWidth="0" defaultRowHeight="13.2" x14ac:dyDescent="0.25"/>
  <cols>
    <col min="1" max="1" width="2.6640625" style="1" customWidth="1"/>
    <col min="2" max="2" width="27.33203125" style="1" bestFit="1" customWidth="1"/>
    <col min="3" max="3" width="15" style="1" customWidth="1"/>
    <col min="4" max="10" width="11.33203125" style="1" customWidth="1"/>
    <col min="11" max="11" width="2.6640625" style="1" customWidth="1"/>
    <col min="12" max="16384" width="11.5546875" style="1" hidden="1"/>
  </cols>
  <sheetData>
    <row r="1" spans="2:10" ht="16.2" thickBot="1" x14ac:dyDescent="0.35">
      <c r="B1" s="37" t="s">
        <v>402</v>
      </c>
      <c r="J1" s="39" t="s">
        <v>389</v>
      </c>
    </row>
    <row r="2" spans="2:10" x14ac:dyDescent="0.25">
      <c r="B2" s="51" t="s">
        <v>399</v>
      </c>
    </row>
    <row r="3" spans="2:10" ht="5.0999999999999996" customHeight="1" x14ac:dyDescent="0.25"/>
    <row r="4" spans="2:10" x14ac:dyDescent="0.25">
      <c r="B4" s="53" t="s">
        <v>343</v>
      </c>
      <c r="C4" s="53"/>
      <c r="D4" s="53">
        <v>2024</v>
      </c>
      <c r="E4" s="53">
        <v>2025</v>
      </c>
      <c r="F4" s="53">
        <v>2026</v>
      </c>
      <c r="G4" s="53">
        <v>2027</v>
      </c>
      <c r="H4" s="53">
        <v>2028</v>
      </c>
      <c r="I4" s="53">
        <v>2029</v>
      </c>
      <c r="J4" s="53">
        <v>2030</v>
      </c>
    </row>
    <row r="5" spans="2:10" x14ac:dyDescent="0.25">
      <c r="B5" s="38" t="s">
        <v>403</v>
      </c>
      <c r="E5" s="57">
        <f>+'1. Demanda'!C23</f>
        <v>1256937.9671232877</v>
      </c>
      <c r="F5" s="57">
        <f>+'1. Demanda'!D23</f>
        <v>2024214</v>
      </c>
      <c r="G5" s="57">
        <f>+'1. Demanda'!E23</f>
        <v>2347254</v>
      </c>
      <c r="H5" s="57">
        <f>+'1. Demanda'!F23</f>
        <v>2564553</v>
      </c>
      <c r="I5" s="57">
        <f>+'1. Demanda'!G23</f>
        <v>2760803</v>
      </c>
      <c r="J5" s="57">
        <f>+'1. Demanda'!H23</f>
        <v>2971410</v>
      </c>
    </row>
    <row r="6" spans="2:10" x14ac:dyDescent="0.25">
      <c r="B6" s="38" t="s">
        <v>404</v>
      </c>
      <c r="D6" s="5"/>
      <c r="E6" s="63">
        <v>10.448069774308511</v>
      </c>
      <c r="F6" s="56">
        <f>+E6</f>
        <v>10.448069774308511</v>
      </c>
      <c r="G6" s="56">
        <f t="shared" ref="G6:J6" si="0">+F6</f>
        <v>10.448069774308511</v>
      </c>
      <c r="H6" s="56">
        <f t="shared" si="0"/>
        <v>10.448069774308511</v>
      </c>
      <c r="I6" s="56">
        <f t="shared" si="0"/>
        <v>10.448069774308511</v>
      </c>
      <c r="J6" s="56">
        <f t="shared" si="0"/>
        <v>10.448069774308511</v>
      </c>
    </row>
    <row r="7" spans="2:10" x14ac:dyDescent="0.25">
      <c r="B7" s="52" t="s">
        <v>344</v>
      </c>
      <c r="C7" s="52"/>
      <c r="D7" s="60"/>
      <c r="E7" s="61">
        <f>+E5*E6</f>
        <v>13132575.582481608</v>
      </c>
      <c r="F7" s="61">
        <f t="shared" ref="F7:J7" si="1">+F5*F6</f>
        <v>21149129.110132128</v>
      </c>
      <c r="G7" s="61">
        <f t="shared" si="1"/>
        <v>24524273.570024751</v>
      </c>
      <c r="H7" s="61">
        <f t="shared" si="1"/>
        <v>26794628.683912214</v>
      </c>
      <c r="I7" s="61">
        <f t="shared" si="1"/>
        <v>28845062.37712026</v>
      </c>
      <c r="J7" s="61">
        <f t="shared" si="1"/>
        <v>31045499.008078054</v>
      </c>
    </row>
    <row r="8" spans="2:10" ht="5.0999999999999996" customHeight="1" x14ac:dyDescent="0.25">
      <c r="D8" s="5"/>
      <c r="E8" s="57"/>
      <c r="F8" s="57"/>
      <c r="G8" s="57"/>
      <c r="H8" s="57"/>
      <c r="I8" s="57"/>
      <c r="J8" s="57"/>
    </row>
    <row r="9" spans="2:10" x14ac:dyDescent="0.25">
      <c r="B9" s="1" t="s">
        <v>345</v>
      </c>
      <c r="C9" s="59">
        <v>0.46511000000000002</v>
      </c>
      <c r="D9" s="5"/>
      <c r="E9" s="57">
        <f>-$C$9*E7</f>
        <v>-6108092.2291680211</v>
      </c>
      <c r="F9" s="57">
        <f t="shared" ref="F9:J9" si="2">-$C$9*F7</f>
        <v>-9836671.4404135551</v>
      </c>
      <c r="G9" s="57">
        <f t="shared" si="2"/>
        <v>-11406484.880154213</v>
      </c>
      <c r="H9" s="57">
        <f t="shared" si="2"/>
        <v>-12462449.74717441</v>
      </c>
      <c r="I9" s="57">
        <f t="shared" si="2"/>
        <v>-13416126.962222405</v>
      </c>
      <c r="J9" s="57">
        <f t="shared" si="2"/>
        <v>-14439572.043647185</v>
      </c>
    </row>
    <row r="10" spans="2:10" x14ac:dyDescent="0.25">
      <c r="B10" s="1" t="s">
        <v>346</v>
      </c>
      <c r="C10" s="58">
        <v>0.01</v>
      </c>
      <c r="D10" s="5"/>
      <c r="E10" s="57">
        <f>-$C$10*E7</f>
        <v>-131325.75582481609</v>
      </c>
      <c r="F10" s="57">
        <f t="shared" ref="F10:J10" si="3">-$C$10*F7</f>
        <v>-211491.29110132129</v>
      </c>
      <c r="G10" s="57">
        <f t="shared" si="3"/>
        <v>-245242.73570024752</v>
      </c>
      <c r="H10" s="57">
        <f t="shared" si="3"/>
        <v>-267946.28683912213</v>
      </c>
      <c r="I10" s="57">
        <f t="shared" si="3"/>
        <v>-288450.62377120263</v>
      </c>
      <c r="J10" s="57">
        <f t="shared" si="3"/>
        <v>-310454.99008078052</v>
      </c>
    </row>
    <row r="11" spans="2:10" x14ac:dyDescent="0.25">
      <c r="B11" s="52" t="s">
        <v>347</v>
      </c>
      <c r="C11" s="52"/>
      <c r="D11" s="60"/>
      <c r="E11" s="61">
        <f>+SUM(E7:E10)</f>
        <v>6893157.5974887703</v>
      </c>
      <c r="F11" s="61">
        <f t="shared" ref="F11:J11" si="4">+SUM(F7:F10)</f>
        <v>11100966.378617251</v>
      </c>
      <c r="G11" s="61">
        <f t="shared" si="4"/>
        <v>12872545.95417029</v>
      </c>
      <c r="H11" s="61">
        <f t="shared" si="4"/>
        <v>14064232.649898682</v>
      </c>
      <c r="I11" s="61">
        <f t="shared" si="4"/>
        <v>15140484.791126654</v>
      </c>
      <c r="J11" s="61">
        <f t="shared" si="4"/>
        <v>16295471.974350087</v>
      </c>
    </row>
    <row r="12" spans="2:10" ht="5.0999999999999996" customHeight="1" x14ac:dyDescent="0.25">
      <c r="D12" s="5"/>
      <c r="E12" s="57"/>
      <c r="F12" s="57"/>
      <c r="G12" s="57"/>
      <c r="H12" s="57"/>
      <c r="I12" s="57"/>
      <c r="J12" s="57"/>
    </row>
    <row r="13" spans="2:10" x14ac:dyDescent="0.25">
      <c r="B13" s="1" t="s">
        <v>348</v>
      </c>
      <c r="D13" s="5"/>
      <c r="E13" s="57">
        <f>-'2. OPEX'!C24</f>
        <v>-835881.91322933242</v>
      </c>
      <c r="F13" s="57">
        <f>-'2. OPEX'!D24</f>
        <v>-1219587.1144963996</v>
      </c>
      <c r="G13" s="57">
        <f>-'2. OPEX'!E24</f>
        <v>-1318400.7263718038</v>
      </c>
      <c r="H13" s="57">
        <f>-'2. OPEX'!F24</f>
        <v>-1374667.989548956</v>
      </c>
      <c r="I13" s="57">
        <f>-'2. OPEX'!G24</f>
        <v>-1418259.0081036408</v>
      </c>
      <c r="J13" s="57">
        <f>-'2. OPEX'!H24</f>
        <v>-1465368.7102674416</v>
      </c>
    </row>
    <row r="14" spans="2:10" x14ac:dyDescent="0.25">
      <c r="B14" s="1" t="s">
        <v>350</v>
      </c>
      <c r="D14" s="5"/>
      <c r="E14" s="57">
        <f>-'2. OPEX'!C25</f>
        <v>-1165003.667254874</v>
      </c>
      <c r="F14" s="57">
        <f>-'2. OPEX'!D25</f>
        <v>-1795229.7962252707</v>
      </c>
      <c r="G14" s="57">
        <f>-'2. OPEX'!E25</f>
        <v>-2014150.0881169492</v>
      </c>
      <c r="H14" s="57">
        <f>-'2. OPEX'!F25</f>
        <v>-2132357.8317906149</v>
      </c>
      <c r="I14" s="57">
        <f>-'2. OPEX'!G25</f>
        <v>-2218920.5721689132</v>
      </c>
      <c r="J14" s="57">
        <f>-'2. OPEX'!H25</f>
        <v>-2314989.4024452078</v>
      </c>
    </row>
    <row r="15" spans="2:10" x14ac:dyDescent="0.25">
      <c r="B15" s="1" t="s">
        <v>349</v>
      </c>
      <c r="D15" s="5"/>
      <c r="E15" s="57">
        <f>-'2. OPEX'!C26</f>
        <v>-553807.23491722357</v>
      </c>
      <c r="F15" s="57">
        <f>-'2. OPEX'!D26</f>
        <v>-835865.15965425386</v>
      </c>
      <c r="G15" s="57">
        <f>-'2. OPEX'!E26</f>
        <v>-923163.26378948195</v>
      </c>
      <c r="H15" s="57">
        <f>-'2. OPEX'!F26</f>
        <v>-961687.2367006531</v>
      </c>
      <c r="I15" s="57">
        <f>-'2. OPEX'!G26</f>
        <v>-983009.83533555316</v>
      </c>
      <c r="J15" s="57">
        <f>-'2. OPEX'!H26</f>
        <v>-1009035.416341294</v>
      </c>
    </row>
    <row r="16" spans="2:10" x14ac:dyDescent="0.25">
      <c r="B16" s="52" t="s">
        <v>351</v>
      </c>
      <c r="C16" s="52"/>
      <c r="D16" s="60"/>
      <c r="E16" s="61">
        <f>+SUM(E13:E15)</f>
        <v>-2554692.8154014298</v>
      </c>
      <c r="F16" s="61">
        <f t="shared" ref="F16:J16" si="5">+SUM(F13:F15)</f>
        <v>-3850682.070375924</v>
      </c>
      <c r="G16" s="61">
        <f t="shared" si="5"/>
        <v>-4255714.0782782342</v>
      </c>
      <c r="H16" s="61">
        <f t="shared" si="5"/>
        <v>-4468713.058040224</v>
      </c>
      <c r="I16" s="61">
        <f t="shared" si="5"/>
        <v>-4620189.4156081071</v>
      </c>
      <c r="J16" s="61">
        <f t="shared" si="5"/>
        <v>-4789393.5290539432</v>
      </c>
    </row>
    <row r="17" spans="2:10" ht="5.0999999999999996" customHeight="1" x14ac:dyDescent="0.25">
      <c r="D17" s="5"/>
      <c r="E17" s="57"/>
      <c r="F17" s="57"/>
      <c r="G17" s="57"/>
      <c r="H17" s="57"/>
      <c r="I17" s="57"/>
      <c r="J17" s="57"/>
    </row>
    <row r="18" spans="2:10" x14ac:dyDescent="0.25">
      <c r="B18" s="18" t="s">
        <v>352</v>
      </c>
      <c r="D18" s="57">
        <f>+D35</f>
        <v>-8414486.6566040833</v>
      </c>
      <c r="E18" s="57">
        <f t="shared" ref="E18:J18" si="6">+E35</f>
        <v>1140349.2840831087</v>
      </c>
      <c r="F18" s="57">
        <f t="shared" si="6"/>
        <v>3095236.0714214346</v>
      </c>
      <c r="G18" s="57">
        <f t="shared" si="6"/>
        <v>3780519.8093501623</v>
      </c>
      <c r="H18" s="57">
        <f t="shared" si="6"/>
        <v>4157896.8407390648</v>
      </c>
      <c r="I18" s="57">
        <f t="shared" si="6"/>
        <v>4504564.0014098883</v>
      </c>
      <c r="J18" s="57">
        <f t="shared" si="6"/>
        <v>4875680.103069732</v>
      </c>
    </row>
    <row r="19" spans="2:10" x14ac:dyDescent="0.25">
      <c r="B19" s="18" t="s">
        <v>353</v>
      </c>
      <c r="D19" s="57">
        <f>+D40</f>
        <v>0</v>
      </c>
      <c r="E19" s="57">
        <f>-E40</f>
        <v>0</v>
      </c>
      <c r="F19" s="57">
        <f t="shared" ref="F19:J19" si="7">-F40</f>
        <v>0</v>
      </c>
      <c r="G19" s="57">
        <f t="shared" si="7"/>
        <v>0</v>
      </c>
      <c r="H19" s="57">
        <f t="shared" si="7"/>
        <v>-3759515.3489896869</v>
      </c>
      <c r="I19" s="57">
        <f t="shared" si="7"/>
        <v>-4504564.0014098883</v>
      </c>
      <c r="J19" s="57">
        <f t="shared" si="7"/>
        <v>-4875680.103069732</v>
      </c>
    </row>
    <row r="20" spans="2:10" x14ac:dyDescent="0.25">
      <c r="B20" s="18" t="s">
        <v>354</v>
      </c>
      <c r="D20" s="57">
        <f>+D47</f>
        <v>0</v>
      </c>
      <c r="E20" s="57">
        <f t="shared" ref="E20:J20" si="8">+E47</f>
        <v>-452252.02902106592</v>
      </c>
      <c r="F20" s="57">
        <f t="shared" si="8"/>
        <v>-901931.17107020726</v>
      </c>
      <c r="G20" s="57">
        <f t="shared" si="8"/>
        <v>-1240355.3745382142</v>
      </c>
      <c r="H20" s="57">
        <f t="shared" si="8"/>
        <v>-1493835.4929735111</v>
      </c>
      <c r="I20" s="57">
        <f t="shared" si="8"/>
        <v>-1733352.4209414748</v>
      </c>
      <c r="J20" s="57">
        <f t="shared" si="8"/>
        <v>-1988670.2360138735</v>
      </c>
    </row>
    <row r="21" spans="2:10" ht="5.0999999999999996" customHeight="1" x14ac:dyDescent="0.25">
      <c r="D21" s="5"/>
      <c r="E21" s="57"/>
      <c r="F21" s="57"/>
      <c r="G21" s="57"/>
      <c r="H21" s="57"/>
      <c r="I21" s="57"/>
      <c r="J21" s="57"/>
    </row>
    <row r="22" spans="2:10" x14ac:dyDescent="0.25">
      <c r="B22" s="52" t="s">
        <v>355</v>
      </c>
      <c r="C22" s="52"/>
      <c r="D22" s="61">
        <f>+D11+D16+SUM(D18:D20)</f>
        <v>-8414486.6566040833</v>
      </c>
      <c r="E22" s="61">
        <f>+E11+E16+SUM(E18:E20)</f>
        <v>5026562.0371493837</v>
      </c>
      <c r="F22" s="61">
        <f t="shared" ref="F22:J22" si="9">+F11+F16+SUM(F18:F20)</f>
        <v>9443589.2085925546</v>
      </c>
      <c r="G22" s="61">
        <f t="shared" si="9"/>
        <v>11156996.310704004</v>
      </c>
      <c r="H22" s="61">
        <f t="shared" si="9"/>
        <v>8500065.5906343237</v>
      </c>
      <c r="I22" s="61">
        <f t="shared" si="9"/>
        <v>8786942.9545770697</v>
      </c>
      <c r="J22" s="61">
        <f t="shared" si="9"/>
        <v>9517408.2092822716</v>
      </c>
    </row>
    <row r="23" spans="2:10" ht="5.0999999999999996" customHeight="1" x14ac:dyDescent="0.25">
      <c r="D23" s="5"/>
      <c r="E23" s="57"/>
      <c r="F23" s="57"/>
      <c r="G23" s="57"/>
      <c r="H23" s="57"/>
      <c r="I23" s="57"/>
      <c r="J23" s="57"/>
    </row>
    <row r="24" spans="2:10" x14ac:dyDescent="0.25">
      <c r="B24" s="18" t="s">
        <v>358</v>
      </c>
      <c r="D24" s="57">
        <f>-'3. CAPEX'!D89</f>
        <v>0</v>
      </c>
      <c r="E24" s="57"/>
      <c r="F24" s="57"/>
      <c r="G24" s="57"/>
      <c r="H24" s="57"/>
      <c r="I24" s="57"/>
      <c r="J24" s="57"/>
    </row>
    <row r="25" spans="2:10" x14ac:dyDescent="0.25">
      <c r="B25" s="18" t="s">
        <v>342</v>
      </c>
      <c r="D25" s="57">
        <f>-'3. CAPEX'!D90</f>
        <v>-46747148.092244908</v>
      </c>
      <c r="E25" s="57">
        <f>-'3. CAPEX'!E90</f>
        <v>-4672311.6921614883</v>
      </c>
      <c r="F25" s="57">
        <f>-'3. CAPEX'!F90</f>
        <v>-760464.82638477872</v>
      </c>
      <c r="G25" s="57">
        <f>-'3. CAPEX'!G90</f>
        <v>0</v>
      </c>
      <c r="H25" s="57">
        <f>-'3. CAPEX'!H90</f>
        <v>0</v>
      </c>
      <c r="I25" s="57">
        <f>-'3. CAPEX'!I90</f>
        <v>0</v>
      </c>
      <c r="J25" s="57">
        <f>-'3. CAPEX'!J90</f>
        <v>0</v>
      </c>
    </row>
    <row r="26" spans="2:10" x14ac:dyDescent="0.25">
      <c r="B26" s="18" t="s">
        <v>359</v>
      </c>
      <c r="D26" s="57"/>
      <c r="E26" s="57"/>
      <c r="F26" s="57"/>
      <c r="G26" s="57"/>
      <c r="H26" s="57"/>
      <c r="I26" s="57"/>
      <c r="J26" s="57">
        <f>'3. CAPEX'!J91</f>
        <v>30508422.141388983</v>
      </c>
    </row>
    <row r="27" spans="2:10" ht="5.0999999999999996" customHeight="1" x14ac:dyDescent="0.25">
      <c r="D27" s="5"/>
      <c r="E27" s="57"/>
      <c r="F27" s="57"/>
      <c r="G27" s="57"/>
      <c r="H27" s="57"/>
      <c r="I27" s="57"/>
      <c r="J27" s="57"/>
    </row>
    <row r="28" spans="2:10" x14ac:dyDescent="0.25">
      <c r="B28" s="52" t="s">
        <v>360</v>
      </c>
      <c r="C28" s="52"/>
      <c r="D28" s="61">
        <f>+D22+SUM(D24:D26)</f>
        <v>-55161634.74884899</v>
      </c>
      <c r="E28" s="61">
        <f t="shared" ref="E28:J28" si="10">+E22+SUM(E24:E26)</f>
        <v>354250.34498789534</v>
      </c>
      <c r="F28" s="61">
        <f t="shared" si="10"/>
        <v>8683124.3822077755</v>
      </c>
      <c r="G28" s="61">
        <f t="shared" si="10"/>
        <v>11156996.310704004</v>
      </c>
      <c r="H28" s="61">
        <f t="shared" si="10"/>
        <v>8500065.5906343237</v>
      </c>
      <c r="I28" s="61">
        <f t="shared" si="10"/>
        <v>8786942.9545770697</v>
      </c>
      <c r="J28" s="61">
        <f t="shared" si="10"/>
        <v>40025830.350671254</v>
      </c>
    </row>
    <row r="30" spans="2:10" x14ac:dyDescent="0.25">
      <c r="B30" s="52" t="s">
        <v>356</v>
      </c>
      <c r="C30" s="62">
        <f>+'4. WACC'!C19</f>
        <v>7.5352963951681451E-2</v>
      </c>
    </row>
    <row r="31" spans="2:10" x14ac:dyDescent="0.25">
      <c r="B31" s="52" t="s">
        <v>357</v>
      </c>
      <c r="C31" s="245">
        <f>+D28+NPV(C30,E28:J28)</f>
        <v>0</v>
      </c>
    </row>
    <row r="33" spans="2:10" x14ac:dyDescent="0.25">
      <c r="B33" s="52" t="s">
        <v>361</v>
      </c>
      <c r="C33" s="67">
        <v>0.18</v>
      </c>
      <c r="D33" s="53">
        <v>2024</v>
      </c>
      <c r="E33" s="53">
        <v>2025</v>
      </c>
      <c r="F33" s="53">
        <v>2026</v>
      </c>
      <c r="G33" s="53">
        <v>2027</v>
      </c>
      <c r="H33" s="53">
        <v>2028</v>
      </c>
      <c r="I33" s="53">
        <v>2029</v>
      </c>
      <c r="J33" s="53">
        <v>2030</v>
      </c>
    </row>
    <row r="34" spans="2:10" x14ac:dyDescent="0.25">
      <c r="B34" s="64" t="s">
        <v>362</v>
      </c>
      <c r="C34" s="68"/>
      <c r="D34" s="73">
        <v>0</v>
      </c>
      <c r="E34" s="73">
        <f>+D39</f>
        <v>-8414486.6566040833</v>
      </c>
      <c r="F34" s="73">
        <f>+E39</f>
        <v>-7274137.3725209748</v>
      </c>
      <c r="G34" s="73">
        <f t="shared" ref="G34:J34" si="11">+F39</f>
        <v>-4178901.3010995402</v>
      </c>
      <c r="H34" s="73">
        <f t="shared" si="11"/>
        <v>-398381.49174937792</v>
      </c>
      <c r="I34" s="73">
        <f t="shared" si="11"/>
        <v>0</v>
      </c>
      <c r="J34" s="73">
        <f t="shared" si="11"/>
        <v>0</v>
      </c>
    </row>
    <row r="35" spans="2:10" x14ac:dyDescent="0.25">
      <c r="B35" s="52" t="s">
        <v>363</v>
      </c>
      <c r="C35" s="52"/>
      <c r="D35" s="74">
        <f>+SUM(D36:D38)</f>
        <v>-8414486.6566040833</v>
      </c>
      <c r="E35" s="74">
        <f>+SUM(E36:E38)</f>
        <v>1140349.2840831087</v>
      </c>
      <c r="F35" s="74">
        <f t="shared" ref="F35:J35" si="12">+SUM(F36:F38)</f>
        <v>3095236.0714214346</v>
      </c>
      <c r="G35" s="74">
        <f t="shared" si="12"/>
        <v>3780519.8093501623</v>
      </c>
      <c r="H35" s="74">
        <f t="shared" si="12"/>
        <v>4157896.8407390648</v>
      </c>
      <c r="I35" s="74">
        <f t="shared" si="12"/>
        <v>4504564.0014098883</v>
      </c>
      <c r="J35" s="74">
        <f t="shared" si="12"/>
        <v>4875680.103069732</v>
      </c>
    </row>
    <row r="36" spans="2:10" x14ac:dyDescent="0.25">
      <c r="B36" s="65" t="s">
        <v>364</v>
      </c>
      <c r="C36" s="69"/>
      <c r="D36" s="75">
        <f t="shared" ref="D36:J36" si="13">+D7*$C$33</f>
        <v>0</v>
      </c>
      <c r="E36" s="75">
        <f t="shared" si="13"/>
        <v>2363863.6048466894</v>
      </c>
      <c r="F36" s="75">
        <f t="shared" si="13"/>
        <v>3806843.2398237828</v>
      </c>
      <c r="G36" s="75">
        <f t="shared" si="13"/>
        <v>4414369.242604455</v>
      </c>
      <c r="H36" s="75">
        <f t="shared" si="13"/>
        <v>4823033.1631041979</v>
      </c>
      <c r="I36" s="75">
        <f t="shared" si="13"/>
        <v>5192111.2278816467</v>
      </c>
      <c r="J36" s="75">
        <f t="shared" si="13"/>
        <v>5588189.8214540491</v>
      </c>
    </row>
    <row r="37" spans="2:10" x14ac:dyDescent="0.25">
      <c r="B37" s="65" t="s">
        <v>365</v>
      </c>
      <c r="C37" s="69"/>
      <c r="D37" s="75">
        <f t="shared" ref="D37:J37" si="14">+(D13+SUM(D14:D15)*0.75)*$C$33</f>
        <v>0</v>
      </c>
      <c r="E37" s="75">
        <f t="shared" si="14"/>
        <v>-382498.21617451293</v>
      </c>
      <c r="F37" s="75">
        <f t="shared" si="14"/>
        <v>-574723.4996530877</v>
      </c>
      <c r="G37" s="75">
        <f t="shared" si="14"/>
        <v>-633849.43325429282</v>
      </c>
      <c r="H37" s="75">
        <f t="shared" si="14"/>
        <v>-665136.32236513321</v>
      </c>
      <c r="I37" s="75">
        <f t="shared" si="14"/>
        <v>-687547.22647175833</v>
      </c>
      <c r="J37" s="75">
        <f t="shared" si="14"/>
        <v>-712509.71838431712</v>
      </c>
    </row>
    <row r="38" spans="2:10" x14ac:dyDescent="0.25">
      <c r="B38" s="65" t="s">
        <v>366</v>
      </c>
      <c r="C38" s="69"/>
      <c r="D38" s="75">
        <f>+D25*$C$33</f>
        <v>-8414486.6566040833</v>
      </c>
      <c r="E38" s="75">
        <f>+E25*$C$33</f>
        <v>-841016.10458906787</v>
      </c>
      <c r="F38" s="75">
        <f>+F25*$C$33</f>
        <v>-136883.66874926016</v>
      </c>
      <c r="G38" s="75">
        <f t="shared" ref="G38:J38" si="15">+G25*$C$33</f>
        <v>0</v>
      </c>
      <c r="H38" s="75">
        <f t="shared" si="15"/>
        <v>0</v>
      </c>
      <c r="I38" s="75">
        <f t="shared" si="15"/>
        <v>0</v>
      </c>
      <c r="J38" s="75">
        <f t="shared" si="15"/>
        <v>0</v>
      </c>
    </row>
    <row r="39" spans="2:10" x14ac:dyDescent="0.25">
      <c r="B39" s="64" t="s">
        <v>367</v>
      </c>
      <c r="C39" s="68"/>
      <c r="D39" s="73">
        <f>IF(SUM(D34:D35)&lt;0,SUM(D34:D35),0)</f>
        <v>-8414486.6566040833</v>
      </c>
      <c r="E39" s="76">
        <f>IF(SUM(E34:E35)&lt;0,SUM(E34:E35),0)</f>
        <v>-7274137.3725209748</v>
      </c>
      <c r="F39" s="76">
        <f t="shared" ref="F39:J39" si="16">IF(SUM(F34:F35)&lt;0,SUM(F34:F35),0)</f>
        <v>-4178901.3010995402</v>
      </c>
      <c r="G39" s="76">
        <f t="shared" si="16"/>
        <v>-398381.49174937792</v>
      </c>
      <c r="H39" s="76">
        <f t="shared" si="16"/>
        <v>0</v>
      </c>
      <c r="I39" s="76">
        <f t="shared" si="16"/>
        <v>0</v>
      </c>
      <c r="J39" s="76">
        <f t="shared" si="16"/>
        <v>0</v>
      </c>
    </row>
    <row r="40" spans="2:10" x14ac:dyDescent="0.25">
      <c r="B40" s="52" t="s">
        <v>368</v>
      </c>
      <c r="C40" s="52"/>
      <c r="D40" s="74">
        <f>IF(SUM(D34:D35)&lt;0,0,SUM(D34:D35))</f>
        <v>0</v>
      </c>
      <c r="E40" s="74">
        <f>IF(SUM(E34:E35)&lt;0,0,SUM(E34:E35))</f>
        <v>0</v>
      </c>
      <c r="F40" s="74">
        <f t="shared" ref="F40:J40" si="17">IF(SUM(F34:F35)&lt;0,0,SUM(F34:F35))</f>
        <v>0</v>
      </c>
      <c r="G40" s="74">
        <f t="shared" si="17"/>
        <v>0</v>
      </c>
      <c r="H40" s="74">
        <f t="shared" si="17"/>
        <v>3759515.3489896869</v>
      </c>
      <c r="I40" s="74">
        <f t="shared" si="17"/>
        <v>4504564.0014098883</v>
      </c>
      <c r="J40" s="74">
        <f t="shared" si="17"/>
        <v>4875680.103069732</v>
      </c>
    </row>
    <row r="41" spans="2:10" x14ac:dyDescent="0.25">
      <c r="B41" s="38"/>
      <c r="C41" s="38"/>
      <c r="D41" s="76"/>
      <c r="E41" s="76"/>
      <c r="F41" s="76"/>
      <c r="G41" s="76"/>
      <c r="H41" s="76"/>
      <c r="I41" s="76"/>
      <c r="J41" s="76"/>
    </row>
    <row r="42" spans="2:10" x14ac:dyDescent="0.25">
      <c r="B42" s="52" t="s">
        <v>354</v>
      </c>
      <c r="C42" s="67">
        <v>0.25900000000000001</v>
      </c>
      <c r="D42" s="53">
        <v>2024</v>
      </c>
      <c r="E42" s="53">
        <v>2025</v>
      </c>
      <c r="F42" s="53">
        <v>2026</v>
      </c>
      <c r="G42" s="53">
        <v>2027</v>
      </c>
      <c r="H42" s="53">
        <v>2028</v>
      </c>
      <c r="I42" s="53">
        <v>2029</v>
      </c>
      <c r="J42" s="53">
        <v>2030</v>
      </c>
    </row>
    <row r="43" spans="2:10" x14ac:dyDescent="0.25">
      <c r="B43" s="38" t="s">
        <v>369</v>
      </c>
      <c r="C43" s="38"/>
      <c r="D43" s="76"/>
      <c r="E43" s="76">
        <f>+E7</f>
        <v>13132575.582481608</v>
      </c>
      <c r="F43" s="76">
        <f t="shared" ref="F43:J43" si="18">+F7</f>
        <v>21149129.110132128</v>
      </c>
      <c r="G43" s="76">
        <f t="shared" si="18"/>
        <v>24524273.570024751</v>
      </c>
      <c r="H43" s="76">
        <f t="shared" si="18"/>
        <v>26794628.683912214</v>
      </c>
      <c r="I43" s="76">
        <f t="shared" si="18"/>
        <v>28845062.37712026</v>
      </c>
      <c r="J43" s="76">
        <f t="shared" si="18"/>
        <v>31045499.008078054</v>
      </c>
    </row>
    <row r="44" spans="2:10" x14ac:dyDescent="0.25">
      <c r="B44" s="38" t="s">
        <v>370</v>
      </c>
      <c r="C44" s="38"/>
      <c r="D44" s="76"/>
      <c r="E44" s="76">
        <f t="shared" ref="E44:J44" si="19">+E16+E9+E10</f>
        <v>-8794110.8003942668</v>
      </c>
      <c r="F44" s="76">
        <f t="shared" si="19"/>
        <v>-13898844.801890802</v>
      </c>
      <c r="G44" s="76">
        <f t="shared" si="19"/>
        <v>-15907441.694132695</v>
      </c>
      <c r="H44" s="76">
        <f t="shared" si="19"/>
        <v>-17199109.09205376</v>
      </c>
      <c r="I44" s="76">
        <f t="shared" si="19"/>
        <v>-18324767.001601715</v>
      </c>
      <c r="J44" s="76">
        <f t="shared" si="19"/>
        <v>-19539420.562781908</v>
      </c>
    </row>
    <row r="45" spans="2:10" x14ac:dyDescent="0.25">
      <c r="B45" s="38" t="s">
        <v>371</v>
      </c>
      <c r="C45" s="38"/>
      <c r="D45" s="76"/>
      <c r="E45" s="76">
        <f>-'3. CAPEX'!I46</f>
        <v>-2592317.9518901752</v>
      </c>
      <c r="F45" s="76">
        <f>-'3. CAPEX'!J46</f>
        <v>-3767924.5743795224</v>
      </c>
      <c r="G45" s="76">
        <f>-'3. CAPEX'!K46</f>
        <v>-3827814.9857831215</v>
      </c>
      <c r="H45" s="76">
        <f>-'3. CAPEX'!L46</f>
        <v>-3827814.9857831215</v>
      </c>
      <c r="I45" s="76">
        <f>-'3. CAPEX'!M46</f>
        <v>-3827814.9857831215</v>
      </c>
      <c r="J45" s="76">
        <f>-'3. CAPEX'!N46</f>
        <v>-3827814.9857831215</v>
      </c>
    </row>
    <row r="46" spans="2:10" x14ac:dyDescent="0.25">
      <c r="B46" s="52" t="s">
        <v>372</v>
      </c>
      <c r="C46" s="52"/>
      <c r="D46" s="74"/>
      <c r="E46" s="74">
        <f>+SUM(E43:E45)</f>
        <v>1746146.8301971657</v>
      </c>
      <c r="F46" s="74">
        <f t="shared" ref="F46:J46" si="20">+SUM(F43:F45)</f>
        <v>3482359.733861804</v>
      </c>
      <c r="G46" s="74">
        <f t="shared" si="20"/>
        <v>4789016.8901089346</v>
      </c>
      <c r="H46" s="74">
        <f t="shared" si="20"/>
        <v>5767704.6060753325</v>
      </c>
      <c r="I46" s="74">
        <f t="shared" si="20"/>
        <v>6692480.389735424</v>
      </c>
      <c r="J46" s="74">
        <f t="shared" si="20"/>
        <v>7678263.4595130244</v>
      </c>
    </row>
    <row r="47" spans="2:10" x14ac:dyDescent="0.25">
      <c r="B47" s="66" t="s">
        <v>354</v>
      </c>
      <c r="C47" s="66"/>
      <c r="D47" s="77"/>
      <c r="E47" s="77">
        <f>-IF(E46&lt;0,0,E46*$C$42)</f>
        <v>-452252.02902106592</v>
      </c>
      <c r="F47" s="77">
        <f t="shared" ref="F47:J47" si="21">-IF(F46&lt;0,0,F46*$C$42)</f>
        <v>-901931.17107020726</v>
      </c>
      <c r="G47" s="77">
        <f t="shared" si="21"/>
        <v>-1240355.3745382142</v>
      </c>
      <c r="H47" s="77">
        <f t="shared" si="21"/>
        <v>-1493835.4929735111</v>
      </c>
      <c r="I47" s="77">
        <f t="shared" si="21"/>
        <v>-1733352.4209414748</v>
      </c>
      <c r="J47" s="77">
        <f t="shared" si="21"/>
        <v>-1988670.2360138735</v>
      </c>
    </row>
  </sheetData>
  <hyperlinks>
    <hyperlink ref="J1" location="Índice!A1" display="ÍNDICE" xr:uid="{D2CE55E7-807D-4E90-9701-F05BC19756BE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52085-A054-44CB-A565-A1FA305AD257}">
  <sheetPr codeName="Hoja6"/>
  <dimension ref="B1:H24"/>
  <sheetViews>
    <sheetView showGridLines="0" zoomScaleNormal="100" workbookViewId="0"/>
  </sheetViews>
  <sheetFormatPr baseColWidth="10" defaultColWidth="11.5546875" defaultRowHeight="13.2" x14ac:dyDescent="0.25"/>
  <cols>
    <col min="1" max="1" width="2.6640625" style="1" customWidth="1"/>
    <col min="2" max="2" width="47.44140625" style="1" customWidth="1"/>
    <col min="3" max="8" width="13.109375" style="1" customWidth="1"/>
    <col min="9" max="9" width="2.6640625" style="1" customWidth="1"/>
    <col min="10" max="16384" width="11.5546875" style="1"/>
  </cols>
  <sheetData>
    <row r="1" spans="2:8" ht="16.2" thickBot="1" x14ac:dyDescent="0.35">
      <c r="B1" s="37" t="s">
        <v>518</v>
      </c>
      <c r="H1" s="39" t="s">
        <v>389</v>
      </c>
    </row>
    <row r="2" spans="2:8" ht="5.0999999999999996" customHeight="1" x14ac:dyDescent="0.25"/>
    <row r="3" spans="2:8" x14ac:dyDescent="0.25">
      <c r="B3" s="145" t="s">
        <v>521</v>
      </c>
    </row>
    <row r="4" spans="2:8" ht="5.0999999999999996" customHeight="1" x14ac:dyDescent="0.25">
      <c r="B4" s="144"/>
    </row>
    <row r="5" spans="2:8" x14ac:dyDescent="0.25">
      <c r="B5" s="53" t="s">
        <v>520</v>
      </c>
      <c r="C5" s="53">
        <v>2025</v>
      </c>
      <c r="D5" s="53">
        <v>2026</v>
      </c>
      <c r="E5" s="53">
        <v>2027</v>
      </c>
      <c r="F5" s="53">
        <v>2028</v>
      </c>
      <c r="G5" s="53">
        <v>2029</v>
      </c>
      <c r="H5" s="53">
        <v>2030</v>
      </c>
    </row>
    <row r="6" spans="2:8" x14ac:dyDescent="0.25">
      <c r="B6" s="1" t="s">
        <v>0</v>
      </c>
      <c r="C6" s="5">
        <v>1656254</v>
      </c>
      <c r="D6" s="5">
        <v>2024214</v>
      </c>
      <c r="E6" s="5">
        <v>2347254</v>
      </c>
      <c r="F6" s="5">
        <v>2564553</v>
      </c>
      <c r="G6" s="5">
        <v>2760803</v>
      </c>
      <c r="H6" s="5">
        <v>2971410</v>
      </c>
    </row>
    <row r="7" spans="2:8" x14ac:dyDescent="0.25">
      <c r="B7" s="1" t="s">
        <v>1</v>
      </c>
      <c r="C7" s="5">
        <v>816893</v>
      </c>
      <c r="D7" s="5">
        <v>838355</v>
      </c>
      <c r="E7" s="5">
        <v>859397</v>
      </c>
      <c r="F7" s="5">
        <v>880439</v>
      </c>
      <c r="G7" s="5">
        <v>915332</v>
      </c>
      <c r="H7" s="5">
        <v>944420</v>
      </c>
    </row>
    <row r="8" spans="2:8" x14ac:dyDescent="0.25">
      <c r="B8" s="146" t="s">
        <v>2</v>
      </c>
      <c r="C8" s="147">
        <v>1170065</v>
      </c>
      <c r="D8" s="147">
        <v>1345893</v>
      </c>
      <c r="E8" s="147">
        <v>1473976</v>
      </c>
      <c r="F8" s="147">
        <v>1615552</v>
      </c>
      <c r="G8" s="147">
        <v>1744712</v>
      </c>
      <c r="H8" s="147">
        <v>1883779</v>
      </c>
    </row>
    <row r="9" spans="2:8" x14ac:dyDescent="0.25">
      <c r="B9" s="148" t="s">
        <v>3</v>
      </c>
      <c r="C9" s="149">
        <v>1170065</v>
      </c>
      <c r="D9" s="149">
        <v>1345893</v>
      </c>
      <c r="E9" s="149">
        <v>1473976</v>
      </c>
      <c r="F9" s="149">
        <v>1615552</v>
      </c>
      <c r="G9" s="149">
        <v>1744712</v>
      </c>
      <c r="H9" s="149">
        <v>1883779</v>
      </c>
    </row>
    <row r="10" spans="2:8" x14ac:dyDescent="0.25">
      <c r="B10" s="146" t="s">
        <v>4</v>
      </c>
      <c r="C10" s="147">
        <v>3297456.5</v>
      </c>
      <c r="D10" s="147">
        <v>3731793</v>
      </c>
      <c r="E10" s="147">
        <v>4019935.5</v>
      </c>
      <c r="F10" s="147">
        <v>4386963</v>
      </c>
      <c r="G10" s="147">
        <v>4717141.5</v>
      </c>
      <c r="H10" s="147">
        <v>5071014</v>
      </c>
    </row>
    <row r="11" spans="2:8" x14ac:dyDescent="0.25">
      <c r="B11" s="148" t="s">
        <v>5</v>
      </c>
      <c r="C11" s="149">
        <v>3297456.5</v>
      </c>
      <c r="D11" s="149">
        <v>3731793</v>
      </c>
      <c r="E11" s="149">
        <v>4019935.5</v>
      </c>
      <c r="F11" s="149">
        <v>4386963</v>
      </c>
      <c r="G11" s="149">
        <v>4717141.5</v>
      </c>
      <c r="H11" s="149">
        <v>5071014</v>
      </c>
    </row>
    <row r="12" spans="2:8" x14ac:dyDescent="0.25">
      <c r="B12" s="146" t="s">
        <v>6</v>
      </c>
      <c r="C12" s="147">
        <v>7326514</v>
      </c>
      <c r="D12" s="147">
        <v>7373911</v>
      </c>
      <c r="E12" s="147">
        <v>7464687.5</v>
      </c>
      <c r="F12" s="147">
        <v>7541971</v>
      </c>
      <c r="G12" s="147">
        <v>7775739.5</v>
      </c>
      <c r="H12" s="147">
        <v>7939221.5</v>
      </c>
    </row>
    <row r="13" spans="2:8" x14ac:dyDescent="0.25">
      <c r="B13" s="1" t="s">
        <v>7</v>
      </c>
      <c r="C13" s="5">
        <v>7326514</v>
      </c>
      <c r="D13" s="5">
        <v>7373911</v>
      </c>
      <c r="E13" s="5">
        <v>7464687.5</v>
      </c>
      <c r="F13" s="5">
        <v>7541971</v>
      </c>
      <c r="G13" s="5">
        <v>7775739.5</v>
      </c>
      <c r="H13" s="5">
        <v>7939221.5</v>
      </c>
    </row>
    <row r="14" spans="2:8" x14ac:dyDescent="0.25">
      <c r="B14" s="55" t="s">
        <v>519</v>
      </c>
      <c r="C14" s="60">
        <f>+SUM(C6:C13)</f>
        <v>26061218</v>
      </c>
      <c r="D14" s="60">
        <f t="shared" ref="D14:H14" si="0">+SUM(D6:D13)</f>
        <v>27765763</v>
      </c>
      <c r="E14" s="60">
        <f t="shared" si="0"/>
        <v>29123849</v>
      </c>
      <c r="F14" s="60">
        <f t="shared" si="0"/>
        <v>30533964</v>
      </c>
      <c r="G14" s="60">
        <f t="shared" si="0"/>
        <v>32151321</v>
      </c>
      <c r="H14" s="60">
        <f t="shared" si="0"/>
        <v>33703859</v>
      </c>
    </row>
    <row r="16" spans="2:8" x14ac:dyDescent="0.25">
      <c r="B16" s="145" t="s">
        <v>525</v>
      </c>
    </row>
    <row r="17" spans="2:8" ht="5.0999999999999996" customHeight="1" x14ac:dyDescent="0.25"/>
    <row r="18" spans="2:8" x14ac:dyDescent="0.25">
      <c r="B18" s="53"/>
      <c r="C18" s="53">
        <v>2025</v>
      </c>
      <c r="D18" s="53">
        <v>2026</v>
      </c>
      <c r="E18" s="53">
        <v>2027</v>
      </c>
      <c r="F18" s="53">
        <v>2028</v>
      </c>
      <c r="G18" s="53">
        <v>2029</v>
      </c>
      <c r="H18" s="53">
        <v>2030</v>
      </c>
    </row>
    <row r="19" spans="2:8" x14ac:dyDescent="0.25">
      <c r="B19" s="152" t="s">
        <v>523</v>
      </c>
      <c r="C19" s="152">
        <f>C20-31-28-29</f>
        <v>277</v>
      </c>
      <c r="D19" s="152">
        <f>D20</f>
        <v>365</v>
      </c>
      <c r="E19" s="152">
        <f t="shared" ref="E19:H19" si="1">E20</f>
        <v>365</v>
      </c>
      <c r="F19" s="152">
        <f t="shared" si="1"/>
        <v>366</v>
      </c>
      <c r="G19" s="152">
        <f t="shared" si="1"/>
        <v>365</v>
      </c>
      <c r="H19" s="152">
        <f t="shared" si="1"/>
        <v>365</v>
      </c>
    </row>
    <row r="20" spans="2:8" x14ac:dyDescent="0.25">
      <c r="B20" s="152" t="s">
        <v>524</v>
      </c>
      <c r="C20" s="152">
        <f t="shared" ref="C20:G20" si="2">(365+IF(OR(MOD(C18,400)=0,AND(MOD(C18,4)=0,MOD(C18,100)&lt;&gt;0)),"1", "0"))</f>
        <v>365</v>
      </c>
      <c r="D20" s="152">
        <f t="shared" si="2"/>
        <v>365</v>
      </c>
      <c r="E20" s="152">
        <f t="shared" si="2"/>
        <v>365</v>
      </c>
      <c r="F20" s="152">
        <f t="shared" si="2"/>
        <v>366</v>
      </c>
      <c r="G20" s="152">
        <f t="shared" si="2"/>
        <v>365</v>
      </c>
      <c r="H20" s="152">
        <f>(365+IF(OR(MOD(H18,400)=0,AND(MOD(H18,4)=0,MOD(H18,100)&lt;&gt;0)),"1", "0"))</f>
        <v>365</v>
      </c>
    </row>
    <row r="22" spans="2:8" x14ac:dyDescent="0.25">
      <c r="B22" s="53" t="s">
        <v>520</v>
      </c>
      <c r="C22" s="53">
        <v>2025</v>
      </c>
      <c r="D22" s="53">
        <v>2026</v>
      </c>
      <c r="E22" s="53">
        <v>2027</v>
      </c>
      <c r="F22" s="53">
        <v>2028</v>
      </c>
      <c r="G22" s="53">
        <v>2029</v>
      </c>
      <c r="H22" s="53">
        <v>2030</v>
      </c>
    </row>
    <row r="23" spans="2:8" x14ac:dyDescent="0.25">
      <c r="B23" s="1" t="s">
        <v>0</v>
      </c>
      <c r="C23" s="5">
        <f>+C6*C19/C20</f>
        <v>1256937.9671232877</v>
      </c>
      <c r="D23" s="5">
        <f>+D6*D19/D20</f>
        <v>2024214</v>
      </c>
      <c r="E23" s="5">
        <f t="shared" ref="E23:H23" si="3">+E6*E19/E20</f>
        <v>2347254</v>
      </c>
      <c r="F23" s="5">
        <f t="shared" si="3"/>
        <v>2564553</v>
      </c>
      <c r="G23" s="5">
        <f t="shared" si="3"/>
        <v>2760803</v>
      </c>
      <c r="H23" s="5">
        <f t="shared" si="3"/>
        <v>2971410</v>
      </c>
    </row>
    <row r="24" spans="2:8" x14ac:dyDescent="0.25">
      <c r="B24" s="150" t="s">
        <v>1</v>
      </c>
      <c r="C24" s="151">
        <f>+C7*C19/C20</f>
        <v>619943.45479452051</v>
      </c>
      <c r="D24" s="151">
        <f>+D7*D19/D20</f>
        <v>838355</v>
      </c>
      <c r="E24" s="151">
        <f t="shared" ref="E24:H24" si="4">+E7*E19/E20</f>
        <v>859397</v>
      </c>
      <c r="F24" s="151">
        <f t="shared" si="4"/>
        <v>880439</v>
      </c>
      <c r="G24" s="151">
        <f t="shared" si="4"/>
        <v>915332</v>
      </c>
      <c r="H24" s="151">
        <f t="shared" si="4"/>
        <v>944420</v>
      </c>
    </row>
  </sheetData>
  <hyperlinks>
    <hyperlink ref="H1" location="Índice!A1" display="ÍNDICE" xr:uid="{33663537-6C62-458C-BF5C-BB291A517DE7}"/>
  </hyperlinks>
  <pageMargins left="0.7" right="0.7" top="0.75" bottom="0.75" header="0.3" footer="0.3"/>
  <ignoredErrors>
    <ignoredError sqref="D14:H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35A72-0C72-463D-AB24-BDE0AA626519}">
  <sheetPr codeName="Hoja7"/>
  <dimension ref="B1:H33"/>
  <sheetViews>
    <sheetView showGridLines="0" workbookViewId="0">
      <pane ySplit="2" topLeftCell="A3" activePane="bottomLeft" state="frozen"/>
      <selection pane="bottomLeft"/>
    </sheetView>
  </sheetViews>
  <sheetFormatPr baseColWidth="10" defaultColWidth="11.5546875" defaultRowHeight="13.2" x14ac:dyDescent="0.25"/>
  <cols>
    <col min="1" max="1" width="2.6640625" style="1" customWidth="1"/>
    <col min="2" max="2" width="30.88671875" style="1" customWidth="1"/>
    <col min="3" max="8" width="13.5546875" style="1" customWidth="1"/>
    <col min="9" max="9" width="2.6640625" style="1" customWidth="1"/>
    <col min="10" max="16384" width="11.5546875" style="1"/>
  </cols>
  <sheetData>
    <row r="1" spans="2:8" ht="16.2" thickBot="1" x14ac:dyDescent="0.35">
      <c r="B1" s="37" t="s">
        <v>522</v>
      </c>
      <c r="H1" s="39" t="s">
        <v>389</v>
      </c>
    </row>
    <row r="2" spans="2:8" ht="5.0999999999999996" customHeight="1" x14ac:dyDescent="0.3">
      <c r="B2" s="37"/>
    </row>
    <row r="3" spans="2:8" x14ac:dyDescent="0.25">
      <c r="B3" s="8" t="s">
        <v>528</v>
      </c>
    </row>
    <row r="4" spans="2:8" ht="5.0999999999999996" customHeight="1" x14ac:dyDescent="0.25"/>
    <row r="5" spans="2:8" x14ac:dyDescent="0.25">
      <c r="B5" s="53" t="s">
        <v>0</v>
      </c>
      <c r="C5" s="53">
        <v>2025</v>
      </c>
      <c r="D5" s="53">
        <v>2026</v>
      </c>
      <c r="E5" s="53">
        <v>2027</v>
      </c>
      <c r="F5" s="53">
        <v>2028</v>
      </c>
      <c r="G5" s="53">
        <v>2029</v>
      </c>
      <c r="H5" s="53">
        <v>2030</v>
      </c>
    </row>
    <row r="6" spans="2:8" x14ac:dyDescent="0.25">
      <c r="B6" s="1" t="s">
        <v>13</v>
      </c>
      <c r="C6" s="5">
        <f>+SUMIF('2.1 OPEX TUUA'!$C$14:$C$484,'2. OPEX'!$B$6,'2.1 OPEX TUUA'!G14:G484)</f>
        <v>1101432.8459520084</v>
      </c>
      <c r="D6" s="5">
        <f>+SUMIF('2.1 OPEX TUUA'!$C$14:$C$484,'2. OPEX'!$B$6,'2.1 OPEX TUUA'!H14:H484)</f>
        <v>1219587.1144963996</v>
      </c>
      <c r="E6" s="5">
        <f>+SUMIF('2.1 OPEX TUUA'!$C$14:$C$484,'2. OPEX'!$B$6,'2.1 OPEX TUUA'!I14:I484)</f>
        <v>1318400.7263718038</v>
      </c>
      <c r="F6" s="5">
        <f>+SUMIF('2.1 OPEX TUUA'!$C$14:$C$484,'2. OPEX'!$B$6,'2.1 OPEX TUUA'!J14:J484)</f>
        <v>1374667.989548956</v>
      </c>
      <c r="G6" s="5">
        <f>+SUMIF('2.1 OPEX TUUA'!$C$14:$C$484,'2. OPEX'!$B$6,'2.1 OPEX TUUA'!K14:K484)</f>
        <v>1418259.0081036408</v>
      </c>
      <c r="H6" s="5">
        <f>+SUMIF('2.1 OPEX TUUA'!$C$14:$C$484,'2. OPEX'!$B$6,'2.1 OPEX TUUA'!L14:L484)</f>
        <v>1465368.7102674416</v>
      </c>
    </row>
    <row r="7" spans="2:8" x14ac:dyDescent="0.25">
      <c r="B7" s="1" t="s">
        <v>176</v>
      </c>
      <c r="C7" s="5">
        <f>+SUMIF('2.1 OPEX TUUA'!$C$14:$C$484,'2. OPEX'!$B$7,'2.1 OPEX TUUA'!G14:G484)</f>
        <v>1535113.1355524512</v>
      </c>
      <c r="D7" s="5">
        <f>+SUMIF('2.1 OPEX TUUA'!$C$14:$C$484,'2. OPEX'!$B$7,'2.1 OPEX TUUA'!H14:H484)</f>
        <v>1795229.796225271</v>
      </c>
      <c r="E7" s="5">
        <f>+SUMIF('2.1 OPEX TUUA'!$C$14:$C$484,'2. OPEX'!$B$7,'2.1 OPEX TUUA'!I14:I484)</f>
        <v>2014150.0881169492</v>
      </c>
      <c r="F7" s="5">
        <f>+SUMIF('2.1 OPEX TUUA'!$C$14:$C$484,'2. OPEX'!$B$7,'2.1 OPEX TUUA'!J14:J484)</f>
        <v>2132357.8317906149</v>
      </c>
      <c r="G7" s="5">
        <f>+SUMIF('2.1 OPEX TUUA'!$C$14:$C$484,'2. OPEX'!$B$7,'2.1 OPEX TUUA'!K14:K484)</f>
        <v>2218920.5721689132</v>
      </c>
      <c r="H7" s="5">
        <f>+SUMIF('2.1 OPEX TUUA'!$C$14:$C$484,'2. OPEX'!$B$7,'2.1 OPEX TUUA'!L14:L484)</f>
        <v>2314989.4024452078</v>
      </c>
    </row>
    <row r="8" spans="2:8" x14ac:dyDescent="0.25">
      <c r="B8" s="1" t="s">
        <v>177</v>
      </c>
      <c r="C8" s="5">
        <f>+SUMIF('2.1 OPEX TUUA'!$C$14:$C$484,'2. OPEX'!$B$8,'2.1 OPEX TUUA'!G14:G484)</f>
        <v>729745.99546854373</v>
      </c>
      <c r="D8" s="5">
        <f>+SUMIF('2.1 OPEX TUUA'!$C$14:$C$484,'2. OPEX'!$B$8,'2.1 OPEX TUUA'!H14:H484)</f>
        <v>835865.15965425386</v>
      </c>
      <c r="E8" s="5">
        <f>+SUMIF('2.1 OPEX TUUA'!$C$14:$C$484,'2. OPEX'!$B$8,'2.1 OPEX TUUA'!I14:I484)</f>
        <v>923163.26378948195</v>
      </c>
      <c r="F8" s="5">
        <f>+SUMIF('2.1 OPEX TUUA'!$C$14:$C$484,'2. OPEX'!$B$8,'2.1 OPEX TUUA'!J14:J484)</f>
        <v>961687.2367006531</v>
      </c>
      <c r="G8" s="5">
        <f>+SUMIF('2.1 OPEX TUUA'!$C$14:$C$484,'2. OPEX'!$B$8,'2.1 OPEX TUUA'!K14:K484)</f>
        <v>983009.83533555316</v>
      </c>
      <c r="H8" s="5">
        <f>+SUMIF('2.1 OPEX TUUA'!$C$14:$C$484,'2. OPEX'!$B$8,'2.1 OPEX TUUA'!L14:L484)</f>
        <v>1009035.416341294</v>
      </c>
    </row>
    <row r="9" spans="2:8" x14ac:dyDescent="0.25">
      <c r="B9" s="52" t="s">
        <v>8</v>
      </c>
      <c r="C9" s="60">
        <f>+SUM(C6:C8)</f>
        <v>3366291.9769730037</v>
      </c>
      <c r="D9" s="60">
        <f t="shared" ref="D9:H9" si="0">+SUM(D6:D8)</f>
        <v>3850682.0703759249</v>
      </c>
      <c r="E9" s="60">
        <f t="shared" si="0"/>
        <v>4255714.0782782342</v>
      </c>
      <c r="F9" s="60">
        <f t="shared" si="0"/>
        <v>4468713.058040224</v>
      </c>
      <c r="G9" s="60">
        <f t="shared" si="0"/>
        <v>4620189.4156081071</v>
      </c>
      <c r="H9" s="60">
        <f t="shared" si="0"/>
        <v>4789393.5290539432</v>
      </c>
    </row>
    <row r="11" spans="2:8" x14ac:dyDescent="0.25">
      <c r="B11" s="53" t="s">
        <v>1</v>
      </c>
      <c r="C11" s="53">
        <v>2025</v>
      </c>
      <c r="D11" s="53">
        <v>2026</v>
      </c>
      <c r="E11" s="53">
        <v>2027</v>
      </c>
      <c r="F11" s="53">
        <v>2028</v>
      </c>
      <c r="G11" s="53">
        <v>2029</v>
      </c>
      <c r="H11" s="53">
        <v>2030</v>
      </c>
    </row>
    <row r="12" spans="2:8" x14ac:dyDescent="0.25">
      <c r="B12" s="1" t="s">
        <v>13</v>
      </c>
      <c r="C12" s="5">
        <f>+SUMIF('2.1 OPEX TUUA'!$C$14:$C$484,'2. OPEX'!$B$6,'2.1 OPEX TUUA'!N14:N484)</f>
        <v>402380.67092502775</v>
      </c>
      <c r="D12" s="5">
        <f>+SUMIF('2.1 OPEX TUUA'!$C$14:$C$484,'2. OPEX'!$B$6,'2.1 OPEX TUUA'!O14:O484)</f>
        <v>399305.73195529036</v>
      </c>
      <c r="E12" s="5">
        <f>+SUMIF('2.1 OPEX TUUA'!$C$14:$C$484,'2. OPEX'!$B$6,'2.1 OPEX TUUA'!P14:P484)</f>
        <v>398627.21159416094</v>
      </c>
      <c r="F12" s="5">
        <f>+SUMIF('2.1 OPEX TUUA'!$C$14:$C$484,'2. OPEX'!$B$6,'2.1 OPEX TUUA'!Q14:Q484)</f>
        <v>397878.75202329812</v>
      </c>
      <c r="G12" s="5">
        <f>+SUMIF('2.1 OPEX TUUA'!$C$14:$C$484,'2. OPEX'!$B$6,'2.1 OPEX TUUA'!R14:R484)</f>
        <v>400896.79763376055</v>
      </c>
      <c r="H12" s="5">
        <f>+SUMIF('2.1 OPEX TUUA'!$C$14:$C$484,'2. OPEX'!$B$6,'2.1 OPEX TUUA'!S14:S484)</f>
        <v>402378.58094364509</v>
      </c>
    </row>
    <row r="13" spans="2:8" x14ac:dyDescent="0.25">
      <c r="B13" s="1" t="s">
        <v>176</v>
      </c>
      <c r="C13" s="5">
        <f>+SUMIF('2.1 OPEX TUUA'!$C$14:$C$484,'2. OPEX'!$B$7,'2.1 OPEX TUUA'!N14:N484)</f>
        <v>746461.43889180152</v>
      </c>
      <c r="D13" s="5">
        <f>+SUMIF('2.1 OPEX TUUA'!$C$14:$C$484,'2. OPEX'!$B$7,'2.1 OPEX TUUA'!O14:O484)</f>
        <v>735488.88609366026</v>
      </c>
      <c r="E13" s="5">
        <f>+SUMIF('2.1 OPEX TUUA'!$C$14:$C$484,'2. OPEX'!$B$7,'2.1 OPEX TUUA'!P14:P484)</f>
        <v>731054.29474509566</v>
      </c>
      <c r="F13" s="5">
        <f>+SUMIF('2.1 OPEX TUUA'!$C$14:$C$484,'2. OPEX'!$B$7,'2.1 OPEX TUUA'!Q14:Q484)</f>
        <v>726435.66671385709</v>
      </c>
      <c r="G13" s="5">
        <f>+SUMIF('2.1 OPEX TUUA'!$C$14:$C$484,'2. OPEX'!$B$7,'2.1 OPEX TUUA'!R14:R484)</f>
        <v>730404.42685376084</v>
      </c>
      <c r="H13" s="5">
        <f>+SUMIF('2.1 OPEX TUUA'!$C$14:$C$484,'2. OPEX'!$B$7,'2.1 OPEX TUUA'!S14:S484)</f>
        <v>730967.39819513133</v>
      </c>
    </row>
    <row r="14" spans="2:8" x14ac:dyDescent="0.25">
      <c r="B14" s="1" t="s">
        <v>177</v>
      </c>
      <c r="C14" s="5">
        <f>+SUMIF('2.1 OPEX TUUA'!$C$14:$C$484,'2. OPEX'!$B$8,'2.1 OPEX TUUA'!N14:N484)</f>
        <v>357357.9001578053</v>
      </c>
      <c r="D14" s="5">
        <f>+SUMIF('2.1 OPEX TUUA'!$C$14:$C$484,'2. OPEX'!$B$8,'2.1 OPEX TUUA'!O14:O484)</f>
        <v>344291.96093836724</v>
      </c>
      <c r="E14" s="5">
        <f>+SUMIF('2.1 OPEX TUUA'!$C$14:$C$484,'2. OPEX'!$B$8,'2.1 OPEX TUUA'!P14:P484)</f>
        <v>336512.66449344391</v>
      </c>
      <c r="F14" s="5">
        <f>+SUMIF('2.1 OPEX TUUA'!$C$14:$C$484,'2. OPEX'!$B$8,'2.1 OPEX TUUA'!Q14:Q484)</f>
        <v>328868.00966594456</v>
      </c>
      <c r="G14" s="5">
        <f>+SUMIF('2.1 OPEX TUUA'!$C$14:$C$484,'2. OPEX'!$B$8,'2.1 OPEX TUUA'!R14:R484)</f>
        <v>324722.97515564883</v>
      </c>
      <c r="H14" s="5">
        <f>+SUMIF('2.1 OPEX TUUA'!$C$14:$C$484,'2. OPEX'!$B$8,'2.1 OPEX TUUA'!S14:S484)</f>
        <v>319634.50869311712</v>
      </c>
    </row>
    <row r="15" spans="2:8" x14ac:dyDescent="0.25">
      <c r="B15" s="52" t="s">
        <v>8</v>
      </c>
      <c r="C15" s="60">
        <f>+SUM(C12:C14)</f>
        <v>1506200.0099746345</v>
      </c>
      <c r="D15" s="60">
        <f t="shared" ref="D15" si="1">+SUM(D12:D14)</f>
        <v>1479086.5789873179</v>
      </c>
      <c r="E15" s="60">
        <f t="shared" ref="E15" si="2">+SUM(E12:E14)</f>
        <v>1466194.1708327006</v>
      </c>
      <c r="F15" s="60">
        <f t="shared" ref="F15" si="3">+SUM(F12:F14)</f>
        <v>1453182.4284030998</v>
      </c>
      <c r="G15" s="60">
        <f t="shared" ref="G15" si="4">+SUM(G12:G14)</f>
        <v>1456024.1996431702</v>
      </c>
      <c r="H15" s="60">
        <f t="shared" ref="H15" si="5">+SUM(H12:H14)</f>
        <v>1452980.4878318936</v>
      </c>
    </row>
    <row r="17" spans="2:8" x14ac:dyDescent="0.25">
      <c r="B17" s="8" t="s">
        <v>529</v>
      </c>
    </row>
    <row r="18" spans="2:8" ht="5.0999999999999996" customHeight="1" x14ac:dyDescent="0.25"/>
    <row r="19" spans="2:8" x14ac:dyDescent="0.25">
      <c r="B19" s="53"/>
      <c r="C19" s="53">
        <v>2025</v>
      </c>
      <c r="D19" s="53">
        <v>2026</v>
      </c>
      <c r="E19" s="53">
        <v>2027</v>
      </c>
      <c r="F19" s="53">
        <v>2028</v>
      </c>
      <c r="G19" s="53">
        <v>2029</v>
      </c>
      <c r="H19" s="53">
        <v>2030</v>
      </c>
    </row>
    <row r="20" spans="2:8" x14ac:dyDescent="0.25">
      <c r="B20" s="152" t="s">
        <v>523</v>
      </c>
      <c r="C20" s="152">
        <f>+'1. Demanda'!C19</f>
        <v>277</v>
      </c>
      <c r="D20" s="152">
        <f>+'1. Demanda'!D19</f>
        <v>365</v>
      </c>
      <c r="E20" s="152">
        <f>+'1. Demanda'!E19</f>
        <v>365</v>
      </c>
      <c r="F20" s="152">
        <f>+'1. Demanda'!F19</f>
        <v>366</v>
      </c>
      <c r="G20" s="152">
        <f>+'1. Demanda'!G19</f>
        <v>365</v>
      </c>
      <c r="H20" s="152">
        <f>+'1. Demanda'!H19</f>
        <v>365</v>
      </c>
    </row>
    <row r="21" spans="2:8" x14ac:dyDescent="0.25">
      <c r="B21" s="152" t="s">
        <v>524</v>
      </c>
      <c r="C21" s="152">
        <f>+'1. Demanda'!C20</f>
        <v>365</v>
      </c>
      <c r="D21" s="152">
        <f>+'1. Demanda'!D20</f>
        <v>365</v>
      </c>
      <c r="E21" s="152">
        <f>+'1. Demanda'!E20</f>
        <v>365</v>
      </c>
      <c r="F21" s="152">
        <f>+'1. Demanda'!F20</f>
        <v>366</v>
      </c>
      <c r="G21" s="152">
        <f>+'1. Demanda'!G20</f>
        <v>365</v>
      </c>
      <c r="H21" s="152">
        <f>+'1. Demanda'!H20</f>
        <v>365</v>
      </c>
    </row>
    <row r="23" spans="2:8" x14ac:dyDescent="0.25">
      <c r="B23" s="153" t="s">
        <v>0</v>
      </c>
      <c r="C23" s="53">
        <v>2025</v>
      </c>
      <c r="D23" s="53">
        <v>2026</v>
      </c>
      <c r="E23" s="53">
        <v>2027</v>
      </c>
      <c r="F23" s="53">
        <v>2028</v>
      </c>
      <c r="G23" s="53">
        <v>2029</v>
      </c>
      <c r="H23" s="53">
        <v>2030</v>
      </c>
    </row>
    <row r="24" spans="2:8" x14ac:dyDescent="0.25">
      <c r="B24" s="1" t="s">
        <v>13</v>
      </c>
      <c r="C24" s="5">
        <f t="shared" ref="C24:H24" si="6">+C6*C20/C21</f>
        <v>835881.91322933242</v>
      </c>
      <c r="D24" s="5">
        <f t="shared" si="6"/>
        <v>1219587.1144963996</v>
      </c>
      <c r="E24" s="5">
        <f t="shared" si="6"/>
        <v>1318400.7263718038</v>
      </c>
      <c r="F24" s="5">
        <f t="shared" si="6"/>
        <v>1374667.989548956</v>
      </c>
      <c r="G24" s="5">
        <f t="shared" si="6"/>
        <v>1418259.0081036408</v>
      </c>
      <c r="H24" s="5">
        <f t="shared" si="6"/>
        <v>1465368.7102674416</v>
      </c>
    </row>
    <row r="25" spans="2:8" x14ac:dyDescent="0.25">
      <c r="B25" s="1" t="s">
        <v>176</v>
      </c>
      <c r="C25" s="5">
        <f t="shared" ref="C25:H25" si="7">+C7*C20/C21</f>
        <v>1165003.667254874</v>
      </c>
      <c r="D25" s="5">
        <f t="shared" si="7"/>
        <v>1795229.7962252707</v>
      </c>
      <c r="E25" s="5">
        <f t="shared" si="7"/>
        <v>2014150.0881169492</v>
      </c>
      <c r="F25" s="5">
        <f t="shared" si="7"/>
        <v>2132357.8317906149</v>
      </c>
      <c r="G25" s="5">
        <f t="shared" si="7"/>
        <v>2218920.5721689132</v>
      </c>
      <c r="H25" s="5">
        <f t="shared" si="7"/>
        <v>2314989.4024452078</v>
      </c>
    </row>
    <row r="26" spans="2:8" x14ac:dyDescent="0.25">
      <c r="B26" s="1" t="s">
        <v>177</v>
      </c>
      <c r="C26" s="5">
        <f t="shared" ref="C26:H26" si="8">+C8*C20/C21</f>
        <v>553807.23491722357</v>
      </c>
      <c r="D26" s="5">
        <f t="shared" si="8"/>
        <v>835865.15965425386</v>
      </c>
      <c r="E26" s="5">
        <f t="shared" si="8"/>
        <v>923163.26378948195</v>
      </c>
      <c r="F26" s="5">
        <f t="shared" si="8"/>
        <v>961687.2367006531</v>
      </c>
      <c r="G26" s="5">
        <f t="shared" si="8"/>
        <v>983009.83533555316</v>
      </c>
      <c r="H26" s="5">
        <f t="shared" si="8"/>
        <v>1009035.416341294</v>
      </c>
    </row>
    <row r="27" spans="2:8" x14ac:dyDescent="0.25">
      <c r="B27" s="52" t="s">
        <v>8</v>
      </c>
      <c r="C27" s="60">
        <f>+SUM(C24:C26)</f>
        <v>2554692.8154014298</v>
      </c>
      <c r="D27" s="60">
        <f t="shared" ref="D27" si="9">+SUM(D24:D26)</f>
        <v>3850682.070375924</v>
      </c>
      <c r="E27" s="60">
        <f t="shared" ref="E27" si="10">+SUM(E24:E26)</f>
        <v>4255714.0782782342</v>
      </c>
      <c r="F27" s="60">
        <f t="shared" ref="F27" si="11">+SUM(F24:F26)</f>
        <v>4468713.058040224</v>
      </c>
      <c r="G27" s="60">
        <f t="shared" ref="G27" si="12">+SUM(G24:G26)</f>
        <v>4620189.4156081071</v>
      </c>
      <c r="H27" s="60">
        <f t="shared" ref="H27" si="13">+SUM(H24:H26)</f>
        <v>4789393.5290539432</v>
      </c>
    </row>
    <row r="29" spans="2:8" x14ac:dyDescent="0.25">
      <c r="B29" s="153" t="s">
        <v>1</v>
      </c>
      <c r="C29" s="53">
        <v>2025</v>
      </c>
      <c r="D29" s="53">
        <v>2026</v>
      </c>
      <c r="E29" s="53">
        <v>2027</v>
      </c>
      <c r="F29" s="53">
        <v>2028</v>
      </c>
      <c r="G29" s="53">
        <v>2029</v>
      </c>
      <c r="H29" s="53">
        <v>2030</v>
      </c>
    </row>
    <row r="30" spans="2:8" x14ac:dyDescent="0.25">
      <c r="B30" s="1" t="s">
        <v>13</v>
      </c>
      <c r="C30" s="5">
        <f t="shared" ref="C30:H30" si="14">+C12*C20/C21</f>
        <v>305368.34478419914</v>
      </c>
      <c r="D30" s="5">
        <f t="shared" si="14"/>
        <v>399305.73195529031</v>
      </c>
      <c r="E30" s="5">
        <f t="shared" si="14"/>
        <v>398627.21159416094</v>
      </c>
      <c r="F30" s="5">
        <f t="shared" si="14"/>
        <v>397878.75202329818</v>
      </c>
      <c r="G30" s="5">
        <f t="shared" si="14"/>
        <v>400896.79763376049</v>
      </c>
      <c r="H30" s="5">
        <f t="shared" si="14"/>
        <v>402378.58094364509</v>
      </c>
    </row>
    <row r="31" spans="2:8" x14ac:dyDescent="0.25">
      <c r="B31" s="1" t="s">
        <v>176</v>
      </c>
      <c r="C31" s="5">
        <f t="shared" ref="C31:H31" si="15">+C13*C20/C21</f>
        <v>566492.65362473705</v>
      </c>
      <c r="D31" s="5">
        <f t="shared" si="15"/>
        <v>735488.88609366026</v>
      </c>
      <c r="E31" s="5">
        <f t="shared" si="15"/>
        <v>731054.29474509566</v>
      </c>
      <c r="F31" s="5">
        <f t="shared" si="15"/>
        <v>726435.66671385709</v>
      </c>
      <c r="G31" s="5">
        <f t="shared" si="15"/>
        <v>730404.42685376084</v>
      </c>
      <c r="H31" s="5">
        <f t="shared" si="15"/>
        <v>730967.39819513133</v>
      </c>
    </row>
    <row r="32" spans="2:8" x14ac:dyDescent="0.25">
      <c r="B32" s="1" t="s">
        <v>177</v>
      </c>
      <c r="C32" s="5">
        <f t="shared" ref="C32:H32" si="16">+C14*C20/C21</f>
        <v>271200.37902386865</v>
      </c>
      <c r="D32" s="5">
        <f t="shared" si="16"/>
        <v>344291.96093836724</v>
      </c>
      <c r="E32" s="5">
        <f t="shared" si="16"/>
        <v>336512.66449344391</v>
      </c>
      <c r="F32" s="5">
        <f t="shared" si="16"/>
        <v>328868.00966594456</v>
      </c>
      <c r="G32" s="5">
        <f t="shared" si="16"/>
        <v>324722.97515564883</v>
      </c>
      <c r="H32" s="5">
        <f t="shared" si="16"/>
        <v>319634.50869311712</v>
      </c>
    </row>
    <row r="33" spans="2:8" x14ac:dyDescent="0.25">
      <c r="B33" s="52" t="s">
        <v>8</v>
      </c>
      <c r="C33" s="60">
        <f>+SUM(C30:C32)</f>
        <v>1143061.3774328048</v>
      </c>
      <c r="D33" s="60">
        <f t="shared" ref="D33" si="17">+SUM(D30:D32)</f>
        <v>1479086.5789873179</v>
      </c>
      <c r="E33" s="60">
        <f t="shared" ref="E33" si="18">+SUM(E30:E32)</f>
        <v>1466194.1708327006</v>
      </c>
      <c r="F33" s="60">
        <f t="shared" ref="F33" si="19">+SUM(F30:F32)</f>
        <v>1453182.4284031</v>
      </c>
      <c r="G33" s="60">
        <f t="shared" ref="G33" si="20">+SUM(G30:G32)</f>
        <v>1456024.19964317</v>
      </c>
      <c r="H33" s="60">
        <f t="shared" ref="H33" si="21">+SUM(H30:H32)</f>
        <v>1452980.4878318936</v>
      </c>
    </row>
  </sheetData>
  <hyperlinks>
    <hyperlink ref="H1" location="Índice!A1" display="ÍNDICE" xr:uid="{04009F18-41EC-4154-91EC-814C4432D5C2}"/>
  </hyperlinks>
  <pageMargins left="0.7" right="0.7" top="0.75" bottom="0.75" header="0.3" footer="0.3"/>
  <pageSetup paperSize="9" orientation="portrait" horizontalDpi="0" verticalDpi="0" r:id="rId1"/>
  <ignoredErrors>
    <ignoredError sqref="C9:H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B5BF9-6E40-4010-8A96-A666857B8C31}">
  <sheetPr codeName="Hoja14"/>
  <dimension ref="B1:AF486"/>
  <sheetViews>
    <sheetView showGridLines="0" zoomScaleNormal="100" workbookViewId="0">
      <pane ySplit="13" topLeftCell="A38" activePane="bottomLeft" state="frozen"/>
      <selection pane="bottomLeft"/>
    </sheetView>
  </sheetViews>
  <sheetFormatPr baseColWidth="10" defaultColWidth="11.5546875" defaultRowHeight="13.2" x14ac:dyDescent="0.25"/>
  <cols>
    <col min="1" max="1" width="2.6640625" style="1" customWidth="1"/>
    <col min="2" max="2" width="13.109375" style="1" customWidth="1"/>
    <col min="3" max="3" width="12.5546875" style="1" bestFit="1" customWidth="1"/>
    <col min="4" max="4" width="22.5546875" style="1" customWidth="1"/>
    <col min="5" max="5" width="27" style="1" customWidth="1"/>
    <col min="6" max="6" width="12" style="1" customWidth="1"/>
    <col min="7" max="12" width="8.88671875" style="1" bestFit="1" customWidth="1"/>
    <col min="13" max="13" width="1.109375" style="1" customWidth="1"/>
    <col min="14" max="19" width="8.5546875" style="1" customWidth="1"/>
    <col min="20" max="20" width="2.6640625" style="1" customWidth="1"/>
    <col min="21" max="16384" width="11.5546875" style="1"/>
  </cols>
  <sheetData>
    <row r="1" spans="2:32" ht="16.2" thickBot="1" x14ac:dyDescent="0.35">
      <c r="B1" s="130" t="s">
        <v>536</v>
      </c>
      <c r="S1" s="39" t="s">
        <v>389</v>
      </c>
    </row>
    <row r="2" spans="2:32" ht="5.0999999999999996" customHeight="1" x14ac:dyDescent="0.3">
      <c r="B2" s="130"/>
    </row>
    <row r="3" spans="2:32" x14ac:dyDescent="0.25">
      <c r="B3" s="8" t="s">
        <v>535</v>
      </c>
    </row>
    <row r="4" spans="2:32" ht="5.0999999999999996" customHeight="1" x14ac:dyDescent="0.25">
      <c r="B4" s="8"/>
    </row>
    <row r="5" spans="2:32" x14ac:dyDescent="0.25">
      <c r="B5" s="53"/>
      <c r="C5" s="53"/>
      <c r="D5" s="53"/>
      <c r="E5" s="53"/>
      <c r="F5" s="53"/>
      <c r="G5" s="53">
        <v>2025</v>
      </c>
      <c r="H5" s="53">
        <f>+G5+1</f>
        <v>2026</v>
      </c>
      <c r="I5" s="53">
        <f t="shared" ref="I5:L5" si="0">+H5+1</f>
        <v>2027</v>
      </c>
      <c r="J5" s="53">
        <f t="shared" si="0"/>
        <v>2028</v>
      </c>
      <c r="K5" s="53">
        <f t="shared" si="0"/>
        <v>2029</v>
      </c>
      <c r="L5" s="191">
        <f t="shared" si="0"/>
        <v>2030</v>
      </c>
      <c r="M5" s="189"/>
      <c r="N5" s="190">
        <v>2025</v>
      </c>
      <c r="O5" s="53">
        <f>+N5+1</f>
        <v>2026</v>
      </c>
      <c r="P5" s="53">
        <f t="shared" ref="P5:S5" si="1">+O5+1</f>
        <v>2027</v>
      </c>
      <c r="Q5" s="53">
        <f t="shared" si="1"/>
        <v>2028</v>
      </c>
      <c r="R5" s="53">
        <f t="shared" si="1"/>
        <v>2029</v>
      </c>
      <c r="S5" s="53">
        <f t="shared" si="1"/>
        <v>2030</v>
      </c>
    </row>
    <row r="6" spans="2:32" ht="15" customHeight="1" x14ac:dyDescent="0.25">
      <c r="B6" s="183" t="s">
        <v>541</v>
      </c>
      <c r="C6" s="181"/>
      <c r="D6" s="181"/>
      <c r="E6" s="181"/>
      <c r="F6" s="181"/>
      <c r="G6" s="321" t="s">
        <v>0</v>
      </c>
      <c r="H6" s="321"/>
      <c r="I6" s="321"/>
      <c r="J6" s="321"/>
      <c r="K6" s="321"/>
      <c r="L6" s="326"/>
      <c r="M6" s="182"/>
      <c r="N6" s="320" t="s">
        <v>1</v>
      </c>
      <c r="O6" s="321"/>
      <c r="P6" s="321"/>
      <c r="Q6" s="321"/>
      <c r="R6" s="321"/>
      <c r="S6" s="321"/>
    </row>
    <row r="7" spans="2:32" ht="15" customHeight="1" x14ac:dyDescent="0.25">
      <c r="B7" s="184" t="s">
        <v>539</v>
      </c>
      <c r="C7" s="165"/>
      <c r="D7" s="180"/>
      <c r="E7" s="180"/>
      <c r="F7" s="180"/>
      <c r="G7" s="195">
        <f>+'1. Demanda'!C6/'1. Demanda'!C14</f>
        <v>6.355244025816445E-2</v>
      </c>
      <c r="H7" s="195">
        <f>+'1. Demanda'!D6/'1. Demanda'!D14</f>
        <v>7.2903236982898689E-2</v>
      </c>
      <c r="I7" s="195">
        <f>+'1. Demanda'!E6/'1. Demanda'!E14</f>
        <v>8.0595597099820157E-2</v>
      </c>
      <c r="J7" s="195">
        <f>+'1. Demanda'!F6/'1. Demanda'!F14</f>
        <v>8.3990175661437211E-2</v>
      </c>
      <c r="K7" s="195">
        <f>+'1. Demanda'!G6/'1. Demanda'!G14</f>
        <v>8.5869037853841215E-2</v>
      </c>
      <c r="L7" s="196">
        <f>+'1. Demanda'!H6/'1. Demanda'!H14</f>
        <v>8.8162308060925607E-2</v>
      </c>
      <c r="M7" s="10"/>
      <c r="N7" s="197">
        <f>+'1. Demanda'!C7/'1. Demanda'!C14</f>
        <v>3.1345158157995531E-2</v>
      </c>
      <c r="O7" s="195">
        <f>+'1. Demanda'!D7/'1. Demanda'!D14</f>
        <v>3.0193839801917203E-2</v>
      </c>
      <c r="P7" s="195">
        <f>+'1. Demanda'!E7/'1. Demanda'!E14</f>
        <v>2.950835928314283E-2</v>
      </c>
      <c r="Q7" s="195">
        <f>+'1. Demanda'!F7/'1. Demanda'!F14</f>
        <v>2.8834742845704541E-2</v>
      </c>
      <c r="R7" s="195">
        <f>+'1. Demanda'!G7/'1. Demanda'!G14</f>
        <v>2.8469498967087541E-2</v>
      </c>
      <c r="S7" s="195">
        <f>+'1. Demanda'!H7/'1. Demanda'!H14</f>
        <v>2.8021123634536925E-2</v>
      </c>
    </row>
    <row r="8" spans="2:32" ht="15" customHeight="1" x14ac:dyDescent="0.25">
      <c r="B8" s="185" t="s">
        <v>538</v>
      </c>
      <c r="C8" s="179"/>
      <c r="D8" s="168"/>
      <c r="E8" s="168"/>
      <c r="F8" s="168"/>
      <c r="G8" s="198">
        <f>+'5.2 Asignación de Áreas'!$F$4</f>
        <v>4.9824554344339751E-2</v>
      </c>
      <c r="H8" s="198">
        <f>+'5.2 Asignación de Áreas'!$F$4</f>
        <v>4.9824554344339751E-2</v>
      </c>
      <c r="I8" s="198">
        <f>+'5.2 Asignación de Áreas'!$F$4</f>
        <v>4.9824554344339751E-2</v>
      </c>
      <c r="J8" s="198">
        <f>+'5.2 Asignación de Áreas'!$F$4</f>
        <v>4.9824554344339751E-2</v>
      </c>
      <c r="K8" s="198">
        <f>+'5.2 Asignación de Áreas'!$F$4</f>
        <v>4.9824554344339751E-2</v>
      </c>
      <c r="L8" s="199">
        <f>+'5.2 Asignación de Áreas'!$F$4</f>
        <v>4.9824554344339751E-2</v>
      </c>
      <c r="M8" s="168"/>
      <c r="N8" s="200">
        <f>+'5.2 Asignación de Áreas'!$F$5</f>
        <v>9.5542737742500775E-3</v>
      </c>
      <c r="O8" s="198">
        <f>+'5.2 Asignación de Áreas'!$F$5</f>
        <v>9.5542737742500775E-3</v>
      </c>
      <c r="P8" s="198">
        <f>+'5.2 Asignación de Áreas'!$F$5</f>
        <v>9.5542737742500775E-3</v>
      </c>
      <c r="Q8" s="198">
        <f>+'5.2 Asignación de Áreas'!$F$5</f>
        <v>9.5542737742500775E-3</v>
      </c>
      <c r="R8" s="198">
        <f>+'5.2 Asignación de Áreas'!$F$5</f>
        <v>9.5542737742500775E-3</v>
      </c>
      <c r="S8" s="198">
        <f>+'5.2 Asignación de Áreas'!$F$5</f>
        <v>9.5542737742500775E-3</v>
      </c>
    </row>
    <row r="9" spans="2:32" x14ac:dyDescent="0.25">
      <c r="B9" s="98"/>
      <c r="C9" s="186"/>
      <c r="M9" s="186"/>
      <c r="N9" s="187"/>
      <c r="O9" s="187"/>
      <c r="P9" s="187"/>
      <c r="Q9" s="187"/>
      <c r="R9" s="187"/>
      <c r="S9" s="187"/>
    </row>
    <row r="10" spans="2:32" x14ac:dyDescent="0.25">
      <c r="B10" s="8" t="s">
        <v>540</v>
      </c>
      <c r="G10" s="2"/>
      <c r="H10" s="2"/>
      <c r="I10" s="2"/>
      <c r="J10" s="2"/>
      <c r="K10" s="2"/>
      <c r="L10" s="2"/>
      <c r="M10" s="186"/>
      <c r="N10" s="2"/>
      <c r="O10" s="2"/>
      <c r="P10" s="2"/>
      <c r="Q10" s="2"/>
      <c r="R10" s="2"/>
      <c r="S10" s="2"/>
    </row>
    <row r="11" spans="2:32" ht="5.0999999999999996" customHeight="1" x14ac:dyDescent="0.25">
      <c r="M11" s="186"/>
    </row>
    <row r="12" spans="2:32" ht="15" customHeight="1" x14ac:dyDescent="0.25">
      <c r="B12" s="324" t="s">
        <v>9</v>
      </c>
      <c r="C12" s="325" t="s">
        <v>10</v>
      </c>
      <c r="D12" s="325" t="s">
        <v>11</v>
      </c>
      <c r="E12" s="325" t="s">
        <v>12</v>
      </c>
      <c r="F12" s="323" t="s">
        <v>193</v>
      </c>
      <c r="G12" s="322" t="s">
        <v>533</v>
      </c>
      <c r="H12" s="322"/>
      <c r="I12" s="322"/>
      <c r="J12" s="322"/>
      <c r="K12" s="322"/>
      <c r="L12" s="322"/>
      <c r="M12" s="188"/>
      <c r="N12" s="322" t="s">
        <v>534</v>
      </c>
      <c r="O12" s="322"/>
      <c r="P12" s="322"/>
      <c r="Q12" s="322"/>
      <c r="R12" s="322"/>
      <c r="S12" s="322"/>
    </row>
    <row r="13" spans="2:32" x14ac:dyDescent="0.25">
      <c r="B13" s="324"/>
      <c r="C13" s="325"/>
      <c r="D13" s="325"/>
      <c r="E13" s="325"/>
      <c r="F13" s="323"/>
      <c r="G13" s="40">
        <v>2025</v>
      </c>
      <c r="H13" s="40">
        <v>2026</v>
      </c>
      <c r="I13" s="40">
        <v>2027</v>
      </c>
      <c r="J13" s="40">
        <v>2028</v>
      </c>
      <c r="K13" s="40">
        <v>2029</v>
      </c>
      <c r="L13" s="40">
        <v>2030</v>
      </c>
      <c r="M13" s="188"/>
      <c r="N13" s="40">
        <v>2025</v>
      </c>
      <c r="O13" s="40">
        <v>2026</v>
      </c>
      <c r="P13" s="40">
        <v>2027</v>
      </c>
      <c r="Q13" s="40">
        <v>2028</v>
      </c>
      <c r="R13" s="40">
        <v>2029</v>
      </c>
      <c r="S13" s="40">
        <v>2030</v>
      </c>
    </row>
    <row r="14" spans="2:32" x14ac:dyDescent="0.25">
      <c r="B14" s="17">
        <v>6211000001</v>
      </c>
      <c r="C14" s="193" t="s">
        <v>13</v>
      </c>
      <c r="D14" s="193" t="s">
        <v>14</v>
      </c>
      <c r="E14" s="193" t="s">
        <v>15</v>
      </c>
      <c r="F14" s="163" t="s">
        <v>190</v>
      </c>
      <c r="G14" s="3">
        <f>+IF(F14="Pasajero",'2.2 OPEX LAP 2023'!I15*'2.1 OPEX TUUA'!$G$7,'2.2 OPEX LAP 2023'!I15*'2.1 OPEX TUUA'!$G$8)</f>
        <v>32428.416410220379</v>
      </c>
      <c r="H14" s="3">
        <f>+IF(F14="Pasajero",'2.2 OPEX LAP 2023'!J15*'2.1 OPEX TUUA'!$H$7,'2.2 OPEX LAP 2023'!J15*'2.1 OPEX TUUA'!$H$8)</f>
        <v>38038.697290600692</v>
      </c>
      <c r="I14" s="3">
        <f>+IF(F14="Pasajero",'2.2 OPEX LAP 2023'!K15*'2.1 OPEX TUUA'!$I$7,'2.2 OPEX LAP 2023'!K15*'2.1 OPEX TUUA'!$I$8)</f>
        <v>42761.54776376349</v>
      </c>
      <c r="J14" s="3">
        <f>+IF(F14="Pasajero",'2.2 OPEX LAP 2023'!L15*'2.1 OPEX TUUA'!$J$7,'2.2 OPEX LAP 2023'!L15*'2.1 OPEX TUUA'!$J$8)</f>
        <v>45306.556619469971</v>
      </c>
      <c r="K14" s="3">
        <f>+IF(F14="Pasajero",'2.2 OPEX LAP 2023'!M15*'2.1 OPEX TUUA'!$K$7,'2.2 OPEX LAP 2023'!M15*'2.1 OPEX TUUA'!$K$8)</f>
        <v>47166.043456437888</v>
      </c>
      <c r="L14" s="3">
        <f>+IF(F14="Pasajero",'2.2 OPEX LAP 2023'!N15*'2.1 OPEX TUUA'!$L$7,'2.2 OPEX LAP 2023'!N15*'2.1 OPEX TUUA'!$L$8)</f>
        <v>49231.969293925336</v>
      </c>
      <c r="M14" s="186"/>
      <c r="N14" s="3">
        <f>+IF(F14="Pasajero",'2.2 OPEX LAP 2023'!I15*'2.1 OPEX TUUA'!$N$7,'2.2 OPEX LAP 2023'!I15*'2.1 OPEX TUUA'!$N$8)</f>
        <v>15994.253518237032</v>
      </c>
      <c r="O14" s="3">
        <f>+IF(F14="Pasajero",'2.2 OPEX LAP 2023'!J15*'2.1 OPEX TUUA'!$O$7,'2.2 OPEX LAP 2023'!J15*'2.1 OPEX TUUA'!$O$8)</f>
        <v>15754.229576053491</v>
      </c>
      <c r="P14" s="3">
        <f>+IF(F14="Pasajero",'2.2 OPEX LAP 2023'!K15*'2.1 OPEX TUUA'!$P$7,'2.2 OPEX LAP 2023'!K15*'2.1 OPEX TUUA'!$P$8)</f>
        <v>15656.228880016843</v>
      </c>
      <c r="Q14" s="3">
        <f>+IF(F14="Pasajero",'2.2 OPEX LAP 2023'!L15*'2.1 OPEX TUUA'!$Q$7,'2.2 OPEX LAP 2023'!L15*'2.1 OPEX TUUA'!$Q$8)</f>
        <v>15554.234754941514</v>
      </c>
      <c r="R14" s="3">
        <f>+IF(F14="Pasajero",'2.2 OPEX LAP 2023'!M15*'2.1 OPEX TUUA'!$R$7,'2.2 OPEX LAP 2023'!M15*'2.1 OPEX TUUA'!$R$8)</f>
        <v>15637.692689072057</v>
      </c>
      <c r="S14" s="3">
        <f>+IF(F14="Pasajero",'2.2 OPEX LAP 2023'!N15*'2.1 OPEX TUUA'!$S$7,'2.2 OPEX LAP 2023'!N15*'2.1 OPEX TUUA'!$S$8)</f>
        <v>15647.67448469547</v>
      </c>
      <c r="U14" s="1">
        <v>33041.153008960566</v>
      </c>
      <c r="V14" s="1">
        <v>38757.440435609904</v>
      </c>
      <c r="W14" s="1">
        <v>43569.529411778123</v>
      </c>
      <c r="X14" s="1">
        <v>46162.626340928655</v>
      </c>
      <c r="Y14" s="1">
        <v>48057.248277479375</v>
      </c>
      <c r="Z14" s="1">
        <v>50162.209890099926</v>
      </c>
      <c r="AA14" s="7">
        <f>+G14-U14</f>
        <v>-612.73659874018631</v>
      </c>
      <c r="AB14" s="7">
        <f t="shared" ref="AB14:AF14" si="2">+H14-V14</f>
        <v>-718.74314500921173</v>
      </c>
      <c r="AC14" s="7">
        <f t="shared" si="2"/>
        <v>-807.98164801463281</v>
      </c>
      <c r="AD14" s="7">
        <f t="shared" si="2"/>
        <v>-856.06972145868349</v>
      </c>
      <c r="AE14" s="7">
        <f t="shared" si="2"/>
        <v>-891.20482104148687</v>
      </c>
      <c r="AF14" s="7">
        <f t="shared" si="2"/>
        <v>-930.24059617458988</v>
      </c>
    </row>
    <row r="15" spans="2:32" x14ac:dyDescent="0.25">
      <c r="B15" s="17">
        <v>6212000001</v>
      </c>
      <c r="C15" s="193" t="s">
        <v>13</v>
      </c>
      <c r="D15" s="193" t="s">
        <v>14</v>
      </c>
      <c r="E15" s="193" t="s">
        <v>16</v>
      </c>
      <c r="F15" s="163" t="s">
        <v>190</v>
      </c>
      <c r="G15" s="3">
        <f>+IF(F15="Pasajero",'2.2 OPEX LAP 2023'!I16*'2.1 OPEX TUUA'!$G$7,'2.2 OPEX LAP 2023'!I16*'2.1 OPEX TUUA'!$G$8)</f>
        <v>6937.7869862122534</v>
      </c>
      <c r="H15" s="3">
        <f>+IF(F15="Pasajero",'2.2 OPEX LAP 2023'!J16*'2.1 OPEX TUUA'!$H$7,'2.2 OPEX LAP 2023'!J16*'2.1 OPEX TUUA'!$H$8)</f>
        <v>8138.0594012608872</v>
      </c>
      <c r="I15" s="3">
        <f>+IF(F15="Pasajero",'2.2 OPEX LAP 2023'!K16*'2.1 OPEX TUUA'!$I$7,'2.2 OPEX LAP 2023'!K16*'2.1 OPEX TUUA'!$I$8)</f>
        <v>9148.473543476246</v>
      </c>
      <c r="J15" s="3">
        <f>+IF(F15="Pasajero",'2.2 OPEX LAP 2023'!L16*'2.1 OPEX TUUA'!$J$7,'2.2 OPEX LAP 2023'!L16*'2.1 OPEX TUUA'!$J$8)</f>
        <v>9692.9567860606858</v>
      </c>
      <c r="K15" s="3">
        <f>+IF(F15="Pasajero",'2.2 OPEX LAP 2023'!M16*'2.1 OPEX TUUA'!$K$7,'2.2 OPEX LAP 2023'!M16*'2.1 OPEX TUUA'!$K$8)</f>
        <v>10090.778357590867</v>
      </c>
      <c r="L15" s="3">
        <f>+IF(F15="Pasajero",'2.2 OPEX LAP 2023'!N16*'2.1 OPEX TUUA'!$L$7,'2.2 OPEX LAP 2023'!N16*'2.1 OPEX TUUA'!$L$8)</f>
        <v>10532.765817246247</v>
      </c>
      <c r="M15" s="186"/>
      <c r="N15" s="3">
        <f>+IF(F15="Pasajero",'2.2 OPEX LAP 2023'!I16*'2.1 OPEX TUUA'!$N$7,'2.2 OPEX LAP 2023'!I16*'2.1 OPEX TUUA'!$N$8)</f>
        <v>3421.8360375448974</v>
      </c>
      <c r="O15" s="3">
        <f>+IF(F15="Pasajero",'2.2 OPEX LAP 2023'!J16*'2.1 OPEX TUUA'!$O$7,'2.2 OPEX LAP 2023'!J16*'2.1 OPEX TUUA'!$O$8)</f>
        <v>3370.4849335811682</v>
      </c>
      <c r="P15" s="3">
        <f>+IF(F15="Pasajero",'2.2 OPEX LAP 2023'!K16*'2.1 OPEX TUUA'!$P$7,'2.2 OPEX LAP 2023'!K16*'2.1 OPEX TUUA'!$P$8)</f>
        <v>3349.5185087948958</v>
      </c>
      <c r="Q15" s="3">
        <f>+IF(F15="Pasajero",'2.2 OPEX LAP 2023'!L16*'2.1 OPEX TUUA'!$Q$7,'2.2 OPEX LAP 2023'!L16*'2.1 OPEX TUUA'!$Q$8)</f>
        <v>3327.6977234482911</v>
      </c>
      <c r="R15" s="3">
        <f>+IF(F15="Pasajero",'2.2 OPEX LAP 2023'!M16*'2.1 OPEX TUUA'!$R$7,'2.2 OPEX LAP 2023'!M16*'2.1 OPEX TUUA'!$R$8)</f>
        <v>3345.5528466212054</v>
      </c>
      <c r="S15" s="3">
        <f>+IF(F15="Pasajero",'2.2 OPEX LAP 2023'!N16*'2.1 OPEX TUUA'!$S$7,'2.2 OPEX LAP 2023'!N16*'2.1 OPEX TUUA'!$S$8)</f>
        <v>3347.6883678535442</v>
      </c>
      <c r="U15" s="1">
        <v>7068.8768287423336</v>
      </c>
      <c r="V15" s="1">
        <v>8291.8284529097564</v>
      </c>
      <c r="W15" s="1">
        <v>9321.3344223974727</v>
      </c>
      <c r="X15" s="1">
        <v>9876.1057039016032</v>
      </c>
      <c r="Y15" s="1">
        <v>10281.444134521087</v>
      </c>
      <c r="Z15" s="1">
        <v>10731.782969997263</v>
      </c>
      <c r="AA15" s="7">
        <f t="shared" ref="AA15:AA78" si="3">+G15-U15</f>
        <v>-131.0898425300802</v>
      </c>
      <c r="AB15" s="7">
        <f t="shared" ref="AB15:AB78" si="4">+H15-V15</f>
        <v>-153.76905164886921</v>
      </c>
      <c r="AC15" s="7">
        <f t="shared" ref="AC15:AC78" si="5">+I15-W15</f>
        <v>-172.86087892122669</v>
      </c>
      <c r="AD15" s="7">
        <f t="shared" ref="AD15:AD78" si="6">+J15-X15</f>
        <v>-183.14891784091742</v>
      </c>
      <c r="AE15" s="7">
        <f t="shared" ref="AE15:AE78" si="7">+K15-Y15</f>
        <v>-190.66577693022009</v>
      </c>
      <c r="AF15" s="7">
        <f t="shared" ref="AF15:AF78" si="8">+L15-Z15</f>
        <v>-199.0171527510156</v>
      </c>
    </row>
    <row r="16" spans="2:32" x14ac:dyDescent="0.25">
      <c r="B16" s="17">
        <v>6213000001</v>
      </c>
      <c r="C16" s="193" t="s">
        <v>13</v>
      </c>
      <c r="D16" s="193" t="s">
        <v>14</v>
      </c>
      <c r="E16" s="193" t="s">
        <v>17</v>
      </c>
      <c r="F16" s="163" t="s">
        <v>190</v>
      </c>
      <c r="G16" s="3">
        <f>+IF(F16="Pasajero",'2.2 OPEX LAP 2023'!I17*'2.1 OPEX TUUA'!$G$7,'2.2 OPEX LAP 2023'!I17*'2.1 OPEX TUUA'!$G$8)</f>
        <v>3193.6981543782231</v>
      </c>
      <c r="H16" s="3">
        <f>+IF(F16="Pasajero",'2.2 OPEX LAP 2023'!J17*'2.1 OPEX TUUA'!$H$7,'2.2 OPEX LAP 2023'!J17*'2.1 OPEX TUUA'!$H$8)</f>
        <v>3746.2241694187542</v>
      </c>
      <c r="I16" s="3">
        <f>+IF(F16="Pasajero",'2.2 OPEX LAP 2023'!K17*'2.1 OPEX TUUA'!$I$7,'2.2 OPEX LAP 2023'!K17*'2.1 OPEX TUUA'!$I$8)</f>
        <v>4211.351995851579</v>
      </c>
      <c r="J16" s="3">
        <f>+IF(F16="Pasajero",'2.2 OPEX LAP 2023'!L17*'2.1 OPEX TUUA'!$J$7,'2.2 OPEX LAP 2023'!L17*'2.1 OPEX TUUA'!$J$8)</f>
        <v>4461.9960600737322</v>
      </c>
      <c r="K16" s="3">
        <f>+IF(F16="Pasajero",'2.2 OPEX LAP 2023'!M17*'2.1 OPEX TUUA'!$K$7,'2.2 OPEX LAP 2023'!M17*'2.1 OPEX TUUA'!$K$8)</f>
        <v>4645.1267934463112</v>
      </c>
      <c r="L16" s="3">
        <f>+IF(F16="Pasajero",'2.2 OPEX LAP 2023'!N17*'2.1 OPEX TUUA'!$L$7,'2.2 OPEX LAP 2023'!N17*'2.1 OPEX TUUA'!$L$8)</f>
        <v>4848.5885798869986</v>
      </c>
      <c r="M16" s="186"/>
      <c r="N16" s="3">
        <f>+IF(F16="Pasajero",'2.2 OPEX LAP 2023'!I17*'2.1 OPEX TUUA'!$N$7,'2.2 OPEX LAP 2023'!I17*'2.1 OPEX TUUA'!$N$8)</f>
        <v>1575.1869377670876</v>
      </c>
      <c r="O16" s="3">
        <f>+IF(F16="Pasajero",'2.2 OPEX LAP 2023'!J17*'2.1 OPEX TUUA'!$O$7,'2.2 OPEX LAP 2023'!J17*'2.1 OPEX TUUA'!$O$8)</f>
        <v>1551.5482866698185</v>
      </c>
      <c r="P16" s="3">
        <f>+IF(F16="Pasajero",'2.2 OPEX LAP 2023'!K17*'2.1 OPEX TUUA'!$P$7,'2.2 OPEX LAP 2023'!K17*'2.1 OPEX TUUA'!$P$8)</f>
        <v>1541.8967317464831</v>
      </c>
      <c r="Q16" s="3">
        <f>+IF(F16="Pasajero",'2.2 OPEX LAP 2023'!L17*'2.1 OPEX TUUA'!$Q$7,'2.2 OPEX LAP 2023'!L17*'2.1 OPEX TUUA'!$Q$8)</f>
        <v>1531.8518857419817</v>
      </c>
      <c r="R16" s="3">
        <f>+IF(F16="Pasajero",'2.2 OPEX LAP 2023'!M17*'2.1 OPEX TUUA'!$R$7,'2.2 OPEX LAP 2023'!M17*'2.1 OPEX TUUA'!$R$8)</f>
        <v>1540.071203232827</v>
      </c>
      <c r="S16" s="3">
        <f>+IF(F16="Pasajero",'2.2 OPEX LAP 2023'!N17*'2.1 OPEX TUUA'!$S$7,'2.2 OPEX LAP 2023'!N17*'2.1 OPEX TUUA'!$S$8)</f>
        <v>1541.0542559313185</v>
      </c>
      <c r="U16" s="1">
        <v>3254.0432455403002</v>
      </c>
      <c r="V16" s="1">
        <v>3817.0092681004307</v>
      </c>
      <c r="W16" s="1">
        <v>4290.9257087764736</v>
      </c>
      <c r="X16" s="1">
        <v>4546.3057055049549</v>
      </c>
      <c r="Y16" s="1">
        <v>4732.8967035192609</v>
      </c>
      <c r="Z16" s="1">
        <v>4940.2029108968272</v>
      </c>
      <c r="AA16" s="7">
        <f t="shared" si="3"/>
        <v>-60.345091162077097</v>
      </c>
      <c r="AB16" s="7">
        <f t="shared" si="4"/>
        <v>-70.785098681676573</v>
      </c>
      <c r="AC16" s="7">
        <f t="shared" si="5"/>
        <v>-79.573712924894608</v>
      </c>
      <c r="AD16" s="7">
        <f t="shared" si="6"/>
        <v>-84.309645431222634</v>
      </c>
      <c r="AE16" s="7">
        <f t="shared" si="7"/>
        <v>-87.769910072949642</v>
      </c>
      <c r="AF16" s="7">
        <f t="shared" si="8"/>
        <v>-91.614331009828675</v>
      </c>
    </row>
    <row r="17" spans="2:32" x14ac:dyDescent="0.25">
      <c r="B17" s="17">
        <v>6214000001</v>
      </c>
      <c r="C17" s="193" t="s">
        <v>13</v>
      </c>
      <c r="D17" s="193" t="s">
        <v>14</v>
      </c>
      <c r="E17" s="193" t="s">
        <v>18</v>
      </c>
      <c r="F17" s="163" t="s">
        <v>190</v>
      </c>
      <c r="G17" s="3">
        <f>+IF(F17="Pasajero",'2.2 OPEX LAP 2023'!I18*'2.1 OPEX TUUA'!$G$7,'2.2 OPEX LAP 2023'!I18*'2.1 OPEX TUUA'!$G$8)</f>
        <v>466.7263035290502</v>
      </c>
      <c r="H17" s="3">
        <f>+IF(F17="Pasajero",'2.2 OPEX LAP 2023'!J18*'2.1 OPEX TUUA'!$H$7,'2.2 OPEX LAP 2023'!J18*'2.1 OPEX TUUA'!$H$8)</f>
        <v>547.47232652122921</v>
      </c>
      <c r="I17" s="3">
        <f>+IF(F17="Pasajero",'2.2 OPEX LAP 2023'!K18*'2.1 OPEX TUUA'!$I$7,'2.2 OPEX LAP 2023'!K18*'2.1 OPEX TUUA'!$I$8)</f>
        <v>615.44599861102574</v>
      </c>
      <c r="J17" s="3">
        <f>+IF(F17="Pasajero",'2.2 OPEX LAP 2023'!L18*'2.1 OPEX TUUA'!$J$7,'2.2 OPEX LAP 2023'!L18*'2.1 OPEX TUUA'!$J$8)</f>
        <v>652.07506370771728</v>
      </c>
      <c r="K17" s="3">
        <f>+IF(F17="Pasajero",'2.2 OPEX LAP 2023'!M18*'2.1 OPEX TUUA'!$K$7,'2.2 OPEX LAP 2023'!M18*'2.1 OPEX TUUA'!$K$8)</f>
        <v>678.83774637776696</v>
      </c>
      <c r="L17" s="3">
        <f>+IF(F17="Pasajero",'2.2 OPEX LAP 2023'!N18*'2.1 OPEX TUUA'!$L$7,'2.2 OPEX LAP 2023'!N18*'2.1 OPEX TUUA'!$L$8)</f>
        <v>708.57160440210714</v>
      </c>
      <c r="M17" s="186"/>
      <c r="N17" s="3">
        <f>+IF(F17="Pasajero",'2.2 OPEX LAP 2023'!I18*'2.1 OPEX TUUA'!$N$7,'2.2 OPEX LAP 2023'!I18*'2.1 OPEX TUUA'!$N$8)</f>
        <v>230.19745176087508</v>
      </c>
      <c r="O17" s="3">
        <f>+IF(F17="Pasajero",'2.2 OPEX LAP 2023'!J18*'2.1 OPEX TUUA'!$O$7,'2.2 OPEX LAP 2023'!J18*'2.1 OPEX TUUA'!$O$8)</f>
        <v>226.74290480191576</v>
      </c>
      <c r="P17" s="3">
        <f>+IF(F17="Pasajero",'2.2 OPEX LAP 2023'!K18*'2.1 OPEX TUUA'!$P$7,'2.2 OPEX LAP 2023'!K18*'2.1 OPEX TUUA'!$P$8)</f>
        <v>225.33242881610585</v>
      </c>
      <c r="Q17" s="3">
        <f>+IF(F17="Pasajero",'2.2 OPEX LAP 2023'!L18*'2.1 OPEX TUUA'!$Q$7,'2.2 OPEX LAP 2023'!L18*'2.1 OPEX TUUA'!$Q$8)</f>
        <v>223.86447736340753</v>
      </c>
      <c r="R17" s="3">
        <f>+IF(F17="Pasajero",'2.2 OPEX LAP 2023'!M18*'2.1 OPEX TUUA'!$R$7,'2.2 OPEX LAP 2023'!M18*'2.1 OPEX TUUA'!$R$8)</f>
        <v>225.06564650482275</v>
      </c>
      <c r="S17" s="3">
        <f>+IF(F17="Pasajero",'2.2 OPEX LAP 2023'!N18*'2.1 OPEX TUUA'!$S$7,'2.2 OPEX LAP 2023'!N18*'2.1 OPEX TUUA'!$S$8)</f>
        <v>225.20930959693817</v>
      </c>
      <c r="U17" s="1">
        <v>475.54512107935278</v>
      </c>
      <c r="V17" s="1">
        <v>557.81684433589714</v>
      </c>
      <c r="W17" s="1">
        <v>627.0748824617441</v>
      </c>
      <c r="X17" s="1">
        <v>664.3960556305185</v>
      </c>
      <c r="Y17" s="1">
        <v>691.66442056839674</v>
      </c>
      <c r="Z17" s="1">
        <v>721.96010137195583</v>
      </c>
      <c r="AA17" s="7">
        <f t="shared" si="3"/>
        <v>-8.8188175503025832</v>
      </c>
      <c r="AB17" s="7">
        <f t="shared" si="4"/>
        <v>-10.344517814667938</v>
      </c>
      <c r="AC17" s="7">
        <f t="shared" si="5"/>
        <v>-11.628883850718353</v>
      </c>
      <c r="AD17" s="7">
        <f t="shared" si="6"/>
        <v>-12.320991922801227</v>
      </c>
      <c r="AE17" s="7">
        <f t="shared" si="7"/>
        <v>-12.826674190629774</v>
      </c>
      <c r="AF17" s="7">
        <f t="shared" si="8"/>
        <v>-13.388496969848688</v>
      </c>
    </row>
    <row r="18" spans="2:32" x14ac:dyDescent="0.25">
      <c r="B18" s="17">
        <v>6221000001</v>
      </c>
      <c r="C18" s="193" t="s">
        <v>13</v>
      </c>
      <c r="D18" s="193" t="s">
        <v>14</v>
      </c>
      <c r="E18" s="193" t="s">
        <v>19</v>
      </c>
      <c r="F18" s="163" t="s">
        <v>190</v>
      </c>
      <c r="G18" s="3">
        <f>+IF(F18="Pasajero",'2.2 OPEX LAP 2023'!I19*'2.1 OPEX TUUA'!$G$7,'2.2 OPEX LAP 2023'!I19*'2.1 OPEX TUUA'!$G$8)</f>
        <v>193.0714434336607</v>
      </c>
      <c r="H18" s="3">
        <f>+IF(F18="Pasajero",'2.2 OPEX LAP 2023'!J19*'2.1 OPEX TUUA'!$H$7,'2.2 OPEX LAP 2023'!J19*'2.1 OPEX TUUA'!$H$8)</f>
        <v>226.4737845761012</v>
      </c>
      <c r="I18" s="3">
        <f>+IF(F18="Pasajero",'2.2 OPEX LAP 2023'!K19*'2.1 OPEX TUUA'!$I$7,'2.2 OPEX LAP 2023'!K19*'2.1 OPEX TUUA'!$I$8)</f>
        <v>254.59256615457829</v>
      </c>
      <c r="J18" s="3">
        <f>+IF(F18="Pasajero",'2.2 OPEX LAP 2023'!L19*'2.1 OPEX TUUA'!$J$7,'2.2 OPEX LAP 2023'!L19*'2.1 OPEX TUUA'!$J$8)</f>
        <v>269.74497221433995</v>
      </c>
      <c r="K18" s="3">
        <f>+IF(F18="Pasajero",'2.2 OPEX LAP 2023'!M19*'2.1 OPEX TUUA'!$K$7,'2.2 OPEX LAP 2023'!M19*'2.1 OPEX TUUA'!$K$8)</f>
        <v>280.81593550523132</v>
      </c>
      <c r="L18" s="3">
        <f>+IF(F18="Pasajero",'2.2 OPEX LAP 2023'!N19*'2.1 OPEX TUUA'!$L$7,'2.2 OPEX LAP 2023'!N19*'2.1 OPEX TUUA'!$L$8)</f>
        <v>293.11598982872539</v>
      </c>
      <c r="M18" s="3"/>
      <c r="N18" s="3">
        <f>+IF(F18="Pasajero",'2.2 OPEX LAP 2023'!I19*'2.1 OPEX TUUA'!$N$7,'2.2 OPEX LAP 2023'!I19*'2.1 OPEX TUUA'!$N$8)</f>
        <v>95.226161350163324</v>
      </c>
      <c r="O18" s="3">
        <f>+IF(F18="Pasajero",'2.2 OPEX LAP 2023'!J19*'2.1 OPEX TUUA'!$O$7,'2.2 OPEX LAP 2023'!J19*'2.1 OPEX TUUA'!$O$8)</f>
        <v>93.797113184820034</v>
      </c>
      <c r="P18" s="3">
        <f>+IF(F18="Pasajero",'2.2 OPEX LAP 2023'!K19*'2.1 OPEX TUUA'!$P$7,'2.2 OPEX LAP 2023'!K19*'2.1 OPEX TUUA'!$P$8)</f>
        <v>93.213639246347483</v>
      </c>
      <c r="Q18" s="3">
        <f>+IF(F18="Pasajero",'2.2 OPEX LAP 2023'!L19*'2.1 OPEX TUUA'!$Q$7,'2.2 OPEX LAP 2023'!L19*'2.1 OPEX TUUA'!$Q$8)</f>
        <v>92.606389336239602</v>
      </c>
      <c r="R18" s="3">
        <f>+IF(F18="Pasajero",'2.2 OPEX LAP 2023'!M19*'2.1 OPEX TUUA'!$R$7,'2.2 OPEX LAP 2023'!M19*'2.1 OPEX TUUA'!$R$8)</f>
        <v>93.103278965530819</v>
      </c>
      <c r="S18" s="3">
        <f>+IF(F18="Pasajero",'2.2 OPEX LAP 2023'!N19*'2.1 OPEX TUUA'!$S$7,'2.2 OPEX LAP 2023'!N19*'2.1 OPEX TUUA'!$S$8)</f>
        <v>93.162708314922824</v>
      </c>
      <c r="U18" s="1">
        <v>196.71953830412485</v>
      </c>
      <c r="V18" s="1">
        <v>230.75301840329615</v>
      </c>
      <c r="W18" s="1">
        <v>259.40310580834097</v>
      </c>
      <c r="X18" s="1">
        <v>274.84181736123372</v>
      </c>
      <c r="Y18" s="1">
        <v>286.12196707386784</v>
      </c>
      <c r="Z18" s="1">
        <v>298.65443155748682</v>
      </c>
      <c r="AA18" s="7">
        <f t="shared" si="3"/>
        <v>-3.6480948704641492</v>
      </c>
      <c r="AB18" s="7">
        <f t="shared" si="4"/>
        <v>-4.2792338271949575</v>
      </c>
      <c r="AC18" s="7">
        <f t="shared" si="5"/>
        <v>-4.8105396537626746</v>
      </c>
      <c r="AD18" s="7">
        <f t="shared" si="6"/>
        <v>-5.0968451468937701</v>
      </c>
      <c r="AE18" s="7">
        <f t="shared" si="7"/>
        <v>-5.3060315686365129</v>
      </c>
      <c r="AF18" s="7">
        <f t="shared" si="8"/>
        <v>-5.5384417287614269</v>
      </c>
    </row>
    <row r="19" spans="2:32" x14ac:dyDescent="0.25">
      <c r="B19" s="17">
        <v>6231000001</v>
      </c>
      <c r="C19" s="193" t="s">
        <v>13</v>
      </c>
      <c r="D19" s="193" t="s">
        <v>14</v>
      </c>
      <c r="E19" s="193" t="s">
        <v>20</v>
      </c>
      <c r="F19" s="163" t="s">
        <v>190</v>
      </c>
      <c r="G19" s="3">
        <f>+IF(F19="Pasajero",'2.2 OPEX LAP 2023'!I20*'2.1 OPEX TUUA'!$G$7,'2.2 OPEX LAP 2023'!I20*'2.1 OPEX TUUA'!$G$8)</f>
        <v>0</v>
      </c>
      <c r="H19" s="3">
        <f>+IF(F19="Pasajero",'2.2 OPEX LAP 2023'!J20*'2.1 OPEX TUUA'!$H$7,'2.2 OPEX LAP 2023'!J20*'2.1 OPEX TUUA'!$H$8)</f>
        <v>0</v>
      </c>
      <c r="I19" s="3">
        <f>+IF(F19="Pasajero",'2.2 OPEX LAP 2023'!K20*'2.1 OPEX TUUA'!$I$7,'2.2 OPEX LAP 2023'!K20*'2.1 OPEX TUUA'!$I$8)</f>
        <v>0</v>
      </c>
      <c r="J19" s="3">
        <f>+IF(F19="Pasajero",'2.2 OPEX LAP 2023'!L20*'2.1 OPEX TUUA'!$J$7,'2.2 OPEX LAP 2023'!L20*'2.1 OPEX TUUA'!$J$8)</f>
        <v>0</v>
      </c>
      <c r="K19" s="3">
        <f>+IF(F19="Pasajero",'2.2 OPEX LAP 2023'!M20*'2.1 OPEX TUUA'!$K$7,'2.2 OPEX LAP 2023'!M20*'2.1 OPEX TUUA'!$K$8)</f>
        <v>0</v>
      </c>
      <c r="L19" s="3">
        <f>+IF(F19="Pasajero",'2.2 OPEX LAP 2023'!N20*'2.1 OPEX TUUA'!$L$7,'2.2 OPEX LAP 2023'!N20*'2.1 OPEX TUUA'!$L$8)</f>
        <v>0</v>
      </c>
      <c r="M19" s="3"/>
      <c r="N19" s="3">
        <f>+IF(F19="Pasajero",'2.2 OPEX LAP 2023'!I20*'2.1 OPEX TUUA'!$N$7,'2.2 OPEX LAP 2023'!I20*'2.1 OPEX TUUA'!$N$8)</f>
        <v>0</v>
      </c>
      <c r="O19" s="3">
        <f>+IF(F19="Pasajero",'2.2 OPEX LAP 2023'!J20*'2.1 OPEX TUUA'!$O$7,'2.2 OPEX LAP 2023'!J20*'2.1 OPEX TUUA'!$O$8)</f>
        <v>0</v>
      </c>
      <c r="P19" s="3">
        <f>+IF(F19="Pasajero",'2.2 OPEX LAP 2023'!K20*'2.1 OPEX TUUA'!$P$7,'2.2 OPEX LAP 2023'!K20*'2.1 OPEX TUUA'!$P$8)</f>
        <v>0</v>
      </c>
      <c r="Q19" s="3">
        <f>+IF(F19="Pasajero",'2.2 OPEX LAP 2023'!L20*'2.1 OPEX TUUA'!$Q$7,'2.2 OPEX LAP 2023'!L20*'2.1 OPEX TUUA'!$Q$8)</f>
        <v>0</v>
      </c>
      <c r="R19" s="3">
        <f>+IF(F19="Pasajero",'2.2 OPEX LAP 2023'!M20*'2.1 OPEX TUUA'!$R$7,'2.2 OPEX LAP 2023'!M20*'2.1 OPEX TUUA'!$R$8)</f>
        <v>0</v>
      </c>
      <c r="S19" s="3">
        <f>+IF(F19="Pasajero",'2.2 OPEX LAP 2023'!N20*'2.1 OPEX TUUA'!$S$7,'2.2 OPEX LAP 2023'!N20*'2.1 OPEX TUUA'!$S$8)</f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7">
        <f t="shared" si="3"/>
        <v>0</v>
      </c>
      <c r="AB19" s="7">
        <f t="shared" si="4"/>
        <v>0</v>
      </c>
      <c r="AC19" s="7">
        <f t="shared" si="5"/>
        <v>0</v>
      </c>
      <c r="AD19" s="7">
        <f t="shared" si="6"/>
        <v>0</v>
      </c>
      <c r="AE19" s="7">
        <f t="shared" si="7"/>
        <v>0</v>
      </c>
      <c r="AF19" s="7">
        <f t="shared" si="8"/>
        <v>0</v>
      </c>
    </row>
    <row r="20" spans="2:32" x14ac:dyDescent="0.25">
      <c r="B20" s="17">
        <v>6240000001</v>
      </c>
      <c r="C20" s="193" t="s">
        <v>13</v>
      </c>
      <c r="D20" s="193" t="s">
        <v>14</v>
      </c>
      <c r="E20" s="193" t="s">
        <v>21</v>
      </c>
      <c r="F20" s="163" t="s">
        <v>190</v>
      </c>
      <c r="G20" s="3">
        <f>+IF(F20="Pasajero",'2.2 OPEX LAP 2023'!I21*'2.1 OPEX TUUA'!$G$7,'2.2 OPEX LAP 2023'!I21*'2.1 OPEX TUUA'!$G$8)</f>
        <v>414.99870383726233</v>
      </c>
      <c r="H20" s="3">
        <f>+IF(F20="Pasajero",'2.2 OPEX LAP 2023'!J21*'2.1 OPEX TUUA'!$H$7,'2.2 OPEX LAP 2023'!J21*'2.1 OPEX TUUA'!$H$8)</f>
        <v>486.79558913897608</v>
      </c>
      <c r="I20" s="3">
        <f>+IF(F20="Pasajero",'2.2 OPEX LAP 2023'!K21*'2.1 OPEX TUUA'!$I$7,'2.2 OPEX LAP 2023'!K21*'2.1 OPEX TUUA'!$I$8)</f>
        <v>547.23569204088778</v>
      </c>
      <c r="J20" s="3">
        <f>+IF(F20="Pasajero",'2.2 OPEX LAP 2023'!L21*'2.1 OPEX TUUA'!$J$7,'2.2 OPEX LAP 2023'!L21*'2.1 OPEX TUUA'!$J$8)</f>
        <v>579.80513246659018</v>
      </c>
      <c r="K20" s="3">
        <f>+IF(F20="Pasajero",'2.2 OPEX LAP 2023'!M21*'2.1 OPEX TUUA'!$K$7,'2.2 OPEX LAP 2023'!M21*'2.1 OPEX TUUA'!$K$8)</f>
        <v>603.6016884680397</v>
      </c>
      <c r="L20" s="3">
        <f>+IF(F20="Pasajero",'2.2 OPEX LAP 2023'!N21*'2.1 OPEX TUUA'!$L$7,'2.2 OPEX LAP 2023'!N21*'2.1 OPEX TUUA'!$L$8)</f>
        <v>630.04012240004613</v>
      </c>
      <c r="M20" s="3"/>
      <c r="N20" s="3">
        <f>+IF(F20="Pasajero",'2.2 OPEX LAP 2023'!I21*'2.1 OPEX TUUA'!$N$7,'2.2 OPEX LAP 2023'!I21*'2.1 OPEX TUUA'!$N$8)</f>
        <v>204.68450864042154</v>
      </c>
      <c r="O20" s="3">
        <f>+IF(F20="Pasajero",'2.2 OPEX LAP 2023'!J21*'2.1 OPEX TUUA'!$O$7,'2.2 OPEX LAP 2023'!J21*'2.1 OPEX TUUA'!$O$8)</f>
        <v>201.61283151514922</v>
      </c>
      <c r="P20" s="3">
        <f>+IF(F20="Pasajero",'2.2 OPEX LAP 2023'!K21*'2.1 OPEX TUUA'!$P$7,'2.2 OPEX LAP 2023'!K21*'2.1 OPEX TUUA'!$P$8)</f>
        <v>200.35867956039817</v>
      </c>
      <c r="Q20" s="3">
        <f>+IF(F20="Pasajero",'2.2 OPEX LAP 2023'!L21*'2.1 OPEX TUUA'!$Q$7,'2.2 OPEX LAP 2023'!L21*'2.1 OPEX TUUA'!$Q$8)</f>
        <v>199.05342218458819</v>
      </c>
      <c r="R20" s="3">
        <f>+IF(F20="Pasajero",'2.2 OPEX LAP 2023'!M21*'2.1 OPEX TUUA'!$R$7,'2.2 OPEX LAP 2023'!M21*'2.1 OPEX TUUA'!$R$8)</f>
        <v>200.12146491757207</v>
      </c>
      <c r="S20" s="3">
        <f>+IF(F20="Pasajero",'2.2 OPEX LAP 2023'!N21*'2.1 OPEX TUUA'!$S$7,'2.2 OPEX LAP 2023'!N21*'2.1 OPEX TUUA'!$S$8)</f>
        <v>200.24920572962046</v>
      </c>
      <c r="U20" s="1">
        <v>422.84012572645111</v>
      </c>
      <c r="V20" s="1">
        <v>495.99361687482121</v>
      </c>
      <c r="W20" s="1">
        <v>557.57573863485868</v>
      </c>
      <c r="X20" s="1">
        <v>590.7605803153391</v>
      </c>
      <c r="Y20" s="1">
        <v>615.00677346840303</v>
      </c>
      <c r="Z20" s="1">
        <v>641.94476297162782</v>
      </c>
      <c r="AA20" s="7">
        <f t="shared" si="3"/>
        <v>-7.8414218891887799</v>
      </c>
      <c r="AB20" s="7">
        <f t="shared" si="4"/>
        <v>-9.1980277358451303</v>
      </c>
      <c r="AC20" s="7">
        <f t="shared" si="5"/>
        <v>-10.340046593970897</v>
      </c>
      <c r="AD20" s="7">
        <f t="shared" si="6"/>
        <v>-10.955447848748918</v>
      </c>
      <c r="AE20" s="7">
        <f t="shared" si="7"/>
        <v>-11.405085000363329</v>
      </c>
      <c r="AF20" s="7">
        <f t="shared" si="8"/>
        <v>-11.904640571581695</v>
      </c>
    </row>
    <row r="21" spans="2:32" x14ac:dyDescent="0.25">
      <c r="B21" s="17">
        <v>6250000001</v>
      </c>
      <c r="C21" s="193" t="s">
        <v>13</v>
      </c>
      <c r="D21" s="193" t="s">
        <v>14</v>
      </c>
      <c r="E21" s="193" t="s">
        <v>22</v>
      </c>
      <c r="F21" s="163" t="s">
        <v>190</v>
      </c>
      <c r="G21" s="3">
        <f>+IF(F21="Pasajero",'2.2 OPEX LAP 2023'!I22*'2.1 OPEX TUUA'!$G$7,'2.2 OPEX LAP 2023'!I22*'2.1 OPEX TUUA'!$G$8)</f>
        <v>75.898534697936725</v>
      </c>
      <c r="H21" s="3">
        <f>+IF(F21="Pasajero",'2.2 OPEX LAP 2023'!J22*'2.1 OPEX TUUA'!$H$7,'2.2 OPEX LAP 2023'!J22*'2.1 OPEX TUUA'!$H$8)</f>
        <v>89.029367011120968</v>
      </c>
      <c r="I21" s="3">
        <f>+IF(F21="Pasajero",'2.2 OPEX LAP 2023'!K22*'2.1 OPEX TUUA'!$I$7,'2.2 OPEX LAP 2023'!K22*'2.1 OPEX TUUA'!$I$8)</f>
        <v>100.08317321540849</v>
      </c>
      <c r="J21" s="3">
        <f>+IF(F21="Pasajero",'2.2 OPEX LAP 2023'!L22*'2.1 OPEX TUUA'!$J$7,'2.2 OPEX LAP 2023'!L22*'2.1 OPEX TUUA'!$J$8)</f>
        <v>106.03975279357485</v>
      </c>
      <c r="K21" s="3">
        <f>+IF(F21="Pasajero",'2.2 OPEX LAP 2023'!M22*'2.1 OPEX TUUA'!$K$7,'2.2 OPEX LAP 2023'!M22*'2.1 OPEX TUUA'!$K$8)</f>
        <v>110.39187176326605</v>
      </c>
      <c r="L21" s="3">
        <f>+IF(F21="Pasajero",'2.2 OPEX LAP 2023'!N22*'2.1 OPEX TUUA'!$L$7,'2.2 OPEX LAP 2023'!N22*'2.1 OPEX TUUA'!$L$8)</f>
        <v>115.22716010656262</v>
      </c>
      <c r="M21" s="3"/>
      <c r="N21" s="3">
        <f>+IF(F21="Pasajero",'2.2 OPEX LAP 2023'!I22*'2.1 OPEX TUUA'!$N$7,'2.2 OPEX LAP 2023'!I22*'2.1 OPEX TUUA'!$N$8)</f>
        <v>37.434464583935565</v>
      </c>
      <c r="O21" s="3">
        <f>+IF(F21="Pasajero",'2.2 OPEX LAP 2023'!J22*'2.1 OPEX TUUA'!$O$7,'2.2 OPEX LAP 2023'!J22*'2.1 OPEX TUUA'!$O$8)</f>
        <v>36.87268983447813</v>
      </c>
      <c r="P21" s="3">
        <f>+IF(F21="Pasajero",'2.2 OPEX LAP 2023'!K22*'2.1 OPEX TUUA'!$P$7,'2.2 OPEX LAP 2023'!K22*'2.1 OPEX TUUA'!$P$8)</f>
        <v>36.643319730971768</v>
      </c>
      <c r="Q21" s="3">
        <f>+IF(F21="Pasajero",'2.2 OPEX LAP 2023'!L22*'2.1 OPEX TUUA'!$Q$7,'2.2 OPEX LAP 2023'!L22*'2.1 OPEX TUUA'!$Q$8)</f>
        <v>36.404603028216712</v>
      </c>
      <c r="R21" s="3">
        <f>+IF(F21="Pasajero",'2.2 OPEX LAP 2023'!M22*'2.1 OPEX TUUA'!$R$7,'2.2 OPEX LAP 2023'!M22*'2.1 OPEX TUUA'!$R$8)</f>
        <v>36.599935875473129</v>
      </c>
      <c r="S21" s="3">
        <f>+IF(F21="Pasajero",'2.2 OPEX LAP 2023'!N22*'2.1 OPEX TUUA'!$S$7,'2.2 OPEX LAP 2023'!N22*'2.1 OPEX TUUA'!$S$8)</f>
        <v>36.623298214598414</v>
      </c>
      <c r="U21" s="1">
        <v>77.332641421246251</v>
      </c>
      <c r="V21" s="1">
        <v>90.711581487471207</v>
      </c>
      <c r="W21" s="1">
        <v>101.97424992946621</v>
      </c>
      <c r="X21" s="1">
        <v>108.04337938563712</v>
      </c>
      <c r="Y21" s="1">
        <v>112.47773186747607</v>
      </c>
      <c r="Z21" s="1">
        <v>117.40438323312685</v>
      </c>
      <c r="AA21" s="7">
        <f t="shared" si="3"/>
        <v>-1.4341067233095259</v>
      </c>
      <c r="AB21" s="7">
        <f t="shared" si="4"/>
        <v>-1.6822144763502394</v>
      </c>
      <c r="AC21" s="7">
        <f t="shared" si="5"/>
        <v>-1.8910767140577178</v>
      </c>
      <c r="AD21" s="7">
        <f t="shared" si="6"/>
        <v>-2.0036265920622753</v>
      </c>
      <c r="AE21" s="7">
        <f t="shared" si="7"/>
        <v>-2.0858601042100133</v>
      </c>
      <c r="AF21" s="7">
        <f t="shared" si="8"/>
        <v>-2.177223126564229</v>
      </c>
    </row>
    <row r="22" spans="2:32" x14ac:dyDescent="0.25">
      <c r="B22" s="17">
        <v>6250000003</v>
      </c>
      <c r="C22" s="193" t="s">
        <v>13</v>
      </c>
      <c r="D22" s="193" t="s">
        <v>14</v>
      </c>
      <c r="E22" s="193" t="s">
        <v>23</v>
      </c>
      <c r="F22" s="163" t="s">
        <v>190</v>
      </c>
      <c r="G22" s="3">
        <f>+IF(F22="Pasajero",'2.2 OPEX LAP 2023'!I23*'2.1 OPEX TUUA'!$G$7,'2.2 OPEX LAP 2023'!I23*'2.1 OPEX TUUA'!$G$8)</f>
        <v>595.64210320276504</v>
      </c>
      <c r="H22" s="3">
        <f>+IF(F22="Pasajero",'2.2 OPEX LAP 2023'!J23*'2.1 OPEX TUUA'!$H$7,'2.2 OPEX LAP 2023'!J23*'2.1 OPEX TUUA'!$H$8)</f>
        <v>698.6912148484015</v>
      </c>
      <c r="I22" s="3">
        <f>+IF(F22="Pasajero",'2.2 OPEX LAP 2023'!K23*'2.1 OPEX TUUA'!$I$7,'2.2 OPEX LAP 2023'!K23*'2.1 OPEX TUUA'!$I$8)</f>
        <v>785.44008822416879</v>
      </c>
      <c r="J22" s="3">
        <f>+IF(F22="Pasajero",'2.2 OPEX LAP 2023'!L23*'2.1 OPEX TUUA'!$J$7,'2.2 OPEX LAP 2023'!L23*'2.1 OPEX TUUA'!$J$8)</f>
        <v>832.18657156477684</v>
      </c>
      <c r="K22" s="3">
        <f>+IF(F22="Pasajero",'2.2 OPEX LAP 2023'!M23*'2.1 OPEX TUUA'!$K$7,'2.2 OPEX LAP 2023'!M23*'2.1 OPEX TUUA'!$K$8)</f>
        <v>866.34145092855454</v>
      </c>
      <c r="L22" s="3">
        <f>+IF(F22="Pasajero",'2.2 OPEX LAP 2023'!N23*'2.1 OPEX TUUA'!$L$7,'2.2 OPEX LAP 2023'!N23*'2.1 OPEX TUUA'!$L$8)</f>
        <v>904.28818244129434</v>
      </c>
      <c r="M22" s="3"/>
      <c r="N22" s="3">
        <f>+IF(F22="Pasajero",'2.2 OPEX LAP 2023'!I23*'2.1 OPEX TUUA'!$N$7,'2.2 OPEX LAP 2023'!I23*'2.1 OPEX TUUA'!$N$8)</f>
        <v>293.78094459643046</v>
      </c>
      <c r="O22" s="3">
        <f>+IF(F22="Pasajero",'2.2 OPEX LAP 2023'!J23*'2.1 OPEX TUUA'!$O$7,'2.2 OPEX LAP 2023'!J23*'2.1 OPEX TUUA'!$O$8)</f>
        <v>289.37220739715838</v>
      </c>
      <c r="P22" s="3">
        <f>+IF(F22="Pasajero",'2.2 OPEX LAP 2023'!K23*'2.1 OPEX TUUA'!$P$7,'2.2 OPEX LAP 2023'!K23*'2.1 OPEX TUUA'!$P$8)</f>
        <v>287.57213982789506</v>
      </c>
      <c r="Q22" s="3">
        <f>+IF(F22="Pasajero",'2.2 OPEX LAP 2023'!L23*'2.1 OPEX TUUA'!$Q$7,'2.2 OPEX LAP 2023'!L23*'2.1 OPEX TUUA'!$Q$8)</f>
        <v>285.69872132957306</v>
      </c>
      <c r="R22" s="3">
        <f>+IF(F22="Pasajero",'2.2 OPEX LAP 2023'!M23*'2.1 OPEX TUUA'!$R$7,'2.2 OPEX LAP 2023'!M23*'2.1 OPEX TUUA'!$R$8)</f>
        <v>287.23166881567994</v>
      </c>
      <c r="S22" s="3">
        <f>+IF(F22="Pasajero",'2.2 OPEX LAP 2023'!N23*'2.1 OPEX TUUA'!$S$7,'2.2 OPEX LAP 2023'!N23*'2.1 OPEX TUUA'!$S$8)</f>
        <v>287.41501349904837</v>
      </c>
      <c r="U22" s="1">
        <v>606.89679142947375</v>
      </c>
      <c r="V22" s="1">
        <v>711.89302134860827</v>
      </c>
      <c r="W22" s="1">
        <v>800.28101915599791</v>
      </c>
      <c r="X22" s="1">
        <v>847.91077970764366</v>
      </c>
      <c r="Y22" s="1">
        <v>882.71101727661403</v>
      </c>
      <c r="Z22" s="1">
        <v>921.37475423625244</v>
      </c>
      <c r="AA22" s="7">
        <f t="shared" si="3"/>
        <v>-11.254688226708708</v>
      </c>
      <c r="AB22" s="7">
        <f t="shared" si="4"/>
        <v>-13.201806500206771</v>
      </c>
      <c r="AC22" s="7">
        <f t="shared" si="5"/>
        <v>-14.840930931829121</v>
      </c>
      <c r="AD22" s="7">
        <f t="shared" si="6"/>
        <v>-15.724208142866814</v>
      </c>
      <c r="AE22" s="7">
        <f t="shared" si="7"/>
        <v>-16.369566348059493</v>
      </c>
      <c r="AF22" s="7">
        <f t="shared" si="8"/>
        <v>-17.086571794958104</v>
      </c>
    </row>
    <row r="23" spans="2:32" x14ac:dyDescent="0.25">
      <c r="B23" s="17">
        <v>6250000004</v>
      </c>
      <c r="C23" s="193" t="s">
        <v>13</v>
      </c>
      <c r="D23" s="193" t="s">
        <v>14</v>
      </c>
      <c r="E23" s="193" t="s">
        <v>24</v>
      </c>
      <c r="F23" s="163" t="s">
        <v>190</v>
      </c>
      <c r="G23" s="3">
        <f>+IF(F23="Pasajero",'2.2 OPEX LAP 2023'!I24*'2.1 OPEX TUUA'!$G$7,'2.2 OPEX LAP 2023'!I24*'2.1 OPEX TUUA'!$G$8)</f>
        <v>294.8664708020022</v>
      </c>
      <c r="H23" s="3">
        <f>+IF(F23="Pasajero",'2.2 OPEX LAP 2023'!J24*'2.1 OPEX TUUA'!$H$7,'2.2 OPEX LAP 2023'!J24*'2.1 OPEX TUUA'!$H$8)</f>
        <v>345.87986912768537</v>
      </c>
      <c r="I23" s="3">
        <f>+IF(F23="Pasajero",'2.2 OPEX LAP 2023'!K24*'2.1 OPEX TUUA'!$I$7,'2.2 OPEX LAP 2023'!K24*'2.1 OPEX TUUA'!$I$8)</f>
        <v>388.82400286306489</v>
      </c>
      <c r="J23" s="3">
        <f>+IF(F23="Pasajero",'2.2 OPEX LAP 2023'!L24*'2.1 OPEX TUUA'!$J$7,'2.2 OPEX LAP 2023'!L24*'2.1 OPEX TUUA'!$J$8)</f>
        <v>411.96536659630897</v>
      </c>
      <c r="K23" s="3">
        <f>+IF(F23="Pasajero",'2.2 OPEX LAP 2023'!M24*'2.1 OPEX TUUA'!$K$7,'2.2 OPEX LAP 2023'!M24*'2.1 OPEX TUUA'!$K$8)</f>
        <v>428.87338683952692</v>
      </c>
      <c r="L23" s="3">
        <f>+IF(F23="Pasajero",'2.2 OPEX LAP 2023'!N24*'2.1 OPEX TUUA'!$L$7,'2.2 OPEX LAP 2023'!N24*'2.1 OPEX TUUA'!$L$8)</f>
        <v>447.65852432303979</v>
      </c>
      <c r="M23" s="3"/>
      <c r="N23" s="3">
        <f>+IF(F23="Pasajero",'2.2 OPEX LAP 2023'!I24*'2.1 OPEX TUUA'!$N$7,'2.2 OPEX LAP 2023'!I24*'2.1 OPEX TUUA'!$N$8)</f>
        <v>145.43322215847328</v>
      </c>
      <c r="O23" s="3">
        <f>+IF(F23="Pasajero",'2.2 OPEX LAP 2023'!J24*'2.1 OPEX TUUA'!$O$7,'2.2 OPEX LAP 2023'!J24*'2.1 OPEX TUUA'!$O$8)</f>
        <v>143.25072234582936</v>
      </c>
      <c r="P23" s="3">
        <f>+IF(F23="Pasajero",'2.2 OPEX LAP 2023'!K24*'2.1 OPEX TUUA'!$P$7,'2.2 OPEX LAP 2023'!K24*'2.1 OPEX TUUA'!$P$8)</f>
        <v>142.35961748856724</v>
      </c>
      <c r="Q23" s="3">
        <f>+IF(F23="Pasajero",'2.2 OPEX LAP 2023'!L24*'2.1 OPEX TUUA'!$Q$7,'2.2 OPEX LAP 2023'!L24*'2.1 OPEX TUUA'!$Q$8)</f>
        <v>141.4322010115165</v>
      </c>
      <c r="R23" s="3">
        <f>+IF(F23="Pasajero",'2.2 OPEX LAP 2023'!M24*'2.1 OPEX TUUA'!$R$7,'2.2 OPEX LAP 2023'!M24*'2.1 OPEX TUUA'!$R$8)</f>
        <v>142.19107083069594</v>
      </c>
      <c r="S23" s="3">
        <f>+IF(F23="Pasajero",'2.2 OPEX LAP 2023'!N24*'2.1 OPEX TUUA'!$S$7,'2.2 OPEX LAP 2023'!N24*'2.1 OPEX TUUA'!$S$8)</f>
        <v>142.28183372242984</v>
      </c>
      <c r="U23" s="1">
        <v>300.43798795893616</v>
      </c>
      <c r="V23" s="1">
        <v>352.41528707412584</v>
      </c>
      <c r="W23" s="1">
        <v>396.17085242886031</v>
      </c>
      <c r="X23" s="1">
        <v>419.74947342205644</v>
      </c>
      <c r="Y23" s="1">
        <v>436.9769715788488</v>
      </c>
      <c r="Z23" s="1">
        <v>456.11705520289809</v>
      </c>
      <c r="AA23" s="7">
        <f t="shared" si="3"/>
        <v>-5.5715171569339645</v>
      </c>
      <c r="AB23" s="7">
        <f t="shared" si="4"/>
        <v>-6.5354179464404751</v>
      </c>
      <c r="AC23" s="7">
        <f t="shared" si="5"/>
        <v>-7.3468495657954236</v>
      </c>
      <c r="AD23" s="7">
        <f t="shared" si="6"/>
        <v>-7.7841068257474717</v>
      </c>
      <c r="AE23" s="7">
        <f t="shared" si="7"/>
        <v>-8.1035847393218887</v>
      </c>
      <c r="AF23" s="7">
        <f t="shared" si="8"/>
        <v>-8.4585308798583014</v>
      </c>
    </row>
    <row r="24" spans="2:32" x14ac:dyDescent="0.25">
      <c r="B24" s="17">
        <v>6250000005</v>
      </c>
      <c r="C24" s="193" t="s">
        <v>13</v>
      </c>
      <c r="D24" s="193" t="s">
        <v>14</v>
      </c>
      <c r="E24" s="193" t="s">
        <v>25</v>
      </c>
      <c r="F24" s="163" t="s">
        <v>190</v>
      </c>
      <c r="G24" s="3">
        <f>+IF(F24="Pasajero",'2.2 OPEX LAP 2023'!I25*'2.1 OPEX TUUA'!$G$7,'2.2 OPEX LAP 2023'!I25*'2.1 OPEX TUUA'!$G$8)</f>
        <v>612.49646807469833</v>
      </c>
      <c r="H24" s="3">
        <f>+IF(F24="Pasajero",'2.2 OPEX LAP 2023'!J25*'2.1 OPEX TUUA'!$H$7,'2.2 OPEX LAP 2023'!J25*'2.1 OPEX TUUA'!$H$8)</f>
        <v>718.46147051795515</v>
      </c>
      <c r="I24" s="3">
        <f>+IF(F24="Pasajero",'2.2 OPEX LAP 2023'!K25*'2.1 OPEX TUUA'!$I$7,'2.2 OPEX LAP 2023'!K25*'2.1 OPEX TUUA'!$I$8)</f>
        <v>807.66500107165302</v>
      </c>
      <c r="J24" s="3">
        <f>+IF(F24="Pasajero",'2.2 OPEX LAP 2023'!L25*'2.1 OPEX TUUA'!$J$7,'2.2 OPEX LAP 2023'!L25*'2.1 OPEX TUUA'!$J$8)</f>
        <v>855.734228863108</v>
      </c>
      <c r="K24" s="3">
        <f>+IF(F24="Pasajero",'2.2 OPEX LAP 2023'!M25*'2.1 OPEX TUUA'!$K$7,'2.2 OPEX LAP 2023'!M25*'2.1 OPEX TUUA'!$K$8)</f>
        <v>890.85555904669616</v>
      </c>
      <c r="L24" s="3">
        <f>+IF(F24="Pasajero",'2.2 OPEX LAP 2023'!N25*'2.1 OPEX TUUA'!$L$7,'2.2 OPEX LAP 2023'!N25*'2.1 OPEX TUUA'!$L$8)</f>
        <v>929.87603611095767</v>
      </c>
      <c r="M24" s="3"/>
      <c r="N24" s="3">
        <f>+IF(F24="Pasajero",'2.2 OPEX LAP 2023'!I25*'2.1 OPEX TUUA'!$N$7,'2.2 OPEX LAP 2023'!I25*'2.1 OPEX TUUA'!$N$8)</f>
        <v>302.09380764963862</v>
      </c>
      <c r="O24" s="3">
        <f>+IF(F24="Pasajero",'2.2 OPEX LAP 2023'!J25*'2.1 OPEX TUUA'!$O$7,'2.2 OPEX LAP 2023'!J25*'2.1 OPEX TUUA'!$O$8)</f>
        <v>297.56032026064452</v>
      </c>
      <c r="P24" s="3">
        <f>+IF(F24="Pasajero",'2.2 OPEX LAP 2023'!K25*'2.1 OPEX TUUA'!$P$7,'2.2 OPEX LAP 2023'!K25*'2.1 OPEX TUUA'!$P$8)</f>
        <v>295.70931775000719</v>
      </c>
      <c r="Q24" s="3">
        <f>+IF(F24="Pasajero",'2.2 OPEX LAP 2023'!L25*'2.1 OPEX TUUA'!$Q$7,'2.2 OPEX LAP 2023'!L25*'2.1 OPEX TUUA'!$Q$8)</f>
        <v>293.78288876307334</v>
      </c>
      <c r="R24" s="3">
        <f>+IF(F24="Pasajero",'2.2 OPEX LAP 2023'!M25*'2.1 OPEX TUUA'!$R$7,'2.2 OPEX LAP 2023'!M25*'2.1 OPEX TUUA'!$R$8)</f>
        <v>295.35921272663444</v>
      </c>
      <c r="S24" s="3">
        <f>+IF(F24="Pasajero",'2.2 OPEX LAP 2023'!N25*'2.1 OPEX TUUA'!$S$7,'2.2 OPEX LAP 2023'!N25*'2.1 OPEX TUUA'!$S$8)</f>
        <v>295.54774535453225</v>
      </c>
      <c r="U24" s="1">
        <v>624.06962039397672</v>
      </c>
      <c r="V24" s="1">
        <v>732.03683701757541</v>
      </c>
      <c r="W24" s="1">
        <v>822.92587287673325</v>
      </c>
      <c r="X24" s="1">
        <v>871.90337120377092</v>
      </c>
      <c r="Y24" s="1">
        <v>907.6883207305824</v>
      </c>
      <c r="Z24" s="1">
        <v>947.44609171925651</v>
      </c>
      <c r="AA24" s="7">
        <f t="shared" si="3"/>
        <v>-11.573152319278392</v>
      </c>
      <c r="AB24" s="7">
        <f t="shared" si="4"/>
        <v>-13.575366499620259</v>
      </c>
      <c r="AC24" s="7">
        <f t="shared" si="5"/>
        <v>-15.260871805080228</v>
      </c>
      <c r="AD24" s="7">
        <f t="shared" si="6"/>
        <v>-16.169142340662916</v>
      </c>
      <c r="AE24" s="7">
        <f t="shared" si="7"/>
        <v>-16.832761683886247</v>
      </c>
      <c r="AF24" s="7">
        <f t="shared" si="8"/>
        <v>-17.570055608298844</v>
      </c>
    </row>
    <row r="25" spans="2:32" x14ac:dyDescent="0.25">
      <c r="B25" s="17">
        <v>6250000006</v>
      </c>
      <c r="C25" s="193" t="s">
        <v>13</v>
      </c>
      <c r="D25" s="193" t="s">
        <v>14</v>
      </c>
      <c r="E25" s="193" t="s">
        <v>26</v>
      </c>
      <c r="F25" s="163" t="s">
        <v>190</v>
      </c>
      <c r="G25" s="3">
        <f>+IF(F25="Pasajero",'2.2 OPEX LAP 2023'!I26*'2.1 OPEX TUUA'!$G$7,'2.2 OPEX LAP 2023'!I26*'2.1 OPEX TUUA'!$G$8)</f>
        <v>178.22828486523969</v>
      </c>
      <c r="H25" s="3">
        <f>+IF(F25="Pasajero",'2.2 OPEX LAP 2023'!J26*'2.1 OPEX TUUA'!$H$7,'2.2 OPEX LAP 2023'!J26*'2.1 OPEX TUUA'!$H$8)</f>
        <v>209.0626841240111</v>
      </c>
      <c r="I25" s="3">
        <f>+IF(F25="Pasajero",'2.2 OPEX LAP 2023'!K26*'2.1 OPEX TUUA'!$I$7,'2.2 OPEX LAP 2023'!K26*'2.1 OPEX TUUA'!$I$8)</f>
        <v>235.01971911636741</v>
      </c>
      <c r="J25" s="3">
        <f>+IF(F25="Pasajero",'2.2 OPEX LAP 2023'!L26*'2.1 OPEX TUUA'!$J$7,'2.2 OPEX LAP 2023'!L26*'2.1 OPEX TUUA'!$J$8)</f>
        <v>249.00722185413457</v>
      </c>
      <c r="K25" s="3">
        <f>+IF(F25="Pasajero",'2.2 OPEX LAP 2023'!M26*'2.1 OPEX TUUA'!$K$7,'2.2 OPEX LAP 2023'!M26*'2.1 OPEX TUUA'!$K$8)</f>
        <v>259.2270594647627</v>
      </c>
      <c r="L25" s="3">
        <f>+IF(F25="Pasajero",'2.2 OPEX LAP 2023'!N26*'2.1 OPEX TUUA'!$L$7,'2.2 OPEX LAP 2023'!N26*'2.1 OPEX TUUA'!$L$8)</f>
        <v>270.58149669710701</v>
      </c>
      <c r="M25" s="3"/>
      <c r="N25" s="3">
        <f>+IF(F25="Pasajero",'2.2 OPEX LAP 2023'!I26*'2.1 OPEX TUUA'!$N$7,'2.2 OPEX LAP 2023'!I26*'2.1 OPEX TUUA'!$N$8)</f>
        <v>87.905259886720415</v>
      </c>
      <c r="O25" s="3">
        <f>+IF(F25="Pasajero",'2.2 OPEX LAP 2023'!J26*'2.1 OPEX TUUA'!$O$7,'2.2 OPEX LAP 2023'!J26*'2.1 OPEX TUUA'!$O$8)</f>
        <v>86.586075656420377</v>
      </c>
      <c r="P25" s="3">
        <f>+IF(F25="Pasajero",'2.2 OPEX LAP 2023'!K26*'2.1 OPEX TUUA'!$P$7,'2.2 OPEX LAP 2023'!K26*'2.1 OPEX TUUA'!$P$8)</f>
        <v>86.047458668490407</v>
      </c>
      <c r="Q25" s="3">
        <f>+IF(F25="Pasajero",'2.2 OPEX LAP 2023'!L26*'2.1 OPEX TUUA'!$Q$7,'2.2 OPEX LAP 2023'!L26*'2.1 OPEX TUUA'!$Q$8)</f>
        <v>85.486893584196693</v>
      </c>
      <c r="R25" s="3">
        <f>+IF(F25="Pasajero",'2.2 OPEX LAP 2023'!M26*'2.1 OPEX TUUA'!$R$7,'2.2 OPEX LAP 2023'!M26*'2.1 OPEX TUUA'!$R$8)</f>
        <v>85.945582786602358</v>
      </c>
      <c r="S25" s="3">
        <f>+IF(F25="Pasajero",'2.2 OPEX LAP 2023'!N26*'2.1 OPEX TUUA'!$S$7,'2.2 OPEX LAP 2023'!N26*'2.1 OPEX TUUA'!$S$8)</f>
        <v>86.000443261172919</v>
      </c>
      <c r="U25" s="1">
        <v>181.5959174898536</v>
      </c>
      <c r="V25" s="1">
        <v>213.01293431116693</v>
      </c>
      <c r="W25" s="1">
        <v>239.46042881697588</v>
      </c>
      <c r="X25" s="1">
        <v>253.71222613959077</v>
      </c>
      <c r="Y25" s="1">
        <v>264.12516810838423</v>
      </c>
      <c r="Z25" s="1">
        <v>275.69414801719927</v>
      </c>
      <c r="AA25" s="7">
        <f t="shared" si="3"/>
        <v>-3.3676326246139183</v>
      </c>
      <c r="AB25" s="7">
        <f t="shared" si="4"/>
        <v>-3.9502501871558309</v>
      </c>
      <c r="AC25" s="7">
        <f t="shared" si="5"/>
        <v>-4.4407097006084655</v>
      </c>
      <c r="AD25" s="7">
        <f t="shared" si="6"/>
        <v>-4.705004285456198</v>
      </c>
      <c r="AE25" s="7">
        <f t="shared" si="7"/>
        <v>-4.8981086436215264</v>
      </c>
      <c r="AF25" s="7">
        <f t="shared" si="8"/>
        <v>-5.1126513200922545</v>
      </c>
    </row>
    <row r="26" spans="2:32" x14ac:dyDescent="0.25">
      <c r="B26" s="17">
        <v>6250000007</v>
      </c>
      <c r="C26" s="193" t="s">
        <v>13</v>
      </c>
      <c r="D26" s="193" t="s">
        <v>14</v>
      </c>
      <c r="E26" s="193" t="s">
        <v>27</v>
      </c>
      <c r="F26" s="163" t="s">
        <v>190</v>
      </c>
      <c r="G26" s="3">
        <f>+IF(F26="Pasajero",'2.2 OPEX LAP 2023'!I27*'2.1 OPEX TUUA'!$G$7,'2.2 OPEX LAP 2023'!I27*'2.1 OPEX TUUA'!$G$8)</f>
        <v>0</v>
      </c>
      <c r="H26" s="3">
        <f>+IF(F26="Pasajero",'2.2 OPEX LAP 2023'!J27*'2.1 OPEX TUUA'!$H$7,'2.2 OPEX LAP 2023'!J27*'2.1 OPEX TUUA'!$H$8)</f>
        <v>0</v>
      </c>
      <c r="I26" s="3">
        <f>+IF(F26="Pasajero",'2.2 OPEX LAP 2023'!K27*'2.1 OPEX TUUA'!$I$7,'2.2 OPEX LAP 2023'!K27*'2.1 OPEX TUUA'!$I$8)</f>
        <v>0</v>
      </c>
      <c r="J26" s="3">
        <f>+IF(F26="Pasajero",'2.2 OPEX LAP 2023'!L27*'2.1 OPEX TUUA'!$J$7,'2.2 OPEX LAP 2023'!L27*'2.1 OPEX TUUA'!$J$8)</f>
        <v>0</v>
      </c>
      <c r="K26" s="3">
        <f>+IF(F26="Pasajero",'2.2 OPEX LAP 2023'!M27*'2.1 OPEX TUUA'!$K$7,'2.2 OPEX LAP 2023'!M27*'2.1 OPEX TUUA'!$K$8)</f>
        <v>0</v>
      </c>
      <c r="L26" s="3">
        <f>+IF(F26="Pasajero",'2.2 OPEX LAP 2023'!N27*'2.1 OPEX TUUA'!$L$7,'2.2 OPEX LAP 2023'!N27*'2.1 OPEX TUUA'!$L$8)</f>
        <v>0</v>
      </c>
      <c r="M26" s="3"/>
      <c r="N26" s="3">
        <f>+IF(F26="Pasajero",'2.2 OPEX LAP 2023'!I27*'2.1 OPEX TUUA'!$N$7,'2.2 OPEX LAP 2023'!I27*'2.1 OPEX TUUA'!$N$8)</f>
        <v>0</v>
      </c>
      <c r="O26" s="3">
        <f>+IF(F26="Pasajero",'2.2 OPEX LAP 2023'!J27*'2.1 OPEX TUUA'!$O$7,'2.2 OPEX LAP 2023'!J27*'2.1 OPEX TUUA'!$O$8)</f>
        <v>0</v>
      </c>
      <c r="P26" s="3">
        <f>+IF(F26="Pasajero",'2.2 OPEX LAP 2023'!K27*'2.1 OPEX TUUA'!$P$7,'2.2 OPEX LAP 2023'!K27*'2.1 OPEX TUUA'!$P$8)</f>
        <v>0</v>
      </c>
      <c r="Q26" s="3">
        <f>+IF(F26="Pasajero",'2.2 OPEX LAP 2023'!L27*'2.1 OPEX TUUA'!$Q$7,'2.2 OPEX LAP 2023'!L27*'2.1 OPEX TUUA'!$Q$8)</f>
        <v>0</v>
      </c>
      <c r="R26" s="3">
        <f>+IF(F26="Pasajero",'2.2 OPEX LAP 2023'!M27*'2.1 OPEX TUUA'!$R$7,'2.2 OPEX LAP 2023'!M27*'2.1 OPEX TUUA'!$R$8)</f>
        <v>0</v>
      </c>
      <c r="S26" s="3">
        <f>+IF(F26="Pasajero",'2.2 OPEX LAP 2023'!N27*'2.1 OPEX TUUA'!$S$7,'2.2 OPEX LAP 2023'!N27*'2.1 OPEX TUUA'!$S$8)</f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7">
        <f t="shared" si="3"/>
        <v>0</v>
      </c>
      <c r="AB26" s="7">
        <f t="shared" si="4"/>
        <v>0</v>
      </c>
      <c r="AC26" s="7">
        <f t="shared" si="5"/>
        <v>0</v>
      </c>
      <c r="AD26" s="7">
        <f t="shared" si="6"/>
        <v>0</v>
      </c>
      <c r="AE26" s="7">
        <f t="shared" si="7"/>
        <v>0</v>
      </c>
      <c r="AF26" s="7">
        <f t="shared" si="8"/>
        <v>0</v>
      </c>
    </row>
    <row r="27" spans="2:32" x14ac:dyDescent="0.25">
      <c r="B27" s="17">
        <v>6250000008</v>
      </c>
      <c r="C27" s="193" t="s">
        <v>13</v>
      </c>
      <c r="D27" s="193" t="s">
        <v>14</v>
      </c>
      <c r="E27" s="193" t="s">
        <v>28</v>
      </c>
      <c r="F27" s="163" t="s">
        <v>190</v>
      </c>
      <c r="G27" s="3">
        <f>+IF(F27="Pasajero",'2.2 OPEX LAP 2023'!I28*'2.1 OPEX TUUA'!$G$7,'2.2 OPEX LAP 2023'!I28*'2.1 OPEX TUUA'!$G$8)</f>
        <v>276.57462739788144</v>
      </c>
      <c r="H27" s="3">
        <f>+IF(F27="Pasajero",'2.2 OPEX LAP 2023'!J28*'2.1 OPEX TUUA'!$H$7,'2.2 OPEX LAP 2023'!J28*'2.1 OPEX TUUA'!$H$8)</f>
        <v>324.42344383282796</v>
      </c>
      <c r="I27" s="3">
        <f>+IF(F27="Pasajero",'2.2 OPEX LAP 2023'!K28*'2.1 OPEX TUUA'!$I$7,'2.2 OPEX LAP 2023'!K28*'2.1 OPEX TUUA'!$I$8)</f>
        <v>364.70356708482967</v>
      </c>
      <c r="J27" s="3">
        <f>+IF(F27="Pasajero",'2.2 OPEX LAP 2023'!L28*'2.1 OPEX TUUA'!$J$7,'2.2 OPEX LAP 2023'!L28*'2.1 OPEX TUUA'!$J$8)</f>
        <v>386.40937186688143</v>
      </c>
      <c r="K27" s="3">
        <f>+IF(F27="Pasajero",'2.2 OPEX LAP 2023'!M28*'2.1 OPEX TUUA'!$K$7,'2.2 OPEX LAP 2023'!M28*'2.1 OPEX TUUA'!$K$8)</f>
        <v>402.26851443431127</v>
      </c>
      <c r="L27" s="3">
        <f>+IF(F27="Pasajero",'2.2 OPEX LAP 2023'!N28*'2.1 OPEX TUUA'!$L$7,'2.2 OPEX LAP 2023'!N28*'2.1 OPEX TUUA'!$L$8)</f>
        <v>419.88832853521404</v>
      </c>
      <c r="M27" s="3"/>
      <c r="N27" s="3">
        <f>+IF(F27="Pasajero",'2.2 OPEX LAP 2023'!I28*'2.1 OPEX TUUA'!$N$7,'2.2 OPEX LAP 2023'!I28*'2.1 OPEX TUUA'!$N$8)</f>
        <v>136.41136993416322</v>
      </c>
      <c r="O27" s="3">
        <f>+IF(F27="Pasajero",'2.2 OPEX LAP 2023'!J28*'2.1 OPEX TUUA'!$O$7,'2.2 OPEX LAP 2023'!J28*'2.1 OPEX TUUA'!$O$8)</f>
        <v>134.36426003103944</v>
      </c>
      <c r="P27" s="3">
        <f>+IF(F27="Pasajero",'2.2 OPEX LAP 2023'!K28*'2.1 OPEX TUUA'!$P$7,'2.2 OPEX LAP 2023'!K28*'2.1 OPEX TUUA'!$P$8)</f>
        <v>133.52843426489054</v>
      </c>
      <c r="Q27" s="3">
        <f>+IF(F27="Pasajero",'2.2 OPEX LAP 2023'!L28*'2.1 OPEX TUUA'!$Q$7,'2.2 OPEX LAP 2023'!L28*'2.1 OPEX TUUA'!$Q$8)</f>
        <v>132.65854944588989</v>
      </c>
      <c r="R27" s="3">
        <f>+IF(F27="Pasajero",'2.2 OPEX LAP 2023'!M28*'2.1 OPEX TUUA'!$R$7,'2.2 OPEX LAP 2023'!M28*'2.1 OPEX TUUA'!$R$8)</f>
        <v>133.37034328569877</v>
      </c>
      <c r="S27" s="3">
        <f>+IF(F27="Pasajero",'2.2 OPEX LAP 2023'!N28*'2.1 OPEX TUUA'!$S$7,'2.2 OPEX LAP 2023'!N28*'2.1 OPEX TUUA'!$S$8)</f>
        <v>133.45547576242487</v>
      </c>
      <c r="U27" s="1">
        <v>281.80051923132294</v>
      </c>
      <c r="V27" s="1">
        <v>330.55344151791553</v>
      </c>
      <c r="W27" s="1">
        <v>371.59465977394234</v>
      </c>
      <c r="X27" s="1">
        <v>393.71059685560527</v>
      </c>
      <c r="Y27" s="1">
        <v>409.86939873888866</v>
      </c>
      <c r="Z27" s="1">
        <v>427.82214013497753</v>
      </c>
      <c r="AA27" s="7">
        <f t="shared" si="3"/>
        <v>-5.2258918334414943</v>
      </c>
      <c r="AB27" s="7">
        <f t="shared" si="4"/>
        <v>-6.1299976850875737</v>
      </c>
      <c r="AC27" s="7">
        <f t="shared" si="5"/>
        <v>-6.8910926891126678</v>
      </c>
      <c r="AD27" s="7">
        <f t="shared" si="6"/>
        <v>-7.3012249887238454</v>
      </c>
      <c r="AE27" s="7">
        <f t="shared" si="7"/>
        <v>-7.6008843045773915</v>
      </c>
      <c r="AF27" s="7">
        <f t="shared" si="8"/>
        <v>-7.9338115997634873</v>
      </c>
    </row>
    <row r="28" spans="2:32" x14ac:dyDescent="0.25">
      <c r="B28" s="17">
        <v>6250000009</v>
      </c>
      <c r="C28" s="193" t="s">
        <v>13</v>
      </c>
      <c r="D28" s="193" t="s">
        <v>14</v>
      </c>
      <c r="E28" s="193" t="s">
        <v>29</v>
      </c>
      <c r="F28" s="163" t="s">
        <v>190</v>
      </c>
      <c r="G28" s="3">
        <f>+IF(F28="Pasajero",'2.2 OPEX LAP 2023'!I29*'2.1 OPEX TUUA'!$G$7,'2.2 OPEX LAP 2023'!I29*'2.1 OPEX TUUA'!$G$8)</f>
        <v>0</v>
      </c>
      <c r="H28" s="3">
        <f>+IF(F28="Pasajero",'2.2 OPEX LAP 2023'!J29*'2.1 OPEX TUUA'!$H$7,'2.2 OPEX LAP 2023'!J29*'2.1 OPEX TUUA'!$H$8)</f>
        <v>0</v>
      </c>
      <c r="I28" s="3">
        <f>+IF(F28="Pasajero",'2.2 OPEX LAP 2023'!K29*'2.1 OPEX TUUA'!$I$7,'2.2 OPEX LAP 2023'!K29*'2.1 OPEX TUUA'!$I$8)</f>
        <v>0</v>
      </c>
      <c r="J28" s="3">
        <f>+IF(F28="Pasajero",'2.2 OPEX LAP 2023'!L29*'2.1 OPEX TUUA'!$J$7,'2.2 OPEX LAP 2023'!L29*'2.1 OPEX TUUA'!$J$8)</f>
        <v>0</v>
      </c>
      <c r="K28" s="3">
        <f>+IF(F28="Pasajero",'2.2 OPEX LAP 2023'!M29*'2.1 OPEX TUUA'!$K$7,'2.2 OPEX LAP 2023'!M29*'2.1 OPEX TUUA'!$K$8)</f>
        <v>0</v>
      </c>
      <c r="L28" s="3">
        <f>+IF(F28="Pasajero",'2.2 OPEX LAP 2023'!N29*'2.1 OPEX TUUA'!$L$7,'2.2 OPEX LAP 2023'!N29*'2.1 OPEX TUUA'!$L$8)</f>
        <v>0</v>
      </c>
      <c r="M28" s="3"/>
      <c r="N28" s="3">
        <f>+IF(F28="Pasajero",'2.2 OPEX LAP 2023'!I29*'2.1 OPEX TUUA'!$N$7,'2.2 OPEX LAP 2023'!I29*'2.1 OPEX TUUA'!$N$8)</f>
        <v>0</v>
      </c>
      <c r="O28" s="3">
        <f>+IF(F28="Pasajero",'2.2 OPEX LAP 2023'!J29*'2.1 OPEX TUUA'!$O$7,'2.2 OPEX LAP 2023'!J29*'2.1 OPEX TUUA'!$O$8)</f>
        <v>0</v>
      </c>
      <c r="P28" s="3">
        <f>+IF(F28="Pasajero",'2.2 OPEX LAP 2023'!K29*'2.1 OPEX TUUA'!$P$7,'2.2 OPEX LAP 2023'!K29*'2.1 OPEX TUUA'!$P$8)</f>
        <v>0</v>
      </c>
      <c r="Q28" s="3">
        <f>+IF(F28="Pasajero",'2.2 OPEX LAP 2023'!L29*'2.1 OPEX TUUA'!$Q$7,'2.2 OPEX LAP 2023'!L29*'2.1 OPEX TUUA'!$Q$8)</f>
        <v>0</v>
      </c>
      <c r="R28" s="3">
        <f>+IF(F28="Pasajero",'2.2 OPEX LAP 2023'!M29*'2.1 OPEX TUUA'!$R$7,'2.2 OPEX LAP 2023'!M29*'2.1 OPEX TUUA'!$R$8)</f>
        <v>0</v>
      </c>
      <c r="S28" s="3">
        <f>+IF(F28="Pasajero",'2.2 OPEX LAP 2023'!N29*'2.1 OPEX TUUA'!$S$7,'2.2 OPEX LAP 2023'!N29*'2.1 OPEX TUUA'!$S$8)</f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7">
        <f t="shared" si="3"/>
        <v>0</v>
      </c>
      <c r="AB28" s="7">
        <f t="shared" si="4"/>
        <v>0</v>
      </c>
      <c r="AC28" s="7">
        <f t="shared" si="5"/>
        <v>0</v>
      </c>
      <c r="AD28" s="7">
        <f t="shared" si="6"/>
        <v>0</v>
      </c>
      <c r="AE28" s="7">
        <f t="shared" si="7"/>
        <v>0</v>
      </c>
      <c r="AF28" s="7">
        <f t="shared" si="8"/>
        <v>0</v>
      </c>
    </row>
    <row r="29" spans="2:32" x14ac:dyDescent="0.25">
      <c r="B29" s="17">
        <v>6270000001</v>
      </c>
      <c r="C29" s="193" t="s">
        <v>13</v>
      </c>
      <c r="D29" s="193" t="s">
        <v>14</v>
      </c>
      <c r="E29" s="193" t="s">
        <v>30</v>
      </c>
      <c r="F29" s="163" t="s">
        <v>190</v>
      </c>
      <c r="G29" s="3">
        <f>+IF(F29="Pasajero",'2.2 OPEX LAP 2023'!I30*'2.1 OPEX TUUA'!$G$7,'2.2 OPEX LAP 2023'!I30*'2.1 OPEX TUUA'!$G$8)</f>
        <v>1123.8962143284205</v>
      </c>
      <c r="H29" s="3">
        <f>+IF(F29="Pasajero",'2.2 OPEX LAP 2023'!J30*'2.1 OPEX TUUA'!$H$7,'2.2 OPEX LAP 2023'!J30*'2.1 OPEX TUUA'!$H$8)</f>
        <v>1318.3359724410398</v>
      </c>
      <c r="I29" s="3">
        <f>+IF(F29="Pasajero",'2.2 OPEX LAP 2023'!K30*'2.1 OPEX TUUA'!$I$7,'2.2 OPEX LAP 2023'!K30*'2.1 OPEX TUUA'!$I$8)</f>
        <v>1482.0193820926427</v>
      </c>
      <c r="J29" s="3">
        <f>+IF(F29="Pasajero",'2.2 OPEX LAP 2023'!L30*'2.1 OPEX TUUA'!$J$7,'2.2 OPEX LAP 2023'!L30*'2.1 OPEX TUUA'!$J$8)</f>
        <v>1570.2236835971505</v>
      </c>
      <c r="K29" s="3">
        <f>+IF(F29="Pasajero",'2.2 OPEX LAP 2023'!M30*'2.1 OPEX TUUA'!$K$7,'2.2 OPEX LAP 2023'!M30*'2.1 OPEX TUUA'!$K$8)</f>
        <v>1634.669328744445</v>
      </c>
      <c r="L29" s="3">
        <f>+IF(F29="Pasajero",'2.2 OPEX LAP 2023'!N30*'2.1 OPEX TUUA'!$L$7,'2.2 OPEX LAP 2023'!N30*'2.1 OPEX TUUA'!$L$8)</f>
        <v>1706.2696868520841</v>
      </c>
      <c r="M29" s="3"/>
      <c r="N29" s="3">
        <f>+IF(F29="Pasajero",'2.2 OPEX LAP 2023'!I30*'2.1 OPEX TUUA'!$N$7,'2.2 OPEX LAP 2023'!I30*'2.1 OPEX TUUA'!$N$8)</f>
        <v>554.32497081449242</v>
      </c>
      <c r="O29" s="3">
        <f>+IF(F29="Pasajero",'2.2 OPEX LAP 2023'!J30*'2.1 OPEX TUUA'!$O$7,'2.2 OPEX LAP 2023'!J30*'2.1 OPEX TUUA'!$O$8)</f>
        <v>546.00627906723685</v>
      </c>
      <c r="P29" s="3">
        <f>+IF(F29="Pasajero",'2.2 OPEX LAP 2023'!K30*'2.1 OPEX TUUA'!$P$7,'2.2 OPEX LAP 2023'!K30*'2.1 OPEX TUUA'!$P$8)</f>
        <v>542.60979464185414</v>
      </c>
      <c r="Q29" s="3">
        <f>+IF(F29="Pasajero",'2.2 OPEX LAP 2023'!L30*'2.1 OPEX TUUA'!$Q$7,'2.2 OPEX LAP 2023'!L30*'2.1 OPEX TUUA'!$Q$8)</f>
        <v>539.0749069185124</v>
      </c>
      <c r="R29" s="3">
        <f>+IF(F29="Pasajero",'2.2 OPEX LAP 2023'!M30*'2.1 OPEX TUUA'!$R$7,'2.2 OPEX LAP 2023'!M30*'2.1 OPEX TUUA'!$R$8)</f>
        <v>541.96737181838409</v>
      </c>
      <c r="S29" s="3">
        <f>+IF(F29="Pasajero",'2.2 OPEX LAP 2023'!N30*'2.1 OPEX TUUA'!$S$7,'2.2 OPEX LAP 2023'!N30*'2.1 OPEX TUUA'!$S$8)</f>
        <v>542.31331847737113</v>
      </c>
      <c r="U29" s="1">
        <v>1145.1322911998006</v>
      </c>
      <c r="V29" s="1">
        <v>1343.245998559237</v>
      </c>
      <c r="W29" s="1">
        <v>1510.0222146689594</v>
      </c>
      <c r="X29" s="1">
        <v>1599.8931409945637</v>
      </c>
      <c r="Y29" s="1">
        <v>1665.5564899270707</v>
      </c>
      <c r="Z29" s="1">
        <v>1738.5097404899093</v>
      </c>
      <c r="AA29" s="7">
        <f t="shared" si="3"/>
        <v>-21.236076871380192</v>
      </c>
      <c r="AB29" s="7">
        <f t="shared" si="4"/>
        <v>-24.910026118197266</v>
      </c>
      <c r="AC29" s="7">
        <f t="shared" si="5"/>
        <v>-28.002832576316678</v>
      </c>
      <c r="AD29" s="7">
        <f t="shared" si="6"/>
        <v>-29.669457397413225</v>
      </c>
      <c r="AE29" s="7">
        <f t="shared" si="7"/>
        <v>-30.887161182625732</v>
      </c>
      <c r="AF29" s="7">
        <f t="shared" si="8"/>
        <v>-32.240053637825213</v>
      </c>
    </row>
    <row r="30" spans="2:32" x14ac:dyDescent="0.25">
      <c r="B30" s="17">
        <v>6270000002</v>
      </c>
      <c r="C30" s="193" t="s">
        <v>13</v>
      </c>
      <c r="D30" s="193" t="s">
        <v>14</v>
      </c>
      <c r="E30" s="193" t="s">
        <v>31</v>
      </c>
      <c r="F30" s="163" t="s">
        <v>190</v>
      </c>
      <c r="G30" s="3">
        <f>+IF(F30="Pasajero",'2.2 OPEX LAP 2023'!I31*'2.1 OPEX TUUA'!$G$7,'2.2 OPEX LAP 2023'!I31*'2.1 OPEX TUUA'!$G$8)</f>
        <v>2895.6079638363253</v>
      </c>
      <c r="H30" s="3">
        <f>+IF(F30="Pasajero",'2.2 OPEX LAP 2023'!J31*'2.1 OPEX TUUA'!$H$7,'2.2 OPEX LAP 2023'!J31*'2.1 OPEX TUUA'!$H$8)</f>
        <v>3396.5628606492314</v>
      </c>
      <c r="I30" s="3">
        <f>+IF(F30="Pasajero",'2.2 OPEX LAP 2023'!K31*'2.1 OPEX TUUA'!$I$7,'2.2 OPEX LAP 2023'!K31*'2.1 OPEX TUUA'!$I$8)</f>
        <v>3818.277053198834</v>
      </c>
      <c r="J30" s="3">
        <f>+IF(F30="Pasajero",'2.2 OPEX LAP 2023'!L31*'2.1 OPEX TUUA'!$J$7,'2.2 OPEX LAP 2023'!L31*'2.1 OPEX TUUA'!$J$8)</f>
        <v>4045.5267535047383</v>
      </c>
      <c r="K30" s="3">
        <f>+IF(F30="Pasajero",'2.2 OPEX LAP 2023'!M31*'2.1 OPEX TUUA'!$K$7,'2.2 OPEX LAP 2023'!M31*'2.1 OPEX TUUA'!$K$8)</f>
        <v>4211.5646144246484</v>
      </c>
      <c r="L30" s="3">
        <f>+IF(F30="Pasajero",'2.2 OPEX LAP 2023'!N31*'2.1 OPEX TUUA'!$L$7,'2.2 OPEX LAP 2023'!N31*'2.1 OPEX TUUA'!$L$8)</f>
        <v>4396.035889002168</v>
      </c>
      <c r="M30" s="3"/>
      <c r="N30" s="3">
        <f>+IF(F30="Pasajero",'2.2 OPEX LAP 2023'!I31*'2.1 OPEX TUUA'!$N$7,'2.2 OPEX LAP 2023'!I31*'2.1 OPEX TUUA'!$N$8)</f>
        <v>1428.1637215077803</v>
      </c>
      <c r="O30" s="3">
        <f>+IF(F30="Pasajero",'2.2 OPEX LAP 2023'!J31*'2.1 OPEX TUUA'!$O$7,'2.2 OPEX LAP 2023'!J31*'2.1 OPEX TUUA'!$O$8)</f>
        <v>1406.7314310836632</v>
      </c>
      <c r="P30" s="3">
        <f>+IF(F30="Pasajero",'2.2 OPEX LAP 2023'!K31*'2.1 OPEX TUUA'!$P$7,'2.2 OPEX LAP 2023'!K31*'2.1 OPEX TUUA'!$P$8)</f>
        <v>1397.9807232996166</v>
      </c>
      <c r="Q30" s="3">
        <f>+IF(F30="Pasajero",'2.2 OPEX LAP 2023'!L31*'2.1 OPEX TUUA'!$Q$7,'2.2 OPEX LAP 2023'!L31*'2.1 OPEX TUUA'!$Q$8)</f>
        <v>1388.8734330423113</v>
      </c>
      <c r="R30" s="3">
        <f>+IF(F30="Pasajero",'2.2 OPEX LAP 2023'!M31*'2.1 OPEX TUUA'!$R$7,'2.2 OPEX LAP 2023'!M31*'2.1 OPEX TUUA'!$R$8)</f>
        <v>1396.3255841327841</v>
      </c>
      <c r="S30" s="3">
        <f>+IF(F30="Pasajero",'2.2 OPEX LAP 2023'!N31*'2.1 OPEX TUUA'!$S$7,'2.2 OPEX LAP 2023'!N31*'2.1 OPEX TUUA'!$S$8)</f>
        <v>1397.2168816458948</v>
      </c>
      <c r="U30" s="1">
        <v>2950.320625490901</v>
      </c>
      <c r="V30" s="1">
        <v>3460.7410908876204</v>
      </c>
      <c r="W30" s="1">
        <v>3890.4235948316041</v>
      </c>
      <c r="X30" s="1">
        <v>4121.9671899323921</v>
      </c>
      <c r="Y30" s="1">
        <v>4291.1423447884354</v>
      </c>
      <c r="Z30" s="1">
        <v>4479.0992136028126</v>
      </c>
      <c r="AA30" s="7">
        <f t="shared" si="3"/>
        <v>-54.712661654575641</v>
      </c>
      <c r="AB30" s="7">
        <f t="shared" si="4"/>
        <v>-64.178230238389006</v>
      </c>
      <c r="AC30" s="7">
        <f t="shared" si="5"/>
        <v>-72.146541632770095</v>
      </c>
      <c r="AD30" s="7">
        <f t="shared" si="6"/>
        <v>-76.440436427653822</v>
      </c>
      <c r="AE30" s="7">
        <f t="shared" si="7"/>
        <v>-79.577730363786941</v>
      </c>
      <c r="AF30" s="7">
        <f t="shared" si="8"/>
        <v>-83.063324600644592</v>
      </c>
    </row>
    <row r="31" spans="2:32" x14ac:dyDescent="0.25">
      <c r="B31" s="17">
        <v>6270000003</v>
      </c>
      <c r="C31" s="193" t="s">
        <v>13</v>
      </c>
      <c r="D31" s="193" t="s">
        <v>14</v>
      </c>
      <c r="E31" s="193" t="s">
        <v>32</v>
      </c>
      <c r="F31" s="163" t="s">
        <v>190</v>
      </c>
      <c r="G31" s="3">
        <f>+IF(F31="Pasajero",'2.2 OPEX LAP 2023'!I32*'2.1 OPEX TUUA'!$G$7,'2.2 OPEX LAP 2023'!I32*'2.1 OPEX TUUA'!$G$8)</f>
        <v>73.77516502430332</v>
      </c>
      <c r="H31" s="3">
        <f>+IF(F31="Pasajero",'2.2 OPEX LAP 2023'!J32*'2.1 OPEX TUUA'!$H$7,'2.2 OPEX LAP 2023'!J32*'2.1 OPEX TUUA'!$H$8)</f>
        <v>86.538643590352066</v>
      </c>
      <c r="I31" s="3">
        <f>+IF(F31="Pasajero",'2.2 OPEX LAP 2023'!K32*'2.1 OPEX TUUA'!$I$7,'2.2 OPEX LAP 2023'!K32*'2.1 OPEX TUUA'!$I$8)</f>
        <v>97.283203812937629</v>
      </c>
      <c r="J31" s="3">
        <f>+IF(F31="Pasajero",'2.2 OPEX LAP 2023'!L32*'2.1 OPEX TUUA'!$J$7,'2.2 OPEX LAP 2023'!L32*'2.1 OPEX TUUA'!$J$8)</f>
        <v>103.07313958849042</v>
      </c>
      <c r="K31" s="3">
        <f>+IF(F31="Pasajero",'2.2 OPEX LAP 2023'!M32*'2.1 OPEX TUUA'!$K$7,'2.2 OPEX LAP 2023'!M32*'2.1 OPEX TUUA'!$K$8)</f>
        <v>107.30350182765889</v>
      </c>
      <c r="L31" s="3">
        <f>+IF(F31="Pasajero",'2.2 OPEX LAP 2023'!N32*'2.1 OPEX TUUA'!$L$7,'2.2 OPEX LAP 2023'!N32*'2.1 OPEX TUUA'!$L$8)</f>
        <v>112.0035160886258</v>
      </c>
      <c r="M31" s="3"/>
      <c r="N31" s="3">
        <f>+IF(F31="Pasajero",'2.2 OPEX LAP 2023'!I32*'2.1 OPEX TUUA'!$N$7,'2.2 OPEX LAP 2023'!I32*'2.1 OPEX TUUA'!$N$8)</f>
        <v>36.387182088132747</v>
      </c>
      <c r="O31" s="3">
        <f>+IF(F31="Pasajero",'2.2 OPEX LAP 2023'!J32*'2.1 OPEX TUUA'!$O$7,'2.2 OPEX LAP 2023'!J32*'2.1 OPEX TUUA'!$O$8)</f>
        <v>35.841123787894759</v>
      </c>
      <c r="P31" s="3">
        <f>+IF(F31="Pasajero",'2.2 OPEX LAP 2023'!K32*'2.1 OPEX TUUA'!$P$7,'2.2 OPEX LAP 2023'!K32*'2.1 OPEX TUUA'!$P$8)</f>
        <v>35.618170639916748</v>
      </c>
      <c r="Q31" s="3">
        <f>+IF(F31="Pasajero",'2.2 OPEX LAP 2023'!L32*'2.1 OPEX TUUA'!$Q$7,'2.2 OPEX LAP 2023'!L32*'2.1 OPEX TUUA'!$Q$8)</f>
        <v>35.38613237712417</v>
      </c>
      <c r="R31" s="3">
        <f>+IF(F31="Pasajero",'2.2 OPEX LAP 2023'!M32*'2.1 OPEX TUUA'!$R$7,'2.2 OPEX LAP 2023'!M32*'2.1 OPEX TUUA'!$R$8)</f>
        <v>35.576000509603425</v>
      </c>
      <c r="S31" s="3">
        <f>+IF(F31="Pasajero",'2.2 OPEX LAP 2023'!N32*'2.1 OPEX TUUA'!$S$7,'2.2 OPEX LAP 2023'!N32*'2.1 OPEX TUUA'!$S$8)</f>
        <v>35.598709253997249</v>
      </c>
      <c r="U31" s="1">
        <v>75.169150568236361</v>
      </c>
      <c r="V31" s="1">
        <v>88.173795719348107</v>
      </c>
      <c r="W31" s="1">
        <v>99.121374960884935</v>
      </c>
      <c r="X31" s="1">
        <v>105.02071187120663</v>
      </c>
      <c r="Y31" s="1">
        <v>109.33100702282685</v>
      </c>
      <c r="Z31" s="1">
        <v>114.11982829539323</v>
      </c>
      <c r="AA31" s="7">
        <f t="shared" si="3"/>
        <v>-1.3939855439330415</v>
      </c>
      <c r="AB31" s="7">
        <f t="shared" si="4"/>
        <v>-1.6351521289960402</v>
      </c>
      <c r="AC31" s="7">
        <f t="shared" si="5"/>
        <v>-1.8381711479473068</v>
      </c>
      <c r="AD31" s="7">
        <f t="shared" si="6"/>
        <v>-1.9475722827162087</v>
      </c>
      <c r="AE31" s="7">
        <f t="shared" si="7"/>
        <v>-2.0275051951679615</v>
      </c>
      <c r="AF31" s="7">
        <f t="shared" si="8"/>
        <v>-2.1163122067674323</v>
      </c>
    </row>
    <row r="32" spans="2:32" x14ac:dyDescent="0.25">
      <c r="B32" s="17">
        <v>6270000004</v>
      </c>
      <c r="C32" s="193" t="s">
        <v>13</v>
      </c>
      <c r="D32" s="193" t="s">
        <v>14</v>
      </c>
      <c r="E32" s="193" t="s">
        <v>33</v>
      </c>
      <c r="F32" s="163" t="s">
        <v>190</v>
      </c>
      <c r="G32" s="3">
        <f>+IF(F32="Pasajero",'2.2 OPEX LAP 2023'!I33*'2.1 OPEX TUUA'!$G$7,'2.2 OPEX LAP 2023'!I33*'2.1 OPEX TUUA'!$G$8)</f>
        <v>90.509685553335146</v>
      </c>
      <c r="H32" s="3">
        <f>+IF(F32="Pasajero",'2.2 OPEX LAP 2023'!J33*'2.1 OPEX TUUA'!$H$7,'2.2 OPEX LAP 2023'!J33*'2.1 OPEX TUUA'!$H$8)</f>
        <v>106.16832123648473</v>
      </c>
      <c r="I32" s="3">
        <f>+IF(F32="Pasajero",'2.2 OPEX LAP 2023'!K33*'2.1 OPEX TUUA'!$I$7,'2.2 OPEX LAP 2023'!K33*'2.1 OPEX TUUA'!$I$8)</f>
        <v>119.35008459593952</v>
      </c>
      <c r="J32" s="3">
        <f>+IF(F32="Pasajero",'2.2 OPEX LAP 2023'!L33*'2.1 OPEX TUUA'!$J$7,'2.2 OPEX LAP 2023'!L33*'2.1 OPEX TUUA'!$J$8)</f>
        <v>126.45335933950203</v>
      </c>
      <c r="K32" s="3">
        <f>+IF(F32="Pasajero",'2.2 OPEX LAP 2023'!M33*'2.1 OPEX TUUA'!$K$7,'2.2 OPEX LAP 2023'!M33*'2.1 OPEX TUUA'!$K$8)</f>
        <v>131.64330037071096</v>
      </c>
      <c r="L32" s="3">
        <f>+IF(F32="Pasajero",'2.2 OPEX LAP 2023'!N33*'2.1 OPEX TUUA'!$L$7,'2.2 OPEX LAP 2023'!N33*'2.1 OPEX TUUA'!$L$8)</f>
        <v>137.40942522744518</v>
      </c>
      <c r="M32" s="3"/>
      <c r="N32" s="3">
        <f>+IF(F32="Pasajero",'2.2 OPEX LAP 2023'!I33*'2.1 OPEX TUUA'!$N$7,'2.2 OPEX LAP 2023'!I33*'2.1 OPEX TUUA'!$N$8)</f>
        <v>44.640935847231525</v>
      </c>
      <c r="O32" s="3">
        <f>+IF(F32="Pasajero",'2.2 OPEX LAP 2023'!J33*'2.1 OPEX TUUA'!$O$7,'2.2 OPEX LAP 2023'!J33*'2.1 OPEX TUUA'!$O$8)</f>
        <v>43.97101440372073</v>
      </c>
      <c r="P32" s="3">
        <f>+IF(F32="Pasajero",'2.2 OPEX LAP 2023'!K33*'2.1 OPEX TUUA'!$P$7,'2.2 OPEX LAP 2023'!K33*'2.1 OPEX TUUA'!$P$8)</f>
        <v>43.697488491444311</v>
      </c>
      <c r="Q32" s="3">
        <f>+IF(F32="Pasajero",'2.2 OPEX LAP 2023'!L33*'2.1 OPEX TUUA'!$Q$7,'2.2 OPEX LAP 2023'!L33*'2.1 OPEX TUUA'!$Q$8)</f>
        <v>43.412816675464235</v>
      </c>
      <c r="R32" s="3">
        <f>+IF(F32="Pasajero",'2.2 OPEX LAP 2023'!M33*'2.1 OPEX TUUA'!$R$7,'2.2 OPEX LAP 2023'!M33*'2.1 OPEX TUUA'!$R$8)</f>
        <v>43.645752853399387</v>
      </c>
      <c r="S32" s="3">
        <f>+IF(F32="Pasajero",'2.2 OPEX LAP 2023'!N33*'2.1 OPEX TUUA'!$S$7,'2.2 OPEX LAP 2023'!N33*'2.1 OPEX TUUA'!$S$8)</f>
        <v>43.673612653017848</v>
      </c>
      <c r="U32" s="1">
        <v>92.219870724804565</v>
      </c>
      <c r="V32" s="1">
        <v>108.17437713589945</v>
      </c>
      <c r="W32" s="1">
        <v>121.60521059313812</v>
      </c>
      <c r="X32" s="1">
        <v>128.84270207893155</v>
      </c>
      <c r="Y32" s="1">
        <v>134.13070731330407</v>
      </c>
      <c r="Z32" s="1">
        <v>140.00578339626941</v>
      </c>
      <c r="AA32" s="7">
        <f t="shared" si="3"/>
        <v>-1.7101851714694192</v>
      </c>
      <c r="AB32" s="7">
        <f t="shared" si="4"/>
        <v>-2.0060558994147186</v>
      </c>
      <c r="AC32" s="7">
        <f t="shared" si="5"/>
        <v>-2.2551259971986042</v>
      </c>
      <c r="AD32" s="7">
        <f t="shared" si="6"/>
        <v>-2.389342739429523</v>
      </c>
      <c r="AE32" s="7">
        <f t="shared" si="7"/>
        <v>-2.4874069425931111</v>
      </c>
      <c r="AF32" s="7">
        <f t="shared" si="8"/>
        <v>-2.5963581688242243</v>
      </c>
    </row>
    <row r="33" spans="2:32" x14ac:dyDescent="0.25">
      <c r="B33" s="17">
        <v>6270000005</v>
      </c>
      <c r="C33" s="193" t="s">
        <v>13</v>
      </c>
      <c r="D33" s="193" t="s">
        <v>14</v>
      </c>
      <c r="E33" s="193" t="s">
        <v>34</v>
      </c>
      <c r="F33" s="163" t="s">
        <v>190</v>
      </c>
      <c r="G33" s="3">
        <f>+IF(F33="Pasajero",'2.2 OPEX LAP 2023'!I34*'2.1 OPEX TUUA'!$G$7,'2.2 OPEX LAP 2023'!I34*'2.1 OPEX TUUA'!$G$8)</f>
        <v>166.88012400980958</v>
      </c>
      <c r="H33" s="3">
        <f>+IF(F33="Pasajero",'2.2 OPEX LAP 2023'!J34*'2.1 OPEX TUUA'!$H$7,'2.2 OPEX LAP 2023'!J34*'2.1 OPEX TUUA'!$H$8)</f>
        <v>195.75123375517032</v>
      </c>
      <c r="I33" s="3">
        <f>+IF(F33="Pasajero",'2.2 OPEX LAP 2023'!K34*'2.1 OPEX TUUA'!$I$7,'2.2 OPEX LAP 2023'!K34*'2.1 OPEX TUUA'!$I$8)</f>
        <v>220.05553103170325</v>
      </c>
      <c r="J33" s="3">
        <f>+IF(F33="Pasajero",'2.2 OPEX LAP 2023'!L34*'2.1 OPEX TUUA'!$J$7,'2.2 OPEX LAP 2023'!L34*'2.1 OPEX TUUA'!$J$8)</f>
        <v>233.1524207494665</v>
      </c>
      <c r="K33" s="3">
        <f>+IF(F33="Pasajero",'2.2 OPEX LAP 2023'!M34*'2.1 OPEX TUUA'!$K$7,'2.2 OPEX LAP 2023'!M34*'2.1 OPEX TUUA'!$K$8)</f>
        <v>242.72154031492312</v>
      </c>
      <c r="L33" s="3">
        <f>+IF(F33="Pasajero",'2.2 OPEX LAP 2023'!N34*'2.1 OPEX TUUA'!$L$7,'2.2 OPEX LAP 2023'!N34*'2.1 OPEX TUUA'!$L$8)</f>
        <v>253.35301721449562</v>
      </c>
      <c r="M33" s="3"/>
      <c r="N33" s="3">
        <f>+IF(F33="Pasajero",'2.2 OPEX LAP 2023'!I34*'2.1 OPEX TUUA'!$N$7,'2.2 OPEX LAP 2023'!I34*'2.1 OPEX TUUA'!$N$8)</f>
        <v>82.308151492914348</v>
      </c>
      <c r="O33" s="3">
        <f>+IF(F33="Pasajero",'2.2 OPEX LAP 2023'!J34*'2.1 OPEX TUUA'!$O$7,'2.2 OPEX LAP 2023'!J34*'2.1 OPEX TUUA'!$O$8)</f>
        <v>81.072962431252719</v>
      </c>
      <c r="P33" s="3">
        <f>+IF(F33="Pasajero",'2.2 OPEX LAP 2023'!K34*'2.1 OPEX TUUA'!$P$7,'2.2 OPEX LAP 2023'!K34*'2.1 OPEX TUUA'!$P$8)</f>
        <v>80.568640292892326</v>
      </c>
      <c r="Q33" s="3">
        <f>+IF(F33="Pasajero",'2.2 OPEX LAP 2023'!L34*'2.1 OPEX TUUA'!$Q$7,'2.2 OPEX LAP 2023'!L34*'2.1 OPEX TUUA'!$Q$8)</f>
        <v>80.043767538529934</v>
      </c>
      <c r="R33" s="3">
        <f>+IF(F33="Pasajero",'2.2 OPEX LAP 2023'!M34*'2.1 OPEX TUUA'!$R$7,'2.2 OPEX LAP 2023'!M34*'2.1 OPEX TUUA'!$R$8)</f>
        <v>80.473251057586936</v>
      </c>
      <c r="S33" s="3">
        <f>+IF(F33="Pasajero",'2.2 OPEX LAP 2023'!N34*'2.1 OPEX TUUA'!$S$7,'2.2 OPEX LAP 2023'!N34*'2.1 OPEX TUUA'!$S$8)</f>
        <v>80.524618453095997</v>
      </c>
      <c r="U33" s="1">
        <v>170.03333255041792</v>
      </c>
      <c r="V33" s="1">
        <v>199.44996340181862</v>
      </c>
      <c r="W33" s="1">
        <v>224.21349162751687</v>
      </c>
      <c r="X33" s="1">
        <v>237.55784775123169</v>
      </c>
      <c r="Y33" s="1">
        <v>247.30777632386597</v>
      </c>
      <c r="Z33" s="1">
        <v>258.14013552717552</v>
      </c>
      <c r="AA33" s="7">
        <f t="shared" si="3"/>
        <v>-3.1532085406083468</v>
      </c>
      <c r="AB33" s="7">
        <f t="shared" si="4"/>
        <v>-3.6987296466483031</v>
      </c>
      <c r="AC33" s="7">
        <f t="shared" si="5"/>
        <v>-4.1579605958136199</v>
      </c>
      <c r="AD33" s="7">
        <f t="shared" si="6"/>
        <v>-4.4054270017651902</v>
      </c>
      <c r="AE33" s="7">
        <f t="shared" si="7"/>
        <v>-4.5862360089428478</v>
      </c>
      <c r="AF33" s="7">
        <f t="shared" si="8"/>
        <v>-4.787118312679894</v>
      </c>
    </row>
    <row r="34" spans="2:32" x14ac:dyDescent="0.25">
      <c r="B34" s="17">
        <v>6270000006</v>
      </c>
      <c r="C34" s="193" t="s">
        <v>13</v>
      </c>
      <c r="D34" s="193" t="s">
        <v>14</v>
      </c>
      <c r="E34" s="193" t="s">
        <v>35</v>
      </c>
      <c r="F34" s="163" t="s">
        <v>190</v>
      </c>
      <c r="G34" s="3">
        <f>+IF(F34="Pasajero",'2.2 OPEX LAP 2023'!I35*'2.1 OPEX TUUA'!$G$7,'2.2 OPEX LAP 2023'!I35*'2.1 OPEX TUUA'!$G$8)</f>
        <v>877.89783771217321</v>
      </c>
      <c r="H34" s="3">
        <f>+IF(F34="Pasajero",'2.2 OPEX LAP 2023'!J35*'2.1 OPEX TUUA'!$H$7,'2.2 OPEX LAP 2023'!J35*'2.1 OPEX TUUA'!$H$8)</f>
        <v>1029.7786262014793</v>
      </c>
      <c r="I34" s="3">
        <f>+IF(F34="Pasajero",'2.2 OPEX LAP 2023'!K35*'2.1 OPEX TUUA'!$I$7,'2.2 OPEX LAP 2023'!K35*'2.1 OPEX TUUA'!$I$8)</f>
        <v>1157.6350150481696</v>
      </c>
      <c r="J34" s="3">
        <f>+IF(F34="Pasajero",'2.2 OPEX LAP 2023'!L35*'2.1 OPEX TUUA'!$J$7,'2.2 OPEX LAP 2023'!L35*'2.1 OPEX TUUA'!$J$8)</f>
        <v>1226.5331611407701</v>
      </c>
      <c r="K34" s="3">
        <f>+IF(F34="Pasajero",'2.2 OPEX LAP 2023'!M35*'2.1 OPEX TUUA'!$K$7,'2.2 OPEX LAP 2023'!M35*'2.1 OPEX TUUA'!$K$8)</f>
        <v>1276.8729450135925</v>
      </c>
      <c r="L34" s="3">
        <f>+IF(F34="Pasajero",'2.2 OPEX LAP 2023'!N35*'2.1 OPEX TUUA'!$L$7,'2.2 OPEX LAP 2023'!N35*'2.1 OPEX TUUA'!$L$8)</f>
        <v>1332.8014184444546</v>
      </c>
      <c r="M34" s="3"/>
      <c r="N34" s="3">
        <f>+IF(F34="Pasajero",'2.2 OPEX LAP 2023'!I35*'2.1 OPEX TUUA'!$N$7,'2.2 OPEX LAP 2023'!I35*'2.1 OPEX TUUA'!$N$8)</f>
        <v>432.99433440897968</v>
      </c>
      <c r="O34" s="3">
        <f>+IF(F34="Pasajero",'2.2 OPEX LAP 2023'!J35*'2.1 OPEX TUUA'!$O$7,'2.2 OPEX LAP 2023'!J35*'2.1 OPEX TUUA'!$O$8)</f>
        <v>426.4964377131771</v>
      </c>
      <c r="P34" s="3">
        <f>+IF(F34="Pasajero",'2.2 OPEX LAP 2023'!K35*'2.1 OPEX TUUA'!$P$7,'2.2 OPEX LAP 2023'!K35*'2.1 OPEX TUUA'!$P$8)</f>
        <v>423.84337571790348</v>
      </c>
      <c r="Q34" s="3">
        <f>+IF(F34="Pasajero",'2.2 OPEX LAP 2023'!L35*'2.1 OPEX TUUA'!$Q$7,'2.2 OPEX LAP 2023'!L35*'2.1 OPEX TUUA'!$Q$8)</f>
        <v>421.08220413523077</v>
      </c>
      <c r="R34" s="3">
        <f>+IF(F34="Pasajero",'2.2 OPEX LAP 2023'!M35*'2.1 OPEX TUUA'!$R$7,'2.2 OPEX LAP 2023'!M35*'2.1 OPEX TUUA'!$R$8)</f>
        <v>423.34156638672937</v>
      </c>
      <c r="S34" s="3">
        <f>+IF(F34="Pasajero",'2.2 OPEX LAP 2023'!N35*'2.1 OPEX TUUA'!$S$7,'2.2 OPEX LAP 2023'!N35*'2.1 OPEX TUUA'!$S$8)</f>
        <v>423.61179224923922</v>
      </c>
      <c r="U34" s="1">
        <v>894.4857625838788</v>
      </c>
      <c r="V34" s="1">
        <v>1049.2363463963875</v>
      </c>
      <c r="W34" s="1">
        <v>1179.5085882973281</v>
      </c>
      <c r="X34" s="1">
        <v>1249.7085684098895</v>
      </c>
      <c r="Y34" s="1">
        <v>1300.9995250924278</v>
      </c>
      <c r="Z34" s="1">
        <v>1357.9847699101269</v>
      </c>
      <c r="AA34" s="7">
        <f t="shared" si="3"/>
        <v>-16.587924871705582</v>
      </c>
      <c r="AB34" s="7">
        <f t="shared" si="4"/>
        <v>-19.457720194908234</v>
      </c>
      <c r="AC34" s="7">
        <f t="shared" si="5"/>
        <v>-21.873573249158426</v>
      </c>
      <c r="AD34" s="7">
        <f t="shared" si="6"/>
        <v>-23.175407269119432</v>
      </c>
      <c r="AE34" s="7">
        <f t="shared" si="7"/>
        <v>-24.126580078835332</v>
      </c>
      <c r="AF34" s="7">
        <f t="shared" si="8"/>
        <v>-25.183351465672331</v>
      </c>
    </row>
    <row r="35" spans="2:32" x14ac:dyDescent="0.25">
      <c r="B35" s="17">
        <v>6270000007</v>
      </c>
      <c r="C35" s="193" t="s">
        <v>13</v>
      </c>
      <c r="D35" s="193" t="s">
        <v>14</v>
      </c>
      <c r="E35" s="193" t="s">
        <v>36</v>
      </c>
      <c r="F35" s="163" t="s">
        <v>190</v>
      </c>
      <c r="G35" s="3">
        <f>+IF(F35="Pasajero",'2.2 OPEX LAP 2023'!I36*'2.1 OPEX TUUA'!$G$7,'2.2 OPEX LAP 2023'!I36*'2.1 OPEX TUUA'!$G$8)</f>
        <v>2.1431757568646008E-2</v>
      </c>
      <c r="H35" s="3">
        <f>+IF(F35="Pasajero",'2.2 OPEX LAP 2023'!J36*'2.1 OPEX TUUA'!$H$7,'2.2 OPEX LAP 2023'!J36*'2.1 OPEX TUUA'!$H$8)</f>
        <v>2.5139560570781677E-2</v>
      </c>
      <c r="I35" s="3">
        <f>+IF(F35="Pasajero",'2.2 OPEX LAP 2023'!K36*'2.1 OPEX TUUA'!$I$7,'2.2 OPEX LAP 2023'!K36*'2.1 OPEX TUUA'!$I$8)</f>
        <v>2.8260865820269265E-2</v>
      </c>
      <c r="J35" s="3">
        <f>+IF(F35="Pasajero",'2.2 OPEX LAP 2023'!L36*'2.1 OPEX TUUA'!$J$7,'2.2 OPEX LAP 2023'!L36*'2.1 OPEX TUUA'!$J$8)</f>
        <v>2.9942847823817485E-2</v>
      </c>
      <c r="K35" s="3">
        <f>+IF(F35="Pasajero",'2.2 OPEX LAP 2023'!M36*'2.1 OPEX TUUA'!$K$7,'2.2 OPEX LAP 2023'!M36*'2.1 OPEX TUUA'!$K$8)</f>
        <v>3.1171772190269887E-2</v>
      </c>
      <c r="L35" s="3">
        <f>+IF(F35="Pasajero",'2.2 OPEX LAP 2023'!N36*'2.1 OPEX TUUA'!$L$7,'2.2 OPEX LAP 2023'!N36*'2.1 OPEX TUUA'!$L$8)</f>
        <v>3.2537130928227825E-2</v>
      </c>
      <c r="M35" s="3"/>
      <c r="N35" s="3">
        <f>+IF(F35="Pasajero",'2.2 OPEX LAP 2023'!I36*'2.1 OPEX TUUA'!$N$7,'2.2 OPEX LAP 2023'!I36*'2.1 OPEX TUUA'!$N$8)</f>
        <v>1.0570511971910073E-2</v>
      </c>
      <c r="O35" s="3">
        <f>+IF(F35="Pasajero",'2.2 OPEX LAP 2023'!J36*'2.1 OPEX TUUA'!$O$7,'2.2 OPEX LAP 2023'!J36*'2.1 OPEX TUUA'!$O$8)</f>
        <v>1.0411881501816347E-2</v>
      </c>
      <c r="P35" s="3">
        <f>+IF(F35="Pasajero",'2.2 OPEX LAP 2023'!K36*'2.1 OPEX TUUA'!$P$7,'2.2 OPEX LAP 2023'!K36*'2.1 OPEX TUUA'!$P$8)</f>
        <v>1.0347113394350141E-2</v>
      </c>
      <c r="Q35" s="3">
        <f>+IF(F35="Pasajero",'2.2 OPEX LAP 2023'!L36*'2.1 OPEX TUUA'!$Q$7,'2.2 OPEX LAP 2023'!L36*'2.1 OPEX TUUA'!$Q$8)</f>
        <v>1.0279706052147897E-2</v>
      </c>
      <c r="R35" s="3">
        <f>+IF(F35="Pasajero",'2.2 OPEX LAP 2023'!M36*'2.1 OPEX TUUA'!$R$7,'2.2 OPEX LAP 2023'!M36*'2.1 OPEX TUUA'!$R$8)</f>
        <v>1.0334862930264895E-2</v>
      </c>
      <c r="S35" s="3">
        <f>+IF(F35="Pasajero",'2.2 OPEX LAP 2023'!N36*'2.1 OPEX TUUA'!$S$7,'2.2 OPEX LAP 2023'!N36*'2.1 OPEX TUUA'!$S$8)</f>
        <v>1.0341459842713367E-2</v>
      </c>
      <c r="U35" s="1">
        <v>2.1836711732041349E-2</v>
      </c>
      <c r="V35" s="1">
        <v>2.5614573862923474E-2</v>
      </c>
      <c r="W35" s="1">
        <v>2.8794856335905641E-2</v>
      </c>
      <c r="X35" s="1">
        <v>3.0508619476064387E-2</v>
      </c>
      <c r="Y35" s="1">
        <v>3.1760764431733465E-2</v>
      </c>
      <c r="Z35" s="1">
        <v>3.3151921693386592E-2</v>
      </c>
      <c r="AA35" s="7">
        <f t="shared" si="3"/>
        <v>-4.0495416339534143E-4</v>
      </c>
      <c r="AB35" s="7">
        <f t="shared" si="4"/>
        <v>-4.7501329214179669E-4</v>
      </c>
      <c r="AC35" s="7">
        <f t="shared" si="5"/>
        <v>-5.3399051563637542E-4</v>
      </c>
      <c r="AD35" s="7">
        <f t="shared" si="6"/>
        <v>-5.6577165224690196E-4</v>
      </c>
      <c r="AE35" s="7">
        <f t="shared" si="7"/>
        <v>-5.8899224146357829E-4</v>
      </c>
      <c r="AF35" s="7">
        <f t="shared" si="8"/>
        <v>-6.1479076515876668E-4</v>
      </c>
    </row>
    <row r="36" spans="2:32" x14ac:dyDescent="0.25">
      <c r="B36" s="17">
        <v>6290000001</v>
      </c>
      <c r="C36" s="193" t="s">
        <v>13</v>
      </c>
      <c r="D36" s="193" t="s">
        <v>14</v>
      </c>
      <c r="E36" s="193" t="s">
        <v>37</v>
      </c>
      <c r="F36" s="163" t="s">
        <v>190</v>
      </c>
      <c r="G36" s="3">
        <f>+IF(F36="Pasajero",'2.2 OPEX LAP 2023'!I37*'2.1 OPEX TUUA'!$G$7,'2.2 OPEX LAP 2023'!I37*'2.1 OPEX TUUA'!$G$8)</f>
        <v>3356.4740361422942</v>
      </c>
      <c r="H36" s="3">
        <f>+IF(F36="Pasajero",'2.2 OPEX LAP 2023'!J37*'2.1 OPEX TUUA'!$H$7,'2.2 OPEX LAP 2023'!J37*'2.1 OPEX TUUA'!$H$8)</f>
        <v>3937.1611061568265</v>
      </c>
      <c r="I36" s="3">
        <f>+IF(F36="Pasajero",'2.2 OPEX LAP 2023'!K37*'2.1 OPEX TUUA'!$I$7,'2.2 OPEX LAP 2023'!K37*'2.1 OPEX TUUA'!$I$8)</f>
        <v>4425.9954910747783</v>
      </c>
      <c r="J36" s="3">
        <f>+IF(F36="Pasajero",'2.2 OPEX LAP 2023'!L37*'2.1 OPEX TUUA'!$J$7,'2.2 OPEX LAP 2023'!L37*'2.1 OPEX TUUA'!$J$8)</f>
        <v>4689.4143406994781</v>
      </c>
      <c r="K36" s="3">
        <f>+IF(F36="Pasajero",'2.2 OPEX LAP 2023'!M37*'2.1 OPEX TUUA'!$K$7,'2.2 OPEX LAP 2023'!M37*'2.1 OPEX TUUA'!$K$8)</f>
        <v>4881.8788511423654</v>
      </c>
      <c r="L36" s="3">
        <f>+IF(F36="Pasajero",'2.2 OPEX LAP 2023'!N37*'2.1 OPEX TUUA'!$L$7,'2.2 OPEX LAP 2023'!N37*'2.1 OPEX TUUA'!$L$8)</f>
        <v>5095.7106444191004</v>
      </c>
      <c r="M36" s="3"/>
      <c r="N36" s="3">
        <f>+IF(F36="Pasajero",'2.2 OPEX LAP 2023'!I37*'2.1 OPEX TUUA'!$N$7,'2.2 OPEX LAP 2023'!I37*'2.1 OPEX TUUA'!$N$8)</f>
        <v>1655.4708062932298</v>
      </c>
      <c r="O36" s="3">
        <f>+IF(F36="Pasajero",'2.2 OPEX LAP 2023'!J37*'2.1 OPEX TUUA'!$O$7,'2.2 OPEX LAP 2023'!J37*'2.1 OPEX TUUA'!$O$8)</f>
        <v>1630.6273443183902</v>
      </c>
      <c r="P36" s="3">
        <f>+IF(F36="Pasajero",'2.2 OPEX LAP 2023'!K37*'2.1 OPEX TUUA'!$P$7,'2.2 OPEX LAP 2023'!K37*'2.1 OPEX TUUA'!$P$8)</f>
        <v>1620.4838705326272</v>
      </c>
      <c r="Q36" s="3">
        <f>+IF(F36="Pasajero",'2.2 OPEX LAP 2023'!L37*'2.1 OPEX TUUA'!$Q$7,'2.2 OPEX LAP 2023'!L37*'2.1 OPEX TUUA'!$Q$8)</f>
        <v>1609.9270604706192</v>
      </c>
      <c r="R36" s="3">
        <f>+IF(F36="Pasajero",'2.2 OPEX LAP 2023'!M37*'2.1 OPEX TUUA'!$R$7,'2.2 OPEX LAP 2023'!M37*'2.1 OPEX TUUA'!$R$8)</f>
        <v>1618.5652987822177</v>
      </c>
      <c r="S36" s="3">
        <f>+IF(F36="Pasajero",'2.2 OPEX LAP 2023'!N37*'2.1 OPEX TUUA'!$S$7,'2.2 OPEX LAP 2023'!N37*'2.1 OPEX TUUA'!$S$8)</f>
        <v>1619.5984555488092</v>
      </c>
      <c r="U36" s="1">
        <v>3419.8947859763007</v>
      </c>
      <c r="V36" s="1">
        <v>4011.5539680949864</v>
      </c>
      <c r="W36" s="1">
        <v>4509.6249039000631</v>
      </c>
      <c r="X36" s="1">
        <v>4778.0210662594127</v>
      </c>
      <c r="Y36" s="1">
        <v>4974.1222035426345</v>
      </c>
      <c r="Z36" s="1">
        <v>5191.9943595696659</v>
      </c>
      <c r="AA36" s="7">
        <f t="shared" si="3"/>
        <v>-63.420749834006529</v>
      </c>
      <c r="AB36" s="7">
        <f t="shared" si="4"/>
        <v>-74.392861938159967</v>
      </c>
      <c r="AC36" s="7">
        <f t="shared" si="5"/>
        <v>-83.629412825284817</v>
      </c>
      <c r="AD36" s="7">
        <f t="shared" si="6"/>
        <v>-88.606725559934603</v>
      </c>
      <c r="AE36" s="7">
        <f t="shared" si="7"/>
        <v>-92.243352400269032</v>
      </c>
      <c r="AF36" s="7">
        <f t="shared" si="8"/>
        <v>-96.283715150565513</v>
      </c>
    </row>
    <row r="37" spans="2:32" x14ac:dyDescent="0.25">
      <c r="B37" s="17">
        <v>6310000001</v>
      </c>
      <c r="C37" s="193" t="s">
        <v>13</v>
      </c>
      <c r="D37" s="193" t="s">
        <v>38</v>
      </c>
      <c r="E37" s="193" t="s">
        <v>39</v>
      </c>
      <c r="F37" s="163" t="s">
        <v>190</v>
      </c>
      <c r="G37" s="3">
        <f>+IF(F37="Pasajero",'2.2 OPEX LAP 2023'!I38*'2.1 OPEX TUUA'!$G$7,'2.2 OPEX LAP 2023'!I38*'2.1 OPEX TUUA'!$G$8)</f>
        <v>0</v>
      </c>
      <c r="H37" s="3">
        <f>+IF(F37="Pasajero",'2.2 OPEX LAP 2023'!J38*'2.1 OPEX TUUA'!$H$7,'2.2 OPEX LAP 2023'!J38*'2.1 OPEX TUUA'!$H$8)</f>
        <v>0</v>
      </c>
      <c r="I37" s="3">
        <f>+IF(F37="Pasajero",'2.2 OPEX LAP 2023'!K38*'2.1 OPEX TUUA'!$I$7,'2.2 OPEX LAP 2023'!K38*'2.1 OPEX TUUA'!$I$8)</f>
        <v>0</v>
      </c>
      <c r="J37" s="3">
        <f>+IF(F37="Pasajero",'2.2 OPEX LAP 2023'!L38*'2.1 OPEX TUUA'!$J$7,'2.2 OPEX LAP 2023'!L38*'2.1 OPEX TUUA'!$J$8)</f>
        <v>0</v>
      </c>
      <c r="K37" s="3">
        <f>+IF(F37="Pasajero",'2.2 OPEX LAP 2023'!M38*'2.1 OPEX TUUA'!$K$7,'2.2 OPEX LAP 2023'!M38*'2.1 OPEX TUUA'!$K$8)</f>
        <v>0</v>
      </c>
      <c r="L37" s="3">
        <f>+IF(F37="Pasajero",'2.2 OPEX LAP 2023'!N38*'2.1 OPEX TUUA'!$L$7,'2.2 OPEX LAP 2023'!N38*'2.1 OPEX TUUA'!$L$8)</f>
        <v>0</v>
      </c>
      <c r="M37" s="3"/>
      <c r="N37" s="3">
        <f>+IF(F37="Pasajero",'2.2 OPEX LAP 2023'!I38*'2.1 OPEX TUUA'!$N$7,'2.2 OPEX LAP 2023'!I38*'2.1 OPEX TUUA'!$N$8)</f>
        <v>0</v>
      </c>
      <c r="O37" s="3">
        <f>+IF(F37="Pasajero",'2.2 OPEX LAP 2023'!J38*'2.1 OPEX TUUA'!$O$7,'2.2 OPEX LAP 2023'!J38*'2.1 OPEX TUUA'!$O$8)</f>
        <v>0</v>
      </c>
      <c r="P37" s="3">
        <f>+IF(F37="Pasajero",'2.2 OPEX LAP 2023'!K38*'2.1 OPEX TUUA'!$P$7,'2.2 OPEX LAP 2023'!K38*'2.1 OPEX TUUA'!$P$8)</f>
        <v>0</v>
      </c>
      <c r="Q37" s="3">
        <f>+IF(F37="Pasajero",'2.2 OPEX LAP 2023'!L38*'2.1 OPEX TUUA'!$Q$7,'2.2 OPEX LAP 2023'!L38*'2.1 OPEX TUUA'!$Q$8)</f>
        <v>0</v>
      </c>
      <c r="R37" s="3">
        <f>+IF(F37="Pasajero",'2.2 OPEX LAP 2023'!M38*'2.1 OPEX TUUA'!$R$7,'2.2 OPEX LAP 2023'!M38*'2.1 OPEX TUUA'!$R$8)</f>
        <v>0</v>
      </c>
      <c r="S37" s="3">
        <f>+IF(F37="Pasajero",'2.2 OPEX LAP 2023'!N38*'2.1 OPEX TUUA'!$S$7,'2.2 OPEX LAP 2023'!N38*'2.1 OPEX TUUA'!$S$8)</f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7">
        <f t="shared" si="3"/>
        <v>0</v>
      </c>
      <c r="AB37" s="7">
        <f t="shared" si="4"/>
        <v>0</v>
      </c>
      <c r="AC37" s="7">
        <f t="shared" si="5"/>
        <v>0</v>
      </c>
      <c r="AD37" s="7">
        <f t="shared" si="6"/>
        <v>0</v>
      </c>
      <c r="AE37" s="7">
        <f t="shared" si="7"/>
        <v>0</v>
      </c>
      <c r="AF37" s="7">
        <f t="shared" si="8"/>
        <v>0</v>
      </c>
    </row>
    <row r="38" spans="2:32" x14ac:dyDescent="0.25">
      <c r="B38" s="17">
        <v>6311300001</v>
      </c>
      <c r="C38" s="193" t="s">
        <v>13</v>
      </c>
      <c r="D38" s="193" t="s">
        <v>40</v>
      </c>
      <c r="E38" s="193" t="s">
        <v>41</v>
      </c>
      <c r="F38" s="163" t="s">
        <v>190</v>
      </c>
      <c r="G38" s="3">
        <f>+IF(F38="Pasajero",'2.2 OPEX LAP 2023'!I39*'2.1 OPEX TUUA'!$G$7,'2.2 OPEX LAP 2023'!I39*'2.1 OPEX TUUA'!$G$8)</f>
        <v>0</v>
      </c>
      <c r="H38" s="3">
        <f>+IF(F38="Pasajero",'2.2 OPEX LAP 2023'!J39*'2.1 OPEX TUUA'!$H$7,'2.2 OPEX LAP 2023'!J39*'2.1 OPEX TUUA'!$H$8)</f>
        <v>0</v>
      </c>
      <c r="I38" s="3">
        <f>+IF(F38="Pasajero",'2.2 OPEX LAP 2023'!K39*'2.1 OPEX TUUA'!$I$7,'2.2 OPEX LAP 2023'!K39*'2.1 OPEX TUUA'!$I$8)</f>
        <v>0</v>
      </c>
      <c r="J38" s="3">
        <f>+IF(F38="Pasajero",'2.2 OPEX LAP 2023'!L39*'2.1 OPEX TUUA'!$J$7,'2.2 OPEX LAP 2023'!L39*'2.1 OPEX TUUA'!$J$8)</f>
        <v>0</v>
      </c>
      <c r="K38" s="3">
        <f>+IF(F38="Pasajero",'2.2 OPEX LAP 2023'!M39*'2.1 OPEX TUUA'!$K$7,'2.2 OPEX LAP 2023'!M39*'2.1 OPEX TUUA'!$K$8)</f>
        <v>0</v>
      </c>
      <c r="L38" s="3">
        <f>+IF(F38="Pasajero",'2.2 OPEX LAP 2023'!N39*'2.1 OPEX TUUA'!$L$7,'2.2 OPEX LAP 2023'!N39*'2.1 OPEX TUUA'!$L$8)</f>
        <v>0</v>
      </c>
      <c r="M38" s="3"/>
      <c r="N38" s="3">
        <f>+IF(F38="Pasajero",'2.2 OPEX LAP 2023'!I39*'2.1 OPEX TUUA'!$N$7,'2.2 OPEX LAP 2023'!I39*'2.1 OPEX TUUA'!$N$8)</f>
        <v>0</v>
      </c>
      <c r="O38" s="3">
        <f>+IF(F38="Pasajero",'2.2 OPEX LAP 2023'!J39*'2.1 OPEX TUUA'!$O$7,'2.2 OPEX LAP 2023'!J39*'2.1 OPEX TUUA'!$O$8)</f>
        <v>0</v>
      </c>
      <c r="P38" s="3">
        <f>+IF(F38="Pasajero",'2.2 OPEX LAP 2023'!K39*'2.1 OPEX TUUA'!$P$7,'2.2 OPEX LAP 2023'!K39*'2.1 OPEX TUUA'!$P$8)</f>
        <v>0</v>
      </c>
      <c r="Q38" s="3">
        <f>+IF(F38="Pasajero",'2.2 OPEX LAP 2023'!L39*'2.1 OPEX TUUA'!$Q$7,'2.2 OPEX LAP 2023'!L39*'2.1 OPEX TUUA'!$Q$8)</f>
        <v>0</v>
      </c>
      <c r="R38" s="3">
        <f>+IF(F38="Pasajero",'2.2 OPEX LAP 2023'!M39*'2.1 OPEX TUUA'!$R$7,'2.2 OPEX LAP 2023'!M39*'2.1 OPEX TUUA'!$R$8)</f>
        <v>0</v>
      </c>
      <c r="S38" s="3">
        <f>+IF(F38="Pasajero",'2.2 OPEX LAP 2023'!N39*'2.1 OPEX TUUA'!$S$7,'2.2 OPEX LAP 2023'!N39*'2.1 OPEX TUUA'!$S$8)</f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7">
        <f t="shared" si="3"/>
        <v>0</v>
      </c>
      <c r="AB38" s="7">
        <f t="shared" si="4"/>
        <v>0</v>
      </c>
      <c r="AC38" s="7">
        <f t="shared" si="5"/>
        <v>0</v>
      </c>
      <c r="AD38" s="7">
        <f t="shared" si="6"/>
        <v>0</v>
      </c>
      <c r="AE38" s="7">
        <f t="shared" si="7"/>
        <v>0</v>
      </c>
      <c r="AF38" s="7">
        <f t="shared" si="8"/>
        <v>0</v>
      </c>
    </row>
    <row r="39" spans="2:32" x14ac:dyDescent="0.25">
      <c r="B39" s="17">
        <v>6311300002</v>
      </c>
      <c r="C39" s="193" t="s">
        <v>13</v>
      </c>
      <c r="D39" s="193" t="s">
        <v>40</v>
      </c>
      <c r="E39" s="193" t="s">
        <v>42</v>
      </c>
      <c r="F39" s="163" t="s">
        <v>190</v>
      </c>
      <c r="G39" s="3">
        <f>+IF(F39="Pasajero",'2.2 OPEX LAP 2023'!I40*'2.1 OPEX TUUA'!$G$7,'2.2 OPEX LAP 2023'!I40*'2.1 OPEX TUUA'!$G$8)</f>
        <v>0</v>
      </c>
      <c r="H39" s="3">
        <f>+IF(F39="Pasajero",'2.2 OPEX LAP 2023'!J40*'2.1 OPEX TUUA'!$H$7,'2.2 OPEX LAP 2023'!J40*'2.1 OPEX TUUA'!$H$8)</f>
        <v>0</v>
      </c>
      <c r="I39" s="3">
        <f>+IF(F39="Pasajero",'2.2 OPEX LAP 2023'!K40*'2.1 OPEX TUUA'!$I$7,'2.2 OPEX LAP 2023'!K40*'2.1 OPEX TUUA'!$I$8)</f>
        <v>0</v>
      </c>
      <c r="J39" s="3">
        <f>+IF(F39="Pasajero",'2.2 OPEX LAP 2023'!L40*'2.1 OPEX TUUA'!$J$7,'2.2 OPEX LAP 2023'!L40*'2.1 OPEX TUUA'!$J$8)</f>
        <v>0</v>
      </c>
      <c r="K39" s="3">
        <f>+IF(F39="Pasajero",'2.2 OPEX LAP 2023'!M40*'2.1 OPEX TUUA'!$K$7,'2.2 OPEX LAP 2023'!M40*'2.1 OPEX TUUA'!$K$8)</f>
        <v>0</v>
      </c>
      <c r="L39" s="3">
        <f>+IF(F39="Pasajero",'2.2 OPEX LAP 2023'!N40*'2.1 OPEX TUUA'!$L$7,'2.2 OPEX LAP 2023'!N40*'2.1 OPEX TUUA'!$L$8)</f>
        <v>0</v>
      </c>
      <c r="M39" s="3"/>
      <c r="N39" s="3">
        <f>+IF(F39="Pasajero",'2.2 OPEX LAP 2023'!I40*'2.1 OPEX TUUA'!$N$7,'2.2 OPEX LAP 2023'!I40*'2.1 OPEX TUUA'!$N$8)</f>
        <v>0</v>
      </c>
      <c r="O39" s="3">
        <f>+IF(F39="Pasajero",'2.2 OPEX LAP 2023'!J40*'2.1 OPEX TUUA'!$O$7,'2.2 OPEX LAP 2023'!J40*'2.1 OPEX TUUA'!$O$8)</f>
        <v>0</v>
      </c>
      <c r="P39" s="3">
        <f>+IF(F39="Pasajero",'2.2 OPEX LAP 2023'!K40*'2.1 OPEX TUUA'!$P$7,'2.2 OPEX LAP 2023'!K40*'2.1 OPEX TUUA'!$P$8)</f>
        <v>0</v>
      </c>
      <c r="Q39" s="3">
        <f>+IF(F39="Pasajero",'2.2 OPEX LAP 2023'!L40*'2.1 OPEX TUUA'!$Q$7,'2.2 OPEX LAP 2023'!L40*'2.1 OPEX TUUA'!$Q$8)</f>
        <v>0</v>
      </c>
      <c r="R39" s="3">
        <f>+IF(F39="Pasajero",'2.2 OPEX LAP 2023'!M40*'2.1 OPEX TUUA'!$R$7,'2.2 OPEX LAP 2023'!M40*'2.1 OPEX TUUA'!$R$8)</f>
        <v>0</v>
      </c>
      <c r="S39" s="3">
        <f>+IF(F39="Pasajero",'2.2 OPEX LAP 2023'!N40*'2.1 OPEX TUUA'!$S$7,'2.2 OPEX LAP 2023'!N40*'2.1 OPEX TUUA'!$S$8)</f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7">
        <f t="shared" si="3"/>
        <v>0</v>
      </c>
      <c r="AB39" s="7">
        <f t="shared" si="4"/>
        <v>0</v>
      </c>
      <c r="AC39" s="7">
        <f t="shared" si="5"/>
        <v>0</v>
      </c>
      <c r="AD39" s="7">
        <f t="shared" si="6"/>
        <v>0</v>
      </c>
      <c r="AE39" s="7">
        <f t="shared" si="7"/>
        <v>0</v>
      </c>
      <c r="AF39" s="7">
        <f t="shared" si="8"/>
        <v>0</v>
      </c>
    </row>
    <row r="40" spans="2:32" x14ac:dyDescent="0.25">
      <c r="B40" s="17">
        <v>6320000001</v>
      </c>
      <c r="C40" s="193" t="s">
        <v>13</v>
      </c>
      <c r="D40" s="193" t="s">
        <v>40</v>
      </c>
      <c r="E40" s="193" t="s">
        <v>43</v>
      </c>
      <c r="F40" s="163" t="s">
        <v>190</v>
      </c>
      <c r="G40" s="3">
        <f>+IF(F40="Pasajero",'2.2 OPEX LAP 2023'!I41*'2.1 OPEX TUUA'!$G$7,'2.2 OPEX LAP 2023'!I41*'2.1 OPEX TUUA'!$G$8)</f>
        <v>22973.447341507097</v>
      </c>
      <c r="H40" s="3">
        <f>+IF(F40="Pasajero",'2.2 OPEX LAP 2023'!J41*'2.1 OPEX TUUA'!$H$7,'2.2 OPEX LAP 2023'!J41*'2.1 OPEX TUUA'!$H$8)</f>
        <v>26947.970511126325</v>
      </c>
      <c r="I40" s="3">
        <f>+IF(F40="Pasajero",'2.2 OPEX LAP 2023'!K41*'2.1 OPEX TUUA'!$I$7,'2.2 OPEX LAP 2023'!K41*'2.1 OPEX TUUA'!$I$8)</f>
        <v>30293.806313728815</v>
      </c>
      <c r="J40" s="3">
        <f>+IF(F40="Pasajero",'2.2 OPEX LAP 2023'!L41*'2.1 OPEX TUUA'!$J$7,'2.2 OPEX LAP 2023'!L41*'2.1 OPEX TUUA'!$J$8)</f>
        <v>32096.781401707973</v>
      </c>
      <c r="K40" s="3">
        <f>+IF(F40="Pasajero",'2.2 OPEX LAP 2023'!M41*'2.1 OPEX TUUA'!$K$7,'2.2 OPEX LAP 2023'!M41*'2.1 OPEX TUUA'!$K$8)</f>
        <v>33414.108229848876</v>
      </c>
      <c r="L40" s="3">
        <f>+IF(F40="Pasajero",'2.2 OPEX LAP 2023'!N41*'2.1 OPEX TUUA'!$L$7,'2.2 OPEX LAP 2023'!N41*'2.1 OPEX TUUA'!$L$8)</f>
        <v>34877.683812405492</v>
      </c>
      <c r="M40" s="3"/>
      <c r="N40" s="3">
        <f>+IF(F40="Pasajero",'2.2 OPEX LAP 2023'!I41*'2.1 OPEX TUUA'!$N$7,'2.2 OPEX LAP 2023'!I41*'2.1 OPEX TUUA'!$N$8)</f>
        <v>11330.899921839136</v>
      </c>
      <c r="O40" s="3">
        <f>+IF(F40="Pasajero",'2.2 OPEX LAP 2023'!J41*'2.1 OPEX TUUA'!$O$7,'2.2 OPEX LAP 2023'!J41*'2.1 OPEX TUUA'!$O$8)</f>
        <v>11160.858396323367</v>
      </c>
      <c r="P40" s="3">
        <f>+IF(F40="Pasajero",'2.2 OPEX LAP 2023'!K41*'2.1 OPEX TUUA'!$P$7,'2.2 OPEX LAP 2023'!K41*'2.1 OPEX TUUA'!$P$8)</f>
        <v>11091.431206251902</v>
      </c>
      <c r="Q40" s="3">
        <f>+IF(F40="Pasajero",'2.2 OPEX LAP 2023'!L41*'2.1 OPEX TUUA'!$Q$7,'2.2 OPEX LAP 2023'!L41*'2.1 OPEX TUUA'!$Q$8)</f>
        <v>11019.174928550265</v>
      </c>
      <c r="R40" s="3">
        <f>+IF(F40="Pasajero",'2.2 OPEX LAP 2023'!M41*'2.1 OPEX TUUA'!$R$7,'2.2 OPEX LAP 2023'!M41*'2.1 OPEX TUUA'!$R$8)</f>
        <v>11078.299507152096</v>
      </c>
      <c r="S40" s="3">
        <f>+IF(F40="Pasajero",'2.2 OPEX LAP 2023'!N41*'2.1 OPEX TUUA'!$S$7,'2.2 OPEX LAP 2023'!N41*'2.1 OPEX TUUA'!$S$8)</f>
        <v>11085.370967356237</v>
      </c>
      <c r="U40" s="1">
        <v>23407.531812586465</v>
      </c>
      <c r="V40" s="1">
        <v>27457.153802257813</v>
      </c>
      <c r="W40" s="1">
        <v>30866.209344723513</v>
      </c>
      <c r="X40" s="1">
        <v>32703.251739876927</v>
      </c>
      <c r="Y40" s="1">
        <v>34045.469526302484</v>
      </c>
      <c r="Z40" s="1">
        <v>35536.699444892984</v>
      </c>
      <c r="AA40" s="7">
        <f t="shared" si="3"/>
        <v>-434.08447107936809</v>
      </c>
      <c r="AB40" s="7">
        <f t="shared" si="4"/>
        <v>-509.18329113148866</v>
      </c>
      <c r="AC40" s="7">
        <f t="shared" si="5"/>
        <v>-572.40303099469747</v>
      </c>
      <c r="AD40" s="7">
        <f t="shared" si="6"/>
        <v>-606.47033816895419</v>
      </c>
      <c r="AE40" s="7">
        <f t="shared" si="7"/>
        <v>-631.36129645360779</v>
      </c>
      <c r="AF40" s="7">
        <f t="shared" si="8"/>
        <v>-659.01563248749153</v>
      </c>
    </row>
    <row r="41" spans="2:32" x14ac:dyDescent="0.25">
      <c r="B41" s="17">
        <v>6320000002</v>
      </c>
      <c r="C41" s="193" t="s">
        <v>13</v>
      </c>
      <c r="D41" s="193" t="s">
        <v>40</v>
      </c>
      <c r="E41" s="193" t="s">
        <v>44</v>
      </c>
      <c r="F41" s="163" t="s">
        <v>190</v>
      </c>
      <c r="G41" s="3">
        <f>+IF(F41="Pasajero",'2.2 OPEX LAP 2023'!I42*'2.1 OPEX TUUA'!$G$7,'2.2 OPEX LAP 2023'!I42*'2.1 OPEX TUUA'!$G$8)</f>
        <v>0</v>
      </c>
      <c r="H41" s="3">
        <f>+IF(F41="Pasajero",'2.2 OPEX LAP 2023'!J42*'2.1 OPEX TUUA'!$H$7,'2.2 OPEX LAP 2023'!J42*'2.1 OPEX TUUA'!$H$8)</f>
        <v>0</v>
      </c>
      <c r="I41" s="3">
        <f>+IF(F41="Pasajero",'2.2 OPEX LAP 2023'!K42*'2.1 OPEX TUUA'!$I$7,'2.2 OPEX LAP 2023'!K42*'2.1 OPEX TUUA'!$I$8)</f>
        <v>0</v>
      </c>
      <c r="J41" s="3">
        <f>+IF(F41="Pasajero",'2.2 OPEX LAP 2023'!L42*'2.1 OPEX TUUA'!$J$7,'2.2 OPEX LAP 2023'!L42*'2.1 OPEX TUUA'!$J$8)</f>
        <v>0</v>
      </c>
      <c r="K41" s="3">
        <f>+IF(F41="Pasajero",'2.2 OPEX LAP 2023'!M42*'2.1 OPEX TUUA'!$K$7,'2.2 OPEX LAP 2023'!M42*'2.1 OPEX TUUA'!$K$8)</f>
        <v>0</v>
      </c>
      <c r="L41" s="3">
        <f>+IF(F41="Pasajero",'2.2 OPEX LAP 2023'!N42*'2.1 OPEX TUUA'!$L$7,'2.2 OPEX LAP 2023'!N42*'2.1 OPEX TUUA'!$L$8)</f>
        <v>0</v>
      </c>
      <c r="M41" s="3"/>
      <c r="N41" s="3">
        <f>+IF(F41="Pasajero",'2.2 OPEX LAP 2023'!I42*'2.1 OPEX TUUA'!$N$7,'2.2 OPEX LAP 2023'!I42*'2.1 OPEX TUUA'!$N$8)</f>
        <v>0</v>
      </c>
      <c r="O41" s="3">
        <f>+IF(F41="Pasajero",'2.2 OPEX LAP 2023'!J42*'2.1 OPEX TUUA'!$O$7,'2.2 OPEX LAP 2023'!J42*'2.1 OPEX TUUA'!$O$8)</f>
        <v>0</v>
      </c>
      <c r="P41" s="3">
        <f>+IF(F41="Pasajero",'2.2 OPEX LAP 2023'!K42*'2.1 OPEX TUUA'!$P$7,'2.2 OPEX LAP 2023'!K42*'2.1 OPEX TUUA'!$P$8)</f>
        <v>0</v>
      </c>
      <c r="Q41" s="3">
        <f>+IF(F41="Pasajero",'2.2 OPEX LAP 2023'!L42*'2.1 OPEX TUUA'!$Q$7,'2.2 OPEX LAP 2023'!L42*'2.1 OPEX TUUA'!$Q$8)</f>
        <v>0</v>
      </c>
      <c r="R41" s="3">
        <f>+IF(F41="Pasajero",'2.2 OPEX LAP 2023'!M42*'2.1 OPEX TUUA'!$R$7,'2.2 OPEX LAP 2023'!M42*'2.1 OPEX TUUA'!$R$8)</f>
        <v>0</v>
      </c>
      <c r="S41" s="3">
        <f>+IF(F41="Pasajero",'2.2 OPEX LAP 2023'!N42*'2.1 OPEX TUUA'!$S$7,'2.2 OPEX LAP 2023'!N42*'2.1 OPEX TUUA'!$S$8)</f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7">
        <f t="shared" si="3"/>
        <v>0</v>
      </c>
      <c r="AB41" s="7">
        <f t="shared" si="4"/>
        <v>0</v>
      </c>
      <c r="AC41" s="7">
        <f t="shared" si="5"/>
        <v>0</v>
      </c>
      <c r="AD41" s="7">
        <f t="shared" si="6"/>
        <v>0</v>
      </c>
      <c r="AE41" s="7">
        <f t="shared" si="7"/>
        <v>0</v>
      </c>
      <c r="AF41" s="7">
        <f t="shared" si="8"/>
        <v>0</v>
      </c>
    </row>
    <row r="42" spans="2:32" x14ac:dyDescent="0.25">
      <c r="B42" s="17">
        <v>6320000003</v>
      </c>
      <c r="C42" s="193" t="s">
        <v>13</v>
      </c>
      <c r="D42" s="193" t="s">
        <v>40</v>
      </c>
      <c r="E42" s="193" t="s">
        <v>45</v>
      </c>
      <c r="F42" s="163" t="s">
        <v>190</v>
      </c>
      <c r="G42" s="3">
        <f>+IF(F42="Pasajero",'2.2 OPEX LAP 2023'!I43*'2.1 OPEX TUUA'!$G$7,'2.2 OPEX LAP 2023'!I43*'2.1 OPEX TUUA'!$G$8)</f>
        <v>13977.777257056468</v>
      </c>
      <c r="H42" s="3">
        <f>+IF(F42="Pasajero",'2.2 OPEX LAP 2023'!J43*'2.1 OPEX TUUA'!$H$7,'2.2 OPEX LAP 2023'!J43*'2.1 OPEX TUUA'!$H$8)</f>
        <v>16396.003774918852</v>
      </c>
      <c r="I42" s="3">
        <f>+IF(F42="Pasajero",'2.2 OPEX LAP 2023'!K43*'2.1 OPEX TUUA'!$I$7,'2.2 OPEX LAP 2023'!K43*'2.1 OPEX TUUA'!$I$8)</f>
        <v>18431.716869791031</v>
      </c>
      <c r="J42" s="3">
        <f>+IF(F42="Pasajero",'2.2 OPEX LAP 2023'!L43*'2.1 OPEX TUUA'!$J$7,'2.2 OPEX LAP 2023'!L43*'2.1 OPEX TUUA'!$J$8)</f>
        <v>19528.704353000034</v>
      </c>
      <c r="K42" s="3">
        <f>+IF(F42="Pasajero",'2.2 OPEX LAP 2023'!M43*'2.1 OPEX TUUA'!$K$7,'2.2 OPEX LAP 2023'!M43*'2.1 OPEX TUUA'!$K$8)</f>
        <v>20330.207963005927</v>
      </c>
      <c r="L42" s="3">
        <f>+IF(F42="Pasajero",'2.2 OPEX LAP 2023'!N43*'2.1 OPEX TUUA'!$L$7,'2.2 OPEX LAP 2023'!N43*'2.1 OPEX TUUA'!$L$8)</f>
        <v>21220.693974431892</v>
      </c>
      <c r="M42" s="3"/>
      <c r="N42" s="3">
        <f>+IF(F42="Pasajero",'2.2 OPEX LAP 2023'!I43*'2.1 OPEX TUUA'!$N$7,'2.2 OPEX LAP 2023'!I43*'2.1 OPEX TUUA'!$N$8)</f>
        <v>6894.080495412315</v>
      </c>
      <c r="O42" s="3">
        <f>+IF(F42="Pasajero",'2.2 OPEX LAP 2023'!J43*'2.1 OPEX TUUA'!$O$7,'2.2 OPEX LAP 2023'!J43*'2.1 OPEX TUUA'!$O$8)</f>
        <v>6790.6218140582441</v>
      </c>
      <c r="P42" s="3">
        <f>+IF(F42="Pasajero",'2.2 OPEX LAP 2023'!K43*'2.1 OPEX TUUA'!$P$7,'2.2 OPEX LAP 2023'!K43*'2.1 OPEX TUUA'!$P$8)</f>
        <v>6748.380099788008</v>
      </c>
      <c r="Q42" s="3">
        <f>+IF(F42="Pasajero",'2.2 OPEX LAP 2023'!L43*'2.1 OPEX TUUA'!$Q$7,'2.2 OPEX LAP 2023'!L43*'2.1 OPEX TUUA'!$Q$8)</f>
        <v>6704.4170784737134</v>
      </c>
      <c r="R42" s="3">
        <f>+IF(F42="Pasajero",'2.2 OPEX LAP 2023'!M43*'2.1 OPEX TUUA'!$R$7,'2.2 OPEX LAP 2023'!M43*'2.1 OPEX TUUA'!$R$8)</f>
        <v>6740.3903557023596</v>
      </c>
      <c r="S42" s="3">
        <f>+IF(F42="Pasajero",'2.2 OPEX LAP 2023'!N43*'2.1 OPEX TUUA'!$S$7,'2.2 OPEX LAP 2023'!N43*'2.1 OPEX TUUA'!$S$8)</f>
        <v>6744.6928573751075</v>
      </c>
      <c r="U42" s="1">
        <v>14241.888078445127</v>
      </c>
      <c r="V42" s="1">
        <v>16705.807110946349</v>
      </c>
      <c r="W42" s="1">
        <v>18779.98510962338</v>
      </c>
      <c r="X42" s="1">
        <v>19897.700227842961</v>
      </c>
      <c r="Y42" s="1">
        <v>20714.348289852322</v>
      </c>
      <c r="Z42" s="1">
        <v>21621.66008034084</v>
      </c>
      <c r="AA42" s="7">
        <f t="shared" si="3"/>
        <v>-264.11082138865822</v>
      </c>
      <c r="AB42" s="7">
        <f t="shared" si="4"/>
        <v>-309.8033360274967</v>
      </c>
      <c r="AC42" s="7">
        <f t="shared" si="5"/>
        <v>-348.26823983234863</v>
      </c>
      <c r="AD42" s="7">
        <f t="shared" si="6"/>
        <v>-368.99587484292715</v>
      </c>
      <c r="AE42" s="7">
        <f t="shared" si="7"/>
        <v>-384.1403268463946</v>
      </c>
      <c r="AF42" s="7">
        <f t="shared" si="8"/>
        <v>-400.96610590894852</v>
      </c>
    </row>
    <row r="43" spans="2:32" x14ac:dyDescent="0.25">
      <c r="B43" s="17">
        <v>6320000004</v>
      </c>
      <c r="C43" s="193" t="s">
        <v>13</v>
      </c>
      <c r="D43" s="193" t="s">
        <v>40</v>
      </c>
      <c r="E43" s="193" t="s">
        <v>46</v>
      </c>
      <c r="F43" s="163" t="s">
        <v>190</v>
      </c>
      <c r="G43" s="3">
        <f>+IF(F43="Pasajero",'2.2 OPEX LAP 2023'!I44*'2.1 OPEX TUUA'!$G$7,'2.2 OPEX LAP 2023'!I44*'2.1 OPEX TUUA'!$G$8)</f>
        <v>0</v>
      </c>
      <c r="H43" s="3">
        <f>+IF(F43="Pasajero",'2.2 OPEX LAP 2023'!J44*'2.1 OPEX TUUA'!$H$7,'2.2 OPEX LAP 2023'!J44*'2.1 OPEX TUUA'!$H$8)</f>
        <v>0</v>
      </c>
      <c r="I43" s="3">
        <f>+IF(F43="Pasajero",'2.2 OPEX LAP 2023'!K44*'2.1 OPEX TUUA'!$I$7,'2.2 OPEX LAP 2023'!K44*'2.1 OPEX TUUA'!$I$8)</f>
        <v>0</v>
      </c>
      <c r="J43" s="3">
        <f>+IF(F43="Pasajero",'2.2 OPEX LAP 2023'!L44*'2.1 OPEX TUUA'!$J$7,'2.2 OPEX LAP 2023'!L44*'2.1 OPEX TUUA'!$J$8)</f>
        <v>0</v>
      </c>
      <c r="K43" s="3">
        <f>+IF(F43="Pasajero",'2.2 OPEX LAP 2023'!M44*'2.1 OPEX TUUA'!$K$7,'2.2 OPEX LAP 2023'!M44*'2.1 OPEX TUUA'!$K$8)</f>
        <v>0</v>
      </c>
      <c r="L43" s="3">
        <f>+IF(F43="Pasajero",'2.2 OPEX LAP 2023'!N44*'2.1 OPEX TUUA'!$L$7,'2.2 OPEX LAP 2023'!N44*'2.1 OPEX TUUA'!$L$8)</f>
        <v>0</v>
      </c>
      <c r="M43" s="3"/>
      <c r="N43" s="3">
        <f>+IF(F43="Pasajero",'2.2 OPEX LAP 2023'!I44*'2.1 OPEX TUUA'!$N$7,'2.2 OPEX LAP 2023'!I44*'2.1 OPEX TUUA'!$N$8)</f>
        <v>0</v>
      </c>
      <c r="O43" s="3">
        <f>+IF(F43="Pasajero",'2.2 OPEX LAP 2023'!J44*'2.1 OPEX TUUA'!$O$7,'2.2 OPEX LAP 2023'!J44*'2.1 OPEX TUUA'!$O$8)</f>
        <v>0</v>
      </c>
      <c r="P43" s="3">
        <f>+IF(F43="Pasajero",'2.2 OPEX LAP 2023'!K44*'2.1 OPEX TUUA'!$P$7,'2.2 OPEX LAP 2023'!K44*'2.1 OPEX TUUA'!$P$8)</f>
        <v>0</v>
      </c>
      <c r="Q43" s="3">
        <f>+IF(F43="Pasajero",'2.2 OPEX LAP 2023'!L44*'2.1 OPEX TUUA'!$Q$7,'2.2 OPEX LAP 2023'!L44*'2.1 OPEX TUUA'!$Q$8)</f>
        <v>0</v>
      </c>
      <c r="R43" s="3">
        <f>+IF(F43="Pasajero",'2.2 OPEX LAP 2023'!M44*'2.1 OPEX TUUA'!$R$7,'2.2 OPEX LAP 2023'!M44*'2.1 OPEX TUUA'!$R$8)</f>
        <v>0</v>
      </c>
      <c r="S43" s="3">
        <f>+IF(F43="Pasajero",'2.2 OPEX LAP 2023'!N44*'2.1 OPEX TUUA'!$S$7,'2.2 OPEX LAP 2023'!N44*'2.1 OPEX TUUA'!$S$8)</f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7">
        <f t="shared" si="3"/>
        <v>0</v>
      </c>
      <c r="AB43" s="7">
        <f t="shared" si="4"/>
        <v>0</v>
      </c>
      <c r="AC43" s="7">
        <f t="shared" si="5"/>
        <v>0</v>
      </c>
      <c r="AD43" s="7">
        <f t="shared" si="6"/>
        <v>0</v>
      </c>
      <c r="AE43" s="7">
        <f t="shared" si="7"/>
        <v>0</v>
      </c>
      <c r="AF43" s="7">
        <f t="shared" si="8"/>
        <v>0</v>
      </c>
    </row>
    <row r="44" spans="2:32" x14ac:dyDescent="0.25">
      <c r="B44" s="17">
        <v>6320000005</v>
      </c>
      <c r="C44" s="193" t="s">
        <v>13</v>
      </c>
      <c r="D44" s="193" t="s">
        <v>40</v>
      </c>
      <c r="E44" s="193" t="s">
        <v>47</v>
      </c>
      <c r="F44" s="163" t="s">
        <v>190</v>
      </c>
      <c r="G44" s="3">
        <f>+IF(F44="Pasajero",'2.2 OPEX LAP 2023'!I45*'2.1 OPEX TUUA'!$G$7,'2.2 OPEX LAP 2023'!I45*'2.1 OPEX TUUA'!$G$8)</f>
        <v>0</v>
      </c>
      <c r="H44" s="3">
        <f>+IF(F44="Pasajero",'2.2 OPEX LAP 2023'!J45*'2.1 OPEX TUUA'!$H$7,'2.2 OPEX LAP 2023'!J45*'2.1 OPEX TUUA'!$H$8)</f>
        <v>0</v>
      </c>
      <c r="I44" s="3">
        <f>+IF(F44="Pasajero",'2.2 OPEX LAP 2023'!K45*'2.1 OPEX TUUA'!$I$7,'2.2 OPEX LAP 2023'!K45*'2.1 OPEX TUUA'!$I$8)</f>
        <v>0</v>
      </c>
      <c r="J44" s="3">
        <f>+IF(F44="Pasajero",'2.2 OPEX LAP 2023'!L45*'2.1 OPEX TUUA'!$J$7,'2.2 OPEX LAP 2023'!L45*'2.1 OPEX TUUA'!$J$8)</f>
        <v>0</v>
      </c>
      <c r="K44" s="3">
        <f>+IF(F44="Pasajero",'2.2 OPEX LAP 2023'!M45*'2.1 OPEX TUUA'!$K$7,'2.2 OPEX LAP 2023'!M45*'2.1 OPEX TUUA'!$K$8)</f>
        <v>0</v>
      </c>
      <c r="L44" s="3">
        <f>+IF(F44="Pasajero",'2.2 OPEX LAP 2023'!N45*'2.1 OPEX TUUA'!$L$7,'2.2 OPEX LAP 2023'!N45*'2.1 OPEX TUUA'!$L$8)</f>
        <v>0</v>
      </c>
      <c r="M44" s="3"/>
      <c r="N44" s="3">
        <f>+IF(F44="Pasajero",'2.2 OPEX LAP 2023'!I45*'2.1 OPEX TUUA'!$N$7,'2.2 OPEX LAP 2023'!I45*'2.1 OPEX TUUA'!$N$8)</f>
        <v>0</v>
      </c>
      <c r="O44" s="3">
        <f>+IF(F44="Pasajero",'2.2 OPEX LAP 2023'!J45*'2.1 OPEX TUUA'!$O$7,'2.2 OPEX LAP 2023'!J45*'2.1 OPEX TUUA'!$O$8)</f>
        <v>0</v>
      </c>
      <c r="P44" s="3">
        <f>+IF(F44="Pasajero",'2.2 OPEX LAP 2023'!K45*'2.1 OPEX TUUA'!$P$7,'2.2 OPEX LAP 2023'!K45*'2.1 OPEX TUUA'!$P$8)</f>
        <v>0</v>
      </c>
      <c r="Q44" s="3">
        <f>+IF(F44="Pasajero",'2.2 OPEX LAP 2023'!L45*'2.1 OPEX TUUA'!$Q$7,'2.2 OPEX LAP 2023'!L45*'2.1 OPEX TUUA'!$Q$8)</f>
        <v>0</v>
      </c>
      <c r="R44" s="3">
        <f>+IF(F44="Pasajero",'2.2 OPEX LAP 2023'!M45*'2.1 OPEX TUUA'!$R$7,'2.2 OPEX LAP 2023'!M45*'2.1 OPEX TUUA'!$R$8)</f>
        <v>0</v>
      </c>
      <c r="S44" s="3">
        <f>+IF(F44="Pasajero",'2.2 OPEX LAP 2023'!N45*'2.1 OPEX TUUA'!$S$7,'2.2 OPEX LAP 2023'!N45*'2.1 OPEX TUUA'!$S$8)</f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7">
        <f t="shared" si="3"/>
        <v>0</v>
      </c>
      <c r="AB44" s="7">
        <f t="shared" si="4"/>
        <v>0</v>
      </c>
      <c r="AC44" s="7">
        <f t="shared" si="5"/>
        <v>0</v>
      </c>
      <c r="AD44" s="7">
        <f t="shared" si="6"/>
        <v>0</v>
      </c>
      <c r="AE44" s="7">
        <f t="shared" si="7"/>
        <v>0</v>
      </c>
      <c r="AF44" s="7">
        <f t="shared" si="8"/>
        <v>0</v>
      </c>
    </row>
    <row r="45" spans="2:32" x14ac:dyDescent="0.25">
      <c r="B45" s="17">
        <v>6320000006</v>
      </c>
      <c r="C45" s="193" t="s">
        <v>13</v>
      </c>
      <c r="D45" s="193" t="s">
        <v>40</v>
      </c>
      <c r="E45" s="193" t="s">
        <v>48</v>
      </c>
      <c r="F45" s="163" t="s">
        <v>190</v>
      </c>
      <c r="G45" s="3">
        <f>+IF(F45="Pasajero",'2.2 OPEX LAP 2023'!I46*'2.1 OPEX TUUA'!$G$7,'2.2 OPEX LAP 2023'!I46*'2.1 OPEX TUUA'!$G$8)</f>
        <v>0</v>
      </c>
      <c r="H45" s="3">
        <f>+IF(F45="Pasajero",'2.2 OPEX LAP 2023'!J46*'2.1 OPEX TUUA'!$H$7,'2.2 OPEX LAP 2023'!J46*'2.1 OPEX TUUA'!$H$8)</f>
        <v>0</v>
      </c>
      <c r="I45" s="3">
        <f>+IF(F45="Pasajero",'2.2 OPEX LAP 2023'!K46*'2.1 OPEX TUUA'!$I$7,'2.2 OPEX LAP 2023'!K46*'2.1 OPEX TUUA'!$I$8)</f>
        <v>0</v>
      </c>
      <c r="J45" s="3">
        <f>+IF(F45="Pasajero",'2.2 OPEX LAP 2023'!L46*'2.1 OPEX TUUA'!$J$7,'2.2 OPEX LAP 2023'!L46*'2.1 OPEX TUUA'!$J$8)</f>
        <v>0</v>
      </c>
      <c r="K45" s="3">
        <f>+IF(F45="Pasajero",'2.2 OPEX LAP 2023'!M46*'2.1 OPEX TUUA'!$K$7,'2.2 OPEX LAP 2023'!M46*'2.1 OPEX TUUA'!$K$8)</f>
        <v>0</v>
      </c>
      <c r="L45" s="3">
        <f>+IF(F45="Pasajero",'2.2 OPEX LAP 2023'!N46*'2.1 OPEX TUUA'!$L$7,'2.2 OPEX LAP 2023'!N46*'2.1 OPEX TUUA'!$L$8)</f>
        <v>0</v>
      </c>
      <c r="M45" s="3"/>
      <c r="N45" s="3">
        <f>+IF(F45="Pasajero",'2.2 OPEX LAP 2023'!I46*'2.1 OPEX TUUA'!$N$7,'2.2 OPEX LAP 2023'!I46*'2.1 OPEX TUUA'!$N$8)</f>
        <v>0</v>
      </c>
      <c r="O45" s="3">
        <f>+IF(F45="Pasajero",'2.2 OPEX LAP 2023'!J46*'2.1 OPEX TUUA'!$O$7,'2.2 OPEX LAP 2023'!J46*'2.1 OPEX TUUA'!$O$8)</f>
        <v>0</v>
      </c>
      <c r="P45" s="3">
        <f>+IF(F45="Pasajero",'2.2 OPEX LAP 2023'!K46*'2.1 OPEX TUUA'!$P$7,'2.2 OPEX LAP 2023'!K46*'2.1 OPEX TUUA'!$P$8)</f>
        <v>0</v>
      </c>
      <c r="Q45" s="3">
        <f>+IF(F45="Pasajero",'2.2 OPEX LAP 2023'!L46*'2.1 OPEX TUUA'!$Q$7,'2.2 OPEX LAP 2023'!L46*'2.1 OPEX TUUA'!$Q$8)</f>
        <v>0</v>
      </c>
      <c r="R45" s="3">
        <f>+IF(F45="Pasajero",'2.2 OPEX LAP 2023'!M46*'2.1 OPEX TUUA'!$R$7,'2.2 OPEX LAP 2023'!M46*'2.1 OPEX TUUA'!$R$8)</f>
        <v>0</v>
      </c>
      <c r="S45" s="3">
        <f>+IF(F45="Pasajero",'2.2 OPEX LAP 2023'!N46*'2.1 OPEX TUUA'!$S$7,'2.2 OPEX LAP 2023'!N46*'2.1 OPEX TUUA'!$S$8)</f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7">
        <f t="shared" si="3"/>
        <v>0</v>
      </c>
      <c r="AB45" s="7">
        <f t="shared" si="4"/>
        <v>0</v>
      </c>
      <c r="AC45" s="7">
        <f t="shared" si="5"/>
        <v>0</v>
      </c>
      <c r="AD45" s="7">
        <f t="shared" si="6"/>
        <v>0</v>
      </c>
      <c r="AE45" s="7">
        <f t="shared" si="7"/>
        <v>0</v>
      </c>
      <c r="AF45" s="7">
        <f t="shared" si="8"/>
        <v>0</v>
      </c>
    </row>
    <row r="46" spans="2:32" x14ac:dyDescent="0.25">
      <c r="B46" s="17">
        <v>6320000007</v>
      </c>
      <c r="C46" s="193" t="s">
        <v>13</v>
      </c>
      <c r="D46" s="193" t="s">
        <v>49</v>
      </c>
      <c r="E46" s="193" t="s">
        <v>50</v>
      </c>
      <c r="F46" s="163" t="s">
        <v>190</v>
      </c>
      <c r="G46" s="3">
        <f>+IF(F46="Pasajero",'2.2 OPEX LAP 2023'!I47*'2.1 OPEX TUUA'!$G$7,'2.2 OPEX LAP 2023'!I47*'2.1 OPEX TUUA'!$G$8)</f>
        <v>90823.848173729712</v>
      </c>
      <c r="H46" s="3">
        <f>+IF(F46="Pasajero",'2.2 OPEX LAP 2023'!J47*'2.1 OPEX TUUA'!$H$7,'2.2 OPEX LAP 2023'!J47*'2.1 OPEX TUUA'!$H$8)</f>
        <v>106536.83558717144</v>
      </c>
      <c r="I46" s="3">
        <f>+IF(F46="Pasajero",'2.2 OPEX LAP 2023'!K47*'2.1 OPEX TUUA'!$I$7,'2.2 OPEX LAP 2023'!K47*'2.1 OPEX TUUA'!$I$8)</f>
        <v>119764.35335725211</v>
      </c>
      <c r="J46" s="3">
        <f>+IF(F46="Pasajero",'2.2 OPEX LAP 2023'!L47*'2.1 OPEX TUUA'!$J$7,'2.2 OPEX LAP 2023'!L47*'2.1 OPEX TUUA'!$J$8)</f>
        <v>126892.28384227672</v>
      </c>
      <c r="K46" s="3">
        <f>+IF(F46="Pasajero",'2.2 OPEX LAP 2023'!M47*'2.1 OPEX TUUA'!$K$7,'2.2 OPEX LAP 2023'!M47*'2.1 OPEX TUUA'!$K$8)</f>
        <v>132100.23935960489</v>
      </c>
      <c r="L46" s="3">
        <f>+IF(F46="Pasajero",'2.2 OPEX LAP 2023'!N47*'2.1 OPEX TUUA'!$L$7,'2.2 OPEX LAP 2023'!N47*'2.1 OPEX TUUA'!$L$8)</f>
        <v>137886.37865880944</v>
      </c>
      <c r="M46" s="3"/>
      <c r="N46" s="3">
        <f>+IF(F46="Pasajero",'2.2 OPEX LAP 2023'!I47*'2.1 OPEX TUUA'!$N$7,'2.2 OPEX LAP 2023'!I47*'2.1 OPEX TUUA'!$N$8)</f>
        <v>44795.886262724547</v>
      </c>
      <c r="O46" s="3">
        <f>+IF(F46="Pasajero",'2.2 OPEX LAP 2023'!J47*'2.1 OPEX TUUA'!$O$7,'2.2 OPEX LAP 2023'!J47*'2.1 OPEX TUUA'!$O$8)</f>
        <v>44123.639495963922</v>
      </c>
      <c r="P46" s="3">
        <f>+IF(F46="Pasajero",'2.2 OPEX LAP 2023'!K47*'2.1 OPEX TUUA'!$P$7,'2.2 OPEX LAP 2023'!K47*'2.1 OPEX TUUA'!$P$8)</f>
        <v>43849.164164663212</v>
      </c>
      <c r="Q46" s="3">
        <f>+IF(F46="Pasajero",'2.2 OPEX LAP 2023'!L47*'2.1 OPEX TUUA'!$Q$7,'2.2 OPEX LAP 2023'!L47*'2.1 OPEX TUUA'!$Q$8)</f>
        <v>43563.504241795854</v>
      </c>
      <c r="R46" s="3">
        <f>+IF(F46="Pasajero",'2.2 OPEX LAP 2023'!M47*'2.1 OPEX TUUA'!$R$7,'2.2 OPEX LAP 2023'!M47*'2.1 OPEX TUUA'!$R$8)</f>
        <v>43797.24895021697</v>
      </c>
      <c r="S46" s="3">
        <f>+IF(F46="Pasajero",'2.2 OPEX LAP 2023'!N47*'2.1 OPEX TUUA'!$S$7,'2.2 OPEX LAP 2023'!N47*'2.1 OPEX TUUA'!$S$8)</f>
        <v>43825.205452277813</v>
      </c>
      <c r="U46" s="1">
        <v>92539.969464096735</v>
      </c>
      <c r="V46" s="1">
        <v>108549.85458422775</v>
      </c>
      <c r="W46" s="1">
        <v>122027.3069840383</v>
      </c>
      <c r="X46" s="1">
        <v>129289.920082799</v>
      </c>
      <c r="Y46" s="1">
        <v>134596.28018793405</v>
      </c>
      <c r="Z46" s="1">
        <v>140491.74888729129</v>
      </c>
      <c r="AA46" s="7">
        <f t="shared" si="3"/>
        <v>-1716.1212903670239</v>
      </c>
      <c r="AB46" s="7">
        <f t="shared" si="4"/>
        <v>-2013.0189970563079</v>
      </c>
      <c r="AC46" s="7">
        <f t="shared" si="5"/>
        <v>-2262.953626786184</v>
      </c>
      <c r="AD46" s="7">
        <f t="shared" si="6"/>
        <v>-2397.6362405222753</v>
      </c>
      <c r="AE46" s="7">
        <f t="shared" si="7"/>
        <v>-2496.0408283291617</v>
      </c>
      <c r="AF46" s="7">
        <f t="shared" si="8"/>
        <v>-2605.3702284818573</v>
      </c>
    </row>
    <row r="47" spans="2:32" x14ac:dyDescent="0.25">
      <c r="B47" s="17">
        <v>6329000003</v>
      </c>
      <c r="C47" s="193" t="s">
        <v>13</v>
      </c>
      <c r="D47" s="193" t="s">
        <v>40</v>
      </c>
      <c r="E47" s="193" t="s">
        <v>51</v>
      </c>
      <c r="F47" s="163" t="s">
        <v>190</v>
      </c>
      <c r="G47" s="3">
        <f>+IF(F47="Pasajero",'2.2 OPEX LAP 2023'!I48*'2.1 OPEX TUUA'!$G$7,'2.2 OPEX LAP 2023'!I48*'2.1 OPEX TUUA'!$G$8)</f>
        <v>0</v>
      </c>
      <c r="H47" s="3">
        <f>+IF(F47="Pasajero",'2.2 OPEX LAP 2023'!J48*'2.1 OPEX TUUA'!$H$7,'2.2 OPEX LAP 2023'!J48*'2.1 OPEX TUUA'!$H$8)</f>
        <v>0</v>
      </c>
      <c r="I47" s="3">
        <f>+IF(F47="Pasajero",'2.2 OPEX LAP 2023'!K48*'2.1 OPEX TUUA'!$I$7,'2.2 OPEX LAP 2023'!K48*'2.1 OPEX TUUA'!$I$8)</f>
        <v>0</v>
      </c>
      <c r="J47" s="3">
        <f>+IF(F47="Pasajero",'2.2 OPEX LAP 2023'!L48*'2.1 OPEX TUUA'!$J$7,'2.2 OPEX LAP 2023'!L48*'2.1 OPEX TUUA'!$J$8)</f>
        <v>0</v>
      </c>
      <c r="K47" s="3">
        <f>+IF(F47="Pasajero",'2.2 OPEX LAP 2023'!M48*'2.1 OPEX TUUA'!$K$7,'2.2 OPEX LAP 2023'!M48*'2.1 OPEX TUUA'!$K$8)</f>
        <v>0</v>
      </c>
      <c r="L47" s="3">
        <f>+IF(F47="Pasajero",'2.2 OPEX LAP 2023'!N48*'2.1 OPEX TUUA'!$L$7,'2.2 OPEX LAP 2023'!N48*'2.1 OPEX TUUA'!$L$8)</f>
        <v>0</v>
      </c>
      <c r="M47" s="3"/>
      <c r="N47" s="3">
        <f>+IF(F47="Pasajero",'2.2 OPEX LAP 2023'!I48*'2.1 OPEX TUUA'!$N$7,'2.2 OPEX LAP 2023'!I48*'2.1 OPEX TUUA'!$N$8)</f>
        <v>0</v>
      </c>
      <c r="O47" s="3">
        <f>+IF(F47="Pasajero",'2.2 OPEX LAP 2023'!J48*'2.1 OPEX TUUA'!$O$7,'2.2 OPEX LAP 2023'!J48*'2.1 OPEX TUUA'!$O$8)</f>
        <v>0</v>
      </c>
      <c r="P47" s="3">
        <f>+IF(F47="Pasajero",'2.2 OPEX LAP 2023'!K48*'2.1 OPEX TUUA'!$P$7,'2.2 OPEX LAP 2023'!K48*'2.1 OPEX TUUA'!$P$8)</f>
        <v>0</v>
      </c>
      <c r="Q47" s="3">
        <f>+IF(F47="Pasajero",'2.2 OPEX LAP 2023'!L48*'2.1 OPEX TUUA'!$Q$7,'2.2 OPEX LAP 2023'!L48*'2.1 OPEX TUUA'!$Q$8)</f>
        <v>0</v>
      </c>
      <c r="R47" s="3">
        <f>+IF(F47="Pasajero",'2.2 OPEX LAP 2023'!M48*'2.1 OPEX TUUA'!$R$7,'2.2 OPEX LAP 2023'!M48*'2.1 OPEX TUUA'!$R$8)</f>
        <v>0</v>
      </c>
      <c r="S47" s="3">
        <f>+IF(F47="Pasajero",'2.2 OPEX LAP 2023'!N48*'2.1 OPEX TUUA'!$S$7,'2.2 OPEX LAP 2023'!N48*'2.1 OPEX TUUA'!$S$8)</f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7">
        <f t="shared" si="3"/>
        <v>0</v>
      </c>
      <c r="AB47" s="7">
        <f t="shared" si="4"/>
        <v>0</v>
      </c>
      <c r="AC47" s="7">
        <f t="shared" si="5"/>
        <v>0</v>
      </c>
      <c r="AD47" s="7">
        <f t="shared" si="6"/>
        <v>0</v>
      </c>
      <c r="AE47" s="7">
        <f t="shared" si="7"/>
        <v>0</v>
      </c>
      <c r="AF47" s="7">
        <f t="shared" si="8"/>
        <v>0</v>
      </c>
    </row>
    <row r="48" spans="2:32" x14ac:dyDescent="0.25">
      <c r="B48" s="17">
        <v>6341100001</v>
      </c>
      <c r="C48" s="193" t="s">
        <v>13</v>
      </c>
      <c r="D48" s="193" t="s">
        <v>52</v>
      </c>
      <c r="E48" s="193" t="s">
        <v>53</v>
      </c>
      <c r="F48" s="163" t="s">
        <v>190</v>
      </c>
      <c r="G48" s="3">
        <f>+IF(F48="Pasajero",'2.2 OPEX LAP 2023'!I49*'2.1 OPEX TUUA'!$G$7,'2.2 OPEX LAP 2023'!I49*'2.1 OPEX TUUA'!$G$8)</f>
        <v>232.74689663465921</v>
      </c>
      <c r="H48" s="3">
        <f>+IF(F48="Pasajero",'2.2 OPEX LAP 2023'!J49*'2.1 OPEX TUUA'!$H$7,'2.2 OPEX LAP 2023'!J49*'2.1 OPEX TUUA'!$H$8)</f>
        <v>273.01329286070938</v>
      </c>
      <c r="I48" s="3">
        <f>+IF(F48="Pasajero",'2.2 OPEX LAP 2023'!K49*'2.1 OPEX TUUA'!$I$7,'2.2 OPEX LAP 2023'!K49*'2.1 OPEX TUUA'!$I$8)</f>
        <v>306.91037796634322</v>
      </c>
      <c r="J48" s="3">
        <f>+IF(F48="Pasajero",'2.2 OPEX LAP 2023'!L49*'2.1 OPEX TUUA'!$J$7,'2.2 OPEX LAP 2023'!L49*'2.1 OPEX TUUA'!$J$8)</f>
        <v>325.17654630402126</v>
      </c>
      <c r="K48" s="3">
        <f>+IF(F48="Pasajero",'2.2 OPEX LAP 2023'!M49*'2.1 OPEX TUUA'!$K$7,'2.2 OPEX LAP 2023'!M49*'2.1 OPEX TUUA'!$K$8)</f>
        <v>338.52255078239227</v>
      </c>
      <c r="L48" s="3">
        <f>+IF(F48="Pasajero",'2.2 OPEX LAP 2023'!N49*'2.1 OPEX TUUA'!$L$7,'2.2 OPEX LAP 2023'!N49*'2.1 OPEX TUUA'!$L$8)</f>
        <v>353.35021986342144</v>
      </c>
      <c r="M48" s="3"/>
      <c r="N48" s="3">
        <f>+IF(F48="Pasajero",'2.2 OPEX LAP 2023'!I49*'2.1 OPEX TUUA'!$N$7,'2.2 OPEX LAP 2023'!I49*'2.1 OPEX TUUA'!$N$8)</f>
        <v>114.79477823605356</v>
      </c>
      <c r="O48" s="3">
        <f>+IF(F48="Pasajero",'2.2 OPEX LAP 2023'!J49*'2.1 OPEX TUUA'!$O$7,'2.2 OPEX LAP 2023'!J49*'2.1 OPEX TUUA'!$O$8)</f>
        <v>113.07206606427977</v>
      </c>
      <c r="P48" s="3">
        <f>+IF(F48="Pasajero",'2.2 OPEX LAP 2023'!K49*'2.1 OPEX TUUA'!$P$7,'2.2 OPEX LAP 2023'!K49*'2.1 OPEX TUUA'!$P$8)</f>
        <v>112.36869043279572</v>
      </c>
      <c r="Q48" s="3">
        <f>+IF(F48="Pasajero",'2.2 OPEX LAP 2023'!L49*'2.1 OPEX TUUA'!$Q$7,'2.2 OPEX LAP 2023'!L49*'2.1 OPEX TUUA'!$Q$8)</f>
        <v>111.63665295720783</v>
      </c>
      <c r="R48" s="3">
        <f>+IF(F48="Pasajero",'2.2 OPEX LAP 2023'!M49*'2.1 OPEX TUUA'!$R$7,'2.2 OPEX LAP 2023'!M49*'2.1 OPEX TUUA'!$R$8)</f>
        <v>112.23565153064115</v>
      </c>
      <c r="S48" s="3">
        <f>+IF(F48="Pasajero",'2.2 OPEX LAP 2023'!N49*'2.1 OPEX TUUA'!$S$7,'2.2 OPEX LAP 2023'!N49*'2.1 OPEX TUUA'!$S$8)</f>
        <v>112.30729338711672</v>
      </c>
      <c r="U48" s="1">
        <v>237.14466123738299</v>
      </c>
      <c r="V48" s="1">
        <v>278.17189309459582</v>
      </c>
      <c r="W48" s="1">
        <v>312.70946536963356</v>
      </c>
      <c r="X48" s="1">
        <v>331.32077389910086</v>
      </c>
      <c r="Y48" s="1">
        <v>344.91895181965913</v>
      </c>
      <c r="Z48" s="1">
        <v>360.02679047187627</v>
      </c>
      <c r="AA48" s="7">
        <f t="shared" si="3"/>
        <v>-4.3977646027237824</v>
      </c>
      <c r="AB48" s="7">
        <f t="shared" si="4"/>
        <v>-5.1586002338864319</v>
      </c>
      <c r="AC48" s="7">
        <f t="shared" si="5"/>
        <v>-5.7990874032903434</v>
      </c>
      <c r="AD48" s="7">
        <f t="shared" si="6"/>
        <v>-6.1442275950795988</v>
      </c>
      <c r="AE48" s="7">
        <f t="shared" si="7"/>
        <v>-6.3964010372668554</v>
      </c>
      <c r="AF48" s="7">
        <f t="shared" si="8"/>
        <v>-6.6765706084548242</v>
      </c>
    </row>
    <row r="49" spans="2:32" x14ac:dyDescent="0.25">
      <c r="B49" s="17">
        <v>6341100002</v>
      </c>
      <c r="C49" s="193" t="s">
        <v>13</v>
      </c>
      <c r="D49" s="193" t="s">
        <v>52</v>
      </c>
      <c r="E49" s="193" t="s">
        <v>54</v>
      </c>
      <c r="F49" s="163" t="s">
        <v>190</v>
      </c>
      <c r="G49" s="3">
        <f>+IF(F49="Pasajero",'2.2 OPEX LAP 2023'!I50*'2.1 OPEX TUUA'!$G$7,'2.2 OPEX LAP 2023'!I50*'2.1 OPEX TUUA'!$G$8)</f>
        <v>531.22348325474695</v>
      </c>
      <c r="H49" s="3">
        <f>+IF(F49="Pasajero",'2.2 OPEX LAP 2023'!J50*'2.1 OPEX TUUA'!$H$7,'2.2 OPEX LAP 2023'!J50*'2.1 OPEX TUUA'!$H$8)</f>
        <v>623.12784619409297</v>
      </c>
      <c r="I49" s="3">
        <f>+IF(F49="Pasajero",'2.2 OPEX LAP 2023'!K50*'2.1 OPEX TUUA'!$I$7,'2.2 OPEX LAP 2023'!K50*'2.1 OPEX TUUA'!$I$8)</f>
        <v>700.49483962070235</v>
      </c>
      <c r="J49" s="3">
        <f>+IF(F49="Pasajero",'2.2 OPEX LAP 2023'!L50*'2.1 OPEX TUUA'!$J$7,'2.2 OPEX LAP 2023'!L50*'2.1 OPEX TUUA'!$J$8)</f>
        <v>742.18569655741283</v>
      </c>
      <c r="K49" s="3">
        <f>+IF(F49="Pasajero",'2.2 OPEX LAP 2023'!M50*'2.1 OPEX TUUA'!$K$7,'2.2 OPEX LAP 2023'!M50*'2.1 OPEX TUUA'!$K$8)</f>
        <v>772.64672993334796</v>
      </c>
      <c r="L49" s="3">
        <f>+IF(F49="Pasajero",'2.2 OPEX LAP 2023'!N50*'2.1 OPEX TUUA'!$L$7,'2.2 OPEX LAP 2023'!N50*'2.1 OPEX TUUA'!$L$8)</f>
        <v>806.48952711632057</v>
      </c>
      <c r="M49" s="3"/>
      <c r="N49" s="3">
        <f>+IF(F49="Pasajero",'2.2 OPEX LAP 2023'!I50*'2.1 OPEX TUUA'!$N$7,'2.2 OPEX LAP 2023'!I50*'2.1 OPEX TUUA'!$N$8)</f>
        <v>262.00857169638232</v>
      </c>
      <c r="O49" s="3">
        <f>+IF(F49="Pasajero",'2.2 OPEX LAP 2023'!J50*'2.1 OPEX TUUA'!$O$7,'2.2 OPEX LAP 2023'!J50*'2.1 OPEX TUUA'!$O$8)</f>
        <v>258.07663888109101</v>
      </c>
      <c r="P49" s="3">
        <f>+IF(F49="Pasajero",'2.2 OPEX LAP 2023'!K50*'2.1 OPEX TUUA'!$P$7,'2.2 OPEX LAP 2023'!K50*'2.1 OPEX TUUA'!$P$8)</f>
        <v>256.47124839728156</v>
      </c>
      <c r="Q49" s="3">
        <f>+IF(F49="Pasajero",'2.2 OPEX LAP 2023'!L50*'2.1 OPEX TUUA'!$Q$7,'2.2 OPEX LAP 2023'!L50*'2.1 OPEX TUUA'!$Q$8)</f>
        <v>254.80043987833827</v>
      </c>
      <c r="R49" s="3">
        <f>+IF(F49="Pasajero",'2.2 OPEX LAP 2023'!M50*'2.1 OPEX TUUA'!$R$7,'2.2 OPEX LAP 2023'!M50*'2.1 OPEX TUUA'!$R$8)</f>
        <v>256.16759928301701</v>
      </c>
      <c r="S49" s="3">
        <f>+IF(F49="Pasajero",'2.2 OPEX LAP 2023'!N50*'2.1 OPEX TUUA'!$S$7,'2.2 OPEX LAP 2023'!N50*'2.1 OPEX TUUA'!$S$8)</f>
        <v>256.33111526150731</v>
      </c>
      <c r="U49" s="1">
        <v>541.26097833877589</v>
      </c>
      <c r="V49" s="1">
        <v>634.90187895065196</v>
      </c>
      <c r="W49" s="1">
        <v>713.73072570390218</v>
      </c>
      <c r="X49" s="1">
        <v>756.20933353028943</v>
      </c>
      <c r="Y49" s="1">
        <v>787.2459297011751</v>
      </c>
      <c r="Z49" s="1">
        <v>821.72818828045581</v>
      </c>
      <c r="AA49" s="7">
        <f t="shared" si="3"/>
        <v>-10.037495084028933</v>
      </c>
      <c r="AB49" s="7">
        <f t="shared" si="4"/>
        <v>-11.774032756558995</v>
      </c>
      <c r="AC49" s="7">
        <f t="shared" si="5"/>
        <v>-13.23588608319983</v>
      </c>
      <c r="AD49" s="7">
        <f t="shared" si="6"/>
        <v>-14.023636972876602</v>
      </c>
      <c r="AE49" s="7">
        <f t="shared" si="7"/>
        <v>-14.599199767827145</v>
      </c>
      <c r="AF49" s="7">
        <f t="shared" si="8"/>
        <v>-15.238661164135237</v>
      </c>
    </row>
    <row r="50" spans="2:32" x14ac:dyDescent="0.25">
      <c r="B50" s="17">
        <v>6341100003</v>
      </c>
      <c r="C50" s="193" t="s">
        <v>13</v>
      </c>
      <c r="D50" s="193" t="s">
        <v>52</v>
      </c>
      <c r="E50" s="193" t="s">
        <v>55</v>
      </c>
      <c r="F50" s="163" t="s">
        <v>190</v>
      </c>
      <c r="G50" s="3">
        <f>+IF(F50="Pasajero",'2.2 OPEX LAP 2023'!I51*'2.1 OPEX TUUA'!$G$7,'2.2 OPEX LAP 2023'!I51*'2.1 OPEX TUUA'!$G$8)</f>
        <v>4471.2933594080741</v>
      </c>
      <c r="H50" s="3">
        <f>+IF(F50="Pasajero",'2.2 OPEX LAP 2023'!J51*'2.1 OPEX TUUA'!$H$7,'2.2 OPEX LAP 2023'!J51*'2.1 OPEX TUUA'!$H$8)</f>
        <v>5244.8498392413767</v>
      </c>
      <c r="I50" s="3">
        <f>+IF(F50="Pasajero",'2.2 OPEX LAP 2023'!K51*'2.1 OPEX TUUA'!$I$7,'2.2 OPEX LAP 2023'!K51*'2.1 OPEX TUUA'!$I$8)</f>
        <v>5896.0456821402813</v>
      </c>
      <c r="J50" s="3">
        <f>+IF(F50="Pasajero",'2.2 OPEX LAP 2023'!L51*'2.1 OPEX TUUA'!$J$7,'2.2 OPEX LAP 2023'!L51*'2.1 OPEX TUUA'!$J$8)</f>
        <v>6246.9564713753871</v>
      </c>
      <c r="K50" s="3">
        <f>+IF(F50="Pasajero",'2.2 OPEX LAP 2023'!M51*'2.1 OPEX TUUA'!$K$7,'2.2 OPEX LAP 2023'!M51*'2.1 OPEX TUUA'!$K$8)</f>
        <v>6503.3461464327529</v>
      </c>
      <c r="L50" s="3">
        <f>+IF(F50="Pasajero",'2.2 OPEX LAP 2023'!N51*'2.1 OPEX TUUA'!$L$7,'2.2 OPEX LAP 2023'!N51*'2.1 OPEX TUUA'!$L$8)</f>
        <v>6788.2000338793168</v>
      </c>
      <c r="M50" s="3"/>
      <c r="N50" s="3">
        <f>+IF(F50="Pasajero",'2.2 OPEX LAP 2023'!I51*'2.1 OPEX TUUA'!$N$7,'2.2 OPEX LAP 2023'!I51*'2.1 OPEX TUUA'!$N$8)</f>
        <v>2205.318898095908</v>
      </c>
      <c r="O50" s="3">
        <f>+IF(F50="Pasajero",'2.2 OPEX LAP 2023'!J51*'2.1 OPEX TUUA'!$O$7,'2.2 OPEX LAP 2023'!J51*'2.1 OPEX TUUA'!$O$8)</f>
        <v>2172.2239283876133</v>
      </c>
      <c r="P50" s="3">
        <f>+IF(F50="Pasajero",'2.2 OPEX LAP 2023'!K51*'2.1 OPEX TUUA'!$P$7,'2.2 OPEX LAP 2023'!K51*'2.1 OPEX TUUA'!$P$8)</f>
        <v>2158.711401107128</v>
      </c>
      <c r="Q50" s="3">
        <f>+IF(F50="Pasajero",'2.2 OPEX LAP 2023'!L51*'2.1 OPEX TUUA'!$Q$7,'2.2 OPEX LAP 2023'!L51*'2.1 OPEX TUUA'!$Q$8)</f>
        <v>2144.6482520350619</v>
      </c>
      <c r="R50" s="3">
        <f>+IF(F50="Pasajero",'2.2 OPEX LAP 2023'!M51*'2.1 OPEX TUUA'!$R$7,'2.2 OPEX LAP 2023'!M51*'2.1 OPEX TUUA'!$R$8)</f>
        <v>2156.1555949144449</v>
      </c>
      <c r="S50" s="3">
        <f>+IF(F50="Pasajero",'2.2 OPEX LAP 2023'!N51*'2.1 OPEX TUUA'!$S$7,'2.2 OPEX LAP 2023'!N51*'2.1 OPEX TUUA'!$S$8)</f>
        <v>2157.5319043808508</v>
      </c>
      <c r="U50" s="1">
        <v>4555.7786777892034</v>
      </c>
      <c r="V50" s="1">
        <v>5343.9515471615623</v>
      </c>
      <c r="W50" s="1">
        <v>6007.4517690607881</v>
      </c>
      <c r="X50" s="1">
        <v>6364.9930357369503</v>
      </c>
      <c r="Y50" s="1">
        <v>6626.2272069133815</v>
      </c>
      <c r="Z50" s="1">
        <v>6916.4634232385424</v>
      </c>
      <c r="AA50" s="7">
        <f t="shared" si="3"/>
        <v>-84.485318381129218</v>
      </c>
      <c r="AB50" s="7">
        <f t="shared" si="4"/>
        <v>-99.101707920185618</v>
      </c>
      <c r="AC50" s="7">
        <f t="shared" si="5"/>
        <v>-111.40608692050682</v>
      </c>
      <c r="AD50" s="7">
        <f t="shared" si="6"/>
        <v>-118.03656436156325</v>
      </c>
      <c r="AE50" s="7">
        <f t="shared" si="7"/>
        <v>-122.88106048062855</v>
      </c>
      <c r="AF50" s="7">
        <f t="shared" si="8"/>
        <v>-128.26338935922558</v>
      </c>
    </row>
    <row r="51" spans="2:32" x14ac:dyDescent="0.25">
      <c r="B51" s="17">
        <v>6341100004</v>
      </c>
      <c r="C51" s="193" t="s">
        <v>13</v>
      </c>
      <c r="D51" s="193" t="s">
        <v>52</v>
      </c>
      <c r="E51" s="193" t="s">
        <v>56</v>
      </c>
      <c r="F51" s="163" t="s">
        <v>190</v>
      </c>
      <c r="G51" s="3">
        <f>+IF(F51="Pasajero",'2.2 OPEX LAP 2023'!I52*'2.1 OPEX TUUA'!$G$7,'2.2 OPEX LAP 2023'!I52*'2.1 OPEX TUUA'!$G$8)</f>
        <v>148.42959492251305</v>
      </c>
      <c r="H51" s="3">
        <f>+IF(F51="Pasajero",'2.2 OPEX LAP 2023'!J52*'2.1 OPEX TUUA'!$H$7,'2.2 OPEX LAP 2023'!J52*'2.1 OPEX TUUA'!$H$8)</f>
        <v>174.10866934731041</v>
      </c>
      <c r="I51" s="3">
        <f>+IF(F51="Pasajero",'2.2 OPEX LAP 2023'!K52*'2.1 OPEX TUUA'!$I$7,'2.2 OPEX LAP 2023'!K52*'2.1 OPEX TUUA'!$I$8)</f>
        <v>195.72584527546391</v>
      </c>
      <c r="J51" s="3">
        <f>+IF(F51="Pasajero",'2.2 OPEX LAP 2023'!L52*'2.1 OPEX TUUA'!$J$7,'2.2 OPEX LAP 2023'!L52*'2.1 OPEX TUUA'!$J$8)</f>
        <v>207.37472225878966</v>
      </c>
      <c r="K51" s="3">
        <f>+IF(F51="Pasajero",'2.2 OPEX LAP 2023'!M52*'2.1 OPEX TUUA'!$K$7,'2.2 OPEX LAP 2023'!M52*'2.1 OPEX TUUA'!$K$8)</f>
        <v>215.88586490860175</v>
      </c>
      <c r="L51" s="3">
        <f>+IF(F51="Pasajero",'2.2 OPEX LAP 2023'!N52*'2.1 OPEX TUUA'!$L$7,'2.2 OPEX LAP 2023'!N52*'2.1 OPEX TUUA'!$L$8)</f>
        <v>225.34190899410854</v>
      </c>
      <c r="M51" s="3"/>
      <c r="N51" s="3">
        <f>+IF(F51="Pasajero",'2.2 OPEX LAP 2023'!I52*'2.1 OPEX TUUA'!$N$7,'2.2 OPEX LAP 2023'!I52*'2.1 OPEX TUUA'!$N$8)</f>
        <v>73.208032756471198</v>
      </c>
      <c r="O51" s="3">
        <f>+IF(F51="Pasajero",'2.2 OPEX LAP 2023'!J52*'2.1 OPEX TUUA'!$O$7,'2.2 OPEX LAP 2023'!J52*'2.1 OPEX TUUA'!$O$8)</f>
        <v>72.109408140969492</v>
      </c>
      <c r="P51" s="3">
        <f>+IF(F51="Pasajero",'2.2 OPEX LAP 2023'!K52*'2.1 OPEX TUUA'!$P$7,'2.2 OPEX LAP 2023'!K52*'2.1 OPEX TUUA'!$P$8)</f>
        <v>71.660844651749599</v>
      </c>
      <c r="Q51" s="3">
        <f>+IF(F51="Pasajero",'2.2 OPEX LAP 2023'!L52*'2.1 OPEX TUUA'!$Q$7,'2.2 OPEX LAP 2023'!L52*'2.1 OPEX TUUA'!$Q$8)</f>
        <v>71.194002654968145</v>
      </c>
      <c r="R51" s="3">
        <f>+IF(F51="Pasajero",'2.2 OPEX LAP 2023'!M52*'2.1 OPEX TUUA'!$R$7,'2.2 OPEX LAP 2023'!M52*'2.1 OPEX TUUA'!$R$8)</f>
        <v>71.576001800389321</v>
      </c>
      <c r="S51" s="3">
        <f>+IF(F51="Pasajero",'2.2 OPEX LAP 2023'!N52*'2.1 OPEX TUUA'!$S$7,'2.2 OPEX LAP 2023'!N52*'2.1 OPEX TUUA'!$S$8)</f>
        <v>71.621689935827092</v>
      </c>
      <c r="U51" s="1">
        <v>151.23417976547012</v>
      </c>
      <c r="V51" s="1">
        <v>177.39846162447594</v>
      </c>
      <c r="W51" s="1">
        <v>199.42409520548017</v>
      </c>
      <c r="X51" s="1">
        <v>211.2930783195406</v>
      </c>
      <c r="Y51" s="1">
        <v>219.96503944820367</v>
      </c>
      <c r="Z51" s="1">
        <v>229.59975597386898</v>
      </c>
      <c r="AA51" s="7">
        <f t="shared" si="3"/>
        <v>-2.8045848429570697</v>
      </c>
      <c r="AB51" s="7">
        <f t="shared" si="4"/>
        <v>-3.2897922771655317</v>
      </c>
      <c r="AC51" s="7">
        <f t="shared" si="5"/>
        <v>-3.6982499300162601</v>
      </c>
      <c r="AD51" s="7">
        <f t="shared" si="6"/>
        <v>-3.9183560607509378</v>
      </c>
      <c r="AE51" s="7">
        <f t="shared" si="7"/>
        <v>-4.0791745396019223</v>
      </c>
      <c r="AF51" s="7">
        <f t="shared" si="8"/>
        <v>-4.2578469797604441</v>
      </c>
    </row>
    <row r="52" spans="2:32" x14ac:dyDescent="0.25">
      <c r="B52" s="17">
        <v>6341100005</v>
      </c>
      <c r="C52" s="193" t="s">
        <v>13</v>
      </c>
      <c r="D52" s="193" t="s">
        <v>52</v>
      </c>
      <c r="E52" s="193" t="s">
        <v>57</v>
      </c>
      <c r="F52" s="163" t="s">
        <v>190</v>
      </c>
      <c r="G52" s="3">
        <f>+IF(F52="Pasajero",'2.2 OPEX LAP 2023'!I53*'2.1 OPEX TUUA'!$G$7,'2.2 OPEX LAP 2023'!I53*'2.1 OPEX TUUA'!$G$8)</f>
        <v>0</v>
      </c>
      <c r="H52" s="3">
        <f>+IF(F52="Pasajero",'2.2 OPEX LAP 2023'!J53*'2.1 OPEX TUUA'!$H$7,'2.2 OPEX LAP 2023'!J53*'2.1 OPEX TUUA'!$H$8)</f>
        <v>0</v>
      </c>
      <c r="I52" s="3">
        <f>+IF(F52="Pasajero",'2.2 OPEX LAP 2023'!K53*'2.1 OPEX TUUA'!$I$7,'2.2 OPEX LAP 2023'!K53*'2.1 OPEX TUUA'!$I$8)</f>
        <v>0</v>
      </c>
      <c r="J52" s="3">
        <f>+IF(F52="Pasajero",'2.2 OPEX LAP 2023'!L53*'2.1 OPEX TUUA'!$J$7,'2.2 OPEX LAP 2023'!L53*'2.1 OPEX TUUA'!$J$8)</f>
        <v>0</v>
      </c>
      <c r="K52" s="3">
        <f>+IF(F52="Pasajero",'2.2 OPEX LAP 2023'!M53*'2.1 OPEX TUUA'!$K$7,'2.2 OPEX LAP 2023'!M53*'2.1 OPEX TUUA'!$K$8)</f>
        <v>0</v>
      </c>
      <c r="L52" s="3">
        <f>+IF(F52="Pasajero",'2.2 OPEX LAP 2023'!N53*'2.1 OPEX TUUA'!$L$7,'2.2 OPEX LAP 2023'!N53*'2.1 OPEX TUUA'!$L$8)</f>
        <v>0</v>
      </c>
      <c r="M52" s="3"/>
      <c r="N52" s="3">
        <f>+IF(F52="Pasajero",'2.2 OPEX LAP 2023'!I53*'2.1 OPEX TUUA'!$N$7,'2.2 OPEX LAP 2023'!I53*'2.1 OPEX TUUA'!$N$8)</f>
        <v>0</v>
      </c>
      <c r="O52" s="3">
        <f>+IF(F52="Pasajero",'2.2 OPEX LAP 2023'!J53*'2.1 OPEX TUUA'!$O$7,'2.2 OPEX LAP 2023'!J53*'2.1 OPEX TUUA'!$O$8)</f>
        <v>0</v>
      </c>
      <c r="P52" s="3">
        <f>+IF(F52="Pasajero",'2.2 OPEX LAP 2023'!K53*'2.1 OPEX TUUA'!$P$7,'2.2 OPEX LAP 2023'!K53*'2.1 OPEX TUUA'!$P$8)</f>
        <v>0</v>
      </c>
      <c r="Q52" s="3">
        <f>+IF(F52="Pasajero",'2.2 OPEX LAP 2023'!L53*'2.1 OPEX TUUA'!$Q$7,'2.2 OPEX LAP 2023'!L53*'2.1 OPEX TUUA'!$Q$8)</f>
        <v>0</v>
      </c>
      <c r="R52" s="3">
        <f>+IF(F52="Pasajero",'2.2 OPEX LAP 2023'!M53*'2.1 OPEX TUUA'!$R$7,'2.2 OPEX LAP 2023'!M53*'2.1 OPEX TUUA'!$R$8)</f>
        <v>0</v>
      </c>
      <c r="S52" s="3">
        <f>+IF(F52="Pasajero",'2.2 OPEX LAP 2023'!N53*'2.1 OPEX TUUA'!$S$7,'2.2 OPEX LAP 2023'!N53*'2.1 OPEX TUUA'!$S$8)</f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7">
        <f t="shared" si="3"/>
        <v>0</v>
      </c>
      <c r="AB52" s="7">
        <f t="shared" si="4"/>
        <v>0</v>
      </c>
      <c r="AC52" s="7">
        <f t="shared" si="5"/>
        <v>0</v>
      </c>
      <c r="AD52" s="7">
        <f t="shared" si="6"/>
        <v>0</v>
      </c>
      <c r="AE52" s="7">
        <f t="shared" si="7"/>
        <v>0</v>
      </c>
      <c r="AF52" s="7">
        <f t="shared" si="8"/>
        <v>0</v>
      </c>
    </row>
    <row r="53" spans="2:32" x14ac:dyDescent="0.25">
      <c r="B53" s="17">
        <v>6341100007</v>
      </c>
      <c r="C53" s="193" t="s">
        <v>13</v>
      </c>
      <c r="D53" s="193" t="s">
        <v>52</v>
      </c>
      <c r="E53" s="193" t="s">
        <v>58</v>
      </c>
      <c r="F53" s="163" t="s">
        <v>190</v>
      </c>
      <c r="G53" s="3">
        <f>+IF(F53="Pasajero",'2.2 OPEX LAP 2023'!I54*'2.1 OPEX TUUA'!$G$7,'2.2 OPEX LAP 2023'!I54*'2.1 OPEX TUUA'!$G$8)</f>
        <v>0</v>
      </c>
      <c r="H53" s="3">
        <f>+IF(F53="Pasajero",'2.2 OPEX LAP 2023'!J54*'2.1 OPEX TUUA'!$H$7,'2.2 OPEX LAP 2023'!J54*'2.1 OPEX TUUA'!$H$8)</f>
        <v>0</v>
      </c>
      <c r="I53" s="3">
        <f>+IF(F53="Pasajero",'2.2 OPEX LAP 2023'!K54*'2.1 OPEX TUUA'!$I$7,'2.2 OPEX LAP 2023'!K54*'2.1 OPEX TUUA'!$I$8)</f>
        <v>0</v>
      </c>
      <c r="J53" s="3">
        <f>+IF(F53="Pasajero",'2.2 OPEX LAP 2023'!L54*'2.1 OPEX TUUA'!$J$7,'2.2 OPEX LAP 2023'!L54*'2.1 OPEX TUUA'!$J$8)</f>
        <v>0</v>
      </c>
      <c r="K53" s="3">
        <f>+IF(F53="Pasajero",'2.2 OPEX LAP 2023'!M54*'2.1 OPEX TUUA'!$K$7,'2.2 OPEX LAP 2023'!M54*'2.1 OPEX TUUA'!$K$8)</f>
        <v>0</v>
      </c>
      <c r="L53" s="3">
        <f>+IF(F53="Pasajero",'2.2 OPEX LAP 2023'!N54*'2.1 OPEX TUUA'!$L$7,'2.2 OPEX LAP 2023'!N54*'2.1 OPEX TUUA'!$L$8)</f>
        <v>0</v>
      </c>
      <c r="M53" s="3"/>
      <c r="N53" s="3">
        <f>+IF(F53="Pasajero",'2.2 OPEX LAP 2023'!I54*'2.1 OPEX TUUA'!$N$7,'2.2 OPEX LAP 2023'!I54*'2.1 OPEX TUUA'!$N$8)</f>
        <v>0</v>
      </c>
      <c r="O53" s="3">
        <f>+IF(F53="Pasajero",'2.2 OPEX LAP 2023'!J54*'2.1 OPEX TUUA'!$O$7,'2.2 OPEX LAP 2023'!J54*'2.1 OPEX TUUA'!$O$8)</f>
        <v>0</v>
      </c>
      <c r="P53" s="3">
        <f>+IF(F53="Pasajero",'2.2 OPEX LAP 2023'!K54*'2.1 OPEX TUUA'!$P$7,'2.2 OPEX LAP 2023'!K54*'2.1 OPEX TUUA'!$P$8)</f>
        <v>0</v>
      </c>
      <c r="Q53" s="3">
        <f>+IF(F53="Pasajero",'2.2 OPEX LAP 2023'!L54*'2.1 OPEX TUUA'!$Q$7,'2.2 OPEX LAP 2023'!L54*'2.1 OPEX TUUA'!$Q$8)</f>
        <v>0</v>
      </c>
      <c r="R53" s="3">
        <f>+IF(F53="Pasajero",'2.2 OPEX LAP 2023'!M54*'2.1 OPEX TUUA'!$R$7,'2.2 OPEX LAP 2023'!M54*'2.1 OPEX TUUA'!$R$8)</f>
        <v>0</v>
      </c>
      <c r="S53" s="3">
        <f>+IF(F53="Pasajero",'2.2 OPEX LAP 2023'!N54*'2.1 OPEX TUUA'!$S$7,'2.2 OPEX LAP 2023'!N54*'2.1 OPEX TUUA'!$S$8)</f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7">
        <f t="shared" si="3"/>
        <v>0</v>
      </c>
      <c r="AB53" s="7">
        <f t="shared" si="4"/>
        <v>0</v>
      </c>
      <c r="AC53" s="7">
        <f t="shared" si="5"/>
        <v>0</v>
      </c>
      <c r="AD53" s="7">
        <f t="shared" si="6"/>
        <v>0</v>
      </c>
      <c r="AE53" s="7">
        <f t="shared" si="7"/>
        <v>0</v>
      </c>
      <c r="AF53" s="7">
        <f t="shared" si="8"/>
        <v>0</v>
      </c>
    </row>
    <row r="54" spans="2:32" x14ac:dyDescent="0.25">
      <c r="B54" s="17">
        <v>6341100008</v>
      </c>
      <c r="C54" s="193" t="s">
        <v>13</v>
      </c>
      <c r="D54" s="193" t="s">
        <v>52</v>
      </c>
      <c r="E54" s="193" t="s">
        <v>59</v>
      </c>
      <c r="F54" s="163" t="s">
        <v>190</v>
      </c>
      <c r="G54" s="3">
        <f>+IF(F54="Pasajero",'2.2 OPEX LAP 2023'!I55*'2.1 OPEX TUUA'!$G$7,'2.2 OPEX LAP 2023'!I55*'2.1 OPEX TUUA'!$G$8)</f>
        <v>0</v>
      </c>
      <c r="H54" s="3">
        <f>+IF(F54="Pasajero",'2.2 OPEX LAP 2023'!J55*'2.1 OPEX TUUA'!$H$7,'2.2 OPEX LAP 2023'!J55*'2.1 OPEX TUUA'!$H$8)</f>
        <v>0</v>
      </c>
      <c r="I54" s="3">
        <f>+IF(F54="Pasajero",'2.2 OPEX LAP 2023'!K55*'2.1 OPEX TUUA'!$I$7,'2.2 OPEX LAP 2023'!K55*'2.1 OPEX TUUA'!$I$8)</f>
        <v>0</v>
      </c>
      <c r="J54" s="3">
        <f>+IF(F54="Pasajero",'2.2 OPEX LAP 2023'!L55*'2.1 OPEX TUUA'!$J$7,'2.2 OPEX LAP 2023'!L55*'2.1 OPEX TUUA'!$J$8)</f>
        <v>0</v>
      </c>
      <c r="K54" s="3">
        <f>+IF(F54="Pasajero",'2.2 OPEX LAP 2023'!M55*'2.1 OPEX TUUA'!$K$7,'2.2 OPEX LAP 2023'!M55*'2.1 OPEX TUUA'!$K$8)</f>
        <v>0</v>
      </c>
      <c r="L54" s="3">
        <f>+IF(F54="Pasajero",'2.2 OPEX LAP 2023'!N55*'2.1 OPEX TUUA'!$L$7,'2.2 OPEX LAP 2023'!N55*'2.1 OPEX TUUA'!$L$8)</f>
        <v>0</v>
      </c>
      <c r="M54" s="3"/>
      <c r="N54" s="3">
        <f>+IF(F54="Pasajero",'2.2 OPEX LAP 2023'!I55*'2.1 OPEX TUUA'!$N$7,'2.2 OPEX LAP 2023'!I55*'2.1 OPEX TUUA'!$N$8)</f>
        <v>0</v>
      </c>
      <c r="O54" s="3">
        <f>+IF(F54="Pasajero",'2.2 OPEX LAP 2023'!J55*'2.1 OPEX TUUA'!$O$7,'2.2 OPEX LAP 2023'!J55*'2.1 OPEX TUUA'!$O$8)</f>
        <v>0</v>
      </c>
      <c r="P54" s="3">
        <f>+IF(F54="Pasajero",'2.2 OPEX LAP 2023'!K55*'2.1 OPEX TUUA'!$P$7,'2.2 OPEX LAP 2023'!K55*'2.1 OPEX TUUA'!$P$8)</f>
        <v>0</v>
      </c>
      <c r="Q54" s="3">
        <f>+IF(F54="Pasajero",'2.2 OPEX LAP 2023'!L55*'2.1 OPEX TUUA'!$Q$7,'2.2 OPEX LAP 2023'!L55*'2.1 OPEX TUUA'!$Q$8)</f>
        <v>0</v>
      </c>
      <c r="R54" s="3">
        <f>+IF(F54="Pasajero",'2.2 OPEX LAP 2023'!M55*'2.1 OPEX TUUA'!$R$7,'2.2 OPEX LAP 2023'!M55*'2.1 OPEX TUUA'!$R$8)</f>
        <v>0</v>
      </c>
      <c r="S54" s="3">
        <f>+IF(F54="Pasajero",'2.2 OPEX LAP 2023'!N55*'2.1 OPEX TUUA'!$S$7,'2.2 OPEX LAP 2023'!N55*'2.1 OPEX TUUA'!$S$8)</f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7">
        <f t="shared" si="3"/>
        <v>0</v>
      </c>
      <c r="AB54" s="7">
        <f t="shared" si="4"/>
        <v>0</v>
      </c>
      <c r="AC54" s="7">
        <f t="shared" si="5"/>
        <v>0</v>
      </c>
      <c r="AD54" s="7">
        <f t="shared" si="6"/>
        <v>0</v>
      </c>
      <c r="AE54" s="7">
        <f t="shared" si="7"/>
        <v>0</v>
      </c>
      <c r="AF54" s="7">
        <f t="shared" si="8"/>
        <v>0</v>
      </c>
    </row>
    <row r="55" spans="2:32" x14ac:dyDescent="0.25">
      <c r="B55" s="17">
        <v>6341100009</v>
      </c>
      <c r="C55" s="193" t="s">
        <v>13</v>
      </c>
      <c r="D55" s="193" t="s">
        <v>52</v>
      </c>
      <c r="E55" s="193" t="s">
        <v>60</v>
      </c>
      <c r="F55" s="163" t="s">
        <v>190</v>
      </c>
      <c r="G55" s="3">
        <f>+IF(F55="Pasajero",'2.2 OPEX LAP 2023'!I56*'2.1 OPEX TUUA'!$G$7,'2.2 OPEX LAP 2023'!I56*'2.1 OPEX TUUA'!$G$8)</f>
        <v>0</v>
      </c>
      <c r="H55" s="3">
        <f>+IF(F55="Pasajero",'2.2 OPEX LAP 2023'!J56*'2.1 OPEX TUUA'!$H$7,'2.2 OPEX LAP 2023'!J56*'2.1 OPEX TUUA'!$H$8)</f>
        <v>0</v>
      </c>
      <c r="I55" s="3">
        <f>+IF(F55="Pasajero",'2.2 OPEX LAP 2023'!K56*'2.1 OPEX TUUA'!$I$7,'2.2 OPEX LAP 2023'!K56*'2.1 OPEX TUUA'!$I$8)</f>
        <v>0</v>
      </c>
      <c r="J55" s="3">
        <f>+IF(F55="Pasajero",'2.2 OPEX LAP 2023'!L56*'2.1 OPEX TUUA'!$J$7,'2.2 OPEX LAP 2023'!L56*'2.1 OPEX TUUA'!$J$8)</f>
        <v>0</v>
      </c>
      <c r="K55" s="3">
        <f>+IF(F55="Pasajero",'2.2 OPEX LAP 2023'!M56*'2.1 OPEX TUUA'!$K$7,'2.2 OPEX LAP 2023'!M56*'2.1 OPEX TUUA'!$K$8)</f>
        <v>0</v>
      </c>
      <c r="L55" s="3">
        <f>+IF(F55="Pasajero",'2.2 OPEX LAP 2023'!N56*'2.1 OPEX TUUA'!$L$7,'2.2 OPEX LAP 2023'!N56*'2.1 OPEX TUUA'!$L$8)</f>
        <v>0</v>
      </c>
      <c r="M55" s="3"/>
      <c r="N55" s="3">
        <f>+IF(F55="Pasajero",'2.2 OPEX LAP 2023'!I56*'2.1 OPEX TUUA'!$N$7,'2.2 OPEX LAP 2023'!I56*'2.1 OPEX TUUA'!$N$8)</f>
        <v>0</v>
      </c>
      <c r="O55" s="3">
        <f>+IF(F55="Pasajero",'2.2 OPEX LAP 2023'!J56*'2.1 OPEX TUUA'!$O$7,'2.2 OPEX LAP 2023'!J56*'2.1 OPEX TUUA'!$O$8)</f>
        <v>0</v>
      </c>
      <c r="P55" s="3">
        <f>+IF(F55="Pasajero",'2.2 OPEX LAP 2023'!K56*'2.1 OPEX TUUA'!$P$7,'2.2 OPEX LAP 2023'!K56*'2.1 OPEX TUUA'!$P$8)</f>
        <v>0</v>
      </c>
      <c r="Q55" s="3">
        <f>+IF(F55="Pasajero",'2.2 OPEX LAP 2023'!L56*'2.1 OPEX TUUA'!$Q$7,'2.2 OPEX LAP 2023'!L56*'2.1 OPEX TUUA'!$Q$8)</f>
        <v>0</v>
      </c>
      <c r="R55" s="3">
        <f>+IF(F55="Pasajero",'2.2 OPEX LAP 2023'!M56*'2.1 OPEX TUUA'!$R$7,'2.2 OPEX LAP 2023'!M56*'2.1 OPEX TUUA'!$R$8)</f>
        <v>0</v>
      </c>
      <c r="S55" s="3">
        <f>+IF(F55="Pasajero",'2.2 OPEX LAP 2023'!N56*'2.1 OPEX TUUA'!$S$7,'2.2 OPEX LAP 2023'!N56*'2.1 OPEX TUUA'!$S$8)</f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7">
        <f t="shared" si="3"/>
        <v>0</v>
      </c>
      <c r="AB55" s="7">
        <f t="shared" si="4"/>
        <v>0</v>
      </c>
      <c r="AC55" s="7">
        <f t="shared" si="5"/>
        <v>0</v>
      </c>
      <c r="AD55" s="7">
        <f t="shared" si="6"/>
        <v>0</v>
      </c>
      <c r="AE55" s="7">
        <f t="shared" si="7"/>
        <v>0</v>
      </c>
      <c r="AF55" s="7">
        <f t="shared" si="8"/>
        <v>0</v>
      </c>
    </row>
    <row r="56" spans="2:32" x14ac:dyDescent="0.25">
      <c r="B56" s="17">
        <v>6341100010</v>
      </c>
      <c r="C56" s="193" t="s">
        <v>13</v>
      </c>
      <c r="D56" s="193" t="s">
        <v>52</v>
      </c>
      <c r="E56" s="193" t="s">
        <v>61</v>
      </c>
      <c r="F56" s="163" t="s">
        <v>190</v>
      </c>
      <c r="G56" s="3">
        <f>+IF(F56="Pasajero",'2.2 OPEX LAP 2023'!I57*'2.1 OPEX TUUA'!$G$7,'2.2 OPEX LAP 2023'!I57*'2.1 OPEX TUUA'!$G$8)</f>
        <v>3687.0813732886213</v>
      </c>
      <c r="H56" s="3">
        <f>+IF(F56="Pasajero",'2.2 OPEX LAP 2023'!J57*'2.1 OPEX TUUA'!$H$7,'2.2 OPEX LAP 2023'!J57*'2.1 OPEX TUUA'!$H$8)</f>
        <v>4324.9651931857934</v>
      </c>
      <c r="I56" s="3">
        <f>+IF(F56="Pasajero",'2.2 OPEX LAP 2023'!K57*'2.1 OPEX TUUA'!$I$7,'2.2 OPEX LAP 2023'!K57*'2.1 OPEX TUUA'!$I$8)</f>
        <v>4861.9489850596929</v>
      </c>
      <c r="J56" s="3">
        <f>+IF(F56="Pasajero",'2.2 OPEX LAP 2023'!L57*'2.1 OPEX TUUA'!$J$7,'2.2 OPEX LAP 2023'!L57*'2.1 OPEX TUUA'!$J$8)</f>
        <v>5151.3141710751433</v>
      </c>
      <c r="K56" s="3">
        <f>+IF(F56="Pasajero",'2.2 OPEX LAP 2023'!M57*'2.1 OPEX TUUA'!$K$7,'2.2 OPEX LAP 2023'!M57*'2.1 OPEX TUUA'!$K$8)</f>
        <v>5362.7361287103904</v>
      </c>
      <c r="L56" s="3">
        <f>+IF(F56="Pasajero",'2.2 OPEX LAP 2023'!N57*'2.1 OPEX TUUA'!$L$7,'2.2 OPEX LAP 2023'!N57*'2.1 OPEX TUUA'!$L$8)</f>
        <v>5597.6300124461059</v>
      </c>
      <c r="M56" s="3"/>
      <c r="N56" s="3">
        <f>+IF(F56="Pasajero",'2.2 OPEX LAP 2023'!I57*'2.1 OPEX TUUA'!$N$7,'2.2 OPEX LAP 2023'!I57*'2.1 OPEX TUUA'!$N$8)</f>
        <v>1818.5320393308402</v>
      </c>
      <c r="O56" s="3">
        <f>+IF(F56="Pasajero",'2.2 OPEX LAP 2023'!J57*'2.1 OPEX TUUA'!$O$7,'2.2 OPEX LAP 2023'!J57*'2.1 OPEX TUUA'!$O$8)</f>
        <v>1791.2415359904021</v>
      </c>
      <c r="P56" s="3">
        <f>+IF(F56="Pasajero",'2.2 OPEX LAP 2023'!K57*'2.1 OPEX TUUA'!$P$7,'2.2 OPEX LAP 2023'!K57*'2.1 OPEX TUUA'!$P$8)</f>
        <v>1780.0989462211351</v>
      </c>
      <c r="Q56" s="3">
        <f>+IF(F56="Pasajero",'2.2 OPEX LAP 2023'!L57*'2.1 OPEX TUUA'!$Q$7,'2.2 OPEX LAP 2023'!L57*'2.1 OPEX TUUA'!$Q$8)</f>
        <v>1768.5023072119111</v>
      </c>
      <c r="R56" s="3">
        <f>+IF(F56="Pasajero",'2.2 OPEX LAP 2023'!M57*'2.1 OPEX TUUA'!$R$7,'2.2 OPEX LAP 2023'!M57*'2.1 OPEX TUUA'!$R$8)</f>
        <v>1777.9913982144828</v>
      </c>
      <c r="S56" s="3">
        <f>+IF(F56="Pasajero",'2.2 OPEX LAP 2023'!N57*'2.1 OPEX TUUA'!$S$7,'2.2 OPEX LAP 2023'!N57*'2.1 OPEX TUUA'!$S$8)</f>
        <v>1779.126319274133</v>
      </c>
      <c r="U56" s="1">
        <v>3756.7489657904598</v>
      </c>
      <c r="V56" s="1">
        <v>4406.6856333275191</v>
      </c>
      <c r="W56" s="1">
        <v>4953.8157616135695</v>
      </c>
      <c r="X56" s="1">
        <v>5248.6485177264949</v>
      </c>
      <c r="Y56" s="1">
        <v>5464.0653041434389</v>
      </c>
      <c r="Z56" s="1">
        <v>5703.3975199137631</v>
      </c>
      <c r="AA56" s="7">
        <f t="shared" si="3"/>
        <v>-69.667592501838499</v>
      </c>
      <c r="AB56" s="7">
        <f t="shared" si="4"/>
        <v>-81.720440141725703</v>
      </c>
      <c r="AC56" s="7">
        <f t="shared" si="5"/>
        <v>-91.866776553876662</v>
      </c>
      <c r="AD56" s="7">
        <f t="shared" si="6"/>
        <v>-97.334346651351552</v>
      </c>
      <c r="AE56" s="7">
        <f t="shared" si="7"/>
        <v>-101.32917543304848</v>
      </c>
      <c r="AF56" s="7">
        <f t="shared" si="8"/>
        <v>-105.7675074676572</v>
      </c>
    </row>
    <row r="57" spans="2:32" x14ac:dyDescent="0.25">
      <c r="B57" s="17">
        <v>6342000001</v>
      </c>
      <c r="C57" s="193" t="s">
        <v>13</v>
      </c>
      <c r="D57" s="193" t="s">
        <v>52</v>
      </c>
      <c r="E57" s="193" t="s">
        <v>62</v>
      </c>
      <c r="F57" s="163" t="s">
        <v>190</v>
      </c>
      <c r="G57" s="3">
        <f>+IF(F57="Pasajero",'2.2 OPEX LAP 2023'!I58*'2.1 OPEX TUUA'!$G$7,'2.2 OPEX LAP 2023'!I58*'2.1 OPEX TUUA'!$G$8)</f>
        <v>0</v>
      </c>
      <c r="H57" s="3">
        <f>+IF(F57="Pasajero",'2.2 OPEX LAP 2023'!J58*'2.1 OPEX TUUA'!$H$7,'2.2 OPEX LAP 2023'!J58*'2.1 OPEX TUUA'!$H$8)</f>
        <v>0</v>
      </c>
      <c r="I57" s="3">
        <f>+IF(F57="Pasajero",'2.2 OPEX LAP 2023'!K58*'2.1 OPEX TUUA'!$I$7,'2.2 OPEX LAP 2023'!K58*'2.1 OPEX TUUA'!$I$8)</f>
        <v>0</v>
      </c>
      <c r="J57" s="3">
        <f>+IF(F57="Pasajero",'2.2 OPEX LAP 2023'!L58*'2.1 OPEX TUUA'!$J$7,'2.2 OPEX LAP 2023'!L58*'2.1 OPEX TUUA'!$J$8)</f>
        <v>0</v>
      </c>
      <c r="K57" s="3">
        <f>+IF(F57="Pasajero",'2.2 OPEX LAP 2023'!M58*'2.1 OPEX TUUA'!$K$7,'2.2 OPEX LAP 2023'!M58*'2.1 OPEX TUUA'!$K$8)</f>
        <v>0</v>
      </c>
      <c r="L57" s="3">
        <f>+IF(F57="Pasajero",'2.2 OPEX LAP 2023'!N58*'2.1 OPEX TUUA'!$L$7,'2.2 OPEX LAP 2023'!N58*'2.1 OPEX TUUA'!$L$8)</f>
        <v>0</v>
      </c>
      <c r="M57" s="3"/>
      <c r="N57" s="3">
        <f>+IF(F57="Pasajero",'2.2 OPEX LAP 2023'!I58*'2.1 OPEX TUUA'!$N$7,'2.2 OPEX LAP 2023'!I58*'2.1 OPEX TUUA'!$N$8)</f>
        <v>0</v>
      </c>
      <c r="O57" s="3">
        <f>+IF(F57="Pasajero",'2.2 OPEX LAP 2023'!J58*'2.1 OPEX TUUA'!$O$7,'2.2 OPEX LAP 2023'!J58*'2.1 OPEX TUUA'!$O$8)</f>
        <v>0</v>
      </c>
      <c r="P57" s="3">
        <f>+IF(F57="Pasajero",'2.2 OPEX LAP 2023'!K58*'2.1 OPEX TUUA'!$P$7,'2.2 OPEX LAP 2023'!K58*'2.1 OPEX TUUA'!$P$8)</f>
        <v>0</v>
      </c>
      <c r="Q57" s="3">
        <f>+IF(F57="Pasajero",'2.2 OPEX LAP 2023'!L58*'2.1 OPEX TUUA'!$Q$7,'2.2 OPEX LAP 2023'!L58*'2.1 OPEX TUUA'!$Q$8)</f>
        <v>0</v>
      </c>
      <c r="R57" s="3">
        <f>+IF(F57="Pasajero",'2.2 OPEX LAP 2023'!M58*'2.1 OPEX TUUA'!$R$7,'2.2 OPEX LAP 2023'!M58*'2.1 OPEX TUUA'!$R$8)</f>
        <v>0</v>
      </c>
      <c r="S57" s="3">
        <f>+IF(F57="Pasajero",'2.2 OPEX LAP 2023'!N58*'2.1 OPEX TUUA'!$S$7,'2.2 OPEX LAP 2023'!N58*'2.1 OPEX TUUA'!$S$8)</f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7">
        <f t="shared" si="3"/>
        <v>0</v>
      </c>
      <c r="AB57" s="7">
        <f t="shared" si="4"/>
        <v>0</v>
      </c>
      <c r="AC57" s="7">
        <f t="shared" si="5"/>
        <v>0</v>
      </c>
      <c r="AD57" s="7">
        <f t="shared" si="6"/>
        <v>0</v>
      </c>
      <c r="AE57" s="7">
        <f t="shared" si="7"/>
        <v>0</v>
      </c>
      <c r="AF57" s="7">
        <f t="shared" si="8"/>
        <v>0</v>
      </c>
    </row>
    <row r="58" spans="2:32" x14ac:dyDescent="0.25">
      <c r="B58" s="17">
        <v>6342000002</v>
      </c>
      <c r="C58" s="193" t="s">
        <v>13</v>
      </c>
      <c r="D58" s="193" t="s">
        <v>52</v>
      </c>
      <c r="E58" s="193" t="s">
        <v>63</v>
      </c>
      <c r="F58" s="163" t="s">
        <v>190</v>
      </c>
      <c r="G58" s="3">
        <f>+IF(F58="Pasajero",'2.2 OPEX LAP 2023'!I59*'2.1 OPEX TUUA'!$G$7,'2.2 OPEX LAP 2023'!I59*'2.1 OPEX TUUA'!$G$8)</f>
        <v>0</v>
      </c>
      <c r="H58" s="3">
        <f>+IF(F58="Pasajero",'2.2 OPEX LAP 2023'!J59*'2.1 OPEX TUUA'!$H$7,'2.2 OPEX LAP 2023'!J59*'2.1 OPEX TUUA'!$H$8)</f>
        <v>0</v>
      </c>
      <c r="I58" s="3">
        <f>+IF(F58="Pasajero",'2.2 OPEX LAP 2023'!K59*'2.1 OPEX TUUA'!$I$7,'2.2 OPEX LAP 2023'!K59*'2.1 OPEX TUUA'!$I$8)</f>
        <v>0</v>
      </c>
      <c r="J58" s="3">
        <f>+IF(F58="Pasajero",'2.2 OPEX LAP 2023'!L59*'2.1 OPEX TUUA'!$J$7,'2.2 OPEX LAP 2023'!L59*'2.1 OPEX TUUA'!$J$8)</f>
        <v>0</v>
      </c>
      <c r="K58" s="3">
        <f>+IF(F58="Pasajero",'2.2 OPEX LAP 2023'!M59*'2.1 OPEX TUUA'!$K$7,'2.2 OPEX LAP 2023'!M59*'2.1 OPEX TUUA'!$K$8)</f>
        <v>0</v>
      </c>
      <c r="L58" s="3">
        <f>+IF(F58="Pasajero",'2.2 OPEX LAP 2023'!N59*'2.1 OPEX TUUA'!$L$7,'2.2 OPEX LAP 2023'!N59*'2.1 OPEX TUUA'!$L$8)</f>
        <v>0</v>
      </c>
      <c r="M58" s="3"/>
      <c r="N58" s="3">
        <f>+IF(F58="Pasajero",'2.2 OPEX LAP 2023'!I59*'2.1 OPEX TUUA'!$N$7,'2.2 OPEX LAP 2023'!I59*'2.1 OPEX TUUA'!$N$8)</f>
        <v>0</v>
      </c>
      <c r="O58" s="3">
        <f>+IF(F58="Pasajero",'2.2 OPEX LAP 2023'!J59*'2.1 OPEX TUUA'!$O$7,'2.2 OPEX LAP 2023'!J59*'2.1 OPEX TUUA'!$O$8)</f>
        <v>0</v>
      </c>
      <c r="P58" s="3">
        <f>+IF(F58="Pasajero",'2.2 OPEX LAP 2023'!K59*'2.1 OPEX TUUA'!$P$7,'2.2 OPEX LAP 2023'!K59*'2.1 OPEX TUUA'!$P$8)</f>
        <v>0</v>
      </c>
      <c r="Q58" s="3">
        <f>+IF(F58="Pasajero",'2.2 OPEX LAP 2023'!L59*'2.1 OPEX TUUA'!$Q$7,'2.2 OPEX LAP 2023'!L59*'2.1 OPEX TUUA'!$Q$8)</f>
        <v>0</v>
      </c>
      <c r="R58" s="3">
        <f>+IF(F58="Pasajero",'2.2 OPEX LAP 2023'!M59*'2.1 OPEX TUUA'!$R$7,'2.2 OPEX LAP 2023'!M59*'2.1 OPEX TUUA'!$R$8)</f>
        <v>0</v>
      </c>
      <c r="S58" s="3">
        <f>+IF(F58="Pasajero",'2.2 OPEX LAP 2023'!N59*'2.1 OPEX TUUA'!$S$7,'2.2 OPEX LAP 2023'!N59*'2.1 OPEX TUUA'!$S$8)</f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7">
        <f t="shared" si="3"/>
        <v>0</v>
      </c>
      <c r="AB58" s="7">
        <f t="shared" si="4"/>
        <v>0</v>
      </c>
      <c r="AC58" s="7">
        <f t="shared" si="5"/>
        <v>0</v>
      </c>
      <c r="AD58" s="7">
        <f t="shared" si="6"/>
        <v>0</v>
      </c>
      <c r="AE58" s="7">
        <f t="shared" si="7"/>
        <v>0</v>
      </c>
      <c r="AF58" s="7">
        <f t="shared" si="8"/>
        <v>0</v>
      </c>
    </row>
    <row r="59" spans="2:32" x14ac:dyDescent="0.25">
      <c r="B59" s="17">
        <v>6343000001</v>
      </c>
      <c r="C59" s="193" t="s">
        <v>13</v>
      </c>
      <c r="D59" s="193" t="s">
        <v>52</v>
      </c>
      <c r="E59" s="193" t="s">
        <v>64</v>
      </c>
      <c r="F59" s="163" t="s">
        <v>190</v>
      </c>
      <c r="G59" s="3">
        <f>+IF(F59="Pasajero",'2.2 OPEX LAP 2023'!I60*'2.1 OPEX TUUA'!$G$7,'2.2 OPEX LAP 2023'!I60*'2.1 OPEX TUUA'!$G$8)</f>
        <v>83113.607472339834</v>
      </c>
      <c r="H59" s="3">
        <f>+IF(F59="Pasajero",'2.2 OPEX LAP 2023'!J60*'2.1 OPEX TUUA'!$H$7,'2.2 OPEX LAP 2023'!J60*'2.1 OPEX TUUA'!$H$8)</f>
        <v>97492.68405143985</v>
      </c>
      <c r="I59" s="3">
        <f>+IF(F59="Pasajero",'2.2 OPEX LAP 2023'!K60*'2.1 OPEX TUUA'!$I$7,'2.2 OPEX LAP 2023'!K60*'2.1 OPEX TUUA'!$I$8)</f>
        <v>109597.28809412428</v>
      </c>
      <c r="J59" s="3">
        <f>+IF(F59="Pasajero",'2.2 OPEX LAP 2023'!L60*'2.1 OPEX TUUA'!$J$7,'2.2 OPEX LAP 2023'!L60*'2.1 OPEX TUUA'!$J$8)</f>
        <v>116120.11253214249</v>
      </c>
      <c r="K59" s="3">
        <f>+IF(F59="Pasajero",'2.2 OPEX LAP 2023'!M60*'2.1 OPEX TUUA'!$K$7,'2.2 OPEX LAP 2023'!M60*'2.1 OPEX TUUA'!$K$8)</f>
        <v>120885.95299479997</v>
      </c>
      <c r="L59" s="3">
        <f>+IF(F59="Pasajero",'2.2 OPEX LAP 2023'!N60*'2.1 OPEX TUUA'!$L$7,'2.2 OPEX LAP 2023'!N60*'2.1 OPEX TUUA'!$L$8)</f>
        <v>126180.89391796454</v>
      </c>
      <c r="M59" s="3"/>
      <c r="N59" s="3">
        <f>+IF(F59="Pasajero",'2.2 OPEX LAP 2023'!I60*'2.1 OPEX TUUA'!$N$7,'2.2 OPEX LAP 2023'!I60*'2.1 OPEX TUUA'!$N$8)</f>
        <v>40993.062748166711</v>
      </c>
      <c r="O59" s="3">
        <f>+IF(F59="Pasajero",'2.2 OPEX LAP 2023'!J60*'2.1 OPEX TUUA'!$O$7,'2.2 OPEX LAP 2023'!J60*'2.1 OPEX TUUA'!$O$8)</f>
        <v>40377.884521075764</v>
      </c>
      <c r="P59" s="3">
        <f>+IF(F59="Pasajero",'2.2 OPEX LAP 2023'!K60*'2.1 OPEX TUUA'!$P$7,'2.2 OPEX LAP 2023'!K60*'2.1 OPEX TUUA'!$P$8)</f>
        <v>40126.710017844729</v>
      </c>
      <c r="Q59" s="3">
        <f>+IF(F59="Pasajero",'2.2 OPEX LAP 2023'!L60*'2.1 OPEX TUUA'!$Q$7,'2.2 OPEX LAP 2023'!L60*'2.1 OPEX TUUA'!$Q$8)</f>
        <v>39865.30040817523</v>
      </c>
      <c r="R59" s="3">
        <f>+IF(F59="Pasajero",'2.2 OPEX LAP 2023'!M60*'2.1 OPEX TUUA'!$R$7,'2.2 OPEX LAP 2023'!M60*'2.1 OPEX TUUA'!$R$8)</f>
        <v>40079.202002691338</v>
      </c>
      <c r="S59" s="3">
        <f>+IF(F59="Pasajero",'2.2 OPEX LAP 2023'!N60*'2.1 OPEX TUUA'!$S$7,'2.2 OPEX LAP 2023'!N60*'2.1 OPEX TUUA'!$S$8)</f>
        <v>40104.785214428193</v>
      </c>
      <c r="U59" s="1">
        <v>84684.043367432707</v>
      </c>
      <c r="V59" s="1">
        <v>99334.813339285814</v>
      </c>
      <c r="W59" s="1">
        <v>111668.13449896994</v>
      </c>
      <c r="X59" s="1">
        <v>118314.2080407918</v>
      </c>
      <c r="Y59" s="1">
        <v>123170.09930452099</v>
      </c>
      <c r="Z59" s="1">
        <v>128565.08840921709</v>
      </c>
      <c r="AA59" s="7">
        <f t="shared" si="3"/>
        <v>-1570.4358950928727</v>
      </c>
      <c r="AB59" s="7">
        <f t="shared" si="4"/>
        <v>-1842.1292878459644</v>
      </c>
      <c r="AC59" s="7">
        <f t="shared" si="5"/>
        <v>-2070.8464048456663</v>
      </c>
      <c r="AD59" s="7">
        <f t="shared" si="6"/>
        <v>-2194.095508649305</v>
      </c>
      <c r="AE59" s="7">
        <f t="shared" si="7"/>
        <v>-2284.1463097210217</v>
      </c>
      <c r="AF59" s="7">
        <f t="shared" si="8"/>
        <v>-2384.1944912525505</v>
      </c>
    </row>
    <row r="60" spans="2:32" x14ac:dyDescent="0.25">
      <c r="B60" s="17">
        <v>6343000002</v>
      </c>
      <c r="C60" s="193" t="s">
        <v>13</v>
      </c>
      <c r="D60" s="193" t="s">
        <v>52</v>
      </c>
      <c r="E60" s="193" t="s">
        <v>65</v>
      </c>
      <c r="F60" s="163" t="s">
        <v>190</v>
      </c>
      <c r="G60" s="3">
        <f>+IF(F60="Pasajero",'2.2 OPEX LAP 2023'!I61*'2.1 OPEX TUUA'!$G$7,'2.2 OPEX LAP 2023'!I61*'2.1 OPEX TUUA'!$G$8)</f>
        <v>5063.399723042643</v>
      </c>
      <c r="H60" s="3">
        <f>+IF(F60="Pasajero",'2.2 OPEX LAP 2023'!J61*'2.1 OPEX TUUA'!$H$7,'2.2 OPEX LAP 2023'!J61*'2.1 OPEX TUUA'!$H$8)</f>
        <v>5939.3936136032726</v>
      </c>
      <c r="I60" s="3">
        <f>+IF(F60="Pasajero",'2.2 OPEX LAP 2023'!K61*'2.1 OPEX TUUA'!$I$7,'2.2 OPEX LAP 2023'!K61*'2.1 OPEX TUUA'!$I$8)</f>
        <v>6676.8233873941235</v>
      </c>
      <c r="J60" s="3">
        <f>+IF(F60="Pasajero",'2.2 OPEX LAP 2023'!L61*'2.1 OPEX TUUA'!$J$7,'2.2 OPEX LAP 2023'!L61*'2.1 OPEX TUUA'!$J$8)</f>
        <v>7074.2031722134607</v>
      </c>
      <c r="K60" s="3">
        <f>+IF(F60="Pasajero",'2.2 OPEX LAP 2023'!M61*'2.1 OPEX TUUA'!$K$7,'2.2 OPEX LAP 2023'!M61*'2.1 OPEX TUUA'!$K$8)</f>
        <v>7364.5449828094715</v>
      </c>
      <c r="L60" s="3">
        <f>+IF(F60="Pasajero",'2.2 OPEX LAP 2023'!N61*'2.1 OPEX TUUA'!$L$7,'2.2 OPEX LAP 2023'!N61*'2.1 OPEX TUUA'!$L$8)</f>
        <v>7687.1203494580805</v>
      </c>
      <c r="M60" s="3"/>
      <c r="N60" s="3">
        <f>+IF(F60="Pasajero",'2.2 OPEX LAP 2023'!I61*'2.1 OPEX TUUA'!$N$7,'2.2 OPEX LAP 2023'!I61*'2.1 OPEX TUUA'!$N$8)</f>
        <v>2497.3559550379796</v>
      </c>
      <c r="O60" s="3">
        <f>+IF(F60="Pasajero",'2.2 OPEX LAP 2023'!J61*'2.1 OPEX TUUA'!$O$7,'2.2 OPEX LAP 2023'!J61*'2.1 OPEX TUUA'!$O$8)</f>
        <v>2459.8784184539636</v>
      </c>
      <c r="P60" s="3">
        <f>+IF(F60="Pasajero",'2.2 OPEX LAP 2023'!K61*'2.1 OPEX TUUA'!$P$7,'2.2 OPEX LAP 2023'!K61*'2.1 OPEX TUUA'!$P$8)</f>
        <v>2444.5765088296143</v>
      </c>
      <c r="Q60" s="3">
        <f>+IF(F60="Pasajero",'2.2 OPEX LAP 2023'!L61*'2.1 OPEX TUUA'!$Q$7,'2.2 OPEX LAP 2023'!L61*'2.1 OPEX TUUA'!$Q$8)</f>
        <v>2428.6510618967309</v>
      </c>
      <c r="R60" s="3">
        <f>+IF(F60="Pasajero",'2.2 OPEX LAP 2023'!M61*'2.1 OPEX TUUA'!$R$7,'2.2 OPEX LAP 2023'!M61*'2.1 OPEX TUUA'!$R$8)</f>
        <v>2441.6822526652422</v>
      </c>
      <c r="S60" s="3">
        <f>+IF(F60="Pasajero",'2.2 OPEX LAP 2023'!N61*'2.1 OPEX TUUA'!$S$7,'2.2 OPEX LAP 2023'!N61*'2.1 OPEX TUUA'!$S$8)</f>
        <v>2443.2408184785004</v>
      </c>
      <c r="U60" s="1">
        <v>5159.0729216691834</v>
      </c>
      <c r="V60" s="1">
        <v>6051.6187619220018</v>
      </c>
      <c r="W60" s="1">
        <v>6802.982309280037</v>
      </c>
      <c r="X60" s="1">
        <v>7207.8706056060164</v>
      </c>
      <c r="Y60" s="1">
        <v>7503.6984396712642</v>
      </c>
      <c r="Z60" s="1">
        <v>7832.368884491354</v>
      </c>
      <c r="AA60" s="7">
        <f t="shared" si="3"/>
        <v>-95.673198626540398</v>
      </c>
      <c r="AB60" s="7">
        <f t="shared" si="4"/>
        <v>-112.22514831872923</v>
      </c>
      <c r="AC60" s="7">
        <f t="shared" si="5"/>
        <v>-126.15892188591351</v>
      </c>
      <c r="AD60" s="7">
        <f t="shared" si="6"/>
        <v>-133.66743339255572</v>
      </c>
      <c r="AE60" s="7">
        <f t="shared" si="7"/>
        <v>-139.15345686179262</v>
      </c>
      <c r="AF60" s="7">
        <f t="shared" si="8"/>
        <v>-145.24853503327358</v>
      </c>
    </row>
    <row r="61" spans="2:32" x14ac:dyDescent="0.25">
      <c r="B61" s="17">
        <v>6343100001</v>
      </c>
      <c r="C61" s="193" t="s">
        <v>13</v>
      </c>
      <c r="D61" s="193" t="s">
        <v>52</v>
      </c>
      <c r="E61" s="193" t="s">
        <v>66</v>
      </c>
      <c r="F61" s="163" t="s">
        <v>190</v>
      </c>
      <c r="G61" s="3">
        <f>+IF(F61="Pasajero",'2.2 OPEX LAP 2023'!I62*'2.1 OPEX TUUA'!$G$7,'2.2 OPEX LAP 2023'!I62*'2.1 OPEX TUUA'!$G$8)</f>
        <v>630.65347352110234</v>
      </c>
      <c r="H61" s="3">
        <f>+IF(F61="Pasajero",'2.2 OPEX LAP 2023'!J62*'2.1 OPEX TUUA'!$H$7,'2.2 OPEX LAP 2023'!J62*'2.1 OPEX TUUA'!$H$8)</f>
        <v>739.75973020299705</v>
      </c>
      <c r="I61" s="3">
        <f>+IF(F61="Pasajero",'2.2 OPEX LAP 2023'!K62*'2.1 OPEX TUUA'!$I$7,'2.2 OPEX LAP 2023'!K62*'2.1 OPEX TUUA'!$I$8)</f>
        <v>831.60763354008941</v>
      </c>
      <c r="J61" s="3">
        <f>+IF(F61="Pasajero",'2.2 OPEX LAP 2023'!L62*'2.1 OPEX TUUA'!$J$7,'2.2 OPEX LAP 2023'!L62*'2.1 OPEX TUUA'!$J$8)</f>
        <v>881.10183808864724</v>
      </c>
      <c r="K61" s="3">
        <f>+IF(F61="Pasajero",'2.2 OPEX LAP 2023'!M62*'2.1 OPEX TUUA'!$K$7,'2.2 OPEX LAP 2023'!M62*'2.1 OPEX TUUA'!$K$8)</f>
        <v>917.26431416721982</v>
      </c>
      <c r="L61" s="3">
        <f>+IF(F61="Pasajero",'2.2 OPEX LAP 2023'!N62*'2.1 OPEX TUUA'!$L$7,'2.2 OPEX LAP 2023'!N62*'2.1 OPEX TUUA'!$L$8)</f>
        <v>957.44152445608938</v>
      </c>
      <c r="M61" s="3"/>
      <c r="N61" s="3">
        <f>+IF(F61="Pasajero",'2.2 OPEX LAP 2023'!I62*'2.1 OPEX TUUA'!$N$7,'2.2 OPEX LAP 2023'!I62*'2.1 OPEX TUUA'!$N$8)</f>
        <v>311.04915547076348</v>
      </c>
      <c r="O61" s="3">
        <f>+IF(F61="Pasajero",'2.2 OPEX LAP 2023'!J62*'2.1 OPEX TUUA'!$O$7,'2.2 OPEX LAP 2023'!J62*'2.1 OPEX TUUA'!$O$8)</f>
        <v>306.38127619625868</v>
      </c>
      <c r="P61" s="3">
        <f>+IF(F61="Pasajero",'2.2 OPEX LAP 2023'!K62*'2.1 OPEX TUUA'!$P$7,'2.2 OPEX LAP 2023'!K62*'2.1 OPEX TUUA'!$P$8)</f>
        <v>304.47540208322243</v>
      </c>
      <c r="Q61" s="3">
        <f>+IF(F61="Pasajero",'2.2 OPEX LAP 2023'!L62*'2.1 OPEX TUUA'!$Q$7,'2.2 OPEX LAP 2023'!L62*'2.1 OPEX TUUA'!$Q$8)</f>
        <v>302.49186553170495</v>
      </c>
      <c r="R61" s="3">
        <f>+IF(F61="Pasajero",'2.2 OPEX LAP 2023'!M62*'2.1 OPEX TUUA'!$R$7,'2.2 OPEX LAP 2023'!M62*'2.1 OPEX TUUA'!$R$8)</f>
        <v>304.11491845499648</v>
      </c>
      <c r="S61" s="3">
        <f>+IF(F61="Pasajero",'2.2 OPEX LAP 2023'!N62*'2.1 OPEX TUUA'!$S$7,'2.2 OPEX LAP 2023'!N62*'2.1 OPEX TUUA'!$S$8)</f>
        <v>304.30903999341052</v>
      </c>
      <c r="U61" s="1">
        <v>642.56970339371549</v>
      </c>
      <c r="V61" s="1">
        <v>753.73752841662451</v>
      </c>
      <c r="W61" s="1">
        <v>847.32090261915357</v>
      </c>
      <c r="X61" s="1">
        <v>897.75030271253218</v>
      </c>
      <c r="Y61" s="1">
        <v>934.59607063965211</v>
      </c>
      <c r="Z61" s="1">
        <v>975.53243138680659</v>
      </c>
      <c r="AA61" s="7">
        <f t="shared" si="3"/>
        <v>-11.916229872613144</v>
      </c>
      <c r="AB61" s="7">
        <f t="shared" si="4"/>
        <v>-13.977798213627466</v>
      </c>
      <c r="AC61" s="7">
        <f t="shared" si="5"/>
        <v>-15.713269079064162</v>
      </c>
      <c r="AD61" s="7">
        <f t="shared" si="6"/>
        <v>-16.648464623884934</v>
      </c>
      <c r="AE61" s="7">
        <f t="shared" si="7"/>
        <v>-17.331756472432289</v>
      </c>
      <c r="AF61" s="7">
        <f t="shared" si="8"/>
        <v>-18.09090693071721</v>
      </c>
    </row>
    <row r="62" spans="2:32" x14ac:dyDescent="0.25">
      <c r="B62" s="17">
        <v>6343100002</v>
      </c>
      <c r="C62" s="193" t="s">
        <v>13</v>
      </c>
      <c r="D62" s="193" t="s">
        <v>52</v>
      </c>
      <c r="E62" s="193" t="s">
        <v>67</v>
      </c>
      <c r="F62" s="163" t="s">
        <v>190</v>
      </c>
      <c r="G62" s="3">
        <f>+IF(F62="Pasajero",'2.2 OPEX LAP 2023'!I63*'2.1 OPEX TUUA'!$G$7,'2.2 OPEX LAP 2023'!I63*'2.1 OPEX TUUA'!$G$8)</f>
        <v>1062.8212556633644</v>
      </c>
      <c r="H62" s="3">
        <f>+IF(F62="Pasajero",'2.2 OPEX LAP 2023'!J63*'2.1 OPEX TUUA'!$H$7,'2.2 OPEX LAP 2023'!J63*'2.1 OPEX TUUA'!$H$8)</f>
        <v>1246.6947354682773</v>
      </c>
      <c r="I62" s="3">
        <f>+IF(F62="Pasajero",'2.2 OPEX LAP 2023'!K63*'2.1 OPEX TUUA'!$I$7,'2.2 OPEX LAP 2023'!K63*'2.1 OPEX TUUA'!$I$8)</f>
        <v>1401.4832335157862</v>
      </c>
      <c r="J62" s="3">
        <f>+IF(F62="Pasajero",'2.2 OPEX LAP 2023'!L63*'2.1 OPEX TUUA'!$J$7,'2.2 OPEX LAP 2023'!L63*'2.1 OPEX TUUA'!$J$8)</f>
        <v>1484.8943219105881</v>
      </c>
      <c r="K62" s="3">
        <f>+IF(F62="Pasajero",'2.2 OPEX LAP 2023'!M63*'2.1 OPEX TUUA'!$K$7,'2.2 OPEX LAP 2023'!M63*'2.1 OPEX TUUA'!$K$8)</f>
        <v>1545.8378508808426</v>
      </c>
      <c r="L62" s="3">
        <f>+IF(F62="Pasajero",'2.2 OPEX LAP 2023'!N63*'2.1 OPEX TUUA'!$L$7,'2.2 OPEX LAP 2023'!N63*'2.1 OPEX TUUA'!$L$8)</f>
        <v>1613.5472901864812</v>
      </c>
      <c r="M62" s="3"/>
      <c r="N62" s="3">
        <f>+IF(F62="Pasajero",'2.2 OPEX LAP 2023'!I63*'2.1 OPEX TUUA'!$N$7,'2.2 OPEX LAP 2023'!I63*'2.1 OPEX TUUA'!$N$8)</f>
        <v>524.20174925018307</v>
      </c>
      <c r="O62" s="3">
        <f>+IF(F62="Pasajero",'2.2 OPEX LAP 2023'!J63*'2.1 OPEX TUUA'!$O$7,'2.2 OPEX LAP 2023'!J63*'2.1 OPEX TUUA'!$O$8)</f>
        <v>516.33511326050882</v>
      </c>
      <c r="P62" s="3">
        <f>+IF(F62="Pasajero",'2.2 OPEX LAP 2023'!K63*'2.1 OPEX TUUA'!$P$7,'2.2 OPEX LAP 2023'!K63*'2.1 OPEX TUUA'!$P$8)</f>
        <v>513.1232011677331</v>
      </c>
      <c r="Q62" s="3">
        <f>+IF(F62="Pasajero",'2.2 OPEX LAP 2023'!L63*'2.1 OPEX TUUA'!$Q$7,'2.2 OPEX LAP 2023'!L63*'2.1 OPEX TUUA'!$Q$8)</f>
        <v>509.78040691248583</v>
      </c>
      <c r="R62" s="3">
        <f>+IF(F62="Pasajero",'2.2 OPEX LAP 2023'!M63*'2.1 OPEX TUUA'!$R$7,'2.2 OPEX LAP 2023'!M63*'2.1 OPEX TUUA'!$R$8)</f>
        <v>512.51568899427571</v>
      </c>
      <c r="S62" s="3">
        <f>+IF(F62="Pasajero",'2.2 OPEX LAP 2023'!N63*'2.1 OPEX TUUA'!$S$7,'2.2 OPEX LAP 2023'!N63*'2.1 OPEX TUUA'!$S$8)</f>
        <v>512.8428361612556</v>
      </c>
      <c r="U62" s="1">
        <v>1082.9033180442675</v>
      </c>
      <c r="V62" s="1">
        <v>1270.2510967230126</v>
      </c>
      <c r="W62" s="1">
        <v>1427.9643314156276</v>
      </c>
      <c r="X62" s="1">
        <v>1512.9514766228781</v>
      </c>
      <c r="Y62" s="1">
        <v>1575.0465367127551</v>
      </c>
      <c r="Z62" s="1">
        <v>1644.035349362375</v>
      </c>
      <c r="AA62" s="7">
        <f t="shared" si="3"/>
        <v>-20.082062380903153</v>
      </c>
      <c r="AB62" s="7">
        <f t="shared" si="4"/>
        <v>-23.556361254735293</v>
      </c>
      <c r="AC62" s="7">
        <f t="shared" si="5"/>
        <v>-26.481097899841416</v>
      </c>
      <c r="AD62" s="7">
        <f t="shared" si="6"/>
        <v>-28.057154712289957</v>
      </c>
      <c r="AE62" s="7">
        <f t="shared" si="7"/>
        <v>-29.208685831912589</v>
      </c>
      <c r="AF62" s="7">
        <f t="shared" si="8"/>
        <v>-30.488059175893795</v>
      </c>
    </row>
    <row r="63" spans="2:32" x14ac:dyDescent="0.25">
      <c r="B63" s="17">
        <v>6343100003</v>
      </c>
      <c r="C63" s="193" t="s">
        <v>13</v>
      </c>
      <c r="D63" s="193" t="s">
        <v>52</v>
      </c>
      <c r="E63" s="193" t="s">
        <v>68</v>
      </c>
      <c r="F63" s="163" t="s">
        <v>190</v>
      </c>
      <c r="G63" s="3">
        <f>+IF(F63="Pasajero",'2.2 OPEX LAP 2023'!I64*'2.1 OPEX TUUA'!$G$7,'2.2 OPEX LAP 2023'!I64*'2.1 OPEX TUUA'!$G$8)</f>
        <v>0</v>
      </c>
      <c r="H63" s="3">
        <f>+IF(F63="Pasajero",'2.2 OPEX LAP 2023'!J64*'2.1 OPEX TUUA'!$H$7,'2.2 OPEX LAP 2023'!J64*'2.1 OPEX TUUA'!$H$8)</f>
        <v>0</v>
      </c>
      <c r="I63" s="3">
        <f>+IF(F63="Pasajero",'2.2 OPEX LAP 2023'!K64*'2.1 OPEX TUUA'!$I$7,'2.2 OPEX LAP 2023'!K64*'2.1 OPEX TUUA'!$I$8)</f>
        <v>0</v>
      </c>
      <c r="J63" s="3">
        <f>+IF(F63="Pasajero",'2.2 OPEX LAP 2023'!L64*'2.1 OPEX TUUA'!$J$7,'2.2 OPEX LAP 2023'!L64*'2.1 OPEX TUUA'!$J$8)</f>
        <v>0</v>
      </c>
      <c r="K63" s="3">
        <f>+IF(F63="Pasajero",'2.2 OPEX LAP 2023'!M64*'2.1 OPEX TUUA'!$K$7,'2.2 OPEX LAP 2023'!M64*'2.1 OPEX TUUA'!$K$8)</f>
        <v>0</v>
      </c>
      <c r="L63" s="3">
        <f>+IF(F63="Pasajero",'2.2 OPEX LAP 2023'!N64*'2.1 OPEX TUUA'!$L$7,'2.2 OPEX LAP 2023'!N64*'2.1 OPEX TUUA'!$L$8)</f>
        <v>0</v>
      </c>
      <c r="M63" s="3"/>
      <c r="N63" s="3">
        <f>+IF(F63="Pasajero",'2.2 OPEX LAP 2023'!I64*'2.1 OPEX TUUA'!$N$7,'2.2 OPEX LAP 2023'!I64*'2.1 OPEX TUUA'!$N$8)</f>
        <v>0</v>
      </c>
      <c r="O63" s="3">
        <f>+IF(F63="Pasajero",'2.2 OPEX LAP 2023'!J64*'2.1 OPEX TUUA'!$O$7,'2.2 OPEX LAP 2023'!J64*'2.1 OPEX TUUA'!$O$8)</f>
        <v>0</v>
      </c>
      <c r="P63" s="3">
        <f>+IF(F63="Pasajero",'2.2 OPEX LAP 2023'!K64*'2.1 OPEX TUUA'!$P$7,'2.2 OPEX LAP 2023'!K64*'2.1 OPEX TUUA'!$P$8)</f>
        <v>0</v>
      </c>
      <c r="Q63" s="3">
        <f>+IF(F63="Pasajero",'2.2 OPEX LAP 2023'!L64*'2.1 OPEX TUUA'!$Q$7,'2.2 OPEX LAP 2023'!L64*'2.1 OPEX TUUA'!$Q$8)</f>
        <v>0</v>
      </c>
      <c r="R63" s="3">
        <f>+IF(F63="Pasajero",'2.2 OPEX LAP 2023'!M64*'2.1 OPEX TUUA'!$R$7,'2.2 OPEX LAP 2023'!M64*'2.1 OPEX TUUA'!$R$8)</f>
        <v>0</v>
      </c>
      <c r="S63" s="3">
        <f>+IF(F63="Pasajero",'2.2 OPEX LAP 2023'!N64*'2.1 OPEX TUUA'!$S$7,'2.2 OPEX LAP 2023'!N64*'2.1 OPEX TUUA'!$S$8)</f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7">
        <f t="shared" si="3"/>
        <v>0</v>
      </c>
      <c r="AB63" s="7">
        <f t="shared" si="4"/>
        <v>0</v>
      </c>
      <c r="AC63" s="7">
        <f t="shared" si="5"/>
        <v>0</v>
      </c>
      <c r="AD63" s="7">
        <f t="shared" si="6"/>
        <v>0</v>
      </c>
      <c r="AE63" s="7">
        <f t="shared" si="7"/>
        <v>0</v>
      </c>
      <c r="AF63" s="7">
        <f t="shared" si="8"/>
        <v>0</v>
      </c>
    </row>
    <row r="64" spans="2:32" x14ac:dyDescent="0.25">
      <c r="B64" s="17">
        <v>6343100004</v>
      </c>
      <c r="C64" s="193" t="s">
        <v>13</v>
      </c>
      <c r="D64" s="193" t="s">
        <v>52</v>
      </c>
      <c r="E64" s="193" t="s">
        <v>69</v>
      </c>
      <c r="F64" s="163" t="s">
        <v>190</v>
      </c>
      <c r="G64" s="3">
        <f>+IF(F64="Pasajero",'2.2 OPEX LAP 2023'!I65*'2.1 OPEX TUUA'!$G$7,'2.2 OPEX LAP 2023'!I65*'2.1 OPEX TUUA'!$G$8)</f>
        <v>0</v>
      </c>
      <c r="H64" s="3">
        <f>+IF(F64="Pasajero",'2.2 OPEX LAP 2023'!J65*'2.1 OPEX TUUA'!$H$7,'2.2 OPEX LAP 2023'!J65*'2.1 OPEX TUUA'!$H$8)</f>
        <v>0</v>
      </c>
      <c r="I64" s="3">
        <f>+IF(F64="Pasajero",'2.2 OPEX LAP 2023'!K65*'2.1 OPEX TUUA'!$I$7,'2.2 OPEX LAP 2023'!K65*'2.1 OPEX TUUA'!$I$8)</f>
        <v>0</v>
      </c>
      <c r="J64" s="3">
        <f>+IF(F64="Pasajero",'2.2 OPEX LAP 2023'!L65*'2.1 OPEX TUUA'!$J$7,'2.2 OPEX LAP 2023'!L65*'2.1 OPEX TUUA'!$J$8)</f>
        <v>0</v>
      </c>
      <c r="K64" s="3">
        <f>+IF(F64="Pasajero",'2.2 OPEX LAP 2023'!M65*'2.1 OPEX TUUA'!$K$7,'2.2 OPEX LAP 2023'!M65*'2.1 OPEX TUUA'!$K$8)</f>
        <v>0</v>
      </c>
      <c r="L64" s="3">
        <f>+IF(F64="Pasajero",'2.2 OPEX LAP 2023'!N65*'2.1 OPEX TUUA'!$L$7,'2.2 OPEX LAP 2023'!N65*'2.1 OPEX TUUA'!$L$8)</f>
        <v>0</v>
      </c>
      <c r="M64" s="3"/>
      <c r="N64" s="3">
        <f>+IF(F64="Pasajero",'2.2 OPEX LAP 2023'!I65*'2.1 OPEX TUUA'!$N$7,'2.2 OPEX LAP 2023'!I65*'2.1 OPEX TUUA'!$N$8)</f>
        <v>0</v>
      </c>
      <c r="O64" s="3">
        <f>+IF(F64="Pasajero",'2.2 OPEX LAP 2023'!J65*'2.1 OPEX TUUA'!$O$7,'2.2 OPEX LAP 2023'!J65*'2.1 OPEX TUUA'!$O$8)</f>
        <v>0</v>
      </c>
      <c r="P64" s="3">
        <f>+IF(F64="Pasajero",'2.2 OPEX LAP 2023'!K65*'2.1 OPEX TUUA'!$P$7,'2.2 OPEX LAP 2023'!K65*'2.1 OPEX TUUA'!$P$8)</f>
        <v>0</v>
      </c>
      <c r="Q64" s="3">
        <f>+IF(F64="Pasajero",'2.2 OPEX LAP 2023'!L65*'2.1 OPEX TUUA'!$Q$7,'2.2 OPEX LAP 2023'!L65*'2.1 OPEX TUUA'!$Q$8)</f>
        <v>0</v>
      </c>
      <c r="R64" s="3">
        <f>+IF(F64="Pasajero",'2.2 OPEX LAP 2023'!M65*'2.1 OPEX TUUA'!$R$7,'2.2 OPEX LAP 2023'!M65*'2.1 OPEX TUUA'!$R$8)</f>
        <v>0</v>
      </c>
      <c r="S64" s="3">
        <f>+IF(F64="Pasajero",'2.2 OPEX LAP 2023'!N65*'2.1 OPEX TUUA'!$S$7,'2.2 OPEX LAP 2023'!N65*'2.1 OPEX TUUA'!$S$8)</f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7">
        <f t="shared" si="3"/>
        <v>0</v>
      </c>
      <c r="AB64" s="7">
        <f t="shared" si="4"/>
        <v>0</v>
      </c>
      <c r="AC64" s="7">
        <f t="shared" si="5"/>
        <v>0</v>
      </c>
      <c r="AD64" s="7">
        <f t="shared" si="6"/>
        <v>0</v>
      </c>
      <c r="AE64" s="7">
        <f t="shared" si="7"/>
        <v>0</v>
      </c>
      <c r="AF64" s="7">
        <f t="shared" si="8"/>
        <v>0</v>
      </c>
    </row>
    <row r="65" spans="2:32" x14ac:dyDescent="0.25">
      <c r="B65" s="17">
        <v>6343100005</v>
      </c>
      <c r="C65" s="193" t="s">
        <v>13</v>
      </c>
      <c r="D65" s="193" t="s">
        <v>52</v>
      </c>
      <c r="E65" s="193" t="s">
        <v>70</v>
      </c>
      <c r="F65" s="163" t="s">
        <v>190</v>
      </c>
      <c r="G65" s="3">
        <f>+IF(F65="Pasajero",'2.2 OPEX LAP 2023'!I66*'2.1 OPEX TUUA'!$G$7,'2.2 OPEX LAP 2023'!I66*'2.1 OPEX TUUA'!$G$8)</f>
        <v>0</v>
      </c>
      <c r="H65" s="3">
        <f>+IF(F65="Pasajero",'2.2 OPEX LAP 2023'!J66*'2.1 OPEX TUUA'!$H$7,'2.2 OPEX LAP 2023'!J66*'2.1 OPEX TUUA'!$H$8)</f>
        <v>0</v>
      </c>
      <c r="I65" s="3">
        <f>+IF(F65="Pasajero",'2.2 OPEX LAP 2023'!K66*'2.1 OPEX TUUA'!$I$7,'2.2 OPEX LAP 2023'!K66*'2.1 OPEX TUUA'!$I$8)</f>
        <v>0</v>
      </c>
      <c r="J65" s="3">
        <f>+IF(F65="Pasajero",'2.2 OPEX LAP 2023'!L66*'2.1 OPEX TUUA'!$J$7,'2.2 OPEX LAP 2023'!L66*'2.1 OPEX TUUA'!$J$8)</f>
        <v>0</v>
      </c>
      <c r="K65" s="3">
        <f>+IF(F65="Pasajero",'2.2 OPEX LAP 2023'!M66*'2.1 OPEX TUUA'!$K$7,'2.2 OPEX LAP 2023'!M66*'2.1 OPEX TUUA'!$K$8)</f>
        <v>0</v>
      </c>
      <c r="L65" s="3">
        <f>+IF(F65="Pasajero",'2.2 OPEX LAP 2023'!N66*'2.1 OPEX TUUA'!$L$7,'2.2 OPEX LAP 2023'!N66*'2.1 OPEX TUUA'!$L$8)</f>
        <v>0</v>
      </c>
      <c r="M65" s="3"/>
      <c r="N65" s="3">
        <f>+IF(F65="Pasajero",'2.2 OPEX LAP 2023'!I66*'2.1 OPEX TUUA'!$N$7,'2.2 OPEX LAP 2023'!I66*'2.1 OPEX TUUA'!$N$8)</f>
        <v>0</v>
      </c>
      <c r="O65" s="3">
        <f>+IF(F65="Pasajero",'2.2 OPEX LAP 2023'!J66*'2.1 OPEX TUUA'!$O$7,'2.2 OPEX LAP 2023'!J66*'2.1 OPEX TUUA'!$O$8)</f>
        <v>0</v>
      </c>
      <c r="P65" s="3">
        <f>+IF(F65="Pasajero",'2.2 OPEX LAP 2023'!K66*'2.1 OPEX TUUA'!$P$7,'2.2 OPEX LAP 2023'!K66*'2.1 OPEX TUUA'!$P$8)</f>
        <v>0</v>
      </c>
      <c r="Q65" s="3">
        <f>+IF(F65="Pasajero",'2.2 OPEX LAP 2023'!L66*'2.1 OPEX TUUA'!$Q$7,'2.2 OPEX LAP 2023'!L66*'2.1 OPEX TUUA'!$Q$8)</f>
        <v>0</v>
      </c>
      <c r="R65" s="3">
        <f>+IF(F65="Pasajero",'2.2 OPEX LAP 2023'!M66*'2.1 OPEX TUUA'!$R$7,'2.2 OPEX LAP 2023'!M66*'2.1 OPEX TUUA'!$R$8)</f>
        <v>0</v>
      </c>
      <c r="S65" s="3">
        <f>+IF(F65="Pasajero",'2.2 OPEX LAP 2023'!N66*'2.1 OPEX TUUA'!$S$7,'2.2 OPEX LAP 2023'!N66*'2.1 OPEX TUUA'!$S$8)</f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7">
        <f t="shared" si="3"/>
        <v>0</v>
      </c>
      <c r="AB65" s="7">
        <f t="shared" si="4"/>
        <v>0</v>
      </c>
      <c r="AC65" s="7">
        <f t="shared" si="5"/>
        <v>0</v>
      </c>
      <c r="AD65" s="7">
        <f t="shared" si="6"/>
        <v>0</v>
      </c>
      <c r="AE65" s="7">
        <f t="shared" si="7"/>
        <v>0</v>
      </c>
      <c r="AF65" s="7">
        <f t="shared" si="8"/>
        <v>0</v>
      </c>
    </row>
    <row r="66" spans="2:32" x14ac:dyDescent="0.25">
      <c r="B66" s="17">
        <v>6343100006</v>
      </c>
      <c r="C66" s="193" t="s">
        <v>13</v>
      </c>
      <c r="D66" s="193" t="s">
        <v>52</v>
      </c>
      <c r="E66" s="193" t="s">
        <v>71</v>
      </c>
      <c r="F66" s="163" t="s">
        <v>190</v>
      </c>
      <c r="G66" s="3">
        <f>+IF(F66="Pasajero",'2.2 OPEX LAP 2023'!I67*'2.1 OPEX TUUA'!$G$7,'2.2 OPEX LAP 2023'!I67*'2.1 OPEX TUUA'!$G$8)</f>
        <v>0</v>
      </c>
      <c r="H66" s="3">
        <f>+IF(F66="Pasajero",'2.2 OPEX LAP 2023'!J67*'2.1 OPEX TUUA'!$H$7,'2.2 OPEX LAP 2023'!J67*'2.1 OPEX TUUA'!$H$8)</f>
        <v>0</v>
      </c>
      <c r="I66" s="3">
        <f>+IF(F66="Pasajero",'2.2 OPEX LAP 2023'!K67*'2.1 OPEX TUUA'!$I$7,'2.2 OPEX LAP 2023'!K67*'2.1 OPEX TUUA'!$I$8)</f>
        <v>0</v>
      </c>
      <c r="J66" s="3">
        <f>+IF(F66="Pasajero",'2.2 OPEX LAP 2023'!L67*'2.1 OPEX TUUA'!$J$7,'2.2 OPEX LAP 2023'!L67*'2.1 OPEX TUUA'!$J$8)</f>
        <v>0</v>
      </c>
      <c r="K66" s="3">
        <f>+IF(F66="Pasajero",'2.2 OPEX LAP 2023'!M67*'2.1 OPEX TUUA'!$K$7,'2.2 OPEX LAP 2023'!M67*'2.1 OPEX TUUA'!$K$8)</f>
        <v>0</v>
      </c>
      <c r="L66" s="3">
        <f>+IF(F66="Pasajero",'2.2 OPEX LAP 2023'!N67*'2.1 OPEX TUUA'!$L$7,'2.2 OPEX LAP 2023'!N67*'2.1 OPEX TUUA'!$L$8)</f>
        <v>0</v>
      </c>
      <c r="M66" s="3"/>
      <c r="N66" s="3">
        <f>+IF(F66="Pasajero",'2.2 OPEX LAP 2023'!I67*'2.1 OPEX TUUA'!$N$7,'2.2 OPEX LAP 2023'!I67*'2.1 OPEX TUUA'!$N$8)</f>
        <v>0</v>
      </c>
      <c r="O66" s="3">
        <f>+IF(F66="Pasajero",'2.2 OPEX LAP 2023'!J67*'2.1 OPEX TUUA'!$O$7,'2.2 OPEX LAP 2023'!J67*'2.1 OPEX TUUA'!$O$8)</f>
        <v>0</v>
      </c>
      <c r="P66" s="3">
        <f>+IF(F66="Pasajero",'2.2 OPEX LAP 2023'!K67*'2.1 OPEX TUUA'!$P$7,'2.2 OPEX LAP 2023'!K67*'2.1 OPEX TUUA'!$P$8)</f>
        <v>0</v>
      </c>
      <c r="Q66" s="3">
        <f>+IF(F66="Pasajero",'2.2 OPEX LAP 2023'!L67*'2.1 OPEX TUUA'!$Q$7,'2.2 OPEX LAP 2023'!L67*'2.1 OPEX TUUA'!$Q$8)</f>
        <v>0</v>
      </c>
      <c r="R66" s="3">
        <f>+IF(F66="Pasajero",'2.2 OPEX LAP 2023'!M67*'2.1 OPEX TUUA'!$R$7,'2.2 OPEX LAP 2023'!M67*'2.1 OPEX TUUA'!$R$8)</f>
        <v>0</v>
      </c>
      <c r="S66" s="3">
        <f>+IF(F66="Pasajero",'2.2 OPEX LAP 2023'!N67*'2.1 OPEX TUUA'!$S$7,'2.2 OPEX LAP 2023'!N67*'2.1 OPEX TUUA'!$S$8)</f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7">
        <f t="shared" si="3"/>
        <v>0</v>
      </c>
      <c r="AB66" s="7">
        <f t="shared" si="4"/>
        <v>0</v>
      </c>
      <c r="AC66" s="7">
        <f t="shared" si="5"/>
        <v>0</v>
      </c>
      <c r="AD66" s="7">
        <f t="shared" si="6"/>
        <v>0</v>
      </c>
      <c r="AE66" s="7">
        <f t="shared" si="7"/>
        <v>0</v>
      </c>
      <c r="AF66" s="7">
        <f t="shared" si="8"/>
        <v>0</v>
      </c>
    </row>
    <row r="67" spans="2:32" x14ac:dyDescent="0.25">
      <c r="B67" s="17">
        <v>6343100007</v>
      </c>
      <c r="C67" s="193" t="s">
        <v>13</v>
      </c>
      <c r="D67" s="193" t="s">
        <v>52</v>
      </c>
      <c r="E67" s="193" t="s">
        <v>72</v>
      </c>
      <c r="F67" s="163" t="s">
        <v>190</v>
      </c>
      <c r="G67" s="3">
        <f>+IF(F67="Pasajero",'2.2 OPEX LAP 2023'!I68*'2.1 OPEX TUUA'!$G$7,'2.2 OPEX LAP 2023'!I68*'2.1 OPEX TUUA'!$G$8)</f>
        <v>6274.8590763487573</v>
      </c>
      <c r="H67" s="3">
        <f>+IF(F67="Pasajero",'2.2 OPEX LAP 2023'!J68*'2.1 OPEX TUUA'!$H$7,'2.2 OPEX LAP 2023'!J68*'2.1 OPEX TUUA'!$H$8)</f>
        <v>7360.4415931695667</v>
      </c>
      <c r="I67" s="3">
        <f>+IF(F67="Pasajero",'2.2 OPEX LAP 2023'!K68*'2.1 OPEX TUUA'!$I$7,'2.2 OPEX LAP 2023'!K68*'2.1 OPEX TUUA'!$I$8)</f>
        <v>8274.3074071173487</v>
      </c>
      <c r="J67" s="3">
        <f>+IF(F67="Pasajero",'2.2 OPEX LAP 2023'!L68*'2.1 OPEX TUUA'!$J$7,'2.2 OPEX LAP 2023'!L68*'2.1 OPEX TUUA'!$J$8)</f>
        <v>8766.7635207801995</v>
      </c>
      <c r="K67" s="3">
        <f>+IF(F67="Pasajero",'2.2 OPEX LAP 2023'!M68*'2.1 OPEX TUUA'!$K$7,'2.2 OPEX LAP 2023'!M68*'2.1 OPEX TUUA'!$K$8)</f>
        <v>9126.5719588086977</v>
      </c>
      <c r="L67" s="3">
        <f>+IF(F67="Pasajero",'2.2 OPEX LAP 2023'!N68*'2.1 OPEX TUUA'!$L$7,'2.2 OPEX LAP 2023'!N68*'2.1 OPEX TUUA'!$L$8)</f>
        <v>9526.3260919872737</v>
      </c>
      <c r="M67" s="3"/>
      <c r="N67" s="3">
        <f>+IF(F67="Pasajero",'2.2 OPEX LAP 2023'!I68*'2.1 OPEX TUUA'!$N$7,'2.2 OPEX LAP 2023'!I68*'2.1 OPEX TUUA'!$N$8)</f>
        <v>3094.8685741774902</v>
      </c>
      <c r="O67" s="3">
        <f>+IF(F67="Pasajero",'2.2 OPEX LAP 2023'!J68*'2.1 OPEX TUUA'!$O$7,'2.2 OPEX LAP 2023'!J68*'2.1 OPEX TUUA'!$O$8)</f>
        <v>3048.4242337231499</v>
      </c>
      <c r="P67" s="3">
        <f>+IF(F67="Pasajero",'2.2 OPEX LAP 2023'!K68*'2.1 OPEX TUUA'!$P$7,'2.2 OPEX LAP 2023'!K68*'2.1 OPEX TUUA'!$P$8)</f>
        <v>3029.4612184085859</v>
      </c>
      <c r="Q67" s="3">
        <f>+IF(F67="Pasajero",'2.2 OPEX LAP 2023'!L68*'2.1 OPEX TUUA'!$Q$7,'2.2 OPEX LAP 2023'!L68*'2.1 OPEX TUUA'!$Q$8)</f>
        <v>3009.7254794391838</v>
      </c>
      <c r="R67" s="3">
        <f>+IF(F67="Pasajero",'2.2 OPEX LAP 2023'!M68*'2.1 OPEX TUUA'!$R$7,'2.2 OPEX LAP 2023'!M68*'2.1 OPEX TUUA'!$R$8)</f>
        <v>3025.8744880385466</v>
      </c>
      <c r="S67" s="3">
        <f>+IF(F67="Pasajero",'2.2 OPEX LAP 2023'!N68*'2.1 OPEX TUUA'!$S$7,'2.2 OPEX LAP 2023'!N68*'2.1 OPEX TUUA'!$S$8)</f>
        <v>3027.8059533334749</v>
      </c>
      <c r="U67" s="1">
        <v>6393.4228618687976</v>
      </c>
      <c r="V67" s="1">
        <v>7499.517516272711</v>
      </c>
      <c r="W67" s="1">
        <v>8430.6508718561927</v>
      </c>
      <c r="X67" s="1">
        <v>8932.4119691573887</v>
      </c>
      <c r="Y67" s="1">
        <v>9299.0190061592912</v>
      </c>
      <c r="Z67" s="1">
        <v>9706.3265142790788</v>
      </c>
      <c r="AA67" s="7">
        <f t="shared" si="3"/>
        <v>-118.56378552004026</v>
      </c>
      <c r="AB67" s="7">
        <f t="shared" si="4"/>
        <v>-139.07592310314431</v>
      </c>
      <c r="AC67" s="7">
        <f t="shared" si="5"/>
        <v>-156.34346473884398</v>
      </c>
      <c r="AD67" s="7">
        <f t="shared" si="6"/>
        <v>-165.6484483771892</v>
      </c>
      <c r="AE67" s="7">
        <f t="shared" si="7"/>
        <v>-172.44704735059349</v>
      </c>
      <c r="AF67" s="7">
        <f t="shared" si="8"/>
        <v>-180.00042229180508</v>
      </c>
    </row>
    <row r="68" spans="2:32" x14ac:dyDescent="0.25">
      <c r="B68" s="17">
        <v>6343100008</v>
      </c>
      <c r="C68" s="193" t="s">
        <v>13</v>
      </c>
      <c r="D68" s="193" t="s">
        <v>52</v>
      </c>
      <c r="E68" s="193" t="s">
        <v>73</v>
      </c>
      <c r="F68" s="163" t="s">
        <v>190</v>
      </c>
      <c r="G68" s="3">
        <f>+IF(F68="Pasajero",'2.2 OPEX LAP 2023'!I69*'2.1 OPEX TUUA'!$G$7,'2.2 OPEX LAP 2023'!I69*'2.1 OPEX TUUA'!$G$8)</f>
        <v>1204.7000094691987</v>
      </c>
      <c r="H68" s="3">
        <f>+IF(F68="Pasajero",'2.2 OPEX LAP 2023'!J69*'2.1 OPEX TUUA'!$H$7,'2.2 OPEX LAP 2023'!J69*'2.1 OPEX TUUA'!$H$8)</f>
        <v>1413.1192348862285</v>
      </c>
      <c r="I68" s="3">
        <f>+IF(F68="Pasajero",'2.2 OPEX LAP 2023'!K69*'2.1 OPEX TUUA'!$I$7,'2.2 OPEX LAP 2023'!K69*'2.1 OPEX TUUA'!$I$8)</f>
        <v>1588.5708492286315</v>
      </c>
      <c r="J68" s="3">
        <f>+IF(F68="Pasajero",'2.2 OPEX LAP 2023'!L69*'2.1 OPEX TUUA'!$J$7,'2.2 OPEX LAP 2023'!L69*'2.1 OPEX TUUA'!$J$8)</f>
        <v>1683.1166991950361</v>
      </c>
      <c r="K68" s="3">
        <f>+IF(F68="Pasajero",'2.2 OPEX LAP 2023'!M69*'2.1 OPEX TUUA'!$K$7,'2.2 OPEX LAP 2023'!M69*'2.1 OPEX TUUA'!$K$8)</f>
        <v>1752.1957372142062</v>
      </c>
      <c r="L68" s="3">
        <f>+IF(F68="Pasajero",'2.2 OPEX LAP 2023'!N69*'2.1 OPEX TUUA'!$L$7,'2.2 OPEX LAP 2023'!N69*'2.1 OPEX TUUA'!$L$8)</f>
        <v>1828.943884410176</v>
      </c>
      <c r="M68" s="3"/>
      <c r="N68" s="3">
        <f>+IF(F68="Pasajero",'2.2 OPEX LAP 2023'!I69*'2.1 OPEX TUUA'!$N$7,'2.2 OPEX LAP 2023'!I69*'2.1 OPEX TUUA'!$N$8)</f>
        <v>594.17879433669123</v>
      </c>
      <c r="O68" s="3">
        <f>+IF(F68="Pasajero",'2.2 OPEX LAP 2023'!J69*'2.1 OPEX TUUA'!$O$7,'2.2 OPEX LAP 2023'!J69*'2.1 OPEX TUUA'!$O$8)</f>
        <v>585.26202079574796</v>
      </c>
      <c r="P68" s="3">
        <f>+IF(F68="Pasajero",'2.2 OPEX LAP 2023'!K69*'2.1 OPEX TUUA'!$P$7,'2.2 OPEX LAP 2023'!K69*'2.1 OPEX TUUA'!$P$8)</f>
        <v>581.62134226399792</v>
      </c>
      <c r="Q68" s="3">
        <f>+IF(F68="Pasajero",'2.2 OPEX LAP 2023'!L69*'2.1 OPEX TUUA'!$Q$7,'2.2 OPEX LAP 2023'!L69*'2.1 OPEX TUUA'!$Q$8)</f>
        <v>577.83230977194796</v>
      </c>
      <c r="R68" s="3">
        <f>+IF(F68="Pasajero",'2.2 OPEX LAP 2023'!M69*'2.1 OPEX TUUA'!$R$7,'2.2 OPEX LAP 2023'!M69*'2.1 OPEX TUUA'!$R$8)</f>
        <v>580.93273172180477</v>
      </c>
      <c r="S68" s="3">
        <f>+IF(F68="Pasajero",'2.2 OPEX LAP 2023'!N69*'2.1 OPEX TUUA'!$S$7,'2.2 OPEX LAP 2023'!N69*'2.1 OPEX TUUA'!$S$8)</f>
        <v>581.30355060885518</v>
      </c>
      <c r="U68" s="1">
        <v>1227.4628782126686</v>
      </c>
      <c r="V68" s="1">
        <v>1439.8201956314356</v>
      </c>
      <c r="W68" s="1">
        <v>1618.5869772658732</v>
      </c>
      <c r="X68" s="1">
        <v>1714.9192759382699</v>
      </c>
      <c r="Y68" s="1">
        <v>1785.303565939673</v>
      </c>
      <c r="Z68" s="1">
        <v>1863.5018733308737</v>
      </c>
      <c r="AA68" s="7">
        <f t="shared" si="3"/>
        <v>-22.76286874346988</v>
      </c>
      <c r="AB68" s="7">
        <f t="shared" si="4"/>
        <v>-26.700960745207112</v>
      </c>
      <c r="AC68" s="7">
        <f t="shared" si="5"/>
        <v>-30.016128037241742</v>
      </c>
      <c r="AD68" s="7">
        <f t="shared" si="6"/>
        <v>-31.802576743233885</v>
      </c>
      <c r="AE68" s="7">
        <f t="shared" si="7"/>
        <v>-33.107828725466788</v>
      </c>
      <c r="AF68" s="7">
        <f t="shared" si="8"/>
        <v>-34.557988920697653</v>
      </c>
    </row>
    <row r="69" spans="2:32" x14ac:dyDescent="0.25">
      <c r="B69" s="17">
        <v>6343100009</v>
      </c>
      <c r="C69" s="193" t="s">
        <v>13</v>
      </c>
      <c r="D69" s="193" t="s">
        <v>52</v>
      </c>
      <c r="E69" s="193" t="s">
        <v>74</v>
      </c>
      <c r="F69" s="163" t="s">
        <v>190</v>
      </c>
      <c r="G69" s="3">
        <f>+IF(F69="Pasajero",'2.2 OPEX LAP 2023'!I70*'2.1 OPEX TUUA'!$G$7,'2.2 OPEX LAP 2023'!I70*'2.1 OPEX TUUA'!$G$8)</f>
        <v>0</v>
      </c>
      <c r="H69" s="3">
        <f>+IF(F69="Pasajero",'2.2 OPEX LAP 2023'!J70*'2.1 OPEX TUUA'!$H$7,'2.2 OPEX LAP 2023'!J70*'2.1 OPEX TUUA'!$H$8)</f>
        <v>0</v>
      </c>
      <c r="I69" s="3">
        <f>+IF(F69="Pasajero",'2.2 OPEX LAP 2023'!K70*'2.1 OPEX TUUA'!$I$7,'2.2 OPEX LAP 2023'!K70*'2.1 OPEX TUUA'!$I$8)</f>
        <v>0</v>
      </c>
      <c r="J69" s="3">
        <f>+IF(F69="Pasajero",'2.2 OPEX LAP 2023'!L70*'2.1 OPEX TUUA'!$J$7,'2.2 OPEX LAP 2023'!L70*'2.1 OPEX TUUA'!$J$8)</f>
        <v>0</v>
      </c>
      <c r="K69" s="3">
        <f>+IF(F69="Pasajero",'2.2 OPEX LAP 2023'!M70*'2.1 OPEX TUUA'!$K$7,'2.2 OPEX LAP 2023'!M70*'2.1 OPEX TUUA'!$K$8)</f>
        <v>0</v>
      </c>
      <c r="L69" s="3">
        <f>+IF(F69="Pasajero",'2.2 OPEX LAP 2023'!N70*'2.1 OPEX TUUA'!$L$7,'2.2 OPEX LAP 2023'!N70*'2.1 OPEX TUUA'!$L$8)</f>
        <v>0</v>
      </c>
      <c r="M69" s="3"/>
      <c r="N69" s="3">
        <f>+IF(F69="Pasajero",'2.2 OPEX LAP 2023'!I70*'2.1 OPEX TUUA'!$N$7,'2.2 OPEX LAP 2023'!I70*'2.1 OPEX TUUA'!$N$8)</f>
        <v>0</v>
      </c>
      <c r="O69" s="3">
        <f>+IF(F69="Pasajero",'2.2 OPEX LAP 2023'!J70*'2.1 OPEX TUUA'!$O$7,'2.2 OPEX LAP 2023'!J70*'2.1 OPEX TUUA'!$O$8)</f>
        <v>0</v>
      </c>
      <c r="P69" s="3">
        <f>+IF(F69="Pasajero",'2.2 OPEX LAP 2023'!K70*'2.1 OPEX TUUA'!$P$7,'2.2 OPEX LAP 2023'!K70*'2.1 OPEX TUUA'!$P$8)</f>
        <v>0</v>
      </c>
      <c r="Q69" s="3">
        <f>+IF(F69="Pasajero",'2.2 OPEX LAP 2023'!L70*'2.1 OPEX TUUA'!$Q$7,'2.2 OPEX LAP 2023'!L70*'2.1 OPEX TUUA'!$Q$8)</f>
        <v>0</v>
      </c>
      <c r="R69" s="3">
        <f>+IF(F69="Pasajero",'2.2 OPEX LAP 2023'!M70*'2.1 OPEX TUUA'!$R$7,'2.2 OPEX LAP 2023'!M70*'2.1 OPEX TUUA'!$R$8)</f>
        <v>0</v>
      </c>
      <c r="S69" s="3">
        <f>+IF(F69="Pasajero",'2.2 OPEX LAP 2023'!N70*'2.1 OPEX TUUA'!$S$7,'2.2 OPEX LAP 2023'!N70*'2.1 OPEX TUUA'!$S$8)</f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7">
        <f t="shared" si="3"/>
        <v>0</v>
      </c>
      <c r="AB69" s="7">
        <f t="shared" si="4"/>
        <v>0</v>
      </c>
      <c r="AC69" s="7">
        <f t="shared" si="5"/>
        <v>0</v>
      </c>
      <c r="AD69" s="7">
        <f t="shared" si="6"/>
        <v>0</v>
      </c>
      <c r="AE69" s="7">
        <f t="shared" si="7"/>
        <v>0</v>
      </c>
      <c r="AF69" s="7">
        <f t="shared" si="8"/>
        <v>0</v>
      </c>
    </row>
    <row r="70" spans="2:32" x14ac:dyDescent="0.25">
      <c r="B70" s="17">
        <v>6343100010</v>
      </c>
      <c r="C70" s="193" t="s">
        <v>13</v>
      </c>
      <c r="D70" s="193" t="s">
        <v>52</v>
      </c>
      <c r="E70" s="193" t="s">
        <v>75</v>
      </c>
      <c r="F70" s="163" t="s">
        <v>190</v>
      </c>
      <c r="G70" s="3">
        <f>+IF(F70="Pasajero",'2.2 OPEX LAP 2023'!I71*'2.1 OPEX TUUA'!$G$7,'2.2 OPEX LAP 2023'!I71*'2.1 OPEX TUUA'!$G$8)</f>
        <v>0</v>
      </c>
      <c r="H70" s="3">
        <f>+IF(F70="Pasajero",'2.2 OPEX LAP 2023'!J71*'2.1 OPEX TUUA'!$H$7,'2.2 OPEX LAP 2023'!J71*'2.1 OPEX TUUA'!$H$8)</f>
        <v>0</v>
      </c>
      <c r="I70" s="3">
        <f>+IF(F70="Pasajero",'2.2 OPEX LAP 2023'!K71*'2.1 OPEX TUUA'!$I$7,'2.2 OPEX LAP 2023'!K71*'2.1 OPEX TUUA'!$I$8)</f>
        <v>0</v>
      </c>
      <c r="J70" s="3">
        <f>+IF(F70="Pasajero",'2.2 OPEX LAP 2023'!L71*'2.1 OPEX TUUA'!$J$7,'2.2 OPEX LAP 2023'!L71*'2.1 OPEX TUUA'!$J$8)</f>
        <v>0</v>
      </c>
      <c r="K70" s="3">
        <f>+IF(F70="Pasajero",'2.2 OPEX LAP 2023'!M71*'2.1 OPEX TUUA'!$K$7,'2.2 OPEX LAP 2023'!M71*'2.1 OPEX TUUA'!$K$8)</f>
        <v>0</v>
      </c>
      <c r="L70" s="3">
        <f>+IF(F70="Pasajero",'2.2 OPEX LAP 2023'!N71*'2.1 OPEX TUUA'!$L$7,'2.2 OPEX LAP 2023'!N71*'2.1 OPEX TUUA'!$L$8)</f>
        <v>0</v>
      </c>
      <c r="M70" s="3"/>
      <c r="N70" s="3">
        <f>+IF(F70="Pasajero",'2.2 OPEX LAP 2023'!I71*'2.1 OPEX TUUA'!$N$7,'2.2 OPEX LAP 2023'!I71*'2.1 OPEX TUUA'!$N$8)</f>
        <v>0</v>
      </c>
      <c r="O70" s="3">
        <f>+IF(F70="Pasajero",'2.2 OPEX LAP 2023'!J71*'2.1 OPEX TUUA'!$O$7,'2.2 OPEX LAP 2023'!J71*'2.1 OPEX TUUA'!$O$8)</f>
        <v>0</v>
      </c>
      <c r="P70" s="3">
        <f>+IF(F70="Pasajero",'2.2 OPEX LAP 2023'!K71*'2.1 OPEX TUUA'!$P$7,'2.2 OPEX LAP 2023'!K71*'2.1 OPEX TUUA'!$P$8)</f>
        <v>0</v>
      </c>
      <c r="Q70" s="3">
        <f>+IF(F70="Pasajero",'2.2 OPEX LAP 2023'!L71*'2.1 OPEX TUUA'!$Q$7,'2.2 OPEX LAP 2023'!L71*'2.1 OPEX TUUA'!$Q$8)</f>
        <v>0</v>
      </c>
      <c r="R70" s="3">
        <f>+IF(F70="Pasajero",'2.2 OPEX LAP 2023'!M71*'2.1 OPEX TUUA'!$R$7,'2.2 OPEX LAP 2023'!M71*'2.1 OPEX TUUA'!$R$8)</f>
        <v>0</v>
      </c>
      <c r="S70" s="3">
        <f>+IF(F70="Pasajero",'2.2 OPEX LAP 2023'!N71*'2.1 OPEX TUUA'!$S$7,'2.2 OPEX LAP 2023'!N71*'2.1 OPEX TUUA'!$S$8)</f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7">
        <f t="shared" si="3"/>
        <v>0</v>
      </c>
      <c r="AB70" s="7">
        <f t="shared" si="4"/>
        <v>0</v>
      </c>
      <c r="AC70" s="7">
        <f t="shared" si="5"/>
        <v>0</v>
      </c>
      <c r="AD70" s="7">
        <f t="shared" si="6"/>
        <v>0</v>
      </c>
      <c r="AE70" s="7">
        <f t="shared" si="7"/>
        <v>0</v>
      </c>
      <c r="AF70" s="7">
        <f t="shared" si="8"/>
        <v>0</v>
      </c>
    </row>
    <row r="71" spans="2:32" x14ac:dyDescent="0.25">
      <c r="B71" s="17">
        <v>6343100011</v>
      </c>
      <c r="C71" s="193" t="s">
        <v>13</v>
      </c>
      <c r="D71" s="193" t="s">
        <v>52</v>
      </c>
      <c r="E71" s="193" t="s">
        <v>76</v>
      </c>
      <c r="F71" s="163" t="s">
        <v>190</v>
      </c>
      <c r="G71" s="3">
        <f>+IF(F71="Pasajero",'2.2 OPEX LAP 2023'!I72*'2.1 OPEX TUUA'!$G$7,'2.2 OPEX LAP 2023'!I72*'2.1 OPEX TUUA'!$G$8)</f>
        <v>0</v>
      </c>
      <c r="H71" s="3">
        <f>+IF(F71="Pasajero",'2.2 OPEX LAP 2023'!J72*'2.1 OPEX TUUA'!$H$7,'2.2 OPEX LAP 2023'!J72*'2.1 OPEX TUUA'!$H$8)</f>
        <v>0</v>
      </c>
      <c r="I71" s="3">
        <f>+IF(F71="Pasajero",'2.2 OPEX LAP 2023'!K72*'2.1 OPEX TUUA'!$I$7,'2.2 OPEX LAP 2023'!K72*'2.1 OPEX TUUA'!$I$8)</f>
        <v>0</v>
      </c>
      <c r="J71" s="3">
        <f>+IF(F71="Pasajero",'2.2 OPEX LAP 2023'!L72*'2.1 OPEX TUUA'!$J$7,'2.2 OPEX LAP 2023'!L72*'2.1 OPEX TUUA'!$J$8)</f>
        <v>0</v>
      </c>
      <c r="K71" s="3">
        <f>+IF(F71="Pasajero",'2.2 OPEX LAP 2023'!M72*'2.1 OPEX TUUA'!$K$7,'2.2 OPEX LAP 2023'!M72*'2.1 OPEX TUUA'!$K$8)</f>
        <v>0</v>
      </c>
      <c r="L71" s="3">
        <f>+IF(F71="Pasajero",'2.2 OPEX LAP 2023'!N72*'2.1 OPEX TUUA'!$L$7,'2.2 OPEX LAP 2023'!N72*'2.1 OPEX TUUA'!$L$8)</f>
        <v>0</v>
      </c>
      <c r="M71" s="3"/>
      <c r="N71" s="3">
        <f>+IF(F71="Pasajero",'2.2 OPEX LAP 2023'!I72*'2.1 OPEX TUUA'!$N$7,'2.2 OPEX LAP 2023'!I72*'2.1 OPEX TUUA'!$N$8)</f>
        <v>0</v>
      </c>
      <c r="O71" s="3">
        <f>+IF(F71="Pasajero",'2.2 OPEX LAP 2023'!J72*'2.1 OPEX TUUA'!$O$7,'2.2 OPEX LAP 2023'!J72*'2.1 OPEX TUUA'!$O$8)</f>
        <v>0</v>
      </c>
      <c r="P71" s="3">
        <f>+IF(F71="Pasajero",'2.2 OPEX LAP 2023'!K72*'2.1 OPEX TUUA'!$P$7,'2.2 OPEX LAP 2023'!K72*'2.1 OPEX TUUA'!$P$8)</f>
        <v>0</v>
      </c>
      <c r="Q71" s="3">
        <f>+IF(F71="Pasajero",'2.2 OPEX LAP 2023'!L72*'2.1 OPEX TUUA'!$Q$7,'2.2 OPEX LAP 2023'!L72*'2.1 OPEX TUUA'!$Q$8)</f>
        <v>0</v>
      </c>
      <c r="R71" s="3">
        <f>+IF(F71="Pasajero",'2.2 OPEX LAP 2023'!M72*'2.1 OPEX TUUA'!$R$7,'2.2 OPEX LAP 2023'!M72*'2.1 OPEX TUUA'!$R$8)</f>
        <v>0</v>
      </c>
      <c r="S71" s="3">
        <f>+IF(F71="Pasajero",'2.2 OPEX LAP 2023'!N72*'2.1 OPEX TUUA'!$S$7,'2.2 OPEX LAP 2023'!N72*'2.1 OPEX TUUA'!$S$8)</f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7">
        <f t="shared" si="3"/>
        <v>0</v>
      </c>
      <c r="AB71" s="7">
        <f t="shared" si="4"/>
        <v>0</v>
      </c>
      <c r="AC71" s="7">
        <f t="shared" si="5"/>
        <v>0</v>
      </c>
      <c r="AD71" s="7">
        <f t="shared" si="6"/>
        <v>0</v>
      </c>
      <c r="AE71" s="7">
        <f t="shared" si="7"/>
        <v>0</v>
      </c>
      <c r="AF71" s="7">
        <f t="shared" si="8"/>
        <v>0</v>
      </c>
    </row>
    <row r="72" spans="2:32" x14ac:dyDescent="0.25">
      <c r="B72" s="17">
        <v>6343100012</v>
      </c>
      <c r="C72" s="193" t="s">
        <v>13</v>
      </c>
      <c r="D72" s="193" t="s">
        <v>52</v>
      </c>
      <c r="E72" s="193" t="s">
        <v>77</v>
      </c>
      <c r="F72" s="163" t="s">
        <v>190</v>
      </c>
      <c r="G72" s="3">
        <f>+IF(F72="Pasajero",'2.2 OPEX LAP 2023'!I73*'2.1 OPEX TUUA'!$G$7,'2.2 OPEX LAP 2023'!I73*'2.1 OPEX TUUA'!$G$8)</f>
        <v>0</v>
      </c>
      <c r="H72" s="3">
        <f>+IF(F72="Pasajero",'2.2 OPEX LAP 2023'!J73*'2.1 OPEX TUUA'!$H$7,'2.2 OPEX LAP 2023'!J73*'2.1 OPEX TUUA'!$H$8)</f>
        <v>0</v>
      </c>
      <c r="I72" s="3">
        <f>+IF(F72="Pasajero",'2.2 OPEX LAP 2023'!K73*'2.1 OPEX TUUA'!$I$7,'2.2 OPEX LAP 2023'!K73*'2.1 OPEX TUUA'!$I$8)</f>
        <v>0</v>
      </c>
      <c r="J72" s="3">
        <f>+IF(F72="Pasajero",'2.2 OPEX LAP 2023'!L73*'2.1 OPEX TUUA'!$J$7,'2.2 OPEX LAP 2023'!L73*'2.1 OPEX TUUA'!$J$8)</f>
        <v>0</v>
      </c>
      <c r="K72" s="3">
        <f>+IF(F72="Pasajero",'2.2 OPEX LAP 2023'!M73*'2.1 OPEX TUUA'!$K$7,'2.2 OPEX LAP 2023'!M73*'2.1 OPEX TUUA'!$K$8)</f>
        <v>0</v>
      </c>
      <c r="L72" s="3">
        <f>+IF(F72="Pasajero",'2.2 OPEX LAP 2023'!N73*'2.1 OPEX TUUA'!$L$7,'2.2 OPEX LAP 2023'!N73*'2.1 OPEX TUUA'!$L$8)</f>
        <v>0</v>
      </c>
      <c r="M72" s="3"/>
      <c r="N72" s="3">
        <f>+IF(F72="Pasajero",'2.2 OPEX LAP 2023'!I73*'2.1 OPEX TUUA'!$N$7,'2.2 OPEX LAP 2023'!I73*'2.1 OPEX TUUA'!$N$8)</f>
        <v>0</v>
      </c>
      <c r="O72" s="3">
        <f>+IF(F72="Pasajero",'2.2 OPEX LAP 2023'!J73*'2.1 OPEX TUUA'!$O$7,'2.2 OPEX LAP 2023'!J73*'2.1 OPEX TUUA'!$O$8)</f>
        <v>0</v>
      </c>
      <c r="P72" s="3">
        <f>+IF(F72="Pasajero",'2.2 OPEX LAP 2023'!K73*'2.1 OPEX TUUA'!$P$7,'2.2 OPEX LAP 2023'!K73*'2.1 OPEX TUUA'!$P$8)</f>
        <v>0</v>
      </c>
      <c r="Q72" s="3">
        <f>+IF(F72="Pasajero",'2.2 OPEX LAP 2023'!L73*'2.1 OPEX TUUA'!$Q$7,'2.2 OPEX LAP 2023'!L73*'2.1 OPEX TUUA'!$Q$8)</f>
        <v>0</v>
      </c>
      <c r="R72" s="3">
        <f>+IF(F72="Pasajero",'2.2 OPEX LAP 2023'!M73*'2.1 OPEX TUUA'!$R$7,'2.2 OPEX LAP 2023'!M73*'2.1 OPEX TUUA'!$R$8)</f>
        <v>0</v>
      </c>
      <c r="S72" s="3">
        <f>+IF(F72="Pasajero",'2.2 OPEX LAP 2023'!N73*'2.1 OPEX TUUA'!$S$7,'2.2 OPEX LAP 2023'!N73*'2.1 OPEX TUUA'!$S$8)</f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7">
        <f t="shared" si="3"/>
        <v>0</v>
      </c>
      <c r="AB72" s="7">
        <f t="shared" si="4"/>
        <v>0</v>
      </c>
      <c r="AC72" s="7">
        <f t="shared" si="5"/>
        <v>0</v>
      </c>
      <c r="AD72" s="7">
        <f t="shared" si="6"/>
        <v>0</v>
      </c>
      <c r="AE72" s="7">
        <f t="shared" si="7"/>
        <v>0</v>
      </c>
      <c r="AF72" s="7">
        <f t="shared" si="8"/>
        <v>0</v>
      </c>
    </row>
    <row r="73" spans="2:32" x14ac:dyDescent="0.25">
      <c r="B73" s="17">
        <v>6343100013</v>
      </c>
      <c r="C73" s="193" t="s">
        <v>13</v>
      </c>
      <c r="D73" s="193" t="s">
        <v>52</v>
      </c>
      <c r="E73" s="193" t="s">
        <v>78</v>
      </c>
      <c r="F73" s="163" t="s">
        <v>190</v>
      </c>
      <c r="G73" s="3">
        <f>+IF(F73="Pasajero",'2.2 OPEX LAP 2023'!I74*'2.1 OPEX TUUA'!$G$7,'2.2 OPEX LAP 2023'!I74*'2.1 OPEX TUUA'!$G$8)</f>
        <v>0</v>
      </c>
      <c r="H73" s="3">
        <f>+IF(F73="Pasajero",'2.2 OPEX LAP 2023'!J74*'2.1 OPEX TUUA'!$H$7,'2.2 OPEX LAP 2023'!J74*'2.1 OPEX TUUA'!$H$8)</f>
        <v>0</v>
      </c>
      <c r="I73" s="3">
        <f>+IF(F73="Pasajero",'2.2 OPEX LAP 2023'!K74*'2.1 OPEX TUUA'!$I$7,'2.2 OPEX LAP 2023'!K74*'2.1 OPEX TUUA'!$I$8)</f>
        <v>0</v>
      </c>
      <c r="J73" s="3">
        <f>+IF(F73="Pasajero",'2.2 OPEX LAP 2023'!L74*'2.1 OPEX TUUA'!$J$7,'2.2 OPEX LAP 2023'!L74*'2.1 OPEX TUUA'!$J$8)</f>
        <v>0</v>
      </c>
      <c r="K73" s="3">
        <f>+IF(F73="Pasajero",'2.2 OPEX LAP 2023'!M74*'2.1 OPEX TUUA'!$K$7,'2.2 OPEX LAP 2023'!M74*'2.1 OPEX TUUA'!$K$8)</f>
        <v>0</v>
      </c>
      <c r="L73" s="3">
        <f>+IF(F73="Pasajero",'2.2 OPEX LAP 2023'!N74*'2.1 OPEX TUUA'!$L$7,'2.2 OPEX LAP 2023'!N74*'2.1 OPEX TUUA'!$L$8)</f>
        <v>0</v>
      </c>
      <c r="M73" s="3"/>
      <c r="N73" s="3">
        <f>+IF(F73="Pasajero",'2.2 OPEX LAP 2023'!I74*'2.1 OPEX TUUA'!$N$7,'2.2 OPEX LAP 2023'!I74*'2.1 OPEX TUUA'!$N$8)</f>
        <v>0</v>
      </c>
      <c r="O73" s="3">
        <f>+IF(F73="Pasajero",'2.2 OPEX LAP 2023'!J74*'2.1 OPEX TUUA'!$O$7,'2.2 OPEX LAP 2023'!J74*'2.1 OPEX TUUA'!$O$8)</f>
        <v>0</v>
      </c>
      <c r="P73" s="3">
        <f>+IF(F73="Pasajero",'2.2 OPEX LAP 2023'!K74*'2.1 OPEX TUUA'!$P$7,'2.2 OPEX LAP 2023'!K74*'2.1 OPEX TUUA'!$P$8)</f>
        <v>0</v>
      </c>
      <c r="Q73" s="3">
        <f>+IF(F73="Pasajero",'2.2 OPEX LAP 2023'!L74*'2.1 OPEX TUUA'!$Q$7,'2.2 OPEX LAP 2023'!L74*'2.1 OPEX TUUA'!$Q$8)</f>
        <v>0</v>
      </c>
      <c r="R73" s="3">
        <f>+IF(F73="Pasajero",'2.2 OPEX LAP 2023'!M74*'2.1 OPEX TUUA'!$R$7,'2.2 OPEX LAP 2023'!M74*'2.1 OPEX TUUA'!$R$8)</f>
        <v>0</v>
      </c>
      <c r="S73" s="3">
        <f>+IF(F73="Pasajero",'2.2 OPEX LAP 2023'!N74*'2.1 OPEX TUUA'!$S$7,'2.2 OPEX LAP 2023'!N74*'2.1 OPEX TUUA'!$S$8)</f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7">
        <f t="shared" si="3"/>
        <v>0</v>
      </c>
      <c r="AB73" s="7">
        <f t="shared" si="4"/>
        <v>0</v>
      </c>
      <c r="AC73" s="7">
        <f t="shared" si="5"/>
        <v>0</v>
      </c>
      <c r="AD73" s="7">
        <f t="shared" si="6"/>
        <v>0</v>
      </c>
      <c r="AE73" s="7">
        <f t="shared" si="7"/>
        <v>0</v>
      </c>
      <c r="AF73" s="7">
        <f t="shared" si="8"/>
        <v>0</v>
      </c>
    </row>
    <row r="74" spans="2:32" x14ac:dyDescent="0.25">
      <c r="B74" s="17">
        <v>6343100014</v>
      </c>
      <c r="C74" s="193" t="s">
        <v>13</v>
      </c>
      <c r="D74" s="193" t="s">
        <v>52</v>
      </c>
      <c r="E74" s="193" t="s">
        <v>79</v>
      </c>
      <c r="F74" s="163" t="s">
        <v>190</v>
      </c>
      <c r="G74" s="3">
        <f>+IF(F74="Pasajero",'2.2 OPEX LAP 2023'!I75*'2.1 OPEX TUUA'!$G$7,'2.2 OPEX LAP 2023'!I75*'2.1 OPEX TUUA'!$G$8)</f>
        <v>0</v>
      </c>
      <c r="H74" s="3">
        <f>+IF(F74="Pasajero",'2.2 OPEX LAP 2023'!J75*'2.1 OPEX TUUA'!$H$7,'2.2 OPEX LAP 2023'!J75*'2.1 OPEX TUUA'!$H$8)</f>
        <v>0</v>
      </c>
      <c r="I74" s="3">
        <f>+IF(F74="Pasajero",'2.2 OPEX LAP 2023'!K75*'2.1 OPEX TUUA'!$I$7,'2.2 OPEX LAP 2023'!K75*'2.1 OPEX TUUA'!$I$8)</f>
        <v>0</v>
      </c>
      <c r="J74" s="3">
        <f>+IF(F74="Pasajero",'2.2 OPEX LAP 2023'!L75*'2.1 OPEX TUUA'!$J$7,'2.2 OPEX LAP 2023'!L75*'2.1 OPEX TUUA'!$J$8)</f>
        <v>0</v>
      </c>
      <c r="K74" s="3">
        <f>+IF(F74="Pasajero",'2.2 OPEX LAP 2023'!M75*'2.1 OPEX TUUA'!$K$7,'2.2 OPEX LAP 2023'!M75*'2.1 OPEX TUUA'!$K$8)</f>
        <v>0</v>
      </c>
      <c r="L74" s="3">
        <f>+IF(F74="Pasajero",'2.2 OPEX LAP 2023'!N75*'2.1 OPEX TUUA'!$L$7,'2.2 OPEX LAP 2023'!N75*'2.1 OPEX TUUA'!$L$8)</f>
        <v>0</v>
      </c>
      <c r="M74" s="3"/>
      <c r="N74" s="3">
        <f>+IF(F74="Pasajero",'2.2 OPEX LAP 2023'!I75*'2.1 OPEX TUUA'!$N$7,'2.2 OPEX LAP 2023'!I75*'2.1 OPEX TUUA'!$N$8)</f>
        <v>0</v>
      </c>
      <c r="O74" s="3">
        <f>+IF(F74="Pasajero",'2.2 OPEX LAP 2023'!J75*'2.1 OPEX TUUA'!$O$7,'2.2 OPEX LAP 2023'!J75*'2.1 OPEX TUUA'!$O$8)</f>
        <v>0</v>
      </c>
      <c r="P74" s="3">
        <f>+IF(F74="Pasajero",'2.2 OPEX LAP 2023'!K75*'2.1 OPEX TUUA'!$P$7,'2.2 OPEX LAP 2023'!K75*'2.1 OPEX TUUA'!$P$8)</f>
        <v>0</v>
      </c>
      <c r="Q74" s="3">
        <f>+IF(F74="Pasajero",'2.2 OPEX LAP 2023'!L75*'2.1 OPEX TUUA'!$Q$7,'2.2 OPEX LAP 2023'!L75*'2.1 OPEX TUUA'!$Q$8)</f>
        <v>0</v>
      </c>
      <c r="R74" s="3">
        <f>+IF(F74="Pasajero",'2.2 OPEX LAP 2023'!M75*'2.1 OPEX TUUA'!$R$7,'2.2 OPEX LAP 2023'!M75*'2.1 OPEX TUUA'!$R$8)</f>
        <v>0</v>
      </c>
      <c r="S74" s="3">
        <f>+IF(F74="Pasajero",'2.2 OPEX LAP 2023'!N75*'2.1 OPEX TUUA'!$S$7,'2.2 OPEX LAP 2023'!N75*'2.1 OPEX TUUA'!$S$8)</f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7">
        <f t="shared" si="3"/>
        <v>0</v>
      </c>
      <c r="AB74" s="7">
        <f t="shared" si="4"/>
        <v>0</v>
      </c>
      <c r="AC74" s="7">
        <f t="shared" si="5"/>
        <v>0</v>
      </c>
      <c r="AD74" s="7">
        <f t="shared" si="6"/>
        <v>0</v>
      </c>
      <c r="AE74" s="7">
        <f t="shared" si="7"/>
        <v>0</v>
      </c>
      <c r="AF74" s="7">
        <f t="shared" si="8"/>
        <v>0</v>
      </c>
    </row>
    <row r="75" spans="2:32" x14ac:dyDescent="0.25">
      <c r="B75" s="17">
        <v>6343100015</v>
      </c>
      <c r="C75" s="193" t="s">
        <v>13</v>
      </c>
      <c r="D75" s="193" t="s">
        <v>52</v>
      </c>
      <c r="E75" s="193" t="s">
        <v>80</v>
      </c>
      <c r="F75" s="163" t="s">
        <v>190</v>
      </c>
      <c r="G75" s="3">
        <f>+IF(F75="Pasajero",'2.2 OPEX LAP 2023'!I76*'2.1 OPEX TUUA'!$G$7,'2.2 OPEX LAP 2023'!I76*'2.1 OPEX TUUA'!$G$8)</f>
        <v>133.45198442285235</v>
      </c>
      <c r="H75" s="3">
        <f>+IF(F75="Pasajero",'2.2 OPEX LAP 2023'!J76*'2.1 OPEX TUUA'!$H$7,'2.2 OPEX LAP 2023'!J76*'2.1 OPEX TUUA'!$H$8)</f>
        <v>156.53985609642481</v>
      </c>
      <c r="I75" s="3">
        <f>+IF(F75="Pasajero",'2.2 OPEX LAP 2023'!K76*'2.1 OPEX TUUA'!$I$7,'2.2 OPEX LAP 2023'!K76*'2.1 OPEX TUUA'!$I$8)</f>
        <v>175.97570395908338</v>
      </c>
      <c r="J75" s="3">
        <f>+IF(F75="Pasajero",'2.2 OPEX LAP 2023'!L76*'2.1 OPEX TUUA'!$J$7,'2.2 OPEX LAP 2023'!L76*'2.1 OPEX TUUA'!$J$8)</f>
        <v>186.44912572200116</v>
      </c>
      <c r="K75" s="3">
        <f>+IF(F75="Pasajero",'2.2 OPEX LAP 2023'!M76*'2.1 OPEX TUUA'!$K$7,'2.2 OPEX LAP 2023'!M76*'2.1 OPEX TUUA'!$K$8)</f>
        <v>194.10143304599774</v>
      </c>
      <c r="L75" s="3">
        <f>+IF(F75="Pasajero",'2.2 OPEX LAP 2023'!N76*'2.1 OPEX TUUA'!$L$7,'2.2 OPEX LAP 2023'!N76*'2.1 OPEX TUUA'!$L$8)</f>
        <v>202.60329447504523</v>
      </c>
      <c r="M75" s="3"/>
      <c r="N75" s="3">
        <f>+IF(F75="Pasajero",'2.2 OPEX LAP 2023'!I76*'2.1 OPEX TUUA'!$N$7,'2.2 OPEX LAP 2023'!I76*'2.1 OPEX TUUA'!$N$8)</f>
        <v>65.82081728475049</v>
      </c>
      <c r="O75" s="3">
        <f>+IF(F75="Pasajero",'2.2 OPEX LAP 2023'!J76*'2.1 OPEX TUUA'!$O$7,'2.2 OPEX LAP 2023'!J76*'2.1 OPEX TUUA'!$O$8)</f>
        <v>64.833051771066806</v>
      </c>
      <c r="P75" s="3">
        <f>+IF(F75="Pasajero",'2.2 OPEX LAP 2023'!K76*'2.1 OPEX TUUA'!$P$7,'2.2 OPEX LAP 2023'!K76*'2.1 OPEX TUUA'!$P$8)</f>
        <v>64.429751554507675</v>
      </c>
      <c r="Q75" s="3">
        <f>+IF(F75="Pasajero",'2.2 OPEX LAP 2023'!L76*'2.1 OPEX TUUA'!$Q$7,'2.2 OPEX LAP 2023'!L76*'2.1 OPEX TUUA'!$Q$8)</f>
        <v>64.010017262873092</v>
      </c>
      <c r="R75" s="3">
        <f>+IF(F75="Pasajero",'2.2 OPEX LAP 2023'!M76*'2.1 OPEX TUUA'!$R$7,'2.2 OPEX LAP 2023'!M76*'2.1 OPEX TUUA'!$R$8)</f>
        <v>64.353469955248229</v>
      </c>
      <c r="S75" s="3">
        <f>+IF(F75="Pasajero",'2.2 OPEX LAP 2023'!N76*'2.1 OPEX TUUA'!$S$7,'2.2 OPEX LAP 2023'!N76*'2.1 OPEX TUUA'!$S$8)</f>
        <v>64.394547830195847</v>
      </c>
      <c r="U75" s="1">
        <v>135.97356654379169</v>
      </c>
      <c r="V75" s="1">
        <v>159.49768474209287</v>
      </c>
      <c r="W75" s="1">
        <v>179.3007739514255</v>
      </c>
      <c r="X75" s="1">
        <v>189.97209155813039</v>
      </c>
      <c r="Y75" s="1">
        <v>197.76898962325066</v>
      </c>
      <c r="Z75" s="1">
        <v>206.43149416200464</v>
      </c>
      <c r="AA75" s="7">
        <f t="shared" si="3"/>
        <v>-2.5215821209393425</v>
      </c>
      <c r="AB75" s="7">
        <f t="shared" si="4"/>
        <v>-2.9578286456680587</v>
      </c>
      <c r="AC75" s="7">
        <f t="shared" si="5"/>
        <v>-3.3250699923421223</v>
      </c>
      <c r="AD75" s="7">
        <f t="shared" si="6"/>
        <v>-3.5229658361292309</v>
      </c>
      <c r="AE75" s="7">
        <f t="shared" si="7"/>
        <v>-3.6675565772529239</v>
      </c>
      <c r="AF75" s="7">
        <f t="shared" si="8"/>
        <v>-3.8281996869594082</v>
      </c>
    </row>
    <row r="76" spans="2:32" x14ac:dyDescent="0.25">
      <c r="B76" s="17">
        <v>6343100016</v>
      </c>
      <c r="C76" s="193" t="s">
        <v>13</v>
      </c>
      <c r="D76" s="193" t="s">
        <v>52</v>
      </c>
      <c r="E76" s="193" t="s">
        <v>81</v>
      </c>
      <c r="F76" s="163" t="s">
        <v>190</v>
      </c>
      <c r="G76" s="3">
        <f>+IF(F76="Pasajero",'2.2 OPEX LAP 2023'!I77*'2.1 OPEX TUUA'!$G$7,'2.2 OPEX LAP 2023'!I77*'2.1 OPEX TUUA'!$G$8)</f>
        <v>0</v>
      </c>
      <c r="H76" s="3">
        <f>+IF(F76="Pasajero",'2.2 OPEX LAP 2023'!J77*'2.1 OPEX TUUA'!$H$7,'2.2 OPEX LAP 2023'!J77*'2.1 OPEX TUUA'!$H$8)</f>
        <v>0</v>
      </c>
      <c r="I76" s="3">
        <f>+IF(F76="Pasajero",'2.2 OPEX LAP 2023'!K77*'2.1 OPEX TUUA'!$I$7,'2.2 OPEX LAP 2023'!K77*'2.1 OPEX TUUA'!$I$8)</f>
        <v>0</v>
      </c>
      <c r="J76" s="3">
        <f>+IF(F76="Pasajero",'2.2 OPEX LAP 2023'!L77*'2.1 OPEX TUUA'!$J$7,'2.2 OPEX LAP 2023'!L77*'2.1 OPEX TUUA'!$J$8)</f>
        <v>0</v>
      </c>
      <c r="K76" s="3">
        <f>+IF(F76="Pasajero",'2.2 OPEX LAP 2023'!M77*'2.1 OPEX TUUA'!$K$7,'2.2 OPEX LAP 2023'!M77*'2.1 OPEX TUUA'!$K$8)</f>
        <v>0</v>
      </c>
      <c r="L76" s="3">
        <f>+IF(F76="Pasajero",'2.2 OPEX LAP 2023'!N77*'2.1 OPEX TUUA'!$L$7,'2.2 OPEX LAP 2023'!N77*'2.1 OPEX TUUA'!$L$8)</f>
        <v>0</v>
      </c>
      <c r="M76" s="3"/>
      <c r="N76" s="3">
        <f>+IF(F76="Pasajero",'2.2 OPEX LAP 2023'!I77*'2.1 OPEX TUUA'!$N$7,'2.2 OPEX LAP 2023'!I77*'2.1 OPEX TUUA'!$N$8)</f>
        <v>0</v>
      </c>
      <c r="O76" s="3">
        <f>+IF(F76="Pasajero",'2.2 OPEX LAP 2023'!J77*'2.1 OPEX TUUA'!$O$7,'2.2 OPEX LAP 2023'!J77*'2.1 OPEX TUUA'!$O$8)</f>
        <v>0</v>
      </c>
      <c r="P76" s="3">
        <f>+IF(F76="Pasajero",'2.2 OPEX LAP 2023'!K77*'2.1 OPEX TUUA'!$P$7,'2.2 OPEX LAP 2023'!K77*'2.1 OPEX TUUA'!$P$8)</f>
        <v>0</v>
      </c>
      <c r="Q76" s="3">
        <f>+IF(F76="Pasajero",'2.2 OPEX LAP 2023'!L77*'2.1 OPEX TUUA'!$Q$7,'2.2 OPEX LAP 2023'!L77*'2.1 OPEX TUUA'!$Q$8)</f>
        <v>0</v>
      </c>
      <c r="R76" s="3">
        <f>+IF(F76="Pasajero",'2.2 OPEX LAP 2023'!M77*'2.1 OPEX TUUA'!$R$7,'2.2 OPEX LAP 2023'!M77*'2.1 OPEX TUUA'!$R$8)</f>
        <v>0</v>
      </c>
      <c r="S76" s="3">
        <f>+IF(F76="Pasajero",'2.2 OPEX LAP 2023'!N77*'2.1 OPEX TUUA'!$S$7,'2.2 OPEX LAP 2023'!N77*'2.1 OPEX TUUA'!$S$8)</f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7">
        <f t="shared" si="3"/>
        <v>0</v>
      </c>
      <c r="AB76" s="7">
        <f t="shared" si="4"/>
        <v>0</v>
      </c>
      <c r="AC76" s="7">
        <f t="shared" si="5"/>
        <v>0</v>
      </c>
      <c r="AD76" s="7">
        <f t="shared" si="6"/>
        <v>0</v>
      </c>
      <c r="AE76" s="7">
        <f t="shared" si="7"/>
        <v>0</v>
      </c>
      <c r="AF76" s="7">
        <f t="shared" si="8"/>
        <v>0</v>
      </c>
    </row>
    <row r="77" spans="2:32" x14ac:dyDescent="0.25">
      <c r="B77" s="17">
        <v>6343100017</v>
      </c>
      <c r="C77" s="193" t="s">
        <v>13</v>
      </c>
      <c r="D77" s="193" t="s">
        <v>52</v>
      </c>
      <c r="E77" s="193" t="s">
        <v>82</v>
      </c>
      <c r="F77" s="163" t="s">
        <v>190</v>
      </c>
      <c r="G77" s="3">
        <f>+IF(F77="Pasajero",'2.2 OPEX LAP 2023'!I78*'2.1 OPEX TUUA'!$G$7,'2.2 OPEX LAP 2023'!I78*'2.1 OPEX TUUA'!$G$8)</f>
        <v>0</v>
      </c>
      <c r="H77" s="3">
        <f>+IF(F77="Pasajero",'2.2 OPEX LAP 2023'!J78*'2.1 OPEX TUUA'!$H$7,'2.2 OPEX LAP 2023'!J78*'2.1 OPEX TUUA'!$H$8)</f>
        <v>0</v>
      </c>
      <c r="I77" s="3">
        <f>+IF(F77="Pasajero",'2.2 OPEX LAP 2023'!K78*'2.1 OPEX TUUA'!$I$7,'2.2 OPEX LAP 2023'!K78*'2.1 OPEX TUUA'!$I$8)</f>
        <v>0</v>
      </c>
      <c r="J77" s="3">
        <f>+IF(F77="Pasajero",'2.2 OPEX LAP 2023'!L78*'2.1 OPEX TUUA'!$J$7,'2.2 OPEX LAP 2023'!L78*'2.1 OPEX TUUA'!$J$8)</f>
        <v>0</v>
      </c>
      <c r="K77" s="3">
        <f>+IF(F77="Pasajero",'2.2 OPEX LAP 2023'!M78*'2.1 OPEX TUUA'!$K$7,'2.2 OPEX LAP 2023'!M78*'2.1 OPEX TUUA'!$K$8)</f>
        <v>0</v>
      </c>
      <c r="L77" s="3">
        <f>+IF(F77="Pasajero",'2.2 OPEX LAP 2023'!N78*'2.1 OPEX TUUA'!$L$7,'2.2 OPEX LAP 2023'!N78*'2.1 OPEX TUUA'!$L$8)</f>
        <v>0</v>
      </c>
      <c r="M77" s="3"/>
      <c r="N77" s="3">
        <f>+IF(F77="Pasajero",'2.2 OPEX LAP 2023'!I78*'2.1 OPEX TUUA'!$N$7,'2.2 OPEX LAP 2023'!I78*'2.1 OPEX TUUA'!$N$8)</f>
        <v>0</v>
      </c>
      <c r="O77" s="3">
        <f>+IF(F77="Pasajero",'2.2 OPEX LAP 2023'!J78*'2.1 OPEX TUUA'!$O$7,'2.2 OPEX LAP 2023'!J78*'2.1 OPEX TUUA'!$O$8)</f>
        <v>0</v>
      </c>
      <c r="P77" s="3">
        <f>+IF(F77="Pasajero",'2.2 OPEX LAP 2023'!K78*'2.1 OPEX TUUA'!$P$7,'2.2 OPEX LAP 2023'!K78*'2.1 OPEX TUUA'!$P$8)</f>
        <v>0</v>
      </c>
      <c r="Q77" s="3">
        <f>+IF(F77="Pasajero",'2.2 OPEX LAP 2023'!L78*'2.1 OPEX TUUA'!$Q$7,'2.2 OPEX LAP 2023'!L78*'2.1 OPEX TUUA'!$Q$8)</f>
        <v>0</v>
      </c>
      <c r="R77" s="3">
        <f>+IF(F77="Pasajero",'2.2 OPEX LAP 2023'!M78*'2.1 OPEX TUUA'!$R$7,'2.2 OPEX LAP 2023'!M78*'2.1 OPEX TUUA'!$R$8)</f>
        <v>0</v>
      </c>
      <c r="S77" s="3">
        <f>+IF(F77="Pasajero",'2.2 OPEX LAP 2023'!N78*'2.1 OPEX TUUA'!$S$7,'2.2 OPEX LAP 2023'!N78*'2.1 OPEX TUUA'!$S$8)</f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7">
        <f t="shared" si="3"/>
        <v>0</v>
      </c>
      <c r="AB77" s="7">
        <f t="shared" si="4"/>
        <v>0</v>
      </c>
      <c r="AC77" s="7">
        <f t="shared" si="5"/>
        <v>0</v>
      </c>
      <c r="AD77" s="7">
        <f t="shared" si="6"/>
        <v>0</v>
      </c>
      <c r="AE77" s="7">
        <f t="shared" si="7"/>
        <v>0</v>
      </c>
      <c r="AF77" s="7">
        <f t="shared" si="8"/>
        <v>0</v>
      </c>
    </row>
    <row r="78" spans="2:32" x14ac:dyDescent="0.25">
      <c r="B78" s="17">
        <v>6344000001</v>
      </c>
      <c r="C78" s="193" t="s">
        <v>13</v>
      </c>
      <c r="D78" s="193" t="s">
        <v>52</v>
      </c>
      <c r="E78" s="193" t="s">
        <v>83</v>
      </c>
      <c r="F78" s="163" t="s">
        <v>190</v>
      </c>
      <c r="G78" s="3">
        <f>+IF(F78="Pasajero",'2.2 OPEX LAP 2023'!I79*'2.1 OPEX TUUA'!$G$7,'2.2 OPEX LAP 2023'!I79*'2.1 OPEX TUUA'!$G$8)</f>
        <v>0</v>
      </c>
      <c r="H78" s="3">
        <f>+IF(F78="Pasajero",'2.2 OPEX LAP 2023'!J79*'2.1 OPEX TUUA'!$H$7,'2.2 OPEX LAP 2023'!J79*'2.1 OPEX TUUA'!$H$8)</f>
        <v>0</v>
      </c>
      <c r="I78" s="3">
        <f>+IF(F78="Pasajero",'2.2 OPEX LAP 2023'!K79*'2.1 OPEX TUUA'!$I$7,'2.2 OPEX LAP 2023'!K79*'2.1 OPEX TUUA'!$I$8)</f>
        <v>0</v>
      </c>
      <c r="J78" s="3">
        <f>+IF(F78="Pasajero",'2.2 OPEX LAP 2023'!L79*'2.1 OPEX TUUA'!$J$7,'2.2 OPEX LAP 2023'!L79*'2.1 OPEX TUUA'!$J$8)</f>
        <v>0</v>
      </c>
      <c r="K78" s="3">
        <f>+IF(F78="Pasajero",'2.2 OPEX LAP 2023'!M79*'2.1 OPEX TUUA'!$K$7,'2.2 OPEX LAP 2023'!M79*'2.1 OPEX TUUA'!$K$8)</f>
        <v>0</v>
      </c>
      <c r="L78" s="3">
        <f>+IF(F78="Pasajero",'2.2 OPEX LAP 2023'!N79*'2.1 OPEX TUUA'!$L$7,'2.2 OPEX LAP 2023'!N79*'2.1 OPEX TUUA'!$L$8)</f>
        <v>0</v>
      </c>
      <c r="M78" s="3"/>
      <c r="N78" s="3">
        <f>+IF(F78="Pasajero",'2.2 OPEX LAP 2023'!I79*'2.1 OPEX TUUA'!$N$7,'2.2 OPEX LAP 2023'!I79*'2.1 OPEX TUUA'!$N$8)</f>
        <v>0</v>
      </c>
      <c r="O78" s="3">
        <f>+IF(F78="Pasajero",'2.2 OPEX LAP 2023'!J79*'2.1 OPEX TUUA'!$O$7,'2.2 OPEX LAP 2023'!J79*'2.1 OPEX TUUA'!$O$8)</f>
        <v>0</v>
      </c>
      <c r="P78" s="3">
        <f>+IF(F78="Pasajero",'2.2 OPEX LAP 2023'!K79*'2.1 OPEX TUUA'!$P$7,'2.2 OPEX LAP 2023'!K79*'2.1 OPEX TUUA'!$P$8)</f>
        <v>0</v>
      </c>
      <c r="Q78" s="3">
        <f>+IF(F78="Pasajero",'2.2 OPEX LAP 2023'!L79*'2.1 OPEX TUUA'!$Q$7,'2.2 OPEX LAP 2023'!L79*'2.1 OPEX TUUA'!$Q$8)</f>
        <v>0</v>
      </c>
      <c r="R78" s="3">
        <f>+IF(F78="Pasajero",'2.2 OPEX LAP 2023'!M79*'2.1 OPEX TUUA'!$R$7,'2.2 OPEX LAP 2023'!M79*'2.1 OPEX TUUA'!$R$8)</f>
        <v>0</v>
      </c>
      <c r="S78" s="3">
        <f>+IF(F78="Pasajero",'2.2 OPEX LAP 2023'!N79*'2.1 OPEX TUUA'!$S$7,'2.2 OPEX LAP 2023'!N79*'2.1 OPEX TUUA'!$S$8)</f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7">
        <f t="shared" si="3"/>
        <v>0</v>
      </c>
      <c r="AB78" s="7">
        <f t="shared" si="4"/>
        <v>0</v>
      </c>
      <c r="AC78" s="7">
        <f t="shared" si="5"/>
        <v>0</v>
      </c>
      <c r="AD78" s="7">
        <f t="shared" si="6"/>
        <v>0</v>
      </c>
      <c r="AE78" s="7">
        <f t="shared" si="7"/>
        <v>0</v>
      </c>
      <c r="AF78" s="7">
        <f t="shared" si="8"/>
        <v>0</v>
      </c>
    </row>
    <row r="79" spans="2:32" x14ac:dyDescent="0.25">
      <c r="B79" s="17">
        <v>6344000002</v>
      </c>
      <c r="C79" s="193" t="s">
        <v>13</v>
      </c>
      <c r="D79" s="193" t="s">
        <v>52</v>
      </c>
      <c r="E79" s="193" t="s">
        <v>84</v>
      </c>
      <c r="F79" s="163" t="s">
        <v>190</v>
      </c>
      <c r="G79" s="3">
        <f>+IF(F79="Pasajero",'2.2 OPEX LAP 2023'!I80*'2.1 OPEX TUUA'!$G$7,'2.2 OPEX LAP 2023'!I80*'2.1 OPEX TUUA'!$G$8)</f>
        <v>0</v>
      </c>
      <c r="H79" s="3">
        <f>+IF(F79="Pasajero",'2.2 OPEX LAP 2023'!J80*'2.1 OPEX TUUA'!$H$7,'2.2 OPEX LAP 2023'!J80*'2.1 OPEX TUUA'!$H$8)</f>
        <v>0</v>
      </c>
      <c r="I79" s="3">
        <f>+IF(F79="Pasajero",'2.2 OPEX LAP 2023'!K80*'2.1 OPEX TUUA'!$I$7,'2.2 OPEX LAP 2023'!K80*'2.1 OPEX TUUA'!$I$8)</f>
        <v>0</v>
      </c>
      <c r="J79" s="3">
        <f>+IF(F79="Pasajero",'2.2 OPEX LAP 2023'!L80*'2.1 OPEX TUUA'!$J$7,'2.2 OPEX LAP 2023'!L80*'2.1 OPEX TUUA'!$J$8)</f>
        <v>0</v>
      </c>
      <c r="K79" s="3">
        <f>+IF(F79="Pasajero",'2.2 OPEX LAP 2023'!M80*'2.1 OPEX TUUA'!$K$7,'2.2 OPEX LAP 2023'!M80*'2.1 OPEX TUUA'!$K$8)</f>
        <v>0</v>
      </c>
      <c r="L79" s="3">
        <f>+IF(F79="Pasajero",'2.2 OPEX LAP 2023'!N80*'2.1 OPEX TUUA'!$L$7,'2.2 OPEX LAP 2023'!N80*'2.1 OPEX TUUA'!$L$8)</f>
        <v>0</v>
      </c>
      <c r="M79" s="3"/>
      <c r="N79" s="3">
        <f>+IF(F79="Pasajero",'2.2 OPEX LAP 2023'!I80*'2.1 OPEX TUUA'!$N$7,'2.2 OPEX LAP 2023'!I80*'2.1 OPEX TUUA'!$N$8)</f>
        <v>0</v>
      </c>
      <c r="O79" s="3">
        <f>+IF(F79="Pasajero",'2.2 OPEX LAP 2023'!J80*'2.1 OPEX TUUA'!$O$7,'2.2 OPEX LAP 2023'!J80*'2.1 OPEX TUUA'!$O$8)</f>
        <v>0</v>
      </c>
      <c r="P79" s="3">
        <f>+IF(F79="Pasajero",'2.2 OPEX LAP 2023'!K80*'2.1 OPEX TUUA'!$P$7,'2.2 OPEX LAP 2023'!K80*'2.1 OPEX TUUA'!$P$8)</f>
        <v>0</v>
      </c>
      <c r="Q79" s="3">
        <f>+IF(F79="Pasajero",'2.2 OPEX LAP 2023'!L80*'2.1 OPEX TUUA'!$Q$7,'2.2 OPEX LAP 2023'!L80*'2.1 OPEX TUUA'!$Q$8)</f>
        <v>0</v>
      </c>
      <c r="R79" s="3">
        <f>+IF(F79="Pasajero",'2.2 OPEX LAP 2023'!M80*'2.1 OPEX TUUA'!$R$7,'2.2 OPEX LAP 2023'!M80*'2.1 OPEX TUUA'!$R$8)</f>
        <v>0</v>
      </c>
      <c r="S79" s="3">
        <f>+IF(F79="Pasajero",'2.2 OPEX LAP 2023'!N80*'2.1 OPEX TUUA'!$S$7,'2.2 OPEX LAP 2023'!N80*'2.1 OPEX TUUA'!$S$8)</f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7">
        <f t="shared" ref="AA79:AA142" si="9">+G79-U79</f>
        <v>0</v>
      </c>
      <c r="AB79" s="7">
        <f t="shared" ref="AB79:AB142" si="10">+H79-V79</f>
        <v>0</v>
      </c>
      <c r="AC79" s="7">
        <f t="shared" ref="AC79:AC142" si="11">+I79-W79</f>
        <v>0</v>
      </c>
      <c r="AD79" s="7">
        <f t="shared" ref="AD79:AD142" si="12">+J79-X79</f>
        <v>0</v>
      </c>
      <c r="AE79" s="7">
        <f t="shared" ref="AE79:AE142" si="13">+K79-Y79</f>
        <v>0</v>
      </c>
      <c r="AF79" s="7">
        <f t="shared" ref="AF79:AF142" si="14">+L79-Z79</f>
        <v>0</v>
      </c>
    </row>
    <row r="80" spans="2:32" x14ac:dyDescent="0.25">
      <c r="B80" s="17">
        <v>6344000003</v>
      </c>
      <c r="C80" s="193" t="s">
        <v>13</v>
      </c>
      <c r="D80" s="193" t="s">
        <v>52</v>
      </c>
      <c r="E80" s="193" t="s">
        <v>85</v>
      </c>
      <c r="F80" s="163" t="s">
        <v>190</v>
      </c>
      <c r="G80" s="3">
        <f>+IF(F80="Pasajero",'2.2 OPEX LAP 2023'!I81*'2.1 OPEX TUUA'!$G$7,'2.2 OPEX LAP 2023'!I81*'2.1 OPEX TUUA'!$G$8)</f>
        <v>0</v>
      </c>
      <c r="H80" s="3">
        <f>+IF(F80="Pasajero",'2.2 OPEX LAP 2023'!J81*'2.1 OPEX TUUA'!$H$7,'2.2 OPEX LAP 2023'!J81*'2.1 OPEX TUUA'!$H$8)</f>
        <v>0</v>
      </c>
      <c r="I80" s="3">
        <f>+IF(F80="Pasajero",'2.2 OPEX LAP 2023'!K81*'2.1 OPEX TUUA'!$I$7,'2.2 OPEX LAP 2023'!K81*'2.1 OPEX TUUA'!$I$8)</f>
        <v>0</v>
      </c>
      <c r="J80" s="3">
        <f>+IF(F80="Pasajero",'2.2 OPEX LAP 2023'!L81*'2.1 OPEX TUUA'!$J$7,'2.2 OPEX LAP 2023'!L81*'2.1 OPEX TUUA'!$J$8)</f>
        <v>0</v>
      </c>
      <c r="K80" s="3">
        <f>+IF(F80="Pasajero",'2.2 OPEX LAP 2023'!M81*'2.1 OPEX TUUA'!$K$7,'2.2 OPEX LAP 2023'!M81*'2.1 OPEX TUUA'!$K$8)</f>
        <v>0</v>
      </c>
      <c r="L80" s="3">
        <f>+IF(F80="Pasajero",'2.2 OPEX LAP 2023'!N81*'2.1 OPEX TUUA'!$L$7,'2.2 OPEX LAP 2023'!N81*'2.1 OPEX TUUA'!$L$8)</f>
        <v>0</v>
      </c>
      <c r="M80" s="3"/>
      <c r="N80" s="3">
        <f>+IF(F80="Pasajero",'2.2 OPEX LAP 2023'!I81*'2.1 OPEX TUUA'!$N$7,'2.2 OPEX LAP 2023'!I81*'2.1 OPEX TUUA'!$N$8)</f>
        <v>0</v>
      </c>
      <c r="O80" s="3">
        <f>+IF(F80="Pasajero",'2.2 OPEX LAP 2023'!J81*'2.1 OPEX TUUA'!$O$7,'2.2 OPEX LAP 2023'!J81*'2.1 OPEX TUUA'!$O$8)</f>
        <v>0</v>
      </c>
      <c r="P80" s="3">
        <f>+IF(F80="Pasajero",'2.2 OPEX LAP 2023'!K81*'2.1 OPEX TUUA'!$P$7,'2.2 OPEX LAP 2023'!K81*'2.1 OPEX TUUA'!$P$8)</f>
        <v>0</v>
      </c>
      <c r="Q80" s="3">
        <f>+IF(F80="Pasajero",'2.2 OPEX LAP 2023'!L81*'2.1 OPEX TUUA'!$Q$7,'2.2 OPEX LAP 2023'!L81*'2.1 OPEX TUUA'!$Q$8)</f>
        <v>0</v>
      </c>
      <c r="R80" s="3">
        <f>+IF(F80="Pasajero",'2.2 OPEX LAP 2023'!M81*'2.1 OPEX TUUA'!$R$7,'2.2 OPEX LAP 2023'!M81*'2.1 OPEX TUUA'!$R$8)</f>
        <v>0</v>
      </c>
      <c r="S80" s="3">
        <f>+IF(F80="Pasajero",'2.2 OPEX LAP 2023'!N81*'2.1 OPEX TUUA'!$S$7,'2.2 OPEX LAP 2023'!N81*'2.1 OPEX TUUA'!$S$8)</f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7">
        <f t="shared" si="9"/>
        <v>0</v>
      </c>
      <c r="AB80" s="7">
        <f t="shared" si="10"/>
        <v>0</v>
      </c>
      <c r="AC80" s="7">
        <f t="shared" si="11"/>
        <v>0</v>
      </c>
      <c r="AD80" s="7">
        <f t="shared" si="12"/>
        <v>0</v>
      </c>
      <c r="AE80" s="7">
        <f t="shared" si="13"/>
        <v>0</v>
      </c>
      <c r="AF80" s="7">
        <f t="shared" si="14"/>
        <v>0</v>
      </c>
    </row>
    <row r="81" spans="2:32" x14ac:dyDescent="0.25">
      <c r="B81" s="17">
        <v>6345000001</v>
      </c>
      <c r="C81" s="193" t="s">
        <v>13</v>
      </c>
      <c r="D81" s="193" t="s">
        <v>52</v>
      </c>
      <c r="E81" s="193" t="s">
        <v>86</v>
      </c>
      <c r="F81" s="163" t="s">
        <v>190</v>
      </c>
      <c r="G81" s="3">
        <f>+IF(F81="Pasajero",'2.2 OPEX LAP 2023'!I82*'2.1 OPEX TUUA'!$G$7,'2.2 OPEX LAP 2023'!I82*'2.1 OPEX TUUA'!$G$8)</f>
        <v>0</v>
      </c>
      <c r="H81" s="3">
        <f>+IF(F81="Pasajero",'2.2 OPEX LAP 2023'!J82*'2.1 OPEX TUUA'!$H$7,'2.2 OPEX LAP 2023'!J82*'2.1 OPEX TUUA'!$H$8)</f>
        <v>0</v>
      </c>
      <c r="I81" s="3">
        <f>+IF(F81="Pasajero",'2.2 OPEX LAP 2023'!K82*'2.1 OPEX TUUA'!$I$7,'2.2 OPEX LAP 2023'!K82*'2.1 OPEX TUUA'!$I$8)</f>
        <v>0</v>
      </c>
      <c r="J81" s="3">
        <f>+IF(F81="Pasajero",'2.2 OPEX LAP 2023'!L82*'2.1 OPEX TUUA'!$J$7,'2.2 OPEX LAP 2023'!L82*'2.1 OPEX TUUA'!$J$8)</f>
        <v>0</v>
      </c>
      <c r="K81" s="3">
        <f>+IF(F81="Pasajero",'2.2 OPEX LAP 2023'!M82*'2.1 OPEX TUUA'!$K$7,'2.2 OPEX LAP 2023'!M82*'2.1 OPEX TUUA'!$K$8)</f>
        <v>0</v>
      </c>
      <c r="L81" s="3">
        <f>+IF(F81="Pasajero",'2.2 OPEX LAP 2023'!N82*'2.1 OPEX TUUA'!$L$7,'2.2 OPEX LAP 2023'!N82*'2.1 OPEX TUUA'!$L$8)</f>
        <v>0</v>
      </c>
      <c r="M81" s="3"/>
      <c r="N81" s="3">
        <f>+IF(F81="Pasajero",'2.2 OPEX LAP 2023'!I82*'2.1 OPEX TUUA'!$N$7,'2.2 OPEX LAP 2023'!I82*'2.1 OPEX TUUA'!$N$8)</f>
        <v>0</v>
      </c>
      <c r="O81" s="3">
        <f>+IF(F81="Pasajero",'2.2 OPEX LAP 2023'!J82*'2.1 OPEX TUUA'!$O$7,'2.2 OPEX LAP 2023'!J82*'2.1 OPEX TUUA'!$O$8)</f>
        <v>0</v>
      </c>
      <c r="P81" s="3">
        <f>+IF(F81="Pasajero",'2.2 OPEX LAP 2023'!K82*'2.1 OPEX TUUA'!$P$7,'2.2 OPEX LAP 2023'!K82*'2.1 OPEX TUUA'!$P$8)</f>
        <v>0</v>
      </c>
      <c r="Q81" s="3">
        <f>+IF(F81="Pasajero",'2.2 OPEX LAP 2023'!L82*'2.1 OPEX TUUA'!$Q$7,'2.2 OPEX LAP 2023'!L82*'2.1 OPEX TUUA'!$Q$8)</f>
        <v>0</v>
      </c>
      <c r="R81" s="3">
        <f>+IF(F81="Pasajero",'2.2 OPEX LAP 2023'!M82*'2.1 OPEX TUUA'!$R$7,'2.2 OPEX LAP 2023'!M82*'2.1 OPEX TUUA'!$R$8)</f>
        <v>0</v>
      </c>
      <c r="S81" s="3">
        <f>+IF(F81="Pasajero",'2.2 OPEX LAP 2023'!N82*'2.1 OPEX TUUA'!$S$7,'2.2 OPEX LAP 2023'!N82*'2.1 OPEX TUUA'!$S$8)</f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7">
        <f t="shared" si="9"/>
        <v>0</v>
      </c>
      <c r="AB81" s="7">
        <f t="shared" si="10"/>
        <v>0</v>
      </c>
      <c r="AC81" s="7">
        <f t="shared" si="11"/>
        <v>0</v>
      </c>
      <c r="AD81" s="7">
        <f t="shared" si="12"/>
        <v>0</v>
      </c>
      <c r="AE81" s="7">
        <f t="shared" si="13"/>
        <v>0</v>
      </c>
      <c r="AF81" s="7">
        <f t="shared" si="14"/>
        <v>0</v>
      </c>
    </row>
    <row r="82" spans="2:32" x14ac:dyDescent="0.25">
      <c r="B82" s="17">
        <v>6346000001</v>
      </c>
      <c r="C82" s="193" t="s">
        <v>13</v>
      </c>
      <c r="D82" s="193" t="s">
        <v>52</v>
      </c>
      <c r="E82" s="193" t="s">
        <v>87</v>
      </c>
      <c r="F82" s="163" t="s">
        <v>190</v>
      </c>
      <c r="G82" s="3">
        <f>+IF(F82="Pasajero",'2.2 OPEX LAP 2023'!I83*'2.1 OPEX TUUA'!$G$7,'2.2 OPEX LAP 2023'!I83*'2.1 OPEX TUUA'!$G$8)</f>
        <v>0</v>
      </c>
      <c r="H82" s="3">
        <f>+IF(F82="Pasajero",'2.2 OPEX LAP 2023'!J83*'2.1 OPEX TUUA'!$H$7,'2.2 OPEX LAP 2023'!J83*'2.1 OPEX TUUA'!$H$8)</f>
        <v>0</v>
      </c>
      <c r="I82" s="3">
        <f>+IF(F82="Pasajero",'2.2 OPEX LAP 2023'!K83*'2.1 OPEX TUUA'!$I$7,'2.2 OPEX LAP 2023'!K83*'2.1 OPEX TUUA'!$I$8)</f>
        <v>0</v>
      </c>
      <c r="J82" s="3">
        <f>+IF(F82="Pasajero",'2.2 OPEX LAP 2023'!L83*'2.1 OPEX TUUA'!$J$7,'2.2 OPEX LAP 2023'!L83*'2.1 OPEX TUUA'!$J$8)</f>
        <v>0</v>
      </c>
      <c r="K82" s="3">
        <f>+IF(F82="Pasajero",'2.2 OPEX LAP 2023'!M83*'2.1 OPEX TUUA'!$K$7,'2.2 OPEX LAP 2023'!M83*'2.1 OPEX TUUA'!$K$8)</f>
        <v>0</v>
      </c>
      <c r="L82" s="3">
        <f>+IF(F82="Pasajero",'2.2 OPEX LAP 2023'!N83*'2.1 OPEX TUUA'!$L$7,'2.2 OPEX LAP 2023'!N83*'2.1 OPEX TUUA'!$L$8)</f>
        <v>0</v>
      </c>
      <c r="M82" s="3"/>
      <c r="N82" s="3">
        <f>+IF(F82="Pasajero",'2.2 OPEX LAP 2023'!I83*'2.1 OPEX TUUA'!$N$7,'2.2 OPEX LAP 2023'!I83*'2.1 OPEX TUUA'!$N$8)</f>
        <v>0</v>
      </c>
      <c r="O82" s="3">
        <f>+IF(F82="Pasajero",'2.2 OPEX LAP 2023'!J83*'2.1 OPEX TUUA'!$O$7,'2.2 OPEX LAP 2023'!J83*'2.1 OPEX TUUA'!$O$8)</f>
        <v>0</v>
      </c>
      <c r="P82" s="3">
        <f>+IF(F82="Pasajero",'2.2 OPEX LAP 2023'!K83*'2.1 OPEX TUUA'!$P$7,'2.2 OPEX LAP 2023'!K83*'2.1 OPEX TUUA'!$P$8)</f>
        <v>0</v>
      </c>
      <c r="Q82" s="3">
        <f>+IF(F82="Pasajero",'2.2 OPEX LAP 2023'!L83*'2.1 OPEX TUUA'!$Q$7,'2.2 OPEX LAP 2023'!L83*'2.1 OPEX TUUA'!$Q$8)</f>
        <v>0</v>
      </c>
      <c r="R82" s="3">
        <f>+IF(F82="Pasajero",'2.2 OPEX LAP 2023'!M83*'2.1 OPEX TUUA'!$R$7,'2.2 OPEX LAP 2023'!M83*'2.1 OPEX TUUA'!$R$8)</f>
        <v>0</v>
      </c>
      <c r="S82" s="3">
        <f>+IF(F82="Pasajero",'2.2 OPEX LAP 2023'!N83*'2.1 OPEX TUUA'!$S$7,'2.2 OPEX LAP 2023'!N83*'2.1 OPEX TUUA'!$S$8)</f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7">
        <f t="shared" si="9"/>
        <v>0</v>
      </c>
      <c r="AB82" s="7">
        <f t="shared" si="10"/>
        <v>0</v>
      </c>
      <c r="AC82" s="7">
        <f t="shared" si="11"/>
        <v>0</v>
      </c>
      <c r="AD82" s="7">
        <f t="shared" si="12"/>
        <v>0</v>
      </c>
      <c r="AE82" s="7">
        <f t="shared" si="13"/>
        <v>0</v>
      </c>
      <c r="AF82" s="7">
        <f t="shared" si="14"/>
        <v>0</v>
      </c>
    </row>
    <row r="83" spans="2:32" x14ac:dyDescent="0.25">
      <c r="B83" s="17">
        <v>6347000001</v>
      </c>
      <c r="C83" s="193" t="s">
        <v>13</v>
      </c>
      <c r="D83" s="193" t="s">
        <v>52</v>
      </c>
      <c r="E83" s="193" t="s">
        <v>88</v>
      </c>
      <c r="F83" s="163" t="s">
        <v>190</v>
      </c>
      <c r="G83" s="3">
        <f>+IF(F83="Pasajero",'2.2 OPEX LAP 2023'!I84*'2.1 OPEX TUUA'!$G$7,'2.2 OPEX LAP 2023'!I84*'2.1 OPEX TUUA'!$G$8)</f>
        <v>3449.2086349293022</v>
      </c>
      <c r="H83" s="3">
        <f>+IF(F83="Pasajero",'2.2 OPEX LAP 2023'!J84*'2.1 OPEX TUUA'!$H$7,'2.2 OPEX LAP 2023'!J84*'2.1 OPEX TUUA'!$H$8)</f>
        <v>4045.9392619261766</v>
      </c>
      <c r="I83" s="3">
        <f>+IF(F83="Pasajero",'2.2 OPEX LAP 2023'!K84*'2.1 OPEX TUUA'!$I$7,'2.2 OPEX LAP 2023'!K84*'2.1 OPEX TUUA'!$I$8)</f>
        <v>4548.2794449139274</v>
      </c>
      <c r="J83" s="3">
        <f>+IF(F83="Pasajero",'2.2 OPEX LAP 2023'!L84*'2.1 OPEX TUUA'!$J$7,'2.2 OPEX LAP 2023'!L84*'2.1 OPEX TUUA'!$J$8)</f>
        <v>4818.976182307113</v>
      </c>
      <c r="K83" s="3">
        <f>+IF(F83="Pasajero",'2.2 OPEX LAP 2023'!M84*'2.1 OPEX TUUA'!$K$7,'2.2 OPEX LAP 2023'!M84*'2.1 OPEX TUUA'!$K$8)</f>
        <v>5016.7582131492263</v>
      </c>
      <c r="L83" s="3">
        <f>+IF(F83="Pasajero",'2.2 OPEX LAP 2023'!N84*'2.1 OPEX TUUA'!$L$7,'2.2 OPEX LAP 2023'!N84*'2.1 OPEX TUUA'!$L$8)</f>
        <v>5236.4978744278887</v>
      </c>
      <c r="M83" s="3"/>
      <c r="N83" s="3">
        <f>+IF(F83="Pasajero",'2.2 OPEX LAP 2023'!I84*'2.1 OPEX TUUA'!$N$7,'2.2 OPEX LAP 2023'!I84*'2.1 OPEX TUUA'!$N$8)</f>
        <v>1701.2091076690544</v>
      </c>
      <c r="O83" s="3">
        <f>+IF(F83="Pasajero",'2.2 OPEX LAP 2023'!J84*'2.1 OPEX TUUA'!$O$7,'2.2 OPEX LAP 2023'!J84*'2.1 OPEX TUUA'!$O$8)</f>
        <v>1675.679256211112</v>
      </c>
      <c r="P83" s="3">
        <f>+IF(F83="Pasajero",'2.2 OPEX LAP 2023'!K84*'2.1 OPEX TUUA'!$P$7,'2.2 OPEX LAP 2023'!K84*'2.1 OPEX TUUA'!$P$8)</f>
        <v>1665.255532686575</v>
      </c>
      <c r="Q83" s="3">
        <f>+IF(F83="Pasajero",'2.2 OPEX LAP 2023'!L84*'2.1 OPEX TUUA'!$Q$7,'2.2 OPEX LAP 2023'!L84*'2.1 OPEX TUUA'!$Q$8)</f>
        <v>1654.4070529929747</v>
      </c>
      <c r="R83" s="3">
        <f>+IF(F83="Pasajero",'2.2 OPEX LAP 2023'!M84*'2.1 OPEX TUUA'!$R$7,'2.2 OPEX LAP 2023'!M84*'2.1 OPEX TUUA'!$R$8)</f>
        <v>1663.283953530298</v>
      </c>
      <c r="S83" s="3">
        <f>+IF(F83="Pasajero",'2.2 OPEX LAP 2023'!N84*'2.1 OPEX TUUA'!$S$7,'2.2 OPEX LAP 2023'!N84*'2.1 OPEX TUUA'!$S$8)</f>
        <v>1664.3456549473776</v>
      </c>
      <c r="U83" s="1">
        <v>3514.3816097849531</v>
      </c>
      <c r="V83" s="1">
        <v>4122.3874927217057</v>
      </c>
      <c r="W83" s="1">
        <v>4634.2194193469104</v>
      </c>
      <c r="X83" s="1">
        <v>4910.0309855390788</v>
      </c>
      <c r="Y83" s="1">
        <v>5111.5501180434221</v>
      </c>
      <c r="Z83" s="1">
        <v>5335.4417715426416</v>
      </c>
      <c r="AA83" s="7">
        <f t="shared" si="9"/>
        <v>-65.172974855650864</v>
      </c>
      <c r="AB83" s="7">
        <f t="shared" si="10"/>
        <v>-76.448230795529071</v>
      </c>
      <c r="AC83" s="7">
        <f t="shared" si="11"/>
        <v>-85.939974432983036</v>
      </c>
      <c r="AD83" s="7">
        <f t="shared" si="12"/>
        <v>-91.054803231965707</v>
      </c>
      <c r="AE83" s="7">
        <f t="shared" si="13"/>
        <v>-94.791904894195795</v>
      </c>
      <c r="AF83" s="7">
        <f t="shared" si="14"/>
        <v>-98.943897114752872</v>
      </c>
    </row>
    <row r="84" spans="2:32" x14ac:dyDescent="0.25">
      <c r="B84" s="17">
        <v>6348000001</v>
      </c>
      <c r="C84" s="193" t="s">
        <v>13</v>
      </c>
      <c r="D84" s="193" t="s">
        <v>52</v>
      </c>
      <c r="E84" s="193" t="s">
        <v>89</v>
      </c>
      <c r="F84" s="163" t="s">
        <v>190</v>
      </c>
      <c r="G84" s="3">
        <f>+IF(F84="Pasajero",'2.2 OPEX LAP 2023'!I85*'2.1 OPEX TUUA'!$G$7,'2.2 OPEX LAP 2023'!I85*'2.1 OPEX TUUA'!$G$8)</f>
        <v>55.875423973787022</v>
      </c>
      <c r="H84" s="3">
        <f>+IF(F84="Pasajero",'2.2 OPEX LAP 2023'!J85*'2.1 OPEX TUUA'!$H$7,'2.2 OPEX LAP 2023'!J85*'2.1 OPEX TUUA'!$H$8)</f>
        <v>65.542156349422953</v>
      </c>
      <c r="I84" s="3">
        <f>+IF(F84="Pasajero",'2.2 OPEX LAP 2023'!K85*'2.1 OPEX TUUA'!$I$7,'2.2 OPEX LAP 2023'!K85*'2.1 OPEX TUUA'!$I$8)</f>
        <v>73.679811584095532</v>
      </c>
      <c r="J84" s="3">
        <f>+IF(F84="Pasajero",'2.2 OPEX LAP 2023'!L85*'2.1 OPEX TUUA'!$J$7,'2.2 OPEX LAP 2023'!L85*'2.1 OPEX TUUA'!$J$8)</f>
        <v>78.06496092443841</v>
      </c>
      <c r="K84" s="3">
        <f>+IF(F84="Pasajero",'2.2 OPEX LAP 2023'!M85*'2.1 OPEX TUUA'!$K$7,'2.2 OPEX LAP 2023'!M85*'2.1 OPEX TUUA'!$K$8)</f>
        <v>81.268929137838811</v>
      </c>
      <c r="L84" s="3">
        <f>+IF(F84="Pasajero",'2.2 OPEX LAP 2023'!N85*'2.1 OPEX TUUA'!$L$7,'2.2 OPEX LAP 2023'!N85*'2.1 OPEX TUUA'!$L$8)</f>
        <v>84.828599786191262</v>
      </c>
      <c r="M84" s="3"/>
      <c r="N84" s="3">
        <f>+IF(F84="Pasajero",'2.2 OPEX LAP 2023'!I85*'2.1 OPEX TUUA'!$N$7,'2.2 OPEX LAP 2023'!I85*'2.1 OPEX TUUA'!$N$8)</f>
        <v>27.558721498163205</v>
      </c>
      <c r="O84" s="3">
        <f>+IF(F84="Pasajero",'2.2 OPEX LAP 2023'!J85*'2.1 OPEX TUUA'!$O$7,'2.2 OPEX LAP 2023'!J85*'2.1 OPEX TUUA'!$O$8)</f>
        <v>27.145150901199418</v>
      </c>
      <c r="P84" s="3">
        <f>+IF(F84="Pasajero",'2.2 OPEX LAP 2023'!K85*'2.1 OPEX TUUA'!$P$7,'2.2 OPEX LAP 2023'!K85*'2.1 OPEX TUUA'!$P$8)</f>
        <v>26.976291886577656</v>
      </c>
      <c r="Q84" s="3">
        <f>+IF(F84="Pasajero",'2.2 OPEX LAP 2023'!L85*'2.1 OPEX TUUA'!$Q$7,'2.2 OPEX LAP 2023'!L85*'2.1 OPEX TUUA'!$Q$8)</f>
        <v>26.800552038250572</v>
      </c>
      <c r="R84" s="3">
        <f>+IF(F84="Pasajero",'2.2 OPEX LAP 2023'!M85*'2.1 OPEX TUUA'!$R$7,'2.2 OPEX LAP 2023'!M85*'2.1 OPEX TUUA'!$R$8)</f>
        <v>26.944353307931163</v>
      </c>
      <c r="S84" s="3">
        <f>+IF(F84="Pasajero",'2.2 OPEX LAP 2023'!N85*'2.1 OPEX TUUA'!$S$7,'2.2 OPEX LAP 2023'!N85*'2.1 OPEX TUUA'!$S$8)</f>
        <v>26.961552330400302</v>
      </c>
      <c r="U84" s="1">
        <v>56.931192988399587</v>
      </c>
      <c r="V84" s="1">
        <v>66.780578770290418</v>
      </c>
      <c r="W84" s="1">
        <v>75.071995419863356</v>
      </c>
      <c r="X84" s="1">
        <v>79.540002382909094</v>
      </c>
      <c r="Y84" s="1">
        <v>82.804509740765909</v>
      </c>
      <c r="Z84" s="1">
        <v>86.431440549408492</v>
      </c>
      <c r="AA84" s="7">
        <f t="shared" si="9"/>
        <v>-1.0557690146125651</v>
      </c>
      <c r="AB84" s="7">
        <f t="shared" si="10"/>
        <v>-1.2384224208674652</v>
      </c>
      <c r="AC84" s="7">
        <f t="shared" si="11"/>
        <v>-1.392183835767824</v>
      </c>
      <c r="AD84" s="7">
        <f t="shared" si="12"/>
        <v>-1.4750414584706846</v>
      </c>
      <c r="AE84" s="7">
        <f t="shared" si="13"/>
        <v>-1.535580602927098</v>
      </c>
      <c r="AF84" s="7">
        <f t="shared" si="14"/>
        <v>-1.6028407632172303</v>
      </c>
    </row>
    <row r="85" spans="2:32" x14ac:dyDescent="0.25">
      <c r="B85" s="17">
        <v>6354000001</v>
      </c>
      <c r="C85" s="193" t="s">
        <v>13</v>
      </c>
      <c r="D85" s="193" t="s">
        <v>40</v>
      </c>
      <c r="E85" s="193" t="s">
        <v>90</v>
      </c>
      <c r="F85" s="163" t="s">
        <v>190</v>
      </c>
      <c r="G85" s="3">
        <f>+IF(F85="Pasajero",'2.2 OPEX LAP 2023'!I86*'2.1 OPEX TUUA'!$G$7,'2.2 OPEX LAP 2023'!I86*'2.1 OPEX TUUA'!$G$8)</f>
        <v>0</v>
      </c>
      <c r="H85" s="3">
        <f>+IF(F85="Pasajero",'2.2 OPEX LAP 2023'!J86*'2.1 OPEX TUUA'!$H$7,'2.2 OPEX LAP 2023'!J86*'2.1 OPEX TUUA'!$H$8)</f>
        <v>0</v>
      </c>
      <c r="I85" s="3">
        <f>+IF(F85="Pasajero",'2.2 OPEX LAP 2023'!K86*'2.1 OPEX TUUA'!$I$7,'2.2 OPEX LAP 2023'!K86*'2.1 OPEX TUUA'!$I$8)</f>
        <v>0</v>
      </c>
      <c r="J85" s="3">
        <f>+IF(F85="Pasajero",'2.2 OPEX LAP 2023'!L86*'2.1 OPEX TUUA'!$J$7,'2.2 OPEX LAP 2023'!L86*'2.1 OPEX TUUA'!$J$8)</f>
        <v>0</v>
      </c>
      <c r="K85" s="3">
        <f>+IF(F85="Pasajero",'2.2 OPEX LAP 2023'!M86*'2.1 OPEX TUUA'!$K$7,'2.2 OPEX LAP 2023'!M86*'2.1 OPEX TUUA'!$K$8)</f>
        <v>0</v>
      </c>
      <c r="L85" s="3">
        <f>+IF(F85="Pasajero",'2.2 OPEX LAP 2023'!N86*'2.1 OPEX TUUA'!$L$7,'2.2 OPEX LAP 2023'!N86*'2.1 OPEX TUUA'!$L$8)</f>
        <v>0</v>
      </c>
      <c r="M85" s="3"/>
      <c r="N85" s="3">
        <f>+IF(F85="Pasajero",'2.2 OPEX LAP 2023'!I86*'2.1 OPEX TUUA'!$N$7,'2.2 OPEX LAP 2023'!I86*'2.1 OPEX TUUA'!$N$8)</f>
        <v>0</v>
      </c>
      <c r="O85" s="3">
        <f>+IF(F85="Pasajero",'2.2 OPEX LAP 2023'!J86*'2.1 OPEX TUUA'!$O$7,'2.2 OPEX LAP 2023'!J86*'2.1 OPEX TUUA'!$O$8)</f>
        <v>0</v>
      </c>
      <c r="P85" s="3">
        <f>+IF(F85="Pasajero",'2.2 OPEX LAP 2023'!K86*'2.1 OPEX TUUA'!$P$7,'2.2 OPEX LAP 2023'!K86*'2.1 OPEX TUUA'!$P$8)</f>
        <v>0</v>
      </c>
      <c r="Q85" s="3">
        <f>+IF(F85="Pasajero",'2.2 OPEX LAP 2023'!L86*'2.1 OPEX TUUA'!$Q$7,'2.2 OPEX LAP 2023'!L86*'2.1 OPEX TUUA'!$Q$8)</f>
        <v>0</v>
      </c>
      <c r="R85" s="3">
        <f>+IF(F85="Pasajero",'2.2 OPEX LAP 2023'!M86*'2.1 OPEX TUUA'!$R$7,'2.2 OPEX LAP 2023'!M86*'2.1 OPEX TUUA'!$R$8)</f>
        <v>0</v>
      </c>
      <c r="S85" s="3">
        <f>+IF(F85="Pasajero",'2.2 OPEX LAP 2023'!N86*'2.1 OPEX TUUA'!$S$7,'2.2 OPEX LAP 2023'!N86*'2.1 OPEX TUUA'!$S$8)</f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7">
        <f t="shared" si="9"/>
        <v>0</v>
      </c>
      <c r="AB85" s="7">
        <f t="shared" si="10"/>
        <v>0</v>
      </c>
      <c r="AC85" s="7">
        <f t="shared" si="11"/>
        <v>0</v>
      </c>
      <c r="AD85" s="7">
        <f t="shared" si="12"/>
        <v>0</v>
      </c>
      <c r="AE85" s="7">
        <f t="shared" si="13"/>
        <v>0</v>
      </c>
      <c r="AF85" s="7">
        <f t="shared" si="14"/>
        <v>0</v>
      </c>
    </row>
    <row r="86" spans="2:32" x14ac:dyDescent="0.25">
      <c r="B86" s="17">
        <v>6356000001</v>
      </c>
      <c r="C86" s="193" t="s">
        <v>13</v>
      </c>
      <c r="D86" s="193" t="s">
        <v>40</v>
      </c>
      <c r="E86" s="193" t="s">
        <v>91</v>
      </c>
      <c r="F86" s="163" t="s">
        <v>190</v>
      </c>
      <c r="G86" s="3">
        <f>+IF(F86="Pasajero",'2.2 OPEX LAP 2023'!I87*'2.1 OPEX TUUA'!$G$7,'2.2 OPEX LAP 2023'!I87*'2.1 OPEX TUUA'!$G$8)</f>
        <v>0</v>
      </c>
      <c r="H86" s="3">
        <f>+IF(F86="Pasajero",'2.2 OPEX LAP 2023'!J87*'2.1 OPEX TUUA'!$H$7,'2.2 OPEX LAP 2023'!J87*'2.1 OPEX TUUA'!$H$8)</f>
        <v>0</v>
      </c>
      <c r="I86" s="3">
        <f>+IF(F86="Pasajero",'2.2 OPEX LAP 2023'!K87*'2.1 OPEX TUUA'!$I$7,'2.2 OPEX LAP 2023'!K87*'2.1 OPEX TUUA'!$I$8)</f>
        <v>0</v>
      </c>
      <c r="J86" s="3">
        <f>+IF(F86="Pasajero",'2.2 OPEX LAP 2023'!L87*'2.1 OPEX TUUA'!$J$7,'2.2 OPEX LAP 2023'!L87*'2.1 OPEX TUUA'!$J$8)</f>
        <v>0</v>
      </c>
      <c r="K86" s="3">
        <f>+IF(F86="Pasajero",'2.2 OPEX LAP 2023'!M87*'2.1 OPEX TUUA'!$K$7,'2.2 OPEX LAP 2023'!M87*'2.1 OPEX TUUA'!$K$8)</f>
        <v>0</v>
      </c>
      <c r="L86" s="3">
        <f>+IF(F86="Pasajero",'2.2 OPEX LAP 2023'!N87*'2.1 OPEX TUUA'!$L$7,'2.2 OPEX LAP 2023'!N87*'2.1 OPEX TUUA'!$L$8)</f>
        <v>0</v>
      </c>
      <c r="M86" s="3"/>
      <c r="N86" s="3">
        <f>+IF(F86="Pasajero",'2.2 OPEX LAP 2023'!I87*'2.1 OPEX TUUA'!$N$7,'2.2 OPEX LAP 2023'!I87*'2.1 OPEX TUUA'!$N$8)</f>
        <v>0</v>
      </c>
      <c r="O86" s="3">
        <f>+IF(F86="Pasajero",'2.2 OPEX LAP 2023'!J87*'2.1 OPEX TUUA'!$O$7,'2.2 OPEX LAP 2023'!J87*'2.1 OPEX TUUA'!$O$8)</f>
        <v>0</v>
      </c>
      <c r="P86" s="3">
        <f>+IF(F86="Pasajero",'2.2 OPEX LAP 2023'!K87*'2.1 OPEX TUUA'!$P$7,'2.2 OPEX LAP 2023'!K87*'2.1 OPEX TUUA'!$P$8)</f>
        <v>0</v>
      </c>
      <c r="Q86" s="3">
        <f>+IF(F86="Pasajero",'2.2 OPEX LAP 2023'!L87*'2.1 OPEX TUUA'!$Q$7,'2.2 OPEX LAP 2023'!L87*'2.1 OPEX TUUA'!$Q$8)</f>
        <v>0</v>
      </c>
      <c r="R86" s="3">
        <f>+IF(F86="Pasajero",'2.2 OPEX LAP 2023'!M87*'2.1 OPEX TUUA'!$R$7,'2.2 OPEX LAP 2023'!M87*'2.1 OPEX TUUA'!$R$8)</f>
        <v>0</v>
      </c>
      <c r="S86" s="3">
        <f>+IF(F86="Pasajero",'2.2 OPEX LAP 2023'!N87*'2.1 OPEX TUUA'!$S$7,'2.2 OPEX LAP 2023'!N87*'2.1 OPEX TUUA'!$S$8)</f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7">
        <f t="shared" si="9"/>
        <v>0</v>
      </c>
      <c r="AB86" s="7">
        <f t="shared" si="10"/>
        <v>0</v>
      </c>
      <c r="AC86" s="7">
        <f t="shared" si="11"/>
        <v>0</v>
      </c>
      <c r="AD86" s="7">
        <f t="shared" si="12"/>
        <v>0</v>
      </c>
      <c r="AE86" s="7">
        <f t="shared" si="13"/>
        <v>0</v>
      </c>
      <c r="AF86" s="7">
        <f t="shared" si="14"/>
        <v>0</v>
      </c>
    </row>
    <row r="87" spans="2:32" x14ac:dyDescent="0.25">
      <c r="B87" s="17">
        <v>6356000002</v>
      </c>
      <c r="C87" s="193" t="s">
        <v>13</v>
      </c>
      <c r="D87" s="193" t="s">
        <v>40</v>
      </c>
      <c r="E87" s="193" t="s">
        <v>92</v>
      </c>
      <c r="F87" s="163" t="s">
        <v>190</v>
      </c>
      <c r="G87" s="3">
        <f>+IF(F87="Pasajero",'2.2 OPEX LAP 2023'!I88*'2.1 OPEX TUUA'!$G$7,'2.2 OPEX LAP 2023'!I88*'2.1 OPEX TUUA'!$G$8)</f>
        <v>0</v>
      </c>
      <c r="H87" s="3">
        <f>+IF(F87="Pasajero",'2.2 OPEX LAP 2023'!J88*'2.1 OPEX TUUA'!$H$7,'2.2 OPEX LAP 2023'!J88*'2.1 OPEX TUUA'!$H$8)</f>
        <v>0</v>
      </c>
      <c r="I87" s="3">
        <f>+IF(F87="Pasajero",'2.2 OPEX LAP 2023'!K88*'2.1 OPEX TUUA'!$I$7,'2.2 OPEX LAP 2023'!K88*'2.1 OPEX TUUA'!$I$8)</f>
        <v>0</v>
      </c>
      <c r="J87" s="3">
        <f>+IF(F87="Pasajero",'2.2 OPEX LAP 2023'!L88*'2.1 OPEX TUUA'!$J$7,'2.2 OPEX LAP 2023'!L88*'2.1 OPEX TUUA'!$J$8)</f>
        <v>0</v>
      </c>
      <c r="K87" s="3">
        <f>+IF(F87="Pasajero",'2.2 OPEX LAP 2023'!M88*'2.1 OPEX TUUA'!$K$7,'2.2 OPEX LAP 2023'!M88*'2.1 OPEX TUUA'!$K$8)</f>
        <v>0</v>
      </c>
      <c r="L87" s="3">
        <f>+IF(F87="Pasajero",'2.2 OPEX LAP 2023'!N88*'2.1 OPEX TUUA'!$L$7,'2.2 OPEX LAP 2023'!N88*'2.1 OPEX TUUA'!$L$8)</f>
        <v>0</v>
      </c>
      <c r="M87" s="3"/>
      <c r="N87" s="3">
        <f>+IF(F87="Pasajero",'2.2 OPEX LAP 2023'!I88*'2.1 OPEX TUUA'!$N$7,'2.2 OPEX LAP 2023'!I88*'2.1 OPEX TUUA'!$N$8)</f>
        <v>0</v>
      </c>
      <c r="O87" s="3">
        <f>+IF(F87="Pasajero",'2.2 OPEX LAP 2023'!J88*'2.1 OPEX TUUA'!$O$7,'2.2 OPEX LAP 2023'!J88*'2.1 OPEX TUUA'!$O$8)</f>
        <v>0</v>
      </c>
      <c r="P87" s="3">
        <f>+IF(F87="Pasajero",'2.2 OPEX LAP 2023'!K88*'2.1 OPEX TUUA'!$P$7,'2.2 OPEX LAP 2023'!K88*'2.1 OPEX TUUA'!$P$8)</f>
        <v>0</v>
      </c>
      <c r="Q87" s="3">
        <f>+IF(F87="Pasajero",'2.2 OPEX LAP 2023'!L88*'2.1 OPEX TUUA'!$Q$7,'2.2 OPEX LAP 2023'!L88*'2.1 OPEX TUUA'!$Q$8)</f>
        <v>0</v>
      </c>
      <c r="R87" s="3">
        <f>+IF(F87="Pasajero",'2.2 OPEX LAP 2023'!M88*'2.1 OPEX TUUA'!$R$7,'2.2 OPEX LAP 2023'!M88*'2.1 OPEX TUUA'!$R$8)</f>
        <v>0</v>
      </c>
      <c r="S87" s="3">
        <f>+IF(F87="Pasajero",'2.2 OPEX LAP 2023'!N88*'2.1 OPEX TUUA'!$S$7,'2.2 OPEX LAP 2023'!N88*'2.1 OPEX TUUA'!$S$8)</f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7">
        <f t="shared" si="9"/>
        <v>0</v>
      </c>
      <c r="AB87" s="7">
        <f t="shared" si="10"/>
        <v>0</v>
      </c>
      <c r="AC87" s="7">
        <f t="shared" si="11"/>
        <v>0</v>
      </c>
      <c r="AD87" s="7">
        <f t="shared" si="12"/>
        <v>0</v>
      </c>
      <c r="AE87" s="7">
        <f t="shared" si="13"/>
        <v>0</v>
      </c>
      <c r="AF87" s="7">
        <f t="shared" si="14"/>
        <v>0</v>
      </c>
    </row>
    <row r="88" spans="2:32" x14ac:dyDescent="0.25">
      <c r="B88" s="17">
        <v>6357000001</v>
      </c>
      <c r="C88" s="193" t="s">
        <v>13</v>
      </c>
      <c r="D88" s="193" t="s">
        <v>40</v>
      </c>
      <c r="E88" s="193" t="s">
        <v>93</v>
      </c>
      <c r="F88" s="163" t="s">
        <v>190</v>
      </c>
      <c r="G88" s="3">
        <f>+IF(F88="Pasajero",'2.2 OPEX LAP 2023'!I89*'2.1 OPEX TUUA'!$G$7,'2.2 OPEX LAP 2023'!I89*'2.1 OPEX TUUA'!$G$8)</f>
        <v>0</v>
      </c>
      <c r="H88" s="3">
        <f>+IF(F88="Pasajero",'2.2 OPEX LAP 2023'!J89*'2.1 OPEX TUUA'!$H$7,'2.2 OPEX LAP 2023'!J89*'2.1 OPEX TUUA'!$H$8)</f>
        <v>0</v>
      </c>
      <c r="I88" s="3">
        <f>+IF(F88="Pasajero",'2.2 OPEX LAP 2023'!K89*'2.1 OPEX TUUA'!$I$7,'2.2 OPEX LAP 2023'!K89*'2.1 OPEX TUUA'!$I$8)</f>
        <v>0</v>
      </c>
      <c r="J88" s="3">
        <f>+IF(F88="Pasajero",'2.2 OPEX LAP 2023'!L89*'2.1 OPEX TUUA'!$J$7,'2.2 OPEX LAP 2023'!L89*'2.1 OPEX TUUA'!$J$8)</f>
        <v>0</v>
      </c>
      <c r="K88" s="3">
        <f>+IF(F88="Pasajero",'2.2 OPEX LAP 2023'!M89*'2.1 OPEX TUUA'!$K$7,'2.2 OPEX LAP 2023'!M89*'2.1 OPEX TUUA'!$K$8)</f>
        <v>0</v>
      </c>
      <c r="L88" s="3">
        <f>+IF(F88="Pasajero",'2.2 OPEX LAP 2023'!N89*'2.1 OPEX TUUA'!$L$7,'2.2 OPEX LAP 2023'!N89*'2.1 OPEX TUUA'!$L$8)</f>
        <v>0</v>
      </c>
      <c r="M88" s="3"/>
      <c r="N88" s="3">
        <f>+IF(F88="Pasajero",'2.2 OPEX LAP 2023'!I89*'2.1 OPEX TUUA'!$N$7,'2.2 OPEX LAP 2023'!I89*'2.1 OPEX TUUA'!$N$8)</f>
        <v>0</v>
      </c>
      <c r="O88" s="3">
        <f>+IF(F88="Pasajero",'2.2 OPEX LAP 2023'!J89*'2.1 OPEX TUUA'!$O$7,'2.2 OPEX LAP 2023'!J89*'2.1 OPEX TUUA'!$O$8)</f>
        <v>0</v>
      </c>
      <c r="P88" s="3">
        <f>+IF(F88="Pasajero",'2.2 OPEX LAP 2023'!K89*'2.1 OPEX TUUA'!$P$7,'2.2 OPEX LAP 2023'!K89*'2.1 OPEX TUUA'!$P$8)</f>
        <v>0</v>
      </c>
      <c r="Q88" s="3">
        <f>+IF(F88="Pasajero",'2.2 OPEX LAP 2023'!L89*'2.1 OPEX TUUA'!$Q$7,'2.2 OPEX LAP 2023'!L89*'2.1 OPEX TUUA'!$Q$8)</f>
        <v>0</v>
      </c>
      <c r="R88" s="3">
        <f>+IF(F88="Pasajero",'2.2 OPEX LAP 2023'!M89*'2.1 OPEX TUUA'!$R$7,'2.2 OPEX LAP 2023'!M89*'2.1 OPEX TUUA'!$R$8)</f>
        <v>0</v>
      </c>
      <c r="S88" s="3">
        <f>+IF(F88="Pasajero",'2.2 OPEX LAP 2023'!N89*'2.1 OPEX TUUA'!$S$7,'2.2 OPEX LAP 2023'!N89*'2.1 OPEX TUUA'!$S$8)</f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7">
        <f t="shared" si="9"/>
        <v>0</v>
      </c>
      <c r="AB88" s="7">
        <f t="shared" si="10"/>
        <v>0</v>
      </c>
      <c r="AC88" s="7">
        <f t="shared" si="11"/>
        <v>0</v>
      </c>
      <c r="AD88" s="7">
        <f t="shared" si="12"/>
        <v>0</v>
      </c>
      <c r="AE88" s="7">
        <f t="shared" si="13"/>
        <v>0</v>
      </c>
      <c r="AF88" s="7">
        <f t="shared" si="14"/>
        <v>0</v>
      </c>
    </row>
    <row r="89" spans="2:32" x14ac:dyDescent="0.25">
      <c r="B89" s="17">
        <v>6358000001</v>
      </c>
      <c r="C89" s="193" t="s">
        <v>13</v>
      </c>
      <c r="D89" s="193" t="s">
        <v>40</v>
      </c>
      <c r="E89" s="193" t="s">
        <v>94</v>
      </c>
      <c r="F89" s="163" t="s">
        <v>190</v>
      </c>
      <c r="G89" s="3">
        <f>+IF(F89="Pasajero",'2.2 OPEX LAP 2023'!I90*'2.1 OPEX TUUA'!$G$7,'2.2 OPEX LAP 2023'!I90*'2.1 OPEX TUUA'!$G$8)</f>
        <v>0</v>
      </c>
      <c r="H89" s="3">
        <f>+IF(F89="Pasajero",'2.2 OPEX LAP 2023'!J90*'2.1 OPEX TUUA'!$H$7,'2.2 OPEX LAP 2023'!J90*'2.1 OPEX TUUA'!$H$8)</f>
        <v>0</v>
      </c>
      <c r="I89" s="3">
        <f>+IF(F89="Pasajero",'2.2 OPEX LAP 2023'!K90*'2.1 OPEX TUUA'!$I$7,'2.2 OPEX LAP 2023'!K90*'2.1 OPEX TUUA'!$I$8)</f>
        <v>0</v>
      </c>
      <c r="J89" s="3">
        <f>+IF(F89="Pasajero",'2.2 OPEX LAP 2023'!L90*'2.1 OPEX TUUA'!$J$7,'2.2 OPEX LAP 2023'!L90*'2.1 OPEX TUUA'!$J$8)</f>
        <v>0</v>
      </c>
      <c r="K89" s="3">
        <f>+IF(F89="Pasajero",'2.2 OPEX LAP 2023'!M90*'2.1 OPEX TUUA'!$K$7,'2.2 OPEX LAP 2023'!M90*'2.1 OPEX TUUA'!$K$8)</f>
        <v>0</v>
      </c>
      <c r="L89" s="3">
        <f>+IF(F89="Pasajero",'2.2 OPEX LAP 2023'!N90*'2.1 OPEX TUUA'!$L$7,'2.2 OPEX LAP 2023'!N90*'2.1 OPEX TUUA'!$L$8)</f>
        <v>0</v>
      </c>
      <c r="M89" s="3"/>
      <c r="N89" s="3">
        <f>+IF(F89="Pasajero",'2.2 OPEX LAP 2023'!I90*'2.1 OPEX TUUA'!$N$7,'2.2 OPEX LAP 2023'!I90*'2.1 OPEX TUUA'!$N$8)</f>
        <v>0</v>
      </c>
      <c r="O89" s="3">
        <f>+IF(F89="Pasajero",'2.2 OPEX LAP 2023'!J90*'2.1 OPEX TUUA'!$O$7,'2.2 OPEX LAP 2023'!J90*'2.1 OPEX TUUA'!$O$8)</f>
        <v>0</v>
      </c>
      <c r="P89" s="3">
        <f>+IF(F89="Pasajero",'2.2 OPEX LAP 2023'!K90*'2.1 OPEX TUUA'!$P$7,'2.2 OPEX LAP 2023'!K90*'2.1 OPEX TUUA'!$P$8)</f>
        <v>0</v>
      </c>
      <c r="Q89" s="3">
        <f>+IF(F89="Pasajero",'2.2 OPEX LAP 2023'!L90*'2.1 OPEX TUUA'!$Q$7,'2.2 OPEX LAP 2023'!L90*'2.1 OPEX TUUA'!$Q$8)</f>
        <v>0</v>
      </c>
      <c r="R89" s="3">
        <f>+IF(F89="Pasajero",'2.2 OPEX LAP 2023'!M90*'2.1 OPEX TUUA'!$R$7,'2.2 OPEX LAP 2023'!M90*'2.1 OPEX TUUA'!$R$8)</f>
        <v>0</v>
      </c>
      <c r="S89" s="3">
        <f>+IF(F89="Pasajero",'2.2 OPEX LAP 2023'!N90*'2.1 OPEX TUUA'!$S$7,'2.2 OPEX LAP 2023'!N90*'2.1 OPEX TUUA'!$S$8)</f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7">
        <f t="shared" si="9"/>
        <v>0</v>
      </c>
      <c r="AB89" s="7">
        <f t="shared" si="10"/>
        <v>0</v>
      </c>
      <c r="AC89" s="7">
        <f t="shared" si="11"/>
        <v>0</v>
      </c>
      <c r="AD89" s="7">
        <f t="shared" si="12"/>
        <v>0</v>
      </c>
      <c r="AE89" s="7">
        <f t="shared" si="13"/>
        <v>0</v>
      </c>
      <c r="AF89" s="7">
        <f t="shared" si="14"/>
        <v>0</v>
      </c>
    </row>
    <row r="90" spans="2:32" x14ac:dyDescent="0.25">
      <c r="B90" s="17">
        <v>6360000001</v>
      </c>
      <c r="C90" s="193" t="s">
        <v>13</v>
      </c>
      <c r="D90" s="193" t="s">
        <v>40</v>
      </c>
      <c r="E90" s="193" t="s">
        <v>95</v>
      </c>
      <c r="F90" s="163" t="s">
        <v>190</v>
      </c>
      <c r="G90" s="3">
        <f>+IF(F90="Pasajero",'2.2 OPEX LAP 2023'!I91*'2.1 OPEX TUUA'!$G$7,'2.2 OPEX LAP 2023'!I91*'2.1 OPEX TUUA'!$G$8)</f>
        <v>499.82416346541851</v>
      </c>
      <c r="H90" s="3">
        <f>+IF(F90="Pasajero",'2.2 OPEX LAP 2023'!J91*'2.1 OPEX TUUA'!$H$7,'2.2 OPEX LAP 2023'!J91*'2.1 OPEX TUUA'!$H$8)</f>
        <v>586.29628447094331</v>
      </c>
      <c r="I90" s="3">
        <f>+IF(F90="Pasajero",'2.2 OPEX LAP 2023'!K91*'2.1 OPEX TUUA'!$I$7,'2.2 OPEX LAP 2023'!K91*'2.1 OPEX TUUA'!$I$8)</f>
        <v>659.09030429168513</v>
      </c>
      <c r="J90" s="3">
        <f>+IF(F90="Pasajero",'2.2 OPEX LAP 2023'!L91*'2.1 OPEX TUUA'!$J$7,'2.2 OPEX LAP 2023'!L91*'2.1 OPEX TUUA'!$J$8)</f>
        <v>698.31691672394254</v>
      </c>
      <c r="K90" s="3">
        <f>+IF(F90="Pasajero",'2.2 OPEX LAP 2023'!M91*'2.1 OPEX TUUA'!$K$7,'2.2 OPEX LAP 2023'!M91*'2.1 OPEX TUUA'!$K$8)</f>
        <v>726.97747297822582</v>
      </c>
      <c r="L90" s="3">
        <f>+IF(F90="Pasajero",'2.2 OPEX LAP 2023'!N91*'2.1 OPEX TUUA'!$L$7,'2.2 OPEX LAP 2023'!N91*'2.1 OPEX TUUA'!$L$8)</f>
        <v>758.81990525864762</v>
      </c>
      <c r="M90" s="3"/>
      <c r="N90" s="3">
        <f>+IF(F90="Pasajero",'2.2 OPEX LAP 2023'!I91*'2.1 OPEX TUUA'!$N$7,'2.2 OPEX LAP 2023'!I91*'2.1 OPEX TUUA'!$N$8)</f>
        <v>246.52188635665553</v>
      </c>
      <c r="O90" s="3">
        <f>+IF(F90="Pasajero",'2.2 OPEX LAP 2023'!J91*'2.1 OPEX TUUA'!$O$7,'2.2 OPEX LAP 2023'!J91*'2.1 OPEX TUUA'!$O$8)</f>
        <v>242.82236046566106</v>
      </c>
      <c r="P90" s="3">
        <f>+IF(F90="Pasajero",'2.2 OPEX LAP 2023'!K91*'2.1 OPEX TUUA'!$P$7,'2.2 OPEX LAP 2023'!K91*'2.1 OPEX TUUA'!$P$8)</f>
        <v>241.31186068374419</v>
      </c>
      <c r="Q90" s="3">
        <f>+IF(F90="Pasajero",'2.2 OPEX LAP 2023'!L91*'2.1 OPEX TUUA'!$Q$7,'2.2 OPEX LAP 2023'!L91*'2.1 OPEX TUUA'!$Q$8)</f>
        <v>239.73980956662282</v>
      </c>
      <c r="R90" s="3">
        <f>+IF(F90="Pasajero",'2.2 OPEX LAP 2023'!M91*'2.1 OPEX TUUA'!$R$7,'2.2 OPEX LAP 2023'!M91*'2.1 OPEX TUUA'!$R$8)</f>
        <v>241.0261595253647</v>
      </c>
      <c r="S90" s="3">
        <f>+IF(F90="Pasajero",'2.2 OPEX LAP 2023'!N91*'2.1 OPEX TUUA'!$S$7,'2.2 OPEX LAP 2023'!N91*'2.1 OPEX TUUA'!$S$8)</f>
        <v>241.18001047461371</v>
      </c>
      <c r="U90" s="1">
        <v>509.26836678437667</v>
      </c>
      <c r="V90" s="1">
        <v>597.37438297123003</v>
      </c>
      <c r="W90" s="1">
        <v>671.5438495467364</v>
      </c>
      <c r="X90" s="1">
        <v>711.51165084180434</v>
      </c>
      <c r="Y90" s="1">
        <v>740.71374978306619</v>
      </c>
      <c r="Z90" s="1">
        <v>773.1578464619065</v>
      </c>
      <c r="AA90" s="7">
        <f t="shared" si="9"/>
        <v>-9.4442033189581593</v>
      </c>
      <c r="AB90" s="7">
        <f t="shared" si="10"/>
        <v>-11.078098500286728</v>
      </c>
      <c r="AC90" s="7">
        <f t="shared" si="11"/>
        <v>-12.453545255051267</v>
      </c>
      <c r="AD90" s="7">
        <f t="shared" si="12"/>
        <v>-13.194734117861799</v>
      </c>
      <c r="AE90" s="7">
        <f t="shared" si="13"/>
        <v>-13.736276804840372</v>
      </c>
      <c r="AF90" s="7">
        <f t="shared" si="14"/>
        <v>-14.337941203258879</v>
      </c>
    </row>
    <row r="91" spans="2:32" x14ac:dyDescent="0.25">
      <c r="B91" s="17">
        <v>6360000002</v>
      </c>
      <c r="C91" s="193" t="s">
        <v>13</v>
      </c>
      <c r="D91" s="193" t="s">
        <v>40</v>
      </c>
      <c r="E91" s="193" t="s">
        <v>96</v>
      </c>
      <c r="F91" s="163" t="s">
        <v>191</v>
      </c>
      <c r="G91" s="3">
        <f>+IF(F91="Pasajero",'2.2 OPEX LAP 2023'!I92*'2.1 OPEX TUUA'!$G$7,'2.2 OPEX LAP 2023'!I92*'2.1 OPEX TUUA'!$G$8)</f>
        <v>131410.97512005712</v>
      </c>
      <c r="H91" s="3">
        <f>+IF(F91="Pasajero",'2.2 OPEX LAP 2023'!J92*'2.1 OPEX TUUA'!$H$7,'2.2 OPEX LAP 2023'!J92*'2.1 OPEX TUUA'!$H$8)</f>
        <v>134374.52783728082</v>
      </c>
      <c r="I91" s="3">
        <f>+IF(F91="Pasajero",'2.2 OPEX LAP 2023'!K92*'2.1 OPEX TUUA'!$I$7,'2.2 OPEX LAP 2023'!K92*'2.1 OPEX TUUA'!$I$8)</f>
        <v>136640.74679536538</v>
      </c>
      <c r="J91" s="3">
        <f>+IF(F91="Pasajero",'2.2 OPEX LAP 2023'!L92*'2.1 OPEX TUUA'!$J$7,'2.2 OPEX LAP 2023'!L92*'2.1 OPEX TUUA'!$J$8)</f>
        <v>138921.89365431597</v>
      </c>
      <c r="K91" s="3">
        <f>+IF(F91="Pasajero",'2.2 OPEX LAP 2023'!M92*'2.1 OPEX TUUA'!$K$7,'2.2 OPEX LAP 2023'!M92*'2.1 OPEX TUUA'!$K$8)</f>
        <v>141459.12842865006</v>
      </c>
      <c r="L91" s="3">
        <f>+IF(F91="Pasajero",'2.2 OPEX LAP 2023'!N92*'2.1 OPEX TUUA'!$L$7,'2.2 OPEX LAP 2023'!N92*'2.1 OPEX TUUA'!$L$8)</f>
        <v>143814.40359200019</v>
      </c>
      <c r="M91" s="3"/>
      <c r="N91" s="3">
        <f>+IF(F91="Pasajero",'2.2 OPEX LAP 2023'!I92*'2.1 OPEX TUUA'!$N$7,'2.2 OPEX LAP 2023'!I92*'2.1 OPEX TUUA'!$N$8)</f>
        <v>25199.150293670911</v>
      </c>
      <c r="O91" s="3">
        <f>+IF(F91="Pasajero",'2.2 OPEX LAP 2023'!J92*'2.1 OPEX TUUA'!$O$7,'2.2 OPEX LAP 2023'!J92*'2.1 OPEX TUUA'!$O$8)</f>
        <v>25767.436239774801</v>
      </c>
      <c r="P91" s="3">
        <f>+IF(F91="Pasajero",'2.2 OPEX LAP 2023'!K92*'2.1 OPEX TUUA'!$P$7,'2.2 OPEX LAP 2023'!K92*'2.1 OPEX TUUA'!$P$8)</f>
        <v>26202.002622612814</v>
      </c>
      <c r="Q91" s="3">
        <f>+IF(F91="Pasajero",'2.2 OPEX LAP 2023'!L92*'2.1 OPEX TUUA'!$Q$7,'2.2 OPEX LAP 2023'!L92*'2.1 OPEX TUUA'!$Q$8)</f>
        <v>26639.43155492318</v>
      </c>
      <c r="R91" s="3">
        <f>+IF(F91="Pasajero",'2.2 OPEX LAP 2023'!M92*'2.1 OPEX TUUA'!$R$7,'2.2 OPEX LAP 2023'!M92*'2.1 OPEX TUUA'!$R$8)</f>
        <v>27125.967480483137</v>
      </c>
      <c r="S91" s="3">
        <f>+IF(F91="Pasajero",'2.2 OPEX LAP 2023'!N92*'2.1 OPEX TUUA'!$S$7,'2.2 OPEX LAP 2023'!N92*'2.1 OPEX TUUA'!$S$8)</f>
        <v>27577.611133305796</v>
      </c>
      <c r="U91" s="1">
        <v>133893.99226507006</v>
      </c>
      <c r="V91" s="1">
        <v>136913.54146356398</v>
      </c>
      <c r="W91" s="1">
        <v>139222.58074561416</v>
      </c>
      <c r="X91" s="1">
        <v>141546.82999198631</v>
      </c>
      <c r="Y91" s="1">
        <v>144132.00594809643</v>
      </c>
      <c r="Z91" s="1">
        <v>146531.78415699871</v>
      </c>
      <c r="AA91" s="7">
        <f t="shared" si="9"/>
        <v>-2483.0171450129419</v>
      </c>
      <c r="AB91" s="7">
        <f t="shared" si="10"/>
        <v>-2539.0136262831511</v>
      </c>
      <c r="AC91" s="7">
        <f t="shared" si="11"/>
        <v>-2581.8339502487797</v>
      </c>
      <c r="AD91" s="7">
        <f t="shared" si="12"/>
        <v>-2624.9363376703404</v>
      </c>
      <c r="AE91" s="7">
        <f t="shared" si="13"/>
        <v>-2672.8775194463669</v>
      </c>
      <c r="AF91" s="7">
        <f t="shared" si="14"/>
        <v>-2717.3805649985152</v>
      </c>
    </row>
    <row r="92" spans="2:32" x14ac:dyDescent="0.25">
      <c r="B92" s="17">
        <v>6360000003</v>
      </c>
      <c r="C92" s="193" t="s">
        <v>13</v>
      </c>
      <c r="D92" s="193" t="s">
        <v>40</v>
      </c>
      <c r="E92" s="193" t="s">
        <v>97</v>
      </c>
      <c r="F92" s="163" t="s">
        <v>191</v>
      </c>
      <c r="G92" s="3">
        <f>+IF(F92="Pasajero",'2.2 OPEX LAP 2023'!I93*'2.1 OPEX TUUA'!$G$7,'2.2 OPEX LAP 2023'!I93*'2.1 OPEX TUUA'!$G$8)</f>
        <v>32027.66925137641</v>
      </c>
      <c r="H92" s="3">
        <f>+IF(F92="Pasajero",'2.2 OPEX LAP 2023'!J93*'2.1 OPEX TUUA'!$H$7,'2.2 OPEX LAP 2023'!J93*'2.1 OPEX TUUA'!$H$8)</f>
        <v>32749.950523161689</v>
      </c>
      <c r="I92" s="3">
        <f>+IF(F92="Pasajero",'2.2 OPEX LAP 2023'!K93*'2.1 OPEX TUUA'!$I$7,'2.2 OPEX LAP 2023'!K93*'2.1 OPEX TUUA'!$I$8)</f>
        <v>33302.27662206188</v>
      </c>
      <c r="J92" s="3">
        <f>+IF(F92="Pasajero",'2.2 OPEX LAP 2023'!L93*'2.1 OPEX TUUA'!$J$7,'2.2 OPEX LAP 2023'!L93*'2.1 OPEX TUUA'!$J$8)</f>
        <v>33858.240970135077</v>
      </c>
      <c r="K92" s="3">
        <f>+IF(F92="Pasajero",'2.2 OPEX LAP 2023'!M93*'2.1 OPEX TUUA'!$K$7,'2.2 OPEX LAP 2023'!M93*'2.1 OPEX TUUA'!$K$8)</f>
        <v>34476.619428184131</v>
      </c>
      <c r="L92" s="3">
        <f>+IF(F92="Pasajero",'2.2 OPEX LAP 2023'!N93*'2.1 OPEX TUUA'!$L$7,'2.2 OPEX LAP 2023'!N93*'2.1 OPEX TUUA'!$L$8)</f>
        <v>35050.650431750182</v>
      </c>
      <c r="M92" s="3"/>
      <c r="N92" s="3">
        <f>+IF(F92="Pasajero",'2.2 OPEX LAP 2023'!I93*'2.1 OPEX TUUA'!$N$7,'2.2 OPEX LAP 2023'!I93*'2.1 OPEX TUUA'!$N$8)</f>
        <v>6141.5726523913017</v>
      </c>
      <c r="O92" s="3">
        <f>+IF(F92="Pasajero",'2.2 OPEX LAP 2023'!J93*'2.1 OPEX TUUA'!$O$7,'2.2 OPEX LAP 2023'!J93*'2.1 OPEX TUUA'!$O$8)</f>
        <v>6280.0761092402654</v>
      </c>
      <c r="P92" s="3">
        <f>+IF(F92="Pasajero",'2.2 OPEX LAP 2023'!K93*'2.1 OPEX TUUA'!$P$7,'2.2 OPEX LAP 2023'!K93*'2.1 OPEX TUUA'!$P$8)</f>
        <v>6385.9892444604184</v>
      </c>
      <c r="Q92" s="3">
        <f>+IF(F92="Pasajero",'2.2 OPEX LAP 2023'!L93*'2.1 OPEX TUUA'!$Q$7,'2.2 OPEX LAP 2023'!L93*'2.1 OPEX TUUA'!$Q$8)</f>
        <v>6492.600044298254</v>
      </c>
      <c r="R92" s="3">
        <f>+IF(F92="Pasajero",'2.2 OPEX LAP 2023'!M93*'2.1 OPEX TUUA'!$R$7,'2.2 OPEX LAP 2023'!M93*'2.1 OPEX TUUA'!$R$8)</f>
        <v>6611.1792701849072</v>
      </c>
      <c r="S92" s="3">
        <f>+IF(F92="Pasajero",'2.2 OPEX LAP 2023'!N93*'2.1 OPEX TUUA'!$S$7,'2.2 OPEX LAP 2023'!N93*'2.1 OPEX TUUA'!$S$8)</f>
        <v>6721.2545018683513</v>
      </c>
      <c r="U92" s="1">
        <v>32632.833711904277</v>
      </c>
      <c r="V92" s="1">
        <v>33368.76252553091</v>
      </c>
      <c r="W92" s="1">
        <v>33931.524854524927</v>
      </c>
      <c r="X92" s="1">
        <v>34497.994177597517</v>
      </c>
      <c r="Y92" s="1">
        <v>35128.056928469443</v>
      </c>
      <c r="Z92" s="1">
        <v>35712.934277421191</v>
      </c>
      <c r="AA92" s="7">
        <f t="shared" si="9"/>
        <v>-605.16446052786705</v>
      </c>
      <c r="AB92" s="7">
        <f t="shared" si="10"/>
        <v>-618.81200236922086</v>
      </c>
      <c r="AC92" s="7">
        <f t="shared" si="11"/>
        <v>-629.24823246304732</v>
      </c>
      <c r="AD92" s="7">
        <f t="shared" si="12"/>
        <v>-639.7532074624396</v>
      </c>
      <c r="AE92" s="7">
        <f t="shared" si="13"/>
        <v>-651.43750028531213</v>
      </c>
      <c r="AF92" s="7">
        <f t="shared" si="14"/>
        <v>-662.28384567100875</v>
      </c>
    </row>
    <row r="93" spans="2:32" x14ac:dyDescent="0.25">
      <c r="B93" s="17">
        <v>6360000004</v>
      </c>
      <c r="C93" s="193" t="s">
        <v>13</v>
      </c>
      <c r="D93" s="193" t="s">
        <v>40</v>
      </c>
      <c r="E93" s="193" t="s">
        <v>98</v>
      </c>
      <c r="F93" s="163" t="s">
        <v>190</v>
      </c>
      <c r="G93" s="3">
        <f>+IF(F93="Pasajero",'2.2 OPEX LAP 2023'!I94*'2.1 OPEX TUUA'!$G$7,'2.2 OPEX LAP 2023'!I94*'2.1 OPEX TUUA'!$G$8)</f>
        <v>0</v>
      </c>
      <c r="H93" s="3">
        <f>+IF(F93="Pasajero",'2.2 OPEX LAP 2023'!J94*'2.1 OPEX TUUA'!$H$7,'2.2 OPEX LAP 2023'!J94*'2.1 OPEX TUUA'!$H$8)</f>
        <v>0</v>
      </c>
      <c r="I93" s="3">
        <f>+IF(F93="Pasajero",'2.2 OPEX LAP 2023'!K94*'2.1 OPEX TUUA'!$I$7,'2.2 OPEX LAP 2023'!K94*'2.1 OPEX TUUA'!$I$8)</f>
        <v>0</v>
      </c>
      <c r="J93" s="3">
        <f>+IF(F93="Pasajero",'2.2 OPEX LAP 2023'!L94*'2.1 OPEX TUUA'!$J$7,'2.2 OPEX LAP 2023'!L94*'2.1 OPEX TUUA'!$J$8)</f>
        <v>0</v>
      </c>
      <c r="K93" s="3">
        <f>+IF(F93="Pasajero",'2.2 OPEX LAP 2023'!M94*'2.1 OPEX TUUA'!$K$7,'2.2 OPEX LAP 2023'!M94*'2.1 OPEX TUUA'!$K$8)</f>
        <v>0</v>
      </c>
      <c r="L93" s="3">
        <f>+IF(F93="Pasajero",'2.2 OPEX LAP 2023'!N94*'2.1 OPEX TUUA'!$L$7,'2.2 OPEX LAP 2023'!N94*'2.1 OPEX TUUA'!$L$8)</f>
        <v>0</v>
      </c>
      <c r="M93" s="3"/>
      <c r="N93" s="3">
        <f>+IF(F93="Pasajero",'2.2 OPEX LAP 2023'!I94*'2.1 OPEX TUUA'!$N$7,'2.2 OPEX LAP 2023'!I94*'2.1 OPEX TUUA'!$N$8)</f>
        <v>0</v>
      </c>
      <c r="O93" s="3">
        <f>+IF(F93="Pasajero",'2.2 OPEX LAP 2023'!J94*'2.1 OPEX TUUA'!$O$7,'2.2 OPEX LAP 2023'!J94*'2.1 OPEX TUUA'!$O$8)</f>
        <v>0</v>
      </c>
      <c r="P93" s="3">
        <f>+IF(F93="Pasajero",'2.2 OPEX LAP 2023'!K94*'2.1 OPEX TUUA'!$P$7,'2.2 OPEX LAP 2023'!K94*'2.1 OPEX TUUA'!$P$8)</f>
        <v>0</v>
      </c>
      <c r="Q93" s="3">
        <f>+IF(F93="Pasajero",'2.2 OPEX LAP 2023'!L94*'2.1 OPEX TUUA'!$Q$7,'2.2 OPEX LAP 2023'!L94*'2.1 OPEX TUUA'!$Q$8)</f>
        <v>0</v>
      </c>
      <c r="R93" s="3">
        <f>+IF(F93="Pasajero",'2.2 OPEX LAP 2023'!M94*'2.1 OPEX TUUA'!$R$7,'2.2 OPEX LAP 2023'!M94*'2.1 OPEX TUUA'!$R$8)</f>
        <v>0</v>
      </c>
      <c r="S93" s="3">
        <f>+IF(F93="Pasajero",'2.2 OPEX LAP 2023'!N94*'2.1 OPEX TUUA'!$S$7,'2.2 OPEX LAP 2023'!N94*'2.1 OPEX TUUA'!$S$8)</f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7">
        <f t="shared" si="9"/>
        <v>0</v>
      </c>
      <c r="AB93" s="7">
        <f t="shared" si="10"/>
        <v>0</v>
      </c>
      <c r="AC93" s="7">
        <f t="shared" si="11"/>
        <v>0</v>
      </c>
      <c r="AD93" s="7">
        <f t="shared" si="12"/>
        <v>0</v>
      </c>
      <c r="AE93" s="7">
        <f t="shared" si="13"/>
        <v>0</v>
      </c>
      <c r="AF93" s="7">
        <f t="shared" si="14"/>
        <v>0</v>
      </c>
    </row>
    <row r="94" spans="2:32" x14ac:dyDescent="0.25">
      <c r="B94" s="17">
        <v>6360000005</v>
      </c>
      <c r="C94" s="193" t="s">
        <v>13</v>
      </c>
      <c r="D94" s="193" t="s">
        <v>40</v>
      </c>
      <c r="E94" s="193" t="s">
        <v>99</v>
      </c>
      <c r="F94" s="163" t="s">
        <v>190</v>
      </c>
      <c r="G94" s="3">
        <f>+IF(F94="Pasajero",'2.2 OPEX LAP 2023'!I95*'2.1 OPEX TUUA'!$G$7,'2.2 OPEX LAP 2023'!I95*'2.1 OPEX TUUA'!$G$8)</f>
        <v>0</v>
      </c>
      <c r="H94" s="3">
        <f>+IF(F94="Pasajero",'2.2 OPEX LAP 2023'!J95*'2.1 OPEX TUUA'!$H$7,'2.2 OPEX LAP 2023'!J95*'2.1 OPEX TUUA'!$H$8)</f>
        <v>0</v>
      </c>
      <c r="I94" s="3">
        <f>+IF(F94="Pasajero",'2.2 OPEX LAP 2023'!K95*'2.1 OPEX TUUA'!$I$7,'2.2 OPEX LAP 2023'!K95*'2.1 OPEX TUUA'!$I$8)</f>
        <v>0</v>
      </c>
      <c r="J94" s="3">
        <f>+IF(F94="Pasajero",'2.2 OPEX LAP 2023'!L95*'2.1 OPEX TUUA'!$J$7,'2.2 OPEX LAP 2023'!L95*'2.1 OPEX TUUA'!$J$8)</f>
        <v>0</v>
      </c>
      <c r="K94" s="3">
        <f>+IF(F94="Pasajero",'2.2 OPEX LAP 2023'!M95*'2.1 OPEX TUUA'!$K$7,'2.2 OPEX LAP 2023'!M95*'2.1 OPEX TUUA'!$K$8)</f>
        <v>0</v>
      </c>
      <c r="L94" s="3">
        <f>+IF(F94="Pasajero",'2.2 OPEX LAP 2023'!N95*'2.1 OPEX TUUA'!$L$7,'2.2 OPEX LAP 2023'!N95*'2.1 OPEX TUUA'!$L$8)</f>
        <v>0</v>
      </c>
      <c r="M94" s="3"/>
      <c r="N94" s="3">
        <f>+IF(F94="Pasajero",'2.2 OPEX LAP 2023'!I95*'2.1 OPEX TUUA'!$N$7,'2.2 OPEX LAP 2023'!I95*'2.1 OPEX TUUA'!$N$8)</f>
        <v>0</v>
      </c>
      <c r="O94" s="3">
        <f>+IF(F94="Pasajero",'2.2 OPEX LAP 2023'!J95*'2.1 OPEX TUUA'!$O$7,'2.2 OPEX LAP 2023'!J95*'2.1 OPEX TUUA'!$O$8)</f>
        <v>0</v>
      </c>
      <c r="P94" s="3">
        <f>+IF(F94="Pasajero",'2.2 OPEX LAP 2023'!K95*'2.1 OPEX TUUA'!$P$7,'2.2 OPEX LAP 2023'!K95*'2.1 OPEX TUUA'!$P$8)</f>
        <v>0</v>
      </c>
      <c r="Q94" s="3">
        <f>+IF(F94="Pasajero",'2.2 OPEX LAP 2023'!L95*'2.1 OPEX TUUA'!$Q$7,'2.2 OPEX LAP 2023'!L95*'2.1 OPEX TUUA'!$Q$8)</f>
        <v>0</v>
      </c>
      <c r="R94" s="3">
        <f>+IF(F94="Pasajero",'2.2 OPEX LAP 2023'!M95*'2.1 OPEX TUUA'!$R$7,'2.2 OPEX LAP 2023'!M95*'2.1 OPEX TUUA'!$R$8)</f>
        <v>0</v>
      </c>
      <c r="S94" s="3">
        <f>+IF(F94="Pasajero",'2.2 OPEX LAP 2023'!N95*'2.1 OPEX TUUA'!$S$7,'2.2 OPEX LAP 2023'!N95*'2.1 OPEX TUUA'!$S$8)</f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7">
        <f t="shared" si="9"/>
        <v>0</v>
      </c>
      <c r="AB94" s="7">
        <f t="shared" si="10"/>
        <v>0</v>
      </c>
      <c r="AC94" s="7">
        <f t="shared" si="11"/>
        <v>0</v>
      </c>
      <c r="AD94" s="7">
        <f t="shared" si="12"/>
        <v>0</v>
      </c>
      <c r="AE94" s="7">
        <f t="shared" si="13"/>
        <v>0</v>
      </c>
      <c r="AF94" s="7">
        <f t="shared" si="14"/>
        <v>0</v>
      </c>
    </row>
    <row r="95" spans="2:32" x14ac:dyDescent="0.25">
      <c r="B95" s="17">
        <v>6370000001</v>
      </c>
      <c r="C95" s="193" t="s">
        <v>13</v>
      </c>
      <c r="D95" s="193" t="s">
        <v>40</v>
      </c>
      <c r="E95" s="193" t="s">
        <v>100</v>
      </c>
      <c r="F95" s="163" t="s">
        <v>190</v>
      </c>
      <c r="G95" s="3">
        <f>+IF(F95="Pasajero",'2.2 OPEX LAP 2023'!I96*'2.1 OPEX TUUA'!$G$7,'2.2 OPEX LAP 2023'!I96*'2.1 OPEX TUUA'!$G$8)</f>
        <v>0</v>
      </c>
      <c r="H95" s="3">
        <f>+IF(F95="Pasajero",'2.2 OPEX LAP 2023'!J96*'2.1 OPEX TUUA'!$H$7,'2.2 OPEX LAP 2023'!J96*'2.1 OPEX TUUA'!$H$8)</f>
        <v>0</v>
      </c>
      <c r="I95" s="3">
        <f>+IF(F95="Pasajero",'2.2 OPEX LAP 2023'!K96*'2.1 OPEX TUUA'!$I$7,'2.2 OPEX LAP 2023'!K96*'2.1 OPEX TUUA'!$I$8)</f>
        <v>0</v>
      </c>
      <c r="J95" s="3">
        <f>+IF(F95="Pasajero",'2.2 OPEX LAP 2023'!L96*'2.1 OPEX TUUA'!$J$7,'2.2 OPEX LAP 2023'!L96*'2.1 OPEX TUUA'!$J$8)</f>
        <v>0</v>
      </c>
      <c r="K95" s="3">
        <f>+IF(F95="Pasajero",'2.2 OPEX LAP 2023'!M96*'2.1 OPEX TUUA'!$K$7,'2.2 OPEX LAP 2023'!M96*'2.1 OPEX TUUA'!$K$8)</f>
        <v>0</v>
      </c>
      <c r="L95" s="3">
        <f>+IF(F95="Pasajero",'2.2 OPEX LAP 2023'!N96*'2.1 OPEX TUUA'!$L$7,'2.2 OPEX LAP 2023'!N96*'2.1 OPEX TUUA'!$L$8)</f>
        <v>0</v>
      </c>
      <c r="M95" s="3"/>
      <c r="N95" s="3">
        <f>+IF(F95="Pasajero",'2.2 OPEX LAP 2023'!I96*'2.1 OPEX TUUA'!$N$7,'2.2 OPEX LAP 2023'!I96*'2.1 OPEX TUUA'!$N$8)</f>
        <v>0</v>
      </c>
      <c r="O95" s="3">
        <f>+IF(F95="Pasajero",'2.2 OPEX LAP 2023'!J96*'2.1 OPEX TUUA'!$O$7,'2.2 OPEX LAP 2023'!J96*'2.1 OPEX TUUA'!$O$8)</f>
        <v>0</v>
      </c>
      <c r="P95" s="3">
        <f>+IF(F95="Pasajero",'2.2 OPEX LAP 2023'!K96*'2.1 OPEX TUUA'!$P$7,'2.2 OPEX LAP 2023'!K96*'2.1 OPEX TUUA'!$P$8)</f>
        <v>0</v>
      </c>
      <c r="Q95" s="3">
        <f>+IF(F95="Pasajero",'2.2 OPEX LAP 2023'!L96*'2.1 OPEX TUUA'!$Q$7,'2.2 OPEX LAP 2023'!L96*'2.1 OPEX TUUA'!$Q$8)</f>
        <v>0</v>
      </c>
      <c r="R95" s="3">
        <f>+IF(F95="Pasajero",'2.2 OPEX LAP 2023'!M96*'2.1 OPEX TUUA'!$R$7,'2.2 OPEX LAP 2023'!M96*'2.1 OPEX TUUA'!$R$8)</f>
        <v>0</v>
      </c>
      <c r="S95" s="3">
        <f>+IF(F95="Pasajero",'2.2 OPEX LAP 2023'!N96*'2.1 OPEX TUUA'!$S$7,'2.2 OPEX LAP 2023'!N96*'2.1 OPEX TUUA'!$S$8)</f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7">
        <f t="shared" si="9"/>
        <v>0</v>
      </c>
      <c r="AB95" s="7">
        <f t="shared" si="10"/>
        <v>0</v>
      </c>
      <c r="AC95" s="7">
        <f t="shared" si="11"/>
        <v>0</v>
      </c>
      <c r="AD95" s="7">
        <f t="shared" si="12"/>
        <v>0</v>
      </c>
      <c r="AE95" s="7">
        <f t="shared" si="13"/>
        <v>0</v>
      </c>
      <c r="AF95" s="7">
        <f t="shared" si="14"/>
        <v>0</v>
      </c>
    </row>
    <row r="96" spans="2:32" x14ac:dyDescent="0.25">
      <c r="B96" s="17">
        <v>6370000002</v>
      </c>
      <c r="C96" s="193" t="s">
        <v>13</v>
      </c>
      <c r="D96" s="193" t="s">
        <v>40</v>
      </c>
      <c r="E96" s="193" t="s">
        <v>101</v>
      </c>
      <c r="F96" s="163" t="s">
        <v>190</v>
      </c>
      <c r="G96" s="3">
        <f>+IF(F96="Pasajero",'2.2 OPEX LAP 2023'!I97*'2.1 OPEX TUUA'!$G$7,'2.2 OPEX LAP 2023'!I97*'2.1 OPEX TUUA'!$G$8)</f>
        <v>0</v>
      </c>
      <c r="H96" s="3">
        <f>+IF(F96="Pasajero",'2.2 OPEX LAP 2023'!J97*'2.1 OPEX TUUA'!$H$7,'2.2 OPEX LAP 2023'!J97*'2.1 OPEX TUUA'!$H$8)</f>
        <v>0</v>
      </c>
      <c r="I96" s="3">
        <f>+IF(F96="Pasajero",'2.2 OPEX LAP 2023'!K97*'2.1 OPEX TUUA'!$I$7,'2.2 OPEX LAP 2023'!K97*'2.1 OPEX TUUA'!$I$8)</f>
        <v>0</v>
      </c>
      <c r="J96" s="3">
        <f>+IF(F96="Pasajero",'2.2 OPEX LAP 2023'!L97*'2.1 OPEX TUUA'!$J$7,'2.2 OPEX LAP 2023'!L97*'2.1 OPEX TUUA'!$J$8)</f>
        <v>0</v>
      </c>
      <c r="K96" s="3">
        <f>+IF(F96="Pasajero",'2.2 OPEX LAP 2023'!M97*'2.1 OPEX TUUA'!$K$7,'2.2 OPEX LAP 2023'!M97*'2.1 OPEX TUUA'!$K$8)</f>
        <v>0</v>
      </c>
      <c r="L96" s="3">
        <f>+IF(F96="Pasajero",'2.2 OPEX LAP 2023'!N97*'2.1 OPEX TUUA'!$L$7,'2.2 OPEX LAP 2023'!N97*'2.1 OPEX TUUA'!$L$8)</f>
        <v>0</v>
      </c>
      <c r="M96" s="3"/>
      <c r="N96" s="3">
        <f>+IF(F96="Pasajero",'2.2 OPEX LAP 2023'!I97*'2.1 OPEX TUUA'!$N$7,'2.2 OPEX LAP 2023'!I97*'2.1 OPEX TUUA'!$N$8)</f>
        <v>0</v>
      </c>
      <c r="O96" s="3">
        <f>+IF(F96="Pasajero",'2.2 OPEX LAP 2023'!J97*'2.1 OPEX TUUA'!$O$7,'2.2 OPEX LAP 2023'!J97*'2.1 OPEX TUUA'!$O$8)</f>
        <v>0</v>
      </c>
      <c r="P96" s="3">
        <f>+IF(F96="Pasajero",'2.2 OPEX LAP 2023'!K97*'2.1 OPEX TUUA'!$P$7,'2.2 OPEX LAP 2023'!K97*'2.1 OPEX TUUA'!$P$8)</f>
        <v>0</v>
      </c>
      <c r="Q96" s="3">
        <f>+IF(F96="Pasajero",'2.2 OPEX LAP 2023'!L97*'2.1 OPEX TUUA'!$Q$7,'2.2 OPEX LAP 2023'!L97*'2.1 OPEX TUUA'!$Q$8)</f>
        <v>0</v>
      </c>
      <c r="R96" s="3">
        <f>+IF(F96="Pasajero",'2.2 OPEX LAP 2023'!M97*'2.1 OPEX TUUA'!$R$7,'2.2 OPEX LAP 2023'!M97*'2.1 OPEX TUUA'!$R$8)</f>
        <v>0</v>
      </c>
      <c r="S96" s="3">
        <f>+IF(F96="Pasajero",'2.2 OPEX LAP 2023'!N97*'2.1 OPEX TUUA'!$S$7,'2.2 OPEX LAP 2023'!N97*'2.1 OPEX TUUA'!$S$8)</f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7">
        <f t="shared" si="9"/>
        <v>0</v>
      </c>
      <c r="AB96" s="7">
        <f t="shared" si="10"/>
        <v>0</v>
      </c>
      <c r="AC96" s="7">
        <f t="shared" si="11"/>
        <v>0</v>
      </c>
      <c r="AD96" s="7">
        <f t="shared" si="12"/>
        <v>0</v>
      </c>
      <c r="AE96" s="7">
        <f t="shared" si="13"/>
        <v>0</v>
      </c>
      <c r="AF96" s="7">
        <f t="shared" si="14"/>
        <v>0</v>
      </c>
    </row>
    <row r="97" spans="2:32" x14ac:dyDescent="0.25">
      <c r="B97" s="17">
        <v>6370000003</v>
      </c>
      <c r="C97" s="193" t="s">
        <v>13</v>
      </c>
      <c r="D97" s="193" t="s">
        <v>40</v>
      </c>
      <c r="E97" s="193" t="s">
        <v>102</v>
      </c>
      <c r="F97" s="163" t="s">
        <v>190</v>
      </c>
      <c r="G97" s="3">
        <f>+IF(F97="Pasajero",'2.2 OPEX LAP 2023'!I98*'2.1 OPEX TUUA'!$G$7,'2.2 OPEX LAP 2023'!I98*'2.1 OPEX TUUA'!$G$8)</f>
        <v>0</v>
      </c>
      <c r="H97" s="3">
        <f>+IF(F97="Pasajero",'2.2 OPEX LAP 2023'!J98*'2.1 OPEX TUUA'!$H$7,'2.2 OPEX LAP 2023'!J98*'2.1 OPEX TUUA'!$H$8)</f>
        <v>0</v>
      </c>
      <c r="I97" s="3">
        <f>+IF(F97="Pasajero",'2.2 OPEX LAP 2023'!K98*'2.1 OPEX TUUA'!$I$7,'2.2 OPEX LAP 2023'!K98*'2.1 OPEX TUUA'!$I$8)</f>
        <v>0</v>
      </c>
      <c r="J97" s="3">
        <f>+IF(F97="Pasajero",'2.2 OPEX LAP 2023'!L98*'2.1 OPEX TUUA'!$J$7,'2.2 OPEX LAP 2023'!L98*'2.1 OPEX TUUA'!$J$8)</f>
        <v>0</v>
      </c>
      <c r="K97" s="3">
        <f>+IF(F97="Pasajero",'2.2 OPEX LAP 2023'!M98*'2.1 OPEX TUUA'!$K$7,'2.2 OPEX LAP 2023'!M98*'2.1 OPEX TUUA'!$K$8)</f>
        <v>0</v>
      </c>
      <c r="L97" s="3">
        <f>+IF(F97="Pasajero",'2.2 OPEX LAP 2023'!N98*'2.1 OPEX TUUA'!$L$7,'2.2 OPEX LAP 2023'!N98*'2.1 OPEX TUUA'!$L$8)</f>
        <v>0</v>
      </c>
      <c r="M97" s="3"/>
      <c r="N97" s="3">
        <f>+IF(F97="Pasajero",'2.2 OPEX LAP 2023'!I98*'2.1 OPEX TUUA'!$N$7,'2.2 OPEX LAP 2023'!I98*'2.1 OPEX TUUA'!$N$8)</f>
        <v>0</v>
      </c>
      <c r="O97" s="3">
        <f>+IF(F97="Pasajero",'2.2 OPEX LAP 2023'!J98*'2.1 OPEX TUUA'!$O$7,'2.2 OPEX LAP 2023'!J98*'2.1 OPEX TUUA'!$O$8)</f>
        <v>0</v>
      </c>
      <c r="P97" s="3">
        <f>+IF(F97="Pasajero",'2.2 OPEX LAP 2023'!K98*'2.1 OPEX TUUA'!$P$7,'2.2 OPEX LAP 2023'!K98*'2.1 OPEX TUUA'!$P$8)</f>
        <v>0</v>
      </c>
      <c r="Q97" s="3">
        <f>+IF(F97="Pasajero",'2.2 OPEX LAP 2023'!L98*'2.1 OPEX TUUA'!$Q$7,'2.2 OPEX LAP 2023'!L98*'2.1 OPEX TUUA'!$Q$8)</f>
        <v>0</v>
      </c>
      <c r="R97" s="3">
        <f>+IF(F97="Pasajero",'2.2 OPEX LAP 2023'!M98*'2.1 OPEX TUUA'!$R$7,'2.2 OPEX LAP 2023'!M98*'2.1 OPEX TUUA'!$R$8)</f>
        <v>0</v>
      </c>
      <c r="S97" s="3">
        <f>+IF(F97="Pasajero",'2.2 OPEX LAP 2023'!N98*'2.1 OPEX TUUA'!$S$7,'2.2 OPEX LAP 2023'!N98*'2.1 OPEX TUUA'!$S$8)</f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7">
        <f t="shared" si="9"/>
        <v>0</v>
      </c>
      <c r="AB97" s="7">
        <f t="shared" si="10"/>
        <v>0</v>
      </c>
      <c r="AC97" s="7">
        <f t="shared" si="11"/>
        <v>0</v>
      </c>
      <c r="AD97" s="7">
        <f t="shared" si="12"/>
        <v>0</v>
      </c>
      <c r="AE97" s="7">
        <f t="shared" si="13"/>
        <v>0</v>
      </c>
      <c r="AF97" s="7">
        <f t="shared" si="14"/>
        <v>0</v>
      </c>
    </row>
    <row r="98" spans="2:32" x14ac:dyDescent="0.25">
      <c r="B98" s="17">
        <v>6380000002</v>
      </c>
      <c r="C98" s="193" t="s">
        <v>13</v>
      </c>
      <c r="D98" s="193" t="s">
        <v>40</v>
      </c>
      <c r="E98" s="193" t="s">
        <v>103</v>
      </c>
      <c r="F98" s="163" t="s">
        <v>190</v>
      </c>
      <c r="G98" s="3">
        <f>+IF(F98="Pasajero",'2.2 OPEX LAP 2023'!I99*'2.1 OPEX TUUA'!$G$7,'2.2 OPEX LAP 2023'!I99*'2.1 OPEX TUUA'!$G$8)</f>
        <v>0</v>
      </c>
      <c r="H98" s="3">
        <f>+IF(F98="Pasajero",'2.2 OPEX LAP 2023'!J99*'2.1 OPEX TUUA'!$H$7,'2.2 OPEX LAP 2023'!J99*'2.1 OPEX TUUA'!$H$8)</f>
        <v>0</v>
      </c>
      <c r="I98" s="3">
        <f>+IF(F98="Pasajero",'2.2 OPEX LAP 2023'!K99*'2.1 OPEX TUUA'!$I$7,'2.2 OPEX LAP 2023'!K99*'2.1 OPEX TUUA'!$I$8)</f>
        <v>0</v>
      </c>
      <c r="J98" s="3">
        <f>+IF(F98="Pasajero",'2.2 OPEX LAP 2023'!L99*'2.1 OPEX TUUA'!$J$7,'2.2 OPEX LAP 2023'!L99*'2.1 OPEX TUUA'!$J$8)</f>
        <v>0</v>
      </c>
      <c r="K98" s="3">
        <f>+IF(F98="Pasajero",'2.2 OPEX LAP 2023'!M99*'2.1 OPEX TUUA'!$K$7,'2.2 OPEX LAP 2023'!M99*'2.1 OPEX TUUA'!$K$8)</f>
        <v>0</v>
      </c>
      <c r="L98" s="3">
        <f>+IF(F98="Pasajero",'2.2 OPEX LAP 2023'!N99*'2.1 OPEX TUUA'!$L$7,'2.2 OPEX LAP 2023'!N99*'2.1 OPEX TUUA'!$L$8)</f>
        <v>0</v>
      </c>
      <c r="M98" s="3"/>
      <c r="N98" s="3">
        <f>+IF(F98="Pasajero",'2.2 OPEX LAP 2023'!I99*'2.1 OPEX TUUA'!$N$7,'2.2 OPEX LAP 2023'!I99*'2.1 OPEX TUUA'!$N$8)</f>
        <v>0</v>
      </c>
      <c r="O98" s="3">
        <f>+IF(F98="Pasajero",'2.2 OPEX LAP 2023'!J99*'2.1 OPEX TUUA'!$O$7,'2.2 OPEX LAP 2023'!J99*'2.1 OPEX TUUA'!$O$8)</f>
        <v>0</v>
      </c>
      <c r="P98" s="3">
        <f>+IF(F98="Pasajero",'2.2 OPEX LAP 2023'!K99*'2.1 OPEX TUUA'!$P$7,'2.2 OPEX LAP 2023'!K99*'2.1 OPEX TUUA'!$P$8)</f>
        <v>0</v>
      </c>
      <c r="Q98" s="3">
        <f>+IF(F98="Pasajero",'2.2 OPEX LAP 2023'!L99*'2.1 OPEX TUUA'!$Q$7,'2.2 OPEX LAP 2023'!L99*'2.1 OPEX TUUA'!$Q$8)</f>
        <v>0</v>
      </c>
      <c r="R98" s="3">
        <f>+IF(F98="Pasajero",'2.2 OPEX LAP 2023'!M99*'2.1 OPEX TUUA'!$R$7,'2.2 OPEX LAP 2023'!M99*'2.1 OPEX TUUA'!$R$8)</f>
        <v>0</v>
      </c>
      <c r="S98" s="3">
        <f>+IF(F98="Pasajero",'2.2 OPEX LAP 2023'!N99*'2.1 OPEX TUUA'!$S$7,'2.2 OPEX LAP 2023'!N99*'2.1 OPEX TUUA'!$S$8)</f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7">
        <f t="shared" si="9"/>
        <v>0</v>
      </c>
      <c r="AB98" s="7">
        <f t="shared" si="10"/>
        <v>0</v>
      </c>
      <c r="AC98" s="7">
        <f t="shared" si="11"/>
        <v>0</v>
      </c>
      <c r="AD98" s="7">
        <f t="shared" si="12"/>
        <v>0</v>
      </c>
      <c r="AE98" s="7">
        <f t="shared" si="13"/>
        <v>0</v>
      </c>
      <c r="AF98" s="7">
        <f t="shared" si="14"/>
        <v>0</v>
      </c>
    </row>
    <row r="99" spans="2:32" x14ac:dyDescent="0.25">
      <c r="B99" s="17">
        <v>6380000003</v>
      </c>
      <c r="C99" s="193" t="s">
        <v>13</v>
      </c>
      <c r="D99" s="193" t="s">
        <v>38</v>
      </c>
      <c r="E99" s="193" t="s">
        <v>104</v>
      </c>
      <c r="F99" s="163" t="s">
        <v>190</v>
      </c>
      <c r="G99" s="3">
        <f>+IF(F99="Pasajero",'2.2 OPEX LAP 2023'!I100*'2.1 OPEX TUUA'!$G$7,'2.2 OPEX LAP 2023'!I100*'2.1 OPEX TUUA'!$G$8)</f>
        <v>0</v>
      </c>
      <c r="H99" s="3">
        <f>+IF(F99="Pasajero",'2.2 OPEX LAP 2023'!J100*'2.1 OPEX TUUA'!$H$7,'2.2 OPEX LAP 2023'!J100*'2.1 OPEX TUUA'!$H$8)</f>
        <v>0</v>
      </c>
      <c r="I99" s="3">
        <f>+IF(F99="Pasajero",'2.2 OPEX LAP 2023'!K100*'2.1 OPEX TUUA'!$I$7,'2.2 OPEX LAP 2023'!K100*'2.1 OPEX TUUA'!$I$8)</f>
        <v>0</v>
      </c>
      <c r="J99" s="3">
        <f>+IF(F99="Pasajero",'2.2 OPEX LAP 2023'!L100*'2.1 OPEX TUUA'!$J$7,'2.2 OPEX LAP 2023'!L100*'2.1 OPEX TUUA'!$J$8)</f>
        <v>0</v>
      </c>
      <c r="K99" s="3">
        <f>+IF(F99="Pasajero",'2.2 OPEX LAP 2023'!M100*'2.1 OPEX TUUA'!$K$7,'2.2 OPEX LAP 2023'!M100*'2.1 OPEX TUUA'!$K$8)</f>
        <v>0</v>
      </c>
      <c r="L99" s="3">
        <f>+IF(F99="Pasajero",'2.2 OPEX LAP 2023'!N100*'2.1 OPEX TUUA'!$L$7,'2.2 OPEX LAP 2023'!N100*'2.1 OPEX TUUA'!$L$8)</f>
        <v>0</v>
      </c>
      <c r="M99" s="3"/>
      <c r="N99" s="3">
        <f>+IF(F99="Pasajero",'2.2 OPEX LAP 2023'!I100*'2.1 OPEX TUUA'!$N$7,'2.2 OPEX LAP 2023'!I100*'2.1 OPEX TUUA'!$N$8)</f>
        <v>0</v>
      </c>
      <c r="O99" s="3">
        <f>+IF(F99="Pasajero",'2.2 OPEX LAP 2023'!J100*'2.1 OPEX TUUA'!$O$7,'2.2 OPEX LAP 2023'!J100*'2.1 OPEX TUUA'!$O$8)</f>
        <v>0</v>
      </c>
      <c r="P99" s="3">
        <f>+IF(F99="Pasajero",'2.2 OPEX LAP 2023'!K100*'2.1 OPEX TUUA'!$P$7,'2.2 OPEX LAP 2023'!K100*'2.1 OPEX TUUA'!$P$8)</f>
        <v>0</v>
      </c>
      <c r="Q99" s="3">
        <f>+IF(F99="Pasajero",'2.2 OPEX LAP 2023'!L100*'2.1 OPEX TUUA'!$Q$7,'2.2 OPEX LAP 2023'!L100*'2.1 OPEX TUUA'!$Q$8)</f>
        <v>0</v>
      </c>
      <c r="R99" s="3">
        <f>+IF(F99="Pasajero",'2.2 OPEX LAP 2023'!M100*'2.1 OPEX TUUA'!$R$7,'2.2 OPEX LAP 2023'!M100*'2.1 OPEX TUUA'!$R$8)</f>
        <v>0</v>
      </c>
      <c r="S99" s="3">
        <f>+IF(F99="Pasajero",'2.2 OPEX LAP 2023'!N100*'2.1 OPEX TUUA'!$S$7,'2.2 OPEX LAP 2023'!N100*'2.1 OPEX TUUA'!$S$8)</f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7">
        <f t="shared" si="9"/>
        <v>0</v>
      </c>
      <c r="AB99" s="7">
        <f t="shared" si="10"/>
        <v>0</v>
      </c>
      <c r="AC99" s="7">
        <f t="shared" si="11"/>
        <v>0</v>
      </c>
      <c r="AD99" s="7">
        <f t="shared" si="12"/>
        <v>0</v>
      </c>
      <c r="AE99" s="7">
        <f t="shared" si="13"/>
        <v>0</v>
      </c>
      <c r="AF99" s="7">
        <f t="shared" si="14"/>
        <v>0</v>
      </c>
    </row>
    <row r="100" spans="2:32" x14ac:dyDescent="0.25">
      <c r="B100" s="17">
        <v>6380000004</v>
      </c>
      <c r="C100" s="193" t="s">
        <v>13</v>
      </c>
      <c r="D100" s="193" t="s">
        <v>49</v>
      </c>
      <c r="E100" s="193" t="s">
        <v>105</v>
      </c>
      <c r="F100" s="163" t="s">
        <v>191</v>
      </c>
      <c r="G100" s="3">
        <f>+IF(F100="Pasajero",'2.2 OPEX LAP 2023'!I101*'2.1 OPEX TUUA'!$G$7,'2.2 OPEX LAP 2023'!I101*'2.1 OPEX TUUA'!$G$8)</f>
        <v>210289.08706295642</v>
      </c>
      <c r="H100" s="3">
        <f>+IF(F100="Pasajero",'2.2 OPEX LAP 2023'!J101*'2.1 OPEX TUUA'!$H$7,'2.2 OPEX LAP 2023'!J101*'2.1 OPEX TUUA'!$H$8)</f>
        <v>215031.48239788608</v>
      </c>
      <c r="I100" s="3">
        <f>+IF(F100="Pasajero",'2.2 OPEX LAP 2023'!K101*'2.1 OPEX TUUA'!$I$7,'2.2 OPEX LAP 2023'!K101*'2.1 OPEX TUUA'!$I$8)</f>
        <v>218657.97642051225</v>
      </c>
      <c r="J100" s="3">
        <f>+IF(F100="Pasajero",'2.2 OPEX LAP 2023'!L101*'2.1 OPEX TUUA'!$J$7,'2.2 OPEX LAP 2023'!L101*'2.1 OPEX TUUA'!$J$8)</f>
        <v>222308.35866588404</v>
      </c>
      <c r="K100" s="3">
        <f>+IF(F100="Pasajero",'2.2 OPEX LAP 2023'!M101*'2.1 OPEX TUUA'!$K$7,'2.2 OPEX LAP 2023'!M101*'2.1 OPEX TUUA'!$K$8)</f>
        <v>226368.54301404557</v>
      </c>
      <c r="L100" s="3">
        <f>+IF(F100="Pasajero",'2.2 OPEX LAP 2023'!N101*'2.1 OPEX TUUA'!$L$7,'2.2 OPEX LAP 2023'!N101*'2.1 OPEX TUUA'!$L$8)</f>
        <v>230137.54833061414</v>
      </c>
      <c r="M100" s="3"/>
      <c r="N100" s="3">
        <f>+IF(F100="Pasajero",'2.2 OPEX LAP 2023'!I101*'2.1 OPEX TUUA'!$N$7,'2.2 OPEX LAP 2023'!I101*'2.1 OPEX TUUA'!$N$8)</f>
        <v>40324.686010259189</v>
      </c>
      <c r="O100" s="3">
        <f>+IF(F100="Pasajero",'2.2 OPEX LAP 2023'!J101*'2.1 OPEX TUUA'!$O$7,'2.2 OPEX LAP 2023'!J101*'2.1 OPEX TUUA'!$O$8)</f>
        <v>41234.079861782753</v>
      </c>
      <c r="P100" s="3">
        <f>+IF(F100="Pasajero",'2.2 OPEX LAP 2023'!K101*'2.1 OPEX TUUA'!$P$7,'2.2 OPEX LAP 2023'!K101*'2.1 OPEX TUUA'!$P$8)</f>
        <v>41929.490331355533</v>
      </c>
      <c r="Q100" s="3">
        <f>+IF(F100="Pasajero",'2.2 OPEX LAP 2023'!L101*'2.1 OPEX TUUA'!$Q$7,'2.2 OPEX LAP 2023'!L101*'2.1 OPEX TUUA'!$Q$8)</f>
        <v>42629.481566839728</v>
      </c>
      <c r="R100" s="3">
        <f>+IF(F100="Pasajero",'2.2 OPEX LAP 2023'!M101*'2.1 OPEX TUUA'!$R$7,'2.2 OPEX LAP 2023'!M101*'2.1 OPEX TUUA'!$R$8)</f>
        <v>43408.055772805856</v>
      </c>
      <c r="S100" s="3">
        <f>+IF(F100="Pasajero",'2.2 OPEX LAP 2023'!N101*'2.1 OPEX TUUA'!$S$7,'2.2 OPEX LAP 2023'!N101*'2.1 OPEX TUUA'!$S$8)</f>
        <v>44130.793971370214</v>
      </c>
      <c r="U100" s="1">
        <v>214262.5101968263</v>
      </c>
      <c r="V100" s="1">
        <v>219094.51333593135</v>
      </c>
      <c r="W100" s="1">
        <v>222789.53014994724</v>
      </c>
      <c r="X100" s="1">
        <v>226508.88655590819</v>
      </c>
      <c r="Y100" s="1">
        <v>230645.78829650357</v>
      </c>
      <c r="Z100" s="1">
        <v>234486.00916270286</v>
      </c>
      <c r="AA100" s="7">
        <f t="shared" si="9"/>
        <v>-3973.4231338698883</v>
      </c>
      <c r="AB100" s="7">
        <f t="shared" si="10"/>
        <v>-4063.0309380452672</v>
      </c>
      <c r="AC100" s="7">
        <f t="shared" si="11"/>
        <v>-4131.5537294349924</v>
      </c>
      <c r="AD100" s="7">
        <f t="shared" si="12"/>
        <v>-4200.5278900241537</v>
      </c>
      <c r="AE100" s="7">
        <f t="shared" si="13"/>
        <v>-4277.2452824579959</v>
      </c>
      <c r="AF100" s="7">
        <f t="shared" si="14"/>
        <v>-4348.4608320887201</v>
      </c>
    </row>
    <row r="101" spans="2:32" x14ac:dyDescent="0.25">
      <c r="B101" s="17">
        <v>6380000005</v>
      </c>
      <c r="C101" s="193" t="s">
        <v>13</v>
      </c>
      <c r="D101" s="193" t="s">
        <v>38</v>
      </c>
      <c r="E101" s="193" t="s">
        <v>106</v>
      </c>
      <c r="F101" s="163" t="s">
        <v>190</v>
      </c>
      <c r="G101" s="3">
        <f>+IF(F101="Pasajero",'2.2 OPEX LAP 2023'!I102*'2.1 OPEX TUUA'!$G$7,'2.2 OPEX LAP 2023'!I102*'2.1 OPEX TUUA'!$G$8)</f>
        <v>24484.711101211811</v>
      </c>
      <c r="H101" s="3">
        <f>+IF(F101="Pasajero",'2.2 OPEX LAP 2023'!J102*'2.1 OPEX TUUA'!$H$7,'2.2 OPEX LAP 2023'!J102*'2.1 OPEX TUUA'!$H$8)</f>
        <v>28720.690583375825</v>
      </c>
      <c r="I101" s="3">
        <f>+IF(F101="Pasajero",'2.2 OPEX LAP 2023'!K102*'2.1 OPEX TUUA'!$I$7,'2.2 OPEX LAP 2023'!K102*'2.1 OPEX TUUA'!$I$8)</f>
        <v>32286.625717142255</v>
      </c>
      <c r="J101" s="3">
        <f>+IF(F101="Pasajero",'2.2 OPEX LAP 2023'!L102*'2.1 OPEX TUUA'!$J$7,'2.2 OPEX LAP 2023'!L102*'2.1 OPEX TUUA'!$J$8)</f>
        <v>34208.206030954905</v>
      </c>
      <c r="K101" s="3">
        <f>+IF(F101="Pasajero",'2.2 OPEX LAP 2023'!M102*'2.1 OPEX TUUA'!$K$7,'2.2 OPEX LAP 2023'!M102*'2.1 OPEX TUUA'!$K$8)</f>
        <v>35612.190654308768</v>
      </c>
      <c r="L101" s="3">
        <f>+IF(F101="Pasajero",'2.2 OPEX LAP 2023'!N102*'2.1 OPEX TUUA'!$L$7,'2.2 OPEX LAP 2023'!N102*'2.1 OPEX TUUA'!$L$8)</f>
        <v>37172.044723268707</v>
      </c>
      <c r="M101" s="3"/>
      <c r="N101" s="3">
        <f>+IF(F101="Pasajero",'2.2 OPEX LAP 2023'!I102*'2.1 OPEX TUUA'!$N$7,'2.2 OPEX LAP 2023'!I102*'2.1 OPEX TUUA'!$N$8)</f>
        <v>12076.28123802401</v>
      </c>
      <c r="O101" s="3">
        <f>+IF(F101="Pasajero",'2.2 OPEX LAP 2023'!J102*'2.1 OPEX TUUA'!$O$7,'2.2 OPEX LAP 2023'!J102*'2.1 OPEX TUUA'!$O$8)</f>
        <v>11895.053859930837</v>
      </c>
      <c r="P101" s="3">
        <f>+IF(F101="Pasajero",'2.2 OPEX LAP 2023'!K102*'2.1 OPEX TUUA'!$P$7,'2.2 OPEX LAP 2023'!K102*'2.1 OPEX TUUA'!$P$8)</f>
        <v>11821.059536562681</v>
      </c>
      <c r="Q101" s="3">
        <f>+IF(F101="Pasajero",'2.2 OPEX LAP 2023'!L102*'2.1 OPEX TUUA'!$Q$7,'2.2 OPEX LAP 2023'!L102*'2.1 OPEX TUUA'!$Q$8)</f>
        <v>11744.050019511356</v>
      </c>
      <c r="R101" s="3">
        <f>+IF(F101="Pasajero",'2.2 OPEX LAP 2023'!M102*'2.1 OPEX TUUA'!$R$7,'2.2 OPEX LAP 2023'!M102*'2.1 OPEX TUUA'!$R$8)</f>
        <v>11807.063994058886</v>
      </c>
      <c r="S101" s="3">
        <f>+IF(F101="Pasajero",'2.2 OPEX LAP 2023'!N102*'2.1 OPEX TUUA'!$S$7,'2.2 OPEX LAP 2023'!N102*'2.1 OPEX TUUA'!$S$8)</f>
        <v>11814.600636583114</v>
      </c>
      <c r="U101" s="1">
        <v>24947.350978889106</v>
      </c>
      <c r="V101" s="1">
        <v>29263.36951160066</v>
      </c>
      <c r="W101" s="1">
        <v>32896.683173431862</v>
      </c>
      <c r="X101" s="1">
        <v>34854.571846271276</v>
      </c>
      <c r="Y101" s="1">
        <v>36285.084831414846</v>
      </c>
      <c r="Z101" s="1">
        <v>37874.412423369395</v>
      </c>
      <c r="AA101" s="7">
        <f t="shared" si="9"/>
        <v>-462.63987767729486</v>
      </c>
      <c r="AB101" s="7">
        <f t="shared" si="10"/>
        <v>-542.67892822483554</v>
      </c>
      <c r="AC101" s="7">
        <f t="shared" si="11"/>
        <v>-610.05745628960722</v>
      </c>
      <c r="AD101" s="7">
        <f t="shared" si="12"/>
        <v>-646.36581531637057</v>
      </c>
      <c r="AE101" s="7">
        <f t="shared" si="13"/>
        <v>-672.89417710607813</v>
      </c>
      <c r="AF101" s="7">
        <f t="shared" si="14"/>
        <v>-702.36770010068722</v>
      </c>
    </row>
    <row r="102" spans="2:32" x14ac:dyDescent="0.25">
      <c r="B102" s="17">
        <v>6380000007</v>
      </c>
      <c r="C102" s="193" t="s">
        <v>13</v>
      </c>
      <c r="D102" s="193" t="s">
        <v>40</v>
      </c>
      <c r="E102" s="193" t="s">
        <v>107</v>
      </c>
      <c r="F102" s="163" t="s">
        <v>191</v>
      </c>
      <c r="G102" s="3">
        <f>+IF(F102="Pasajero",'2.2 OPEX LAP 2023'!I103*'2.1 OPEX TUUA'!$G$7,'2.2 OPEX LAP 2023'!I103*'2.1 OPEX TUUA'!$G$8)</f>
        <v>618.81795613598604</v>
      </c>
      <c r="H102" s="3">
        <f>+IF(F102="Pasajero",'2.2 OPEX LAP 2023'!J103*'2.1 OPEX TUUA'!$H$7,'2.2 OPEX LAP 2023'!J103*'2.1 OPEX TUUA'!$H$8)</f>
        <v>632.77340874333606</v>
      </c>
      <c r="I102" s="3">
        <f>+IF(F102="Pasajero",'2.2 OPEX LAP 2023'!K103*'2.1 OPEX TUUA'!$I$7,'2.2 OPEX LAP 2023'!K103*'2.1 OPEX TUUA'!$I$8)</f>
        <v>643.44509718121049</v>
      </c>
      <c r="J102" s="3">
        <f>+IF(F102="Pasajero",'2.2 OPEX LAP 2023'!L103*'2.1 OPEX TUUA'!$J$7,'2.2 OPEX LAP 2023'!L103*'2.1 OPEX TUUA'!$J$8)</f>
        <v>654.18708152165209</v>
      </c>
      <c r="K102" s="3">
        <f>+IF(F102="Pasajero",'2.2 OPEX LAP 2023'!M103*'2.1 OPEX TUUA'!$K$7,'2.2 OPEX LAP 2023'!M103*'2.1 OPEX TUUA'!$K$8)</f>
        <v>666.13499101594016</v>
      </c>
      <c r="L102" s="3">
        <f>+IF(F102="Pasajero",'2.2 OPEX LAP 2023'!N103*'2.1 OPEX TUUA'!$L$7,'2.2 OPEX LAP 2023'!N103*'2.1 OPEX TUUA'!$L$8)</f>
        <v>677.226047614452</v>
      </c>
      <c r="M102" s="3"/>
      <c r="N102" s="3">
        <f>+IF(F102="Pasajero",'2.2 OPEX LAP 2023'!I103*'2.1 OPEX TUUA'!$N$7,'2.2 OPEX LAP 2023'!I103*'2.1 OPEX TUUA'!$N$8)</f>
        <v>118.66350330972405</v>
      </c>
      <c r="O102" s="3">
        <f>+IF(F102="Pasajero",'2.2 OPEX LAP 2023'!J103*'2.1 OPEX TUUA'!$O$7,'2.2 OPEX LAP 2023'!J103*'2.1 OPEX TUUA'!$O$8)</f>
        <v>121.33957771939595</v>
      </c>
      <c r="P102" s="3">
        <f>+IF(F102="Pasajero",'2.2 OPEX LAP 2023'!K103*'2.1 OPEX TUUA'!$P$7,'2.2 OPEX LAP 2023'!K103*'2.1 OPEX TUUA'!$P$8)</f>
        <v>123.38596296680427</v>
      </c>
      <c r="Q102" s="3">
        <f>+IF(F102="Pasajero",'2.2 OPEX LAP 2023'!L103*'2.1 OPEX TUUA'!$Q$7,'2.2 OPEX LAP 2023'!L103*'2.1 OPEX TUUA'!$Q$8)</f>
        <v>125.44582803971578</v>
      </c>
      <c r="R102" s="3">
        <f>+IF(F102="Pasajero",'2.2 OPEX LAP 2023'!M103*'2.1 OPEX TUUA'!$R$7,'2.2 OPEX LAP 2023'!M103*'2.1 OPEX TUUA'!$R$8)</f>
        <v>127.73693931688786</v>
      </c>
      <c r="S102" s="3">
        <f>+IF(F102="Pasajero",'2.2 OPEX LAP 2023'!N103*'2.1 OPEX TUUA'!$S$7,'2.2 OPEX LAP 2023'!N103*'2.1 OPEX TUUA'!$S$8)</f>
        <v>129.86374190614018</v>
      </c>
      <c r="U102" s="1">
        <v>630.5105532978572</v>
      </c>
      <c r="V102" s="1">
        <v>644.72969490118953</v>
      </c>
      <c r="W102" s="1">
        <v>655.6030254418888</v>
      </c>
      <c r="X102" s="1">
        <v>666.547980129856</v>
      </c>
      <c r="Y102" s="1">
        <v>678.72164598957909</v>
      </c>
      <c r="Z102" s="1">
        <v>690.0222686739163</v>
      </c>
      <c r="AA102" s="7">
        <f t="shared" si="9"/>
        <v>-11.692597161871163</v>
      </c>
      <c r="AB102" s="7">
        <f t="shared" si="10"/>
        <v>-11.956286157853469</v>
      </c>
      <c r="AC102" s="7">
        <f t="shared" si="11"/>
        <v>-12.157928260678318</v>
      </c>
      <c r="AD102" s="7">
        <f t="shared" si="12"/>
        <v>-12.360898608203911</v>
      </c>
      <c r="AE102" s="7">
        <f t="shared" si="13"/>
        <v>-12.586654973638929</v>
      </c>
      <c r="AF102" s="7">
        <f t="shared" si="14"/>
        <v>-12.796221059464301</v>
      </c>
    </row>
    <row r="103" spans="2:32" x14ac:dyDescent="0.25">
      <c r="B103" s="17">
        <v>6380000008</v>
      </c>
      <c r="C103" s="193" t="s">
        <v>13</v>
      </c>
      <c r="D103" s="193" t="s">
        <v>40</v>
      </c>
      <c r="E103" s="193" t="s">
        <v>108</v>
      </c>
      <c r="F103" s="163" t="s">
        <v>190</v>
      </c>
      <c r="G103" s="3">
        <f>+IF(F103="Pasajero",'2.2 OPEX LAP 2023'!I104*'2.1 OPEX TUUA'!$G$7,'2.2 OPEX LAP 2023'!I104*'2.1 OPEX TUUA'!$G$8)</f>
        <v>47043.759422665047</v>
      </c>
      <c r="H103" s="3">
        <f>+IF(F103="Pasajero",'2.2 OPEX LAP 2023'!J104*'2.1 OPEX TUUA'!$H$7,'2.2 OPEX LAP 2023'!J104*'2.1 OPEX TUUA'!$H$8)</f>
        <v>55182.568937489435</v>
      </c>
      <c r="I103" s="3">
        <f>+IF(F103="Pasajero",'2.2 OPEX LAP 2023'!K104*'2.1 OPEX TUUA'!$I$7,'2.2 OPEX LAP 2023'!K104*'2.1 OPEX TUUA'!$I$8)</f>
        <v>62033.98710845712</v>
      </c>
      <c r="J103" s="3">
        <f>+IF(F103="Pasajero",'2.2 OPEX LAP 2023'!L104*'2.1 OPEX TUUA'!$J$7,'2.2 OPEX LAP 2023'!L104*'2.1 OPEX TUUA'!$J$8)</f>
        <v>65726.020133500962</v>
      </c>
      <c r="K103" s="3">
        <f>+IF(F103="Pasajero",'2.2 OPEX LAP 2023'!M104*'2.1 OPEX TUUA'!$K$7,'2.2 OPEX LAP 2023'!M104*'2.1 OPEX TUUA'!$K$8)</f>
        <v>68423.56941562875</v>
      </c>
      <c r="L103" s="3">
        <f>+IF(F103="Pasajero",'2.2 OPEX LAP 2023'!N104*'2.1 OPEX TUUA'!$L$7,'2.2 OPEX LAP 2023'!N104*'2.1 OPEX TUUA'!$L$8)</f>
        <v>71420.598837429206</v>
      </c>
      <c r="M103" s="3"/>
      <c r="N103" s="3">
        <f>+IF(F103="Pasajero",'2.2 OPEX LAP 2023'!I104*'2.1 OPEX TUUA'!$N$7,'2.2 OPEX LAP 2023'!I104*'2.1 OPEX TUUA'!$N$8)</f>
        <v>23202.792425593609</v>
      </c>
      <c r="O103" s="3">
        <f>+IF(F103="Pasajero",'2.2 OPEX LAP 2023'!J104*'2.1 OPEX TUUA'!$O$7,'2.2 OPEX LAP 2023'!J104*'2.1 OPEX TUUA'!$O$8)</f>
        <v>22854.590760457617</v>
      </c>
      <c r="P103" s="3">
        <f>+IF(F103="Pasajero",'2.2 OPEX LAP 2023'!K104*'2.1 OPEX TUUA'!$P$7,'2.2 OPEX LAP 2023'!K104*'2.1 OPEX TUUA'!$P$8)</f>
        <v>22712.421586690969</v>
      </c>
      <c r="Q103" s="3">
        <f>+IF(F103="Pasajero",'2.2 OPEX LAP 2023'!L104*'2.1 OPEX TUUA'!$Q$7,'2.2 OPEX LAP 2023'!L104*'2.1 OPEX TUUA'!$Q$8)</f>
        <v>22564.459163183394</v>
      </c>
      <c r="R103" s="3">
        <f>+IF(F103="Pasajero",'2.2 OPEX LAP 2023'!M104*'2.1 OPEX TUUA'!$R$7,'2.2 OPEX LAP 2023'!M104*'2.1 OPEX TUUA'!$R$8)</f>
        <v>22685.531216948944</v>
      </c>
      <c r="S103" s="3">
        <f>+IF(F103="Pasajero",'2.2 OPEX LAP 2023'!N104*'2.1 OPEX TUUA'!$S$7,'2.2 OPEX LAP 2023'!N104*'2.1 OPEX TUUA'!$S$8)</f>
        <v>22700.011763454018</v>
      </c>
      <c r="U103" s="1">
        <v>47932.653680588497</v>
      </c>
      <c r="V103" s="1">
        <v>56225.246420496173</v>
      </c>
      <c r="W103" s="1">
        <v>63206.12249078029</v>
      </c>
      <c r="X103" s="1">
        <v>66967.916670040999</v>
      </c>
      <c r="Y103" s="1">
        <v>69716.436284828756</v>
      </c>
      <c r="Z103" s="1">
        <v>72770.094731957113</v>
      </c>
      <c r="AA103" s="7">
        <f t="shared" si="9"/>
        <v>-888.89425792344991</v>
      </c>
      <c r="AB103" s="7">
        <f t="shared" si="10"/>
        <v>-1042.677483006737</v>
      </c>
      <c r="AC103" s="7">
        <f t="shared" si="11"/>
        <v>-1172.1353823231693</v>
      </c>
      <c r="AD103" s="7">
        <f t="shared" si="12"/>
        <v>-1241.8965365400363</v>
      </c>
      <c r="AE103" s="7">
        <f t="shared" si="13"/>
        <v>-1292.8668692000065</v>
      </c>
      <c r="AF103" s="7">
        <f t="shared" si="14"/>
        <v>-1349.4958945279068</v>
      </c>
    </row>
    <row r="104" spans="2:32" x14ac:dyDescent="0.25">
      <c r="B104" s="17">
        <v>6380000009</v>
      </c>
      <c r="C104" s="193" t="s">
        <v>13</v>
      </c>
      <c r="D104" s="193" t="s">
        <v>40</v>
      </c>
      <c r="E104" s="193" t="s">
        <v>109</v>
      </c>
      <c r="F104" s="163" t="s">
        <v>190</v>
      </c>
      <c r="G104" s="3">
        <f>+IF(F104="Pasajero",'2.2 OPEX LAP 2023'!I105*'2.1 OPEX TUUA'!$G$7,'2.2 OPEX LAP 2023'!I105*'2.1 OPEX TUUA'!$G$8)</f>
        <v>102557.51638427311</v>
      </c>
      <c r="H104" s="3">
        <f>+IF(F104="Pasajero",'2.2 OPEX LAP 2023'!J105*'2.1 OPEX TUUA'!$H$7,'2.2 OPEX LAP 2023'!J105*'2.1 OPEX TUUA'!$H$8)</f>
        <v>120300.48804318637</v>
      </c>
      <c r="I104" s="3">
        <f>+IF(F104="Pasajero",'2.2 OPEX LAP 2023'!K105*'2.1 OPEX TUUA'!$I$7,'2.2 OPEX LAP 2023'!K105*'2.1 OPEX TUUA'!$I$8)</f>
        <v>135236.88853387485</v>
      </c>
      <c r="J104" s="3">
        <f>+IF(F104="Pasajero",'2.2 OPEX LAP 2023'!L105*'2.1 OPEX TUUA'!$J$7,'2.2 OPEX LAP 2023'!L105*'2.1 OPEX TUUA'!$J$8)</f>
        <v>143285.68697396689</v>
      </c>
      <c r="K104" s="3">
        <f>+IF(F104="Pasajero",'2.2 OPEX LAP 2023'!M105*'2.1 OPEX TUUA'!$K$7,'2.2 OPEX LAP 2023'!M105*'2.1 OPEX TUUA'!$K$8)</f>
        <v>149166.46602084546</v>
      </c>
      <c r="L104" s="3">
        <f>+IF(F104="Pasajero",'2.2 OPEX LAP 2023'!N105*'2.1 OPEX TUUA'!$L$7,'2.2 OPEX LAP 2023'!N105*'2.1 OPEX TUUA'!$L$8)</f>
        <v>155700.12527347662</v>
      </c>
      <c r="M104" s="3"/>
      <c r="N104" s="3">
        <f>+IF(F104="Pasajero",'2.2 OPEX LAP 2023'!I105*'2.1 OPEX TUUA'!$N$7,'2.2 OPEX LAP 2023'!I105*'2.1 OPEX TUUA'!$N$8)</f>
        <v>50583.133524023498</v>
      </c>
      <c r="O104" s="3">
        <f>+IF(F104="Pasajero",'2.2 OPEX LAP 2023'!J105*'2.1 OPEX TUUA'!$O$7,'2.2 OPEX LAP 2023'!J105*'2.1 OPEX TUUA'!$O$8)</f>
        <v>49824.038196280388</v>
      </c>
      <c r="P104" s="3">
        <f>+IF(F104="Pasajero",'2.2 OPEX LAP 2023'!K105*'2.1 OPEX TUUA'!$P$7,'2.2 OPEX LAP 2023'!K105*'2.1 OPEX TUUA'!$P$8)</f>
        <v>49514.102988149745</v>
      </c>
      <c r="Q104" s="3">
        <f>+IF(F104="Pasajero",'2.2 OPEX LAP 2023'!L105*'2.1 OPEX TUUA'!$Q$7,'2.2 OPEX LAP 2023'!L105*'2.1 OPEX TUUA'!$Q$8)</f>
        <v>49191.538234410611</v>
      </c>
      <c r="R104" s="3">
        <f>+IF(F104="Pasajero",'2.2 OPEX LAP 2023'!M105*'2.1 OPEX TUUA'!$R$7,'2.2 OPEX LAP 2023'!M105*'2.1 OPEX TUUA'!$R$8)</f>
        <v>49455.48076983128</v>
      </c>
      <c r="S104" s="3">
        <f>+IF(F104="Pasajero",'2.2 OPEX LAP 2023'!N105*'2.1 OPEX TUUA'!$S$7,'2.2 OPEX LAP 2023'!N105*'2.1 OPEX TUUA'!$S$8)</f>
        <v>49487.049014029297</v>
      </c>
      <c r="U104" s="1">
        <v>104495.3459399814</v>
      </c>
      <c r="V104" s="1">
        <v>122573.57196248425</v>
      </c>
      <c r="W104" s="1">
        <v>137792.19650994788</v>
      </c>
      <c r="X104" s="1">
        <v>145993.07741122891</v>
      </c>
      <c r="Y104" s="1">
        <v>151984.97408116818</v>
      </c>
      <c r="Z104" s="1">
        <v>158642.08716198328</v>
      </c>
      <c r="AA104" s="7">
        <f t="shared" si="9"/>
        <v>-1937.8295557082893</v>
      </c>
      <c r="AB104" s="7">
        <f t="shared" si="10"/>
        <v>-2273.0839192978747</v>
      </c>
      <c r="AC104" s="7">
        <f t="shared" si="11"/>
        <v>-2555.3079760730325</v>
      </c>
      <c r="AD104" s="7">
        <f t="shared" si="12"/>
        <v>-2707.3904372620163</v>
      </c>
      <c r="AE104" s="7">
        <f t="shared" si="13"/>
        <v>-2818.5080603227252</v>
      </c>
      <c r="AF104" s="7">
        <f t="shared" si="14"/>
        <v>-2941.9618885066593</v>
      </c>
    </row>
    <row r="105" spans="2:32" x14ac:dyDescent="0.25">
      <c r="B105" s="17">
        <v>6380000010</v>
      </c>
      <c r="C105" s="193" t="s">
        <v>13</v>
      </c>
      <c r="D105" s="193" t="s">
        <v>40</v>
      </c>
      <c r="E105" s="193" t="s">
        <v>110</v>
      </c>
      <c r="F105" s="163" t="s">
        <v>190</v>
      </c>
      <c r="G105" s="3">
        <f>+IF(F105="Pasajero",'2.2 OPEX LAP 2023'!I106*'2.1 OPEX TUUA'!$G$7,'2.2 OPEX LAP 2023'!I106*'2.1 OPEX TUUA'!$G$8)</f>
        <v>1.0434392841898998</v>
      </c>
      <c r="H105" s="3">
        <f>+IF(F105="Pasajero",'2.2 OPEX LAP 2023'!J106*'2.1 OPEX TUUA'!$H$7,'2.2 OPEX LAP 2023'!J106*'2.1 OPEX TUUA'!$H$8)</f>
        <v>1.2239595844066975</v>
      </c>
      <c r="I105" s="3">
        <f>+IF(F105="Pasajero",'2.2 OPEX LAP 2023'!K106*'2.1 OPEX TUUA'!$I$7,'2.2 OPEX LAP 2023'!K106*'2.1 OPEX TUUA'!$I$8)</f>
        <v>1.3759253065287242</v>
      </c>
      <c r="J105" s="3">
        <f>+IF(F105="Pasajero",'2.2 OPEX LAP 2023'!L106*'2.1 OPEX TUUA'!$J$7,'2.2 OPEX LAP 2023'!L106*'2.1 OPEX TUUA'!$J$8)</f>
        <v>1.4578152818226879</v>
      </c>
      <c r="K105" s="3">
        <f>+IF(F105="Pasajero",'2.2 OPEX LAP 2023'!M106*'2.1 OPEX TUUA'!$K$7,'2.2 OPEX LAP 2023'!M106*'2.1 OPEX TUUA'!$K$8)</f>
        <v>1.5176474237805924</v>
      </c>
      <c r="L105" s="3">
        <f>+IF(F105="Pasajero",'2.2 OPEX LAP 2023'!N106*'2.1 OPEX TUUA'!$L$7,'2.2 OPEX LAP 2023'!N106*'2.1 OPEX TUUA'!$L$8)</f>
        <v>1.5841220906217992</v>
      </c>
      <c r="M105" s="3"/>
      <c r="N105" s="3">
        <f>+IF(F105="Pasajero",'2.2 OPEX LAP 2023'!I106*'2.1 OPEX TUUA'!$N$7,'2.2 OPEX LAP 2023'!I106*'2.1 OPEX TUUA'!$N$8)</f>
        <v>0.514642227085785</v>
      </c>
      <c r="O105" s="3">
        <f>+IF(F105="Pasajero",'2.2 OPEX LAP 2023'!J106*'2.1 OPEX TUUA'!$O$7,'2.2 OPEX LAP 2023'!J106*'2.1 OPEX TUUA'!$O$8)</f>
        <v>0.50691904975722768</v>
      </c>
      <c r="P105" s="3">
        <f>+IF(F105="Pasajero",'2.2 OPEX LAP 2023'!K106*'2.1 OPEX TUUA'!$P$7,'2.2 OPEX LAP 2023'!K106*'2.1 OPEX TUUA'!$P$8)</f>
        <v>0.50376571119055114</v>
      </c>
      <c r="Q105" s="3">
        <f>+IF(F105="Pasajero",'2.2 OPEX LAP 2023'!L106*'2.1 OPEX TUUA'!$Q$7,'2.2 OPEX LAP 2023'!L106*'2.1 OPEX TUUA'!$Q$8)</f>
        <v>0.50048387727322685</v>
      </c>
      <c r="R105" s="3">
        <f>+IF(F105="Pasajero",'2.2 OPEX LAP 2023'!M106*'2.1 OPEX TUUA'!$R$7,'2.2 OPEX LAP 2023'!M106*'2.1 OPEX TUUA'!$R$8)</f>
        <v>0.50316927781661247</v>
      </c>
      <c r="S105" s="3">
        <f>+IF(F105="Pasajero",'2.2 OPEX LAP 2023'!N106*'2.1 OPEX TUUA'!$S$7,'2.2 OPEX LAP 2023'!N106*'2.1 OPEX TUUA'!$S$8)</f>
        <v>0.50349045901610334</v>
      </c>
      <c r="U105" s="1">
        <v>1.0631551232212781</v>
      </c>
      <c r="V105" s="1">
        <v>1.2470863638108394</v>
      </c>
      <c r="W105" s="1">
        <v>1.4019234860814345</v>
      </c>
      <c r="X105" s="1">
        <v>1.4853607766774408</v>
      </c>
      <c r="Y105" s="1">
        <v>1.5463234500401126</v>
      </c>
      <c r="Z105" s="1">
        <v>1.6140541591359707</v>
      </c>
      <c r="AA105" s="7">
        <f t="shared" si="9"/>
        <v>-1.9715839031378302E-2</v>
      </c>
      <c r="AB105" s="7">
        <f t="shared" si="10"/>
        <v>-2.3126779404141873E-2</v>
      </c>
      <c r="AC105" s="7">
        <f t="shared" si="11"/>
        <v>-2.5998179552710221E-2</v>
      </c>
      <c r="AD105" s="7">
        <f t="shared" si="12"/>
        <v>-2.7545494854752883E-2</v>
      </c>
      <c r="AE105" s="7">
        <f t="shared" si="13"/>
        <v>-2.867602625952026E-2</v>
      </c>
      <c r="AF105" s="7">
        <f t="shared" si="14"/>
        <v>-2.9932068514171517E-2</v>
      </c>
    </row>
    <row r="106" spans="2:32" x14ac:dyDescent="0.25">
      <c r="B106" s="17">
        <v>6380000012</v>
      </c>
      <c r="C106" s="193" t="s">
        <v>13</v>
      </c>
      <c r="D106" s="193" t="s">
        <v>40</v>
      </c>
      <c r="E106" s="193" t="s">
        <v>111</v>
      </c>
      <c r="F106" s="163" t="s">
        <v>190</v>
      </c>
      <c r="G106" s="3">
        <f>+IF(F106="Pasajero",'2.2 OPEX LAP 2023'!I107*'2.1 OPEX TUUA'!$G$7,'2.2 OPEX LAP 2023'!I107*'2.1 OPEX TUUA'!$G$8)</f>
        <v>0</v>
      </c>
      <c r="H106" s="3">
        <f>+IF(F106="Pasajero",'2.2 OPEX LAP 2023'!J107*'2.1 OPEX TUUA'!$H$7,'2.2 OPEX LAP 2023'!J107*'2.1 OPEX TUUA'!$H$8)</f>
        <v>0</v>
      </c>
      <c r="I106" s="3">
        <f>+IF(F106="Pasajero",'2.2 OPEX LAP 2023'!K107*'2.1 OPEX TUUA'!$I$7,'2.2 OPEX LAP 2023'!K107*'2.1 OPEX TUUA'!$I$8)</f>
        <v>0</v>
      </c>
      <c r="J106" s="3">
        <f>+IF(F106="Pasajero",'2.2 OPEX LAP 2023'!L107*'2.1 OPEX TUUA'!$J$7,'2.2 OPEX LAP 2023'!L107*'2.1 OPEX TUUA'!$J$8)</f>
        <v>0</v>
      </c>
      <c r="K106" s="3">
        <f>+IF(F106="Pasajero",'2.2 OPEX LAP 2023'!M107*'2.1 OPEX TUUA'!$K$7,'2.2 OPEX LAP 2023'!M107*'2.1 OPEX TUUA'!$K$8)</f>
        <v>0</v>
      </c>
      <c r="L106" s="3">
        <f>+IF(F106="Pasajero",'2.2 OPEX LAP 2023'!N107*'2.1 OPEX TUUA'!$L$7,'2.2 OPEX LAP 2023'!N107*'2.1 OPEX TUUA'!$L$8)</f>
        <v>0</v>
      </c>
      <c r="M106" s="3"/>
      <c r="N106" s="3">
        <f>+IF(F106="Pasajero",'2.2 OPEX LAP 2023'!I107*'2.1 OPEX TUUA'!$N$7,'2.2 OPEX LAP 2023'!I107*'2.1 OPEX TUUA'!$N$8)</f>
        <v>0</v>
      </c>
      <c r="O106" s="3">
        <f>+IF(F106="Pasajero",'2.2 OPEX LAP 2023'!J107*'2.1 OPEX TUUA'!$O$7,'2.2 OPEX LAP 2023'!J107*'2.1 OPEX TUUA'!$O$8)</f>
        <v>0</v>
      </c>
      <c r="P106" s="3">
        <f>+IF(F106="Pasajero",'2.2 OPEX LAP 2023'!K107*'2.1 OPEX TUUA'!$P$7,'2.2 OPEX LAP 2023'!K107*'2.1 OPEX TUUA'!$P$8)</f>
        <v>0</v>
      </c>
      <c r="Q106" s="3">
        <f>+IF(F106="Pasajero",'2.2 OPEX LAP 2023'!L107*'2.1 OPEX TUUA'!$Q$7,'2.2 OPEX LAP 2023'!L107*'2.1 OPEX TUUA'!$Q$8)</f>
        <v>0</v>
      </c>
      <c r="R106" s="3">
        <f>+IF(F106="Pasajero",'2.2 OPEX LAP 2023'!M107*'2.1 OPEX TUUA'!$R$7,'2.2 OPEX LAP 2023'!M107*'2.1 OPEX TUUA'!$R$8)</f>
        <v>0</v>
      </c>
      <c r="S106" s="3">
        <f>+IF(F106="Pasajero",'2.2 OPEX LAP 2023'!N107*'2.1 OPEX TUUA'!$S$7,'2.2 OPEX LAP 2023'!N107*'2.1 OPEX TUUA'!$S$8)</f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7">
        <f t="shared" si="9"/>
        <v>0</v>
      </c>
      <c r="AB106" s="7">
        <f t="shared" si="10"/>
        <v>0</v>
      </c>
      <c r="AC106" s="7">
        <f t="shared" si="11"/>
        <v>0</v>
      </c>
      <c r="AD106" s="7">
        <f t="shared" si="12"/>
        <v>0</v>
      </c>
      <c r="AE106" s="7">
        <f t="shared" si="13"/>
        <v>0</v>
      </c>
      <c r="AF106" s="7">
        <f t="shared" si="14"/>
        <v>0</v>
      </c>
    </row>
    <row r="107" spans="2:32" x14ac:dyDescent="0.25">
      <c r="B107" s="17">
        <v>6380000014</v>
      </c>
      <c r="C107" s="193" t="s">
        <v>13</v>
      </c>
      <c r="D107" s="193" t="s">
        <v>49</v>
      </c>
      <c r="E107" s="193" t="s">
        <v>112</v>
      </c>
      <c r="F107" s="163" t="s">
        <v>190</v>
      </c>
      <c r="G107" s="3">
        <f>+IF(F107="Pasajero",'2.2 OPEX LAP 2023'!I108*'2.1 OPEX TUUA'!$G$7,'2.2 OPEX LAP 2023'!I108*'2.1 OPEX TUUA'!$G$8)</f>
        <v>0</v>
      </c>
      <c r="H107" s="3">
        <f>+IF(F107="Pasajero",'2.2 OPEX LAP 2023'!J108*'2.1 OPEX TUUA'!$H$7,'2.2 OPEX LAP 2023'!J108*'2.1 OPEX TUUA'!$H$8)</f>
        <v>0</v>
      </c>
      <c r="I107" s="3">
        <f>+IF(F107="Pasajero",'2.2 OPEX LAP 2023'!K108*'2.1 OPEX TUUA'!$I$7,'2.2 OPEX LAP 2023'!K108*'2.1 OPEX TUUA'!$I$8)</f>
        <v>0</v>
      </c>
      <c r="J107" s="3">
        <f>+IF(F107="Pasajero",'2.2 OPEX LAP 2023'!L108*'2.1 OPEX TUUA'!$J$7,'2.2 OPEX LAP 2023'!L108*'2.1 OPEX TUUA'!$J$8)</f>
        <v>0</v>
      </c>
      <c r="K107" s="3">
        <f>+IF(F107="Pasajero",'2.2 OPEX LAP 2023'!M108*'2.1 OPEX TUUA'!$K$7,'2.2 OPEX LAP 2023'!M108*'2.1 OPEX TUUA'!$K$8)</f>
        <v>0</v>
      </c>
      <c r="L107" s="3">
        <f>+IF(F107="Pasajero",'2.2 OPEX LAP 2023'!N108*'2.1 OPEX TUUA'!$L$7,'2.2 OPEX LAP 2023'!N108*'2.1 OPEX TUUA'!$L$8)</f>
        <v>0</v>
      </c>
      <c r="M107" s="3"/>
      <c r="N107" s="3">
        <f>+IF(F107="Pasajero",'2.2 OPEX LAP 2023'!I108*'2.1 OPEX TUUA'!$N$7,'2.2 OPEX LAP 2023'!I108*'2.1 OPEX TUUA'!$N$8)</f>
        <v>0</v>
      </c>
      <c r="O107" s="3">
        <f>+IF(F107="Pasajero",'2.2 OPEX LAP 2023'!J108*'2.1 OPEX TUUA'!$O$7,'2.2 OPEX LAP 2023'!J108*'2.1 OPEX TUUA'!$O$8)</f>
        <v>0</v>
      </c>
      <c r="P107" s="3">
        <f>+IF(F107="Pasajero",'2.2 OPEX LAP 2023'!K108*'2.1 OPEX TUUA'!$P$7,'2.2 OPEX LAP 2023'!K108*'2.1 OPEX TUUA'!$P$8)</f>
        <v>0</v>
      </c>
      <c r="Q107" s="3">
        <f>+IF(F107="Pasajero",'2.2 OPEX LAP 2023'!L108*'2.1 OPEX TUUA'!$Q$7,'2.2 OPEX LAP 2023'!L108*'2.1 OPEX TUUA'!$Q$8)</f>
        <v>0</v>
      </c>
      <c r="R107" s="3">
        <f>+IF(F107="Pasajero",'2.2 OPEX LAP 2023'!M108*'2.1 OPEX TUUA'!$R$7,'2.2 OPEX LAP 2023'!M108*'2.1 OPEX TUUA'!$R$8)</f>
        <v>0</v>
      </c>
      <c r="S107" s="3">
        <f>+IF(F107="Pasajero",'2.2 OPEX LAP 2023'!N108*'2.1 OPEX TUUA'!$S$7,'2.2 OPEX LAP 2023'!N108*'2.1 OPEX TUUA'!$S$8)</f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7">
        <f t="shared" si="9"/>
        <v>0</v>
      </c>
      <c r="AB107" s="7">
        <f t="shared" si="10"/>
        <v>0</v>
      </c>
      <c r="AC107" s="7">
        <f t="shared" si="11"/>
        <v>0</v>
      </c>
      <c r="AD107" s="7">
        <f t="shared" si="12"/>
        <v>0</v>
      </c>
      <c r="AE107" s="7">
        <f t="shared" si="13"/>
        <v>0</v>
      </c>
      <c r="AF107" s="7">
        <f t="shared" si="14"/>
        <v>0</v>
      </c>
    </row>
    <row r="108" spans="2:32" x14ac:dyDescent="0.25">
      <c r="B108" s="17">
        <v>6380000015</v>
      </c>
      <c r="C108" s="193" t="s">
        <v>13</v>
      </c>
      <c r="D108" s="193" t="s">
        <v>40</v>
      </c>
      <c r="E108" s="193" t="s">
        <v>113</v>
      </c>
      <c r="F108" s="163" t="s">
        <v>190</v>
      </c>
      <c r="G108" s="3">
        <f>+IF(F108="Pasajero",'2.2 OPEX LAP 2023'!I109*'2.1 OPEX TUUA'!$G$7,'2.2 OPEX LAP 2023'!I109*'2.1 OPEX TUUA'!$G$8)</f>
        <v>3671.5492415078079</v>
      </c>
      <c r="H108" s="3">
        <f>+IF(F108="Pasajero",'2.2 OPEX LAP 2023'!J109*'2.1 OPEX TUUA'!$H$7,'2.2 OPEX LAP 2023'!J109*'2.1 OPEX TUUA'!$H$8)</f>
        <v>4306.7459236533514</v>
      </c>
      <c r="I108" s="3">
        <f>+IF(F108="Pasajero",'2.2 OPEX LAP 2023'!K109*'2.1 OPEX TUUA'!$I$7,'2.2 OPEX LAP 2023'!K109*'2.1 OPEX TUUA'!$I$8)</f>
        <v>4841.4676273943523</v>
      </c>
      <c r="J108" s="3">
        <f>+IF(F108="Pasajero",'2.2 OPEX LAP 2023'!L109*'2.1 OPEX TUUA'!$J$7,'2.2 OPEX LAP 2023'!L109*'2.1 OPEX TUUA'!$J$8)</f>
        <v>5129.6138389020716</v>
      </c>
      <c r="K108" s="3">
        <f>+IF(F108="Pasajero",'2.2 OPEX LAP 2023'!M109*'2.1 OPEX TUUA'!$K$7,'2.2 OPEX LAP 2023'!M109*'2.1 OPEX TUUA'!$K$8)</f>
        <v>5340.1451642526245</v>
      </c>
      <c r="L108" s="3">
        <f>+IF(F108="Pasajero",'2.2 OPEX LAP 2023'!N109*'2.1 OPEX TUUA'!$L$7,'2.2 OPEX LAP 2023'!N109*'2.1 OPEX TUUA'!$L$8)</f>
        <v>5574.0495382956269</v>
      </c>
      <c r="M108" s="3"/>
      <c r="N108" s="3">
        <f>+IF(F108="Pasajero",'2.2 OPEX LAP 2023'!I109*'2.1 OPEX TUUA'!$N$7,'2.2 OPEX LAP 2023'!I109*'2.1 OPEX TUUA'!$N$8)</f>
        <v>1810.8713244122202</v>
      </c>
      <c r="O108" s="3">
        <f>+IF(F108="Pasajero",'2.2 OPEX LAP 2023'!J109*'2.1 OPEX TUUA'!$O$7,'2.2 OPEX LAP 2023'!J109*'2.1 OPEX TUUA'!$O$8)</f>
        <v>1783.695784548672</v>
      </c>
      <c r="P108" s="3">
        <f>+IF(F108="Pasajero",'2.2 OPEX LAP 2023'!K109*'2.1 OPEX TUUA'!$P$7,'2.2 OPEX LAP 2023'!K109*'2.1 OPEX TUUA'!$P$8)</f>
        <v>1772.6001338499473</v>
      </c>
      <c r="Q108" s="3">
        <f>+IF(F108="Pasajero",'2.2 OPEX LAP 2023'!L109*'2.1 OPEX TUUA'!$Q$7,'2.2 OPEX LAP 2023'!L109*'2.1 OPEX TUUA'!$Q$8)</f>
        <v>1761.0523466308168</v>
      </c>
      <c r="R108" s="3">
        <f>+IF(F108="Pasajero",'2.2 OPEX LAP 2023'!M109*'2.1 OPEX TUUA'!$R$7,'2.2 OPEX LAP 2023'!M109*'2.1 OPEX TUUA'!$R$8)</f>
        <v>1770.5014640616091</v>
      </c>
      <c r="S108" s="3">
        <f>+IF(F108="Pasajero",'2.2 OPEX LAP 2023'!N109*'2.1 OPEX TUUA'!$S$7,'2.2 OPEX LAP 2023'!N109*'2.1 OPEX TUUA'!$S$8)</f>
        <v>1771.631604173492</v>
      </c>
      <c r="U108" s="1">
        <v>3740.9233535794529</v>
      </c>
      <c r="V108" s="1">
        <v>4388.1221097586285</v>
      </c>
      <c r="W108" s="1">
        <v>4932.9474076399702</v>
      </c>
      <c r="X108" s="1">
        <v>5226.5381566590386</v>
      </c>
      <c r="Y108" s="1">
        <v>5441.0474822483848</v>
      </c>
      <c r="Z108" s="1">
        <v>5679.3714914893735</v>
      </c>
      <c r="AA108" s="7">
        <f t="shared" si="9"/>
        <v>-69.374112071644959</v>
      </c>
      <c r="AB108" s="7">
        <f t="shared" si="10"/>
        <v>-81.376186105277156</v>
      </c>
      <c r="AC108" s="7">
        <f t="shared" si="11"/>
        <v>-91.479780245617803</v>
      </c>
      <c r="AD108" s="7">
        <f t="shared" si="12"/>
        <v>-96.924317756966957</v>
      </c>
      <c r="AE108" s="7">
        <f t="shared" si="13"/>
        <v>-100.90231799576031</v>
      </c>
      <c r="AF108" s="7">
        <f t="shared" si="14"/>
        <v>-105.32195319374659</v>
      </c>
    </row>
    <row r="109" spans="2:32" x14ac:dyDescent="0.25">
      <c r="B109" s="17">
        <v>6380000016</v>
      </c>
      <c r="C109" s="193" t="s">
        <v>13</v>
      </c>
      <c r="D109" s="193" t="s">
        <v>49</v>
      </c>
      <c r="E109" s="193" t="s">
        <v>114</v>
      </c>
      <c r="F109" s="163" t="s">
        <v>190</v>
      </c>
      <c r="G109" s="3">
        <f>+IF(F109="Pasajero",'2.2 OPEX LAP 2023'!I110*'2.1 OPEX TUUA'!$G$7,'2.2 OPEX LAP 2023'!I110*'2.1 OPEX TUUA'!$G$8)</f>
        <v>0</v>
      </c>
      <c r="H109" s="3">
        <f>+IF(F109="Pasajero",'2.2 OPEX LAP 2023'!J110*'2.1 OPEX TUUA'!$H$7,'2.2 OPEX LAP 2023'!J110*'2.1 OPEX TUUA'!$H$8)</f>
        <v>0</v>
      </c>
      <c r="I109" s="3">
        <f>+IF(F109="Pasajero",'2.2 OPEX LAP 2023'!K110*'2.1 OPEX TUUA'!$I$7,'2.2 OPEX LAP 2023'!K110*'2.1 OPEX TUUA'!$I$8)</f>
        <v>0</v>
      </c>
      <c r="J109" s="3">
        <f>+IF(F109="Pasajero",'2.2 OPEX LAP 2023'!L110*'2.1 OPEX TUUA'!$J$7,'2.2 OPEX LAP 2023'!L110*'2.1 OPEX TUUA'!$J$8)</f>
        <v>0</v>
      </c>
      <c r="K109" s="3">
        <f>+IF(F109="Pasajero",'2.2 OPEX LAP 2023'!M110*'2.1 OPEX TUUA'!$K$7,'2.2 OPEX LAP 2023'!M110*'2.1 OPEX TUUA'!$K$8)</f>
        <v>0</v>
      </c>
      <c r="L109" s="3">
        <f>+IF(F109="Pasajero",'2.2 OPEX LAP 2023'!N110*'2.1 OPEX TUUA'!$L$7,'2.2 OPEX LAP 2023'!N110*'2.1 OPEX TUUA'!$L$8)</f>
        <v>0</v>
      </c>
      <c r="M109" s="3"/>
      <c r="N109" s="3">
        <f>+IF(F109="Pasajero",'2.2 OPEX LAP 2023'!I110*'2.1 OPEX TUUA'!$N$7,'2.2 OPEX LAP 2023'!I110*'2.1 OPEX TUUA'!$N$8)</f>
        <v>0</v>
      </c>
      <c r="O109" s="3">
        <f>+IF(F109="Pasajero",'2.2 OPEX LAP 2023'!J110*'2.1 OPEX TUUA'!$O$7,'2.2 OPEX LAP 2023'!J110*'2.1 OPEX TUUA'!$O$8)</f>
        <v>0</v>
      </c>
      <c r="P109" s="3">
        <f>+IF(F109="Pasajero",'2.2 OPEX LAP 2023'!K110*'2.1 OPEX TUUA'!$P$7,'2.2 OPEX LAP 2023'!K110*'2.1 OPEX TUUA'!$P$8)</f>
        <v>0</v>
      </c>
      <c r="Q109" s="3">
        <f>+IF(F109="Pasajero",'2.2 OPEX LAP 2023'!L110*'2.1 OPEX TUUA'!$Q$7,'2.2 OPEX LAP 2023'!L110*'2.1 OPEX TUUA'!$Q$8)</f>
        <v>0</v>
      </c>
      <c r="R109" s="3">
        <f>+IF(F109="Pasajero",'2.2 OPEX LAP 2023'!M110*'2.1 OPEX TUUA'!$R$7,'2.2 OPEX LAP 2023'!M110*'2.1 OPEX TUUA'!$R$8)</f>
        <v>0</v>
      </c>
      <c r="S109" s="3">
        <f>+IF(F109="Pasajero",'2.2 OPEX LAP 2023'!N110*'2.1 OPEX TUUA'!$S$7,'2.2 OPEX LAP 2023'!N110*'2.1 OPEX TUUA'!$S$8)</f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7">
        <f t="shared" si="9"/>
        <v>0</v>
      </c>
      <c r="AB109" s="7">
        <f t="shared" si="10"/>
        <v>0</v>
      </c>
      <c r="AC109" s="7">
        <f t="shared" si="11"/>
        <v>0</v>
      </c>
      <c r="AD109" s="7">
        <f t="shared" si="12"/>
        <v>0</v>
      </c>
      <c r="AE109" s="7">
        <f t="shared" si="13"/>
        <v>0</v>
      </c>
      <c r="AF109" s="7">
        <f t="shared" si="14"/>
        <v>0</v>
      </c>
    </row>
    <row r="110" spans="2:32" x14ac:dyDescent="0.25">
      <c r="B110" s="17">
        <v>6380000017</v>
      </c>
      <c r="C110" s="193" t="s">
        <v>13</v>
      </c>
      <c r="D110" s="193" t="s">
        <v>49</v>
      </c>
      <c r="E110" s="193" t="s">
        <v>115</v>
      </c>
      <c r="F110" s="163" t="s">
        <v>190</v>
      </c>
      <c r="G110" s="3">
        <f>+IF(F110="Pasajero",'2.2 OPEX LAP 2023'!I111*'2.1 OPEX TUUA'!$G$7,'2.2 OPEX LAP 2023'!I111*'2.1 OPEX TUUA'!$G$8)</f>
        <v>0</v>
      </c>
      <c r="H110" s="3">
        <f>+IF(F110="Pasajero",'2.2 OPEX LAP 2023'!J111*'2.1 OPEX TUUA'!$H$7,'2.2 OPEX LAP 2023'!J111*'2.1 OPEX TUUA'!$H$8)</f>
        <v>0</v>
      </c>
      <c r="I110" s="3">
        <f>+IF(F110="Pasajero",'2.2 OPEX LAP 2023'!K111*'2.1 OPEX TUUA'!$I$7,'2.2 OPEX LAP 2023'!K111*'2.1 OPEX TUUA'!$I$8)</f>
        <v>0</v>
      </c>
      <c r="J110" s="3">
        <f>+IF(F110="Pasajero",'2.2 OPEX LAP 2023'!L111*'2.1 OPEX TUUA'!$J$7,'2.2 OPEX LAP 2023'!L111*'2.1 OPEX TUUA'!$J$8)</f>
        <v>0</v>
      </c>
      <c r="K110" s="3">
        <f>+IF(F110="Pasajero",'2.2 OPEX LAP 2023'!M111*'2.1 OPEX TUUA'!$K$7,'2.2 OPEX LAP 2023'!M111*'2.1 OPEX TUUA'!$K$8)</f>
        <v>0</v>
      </c>
      <c r="L110" s="3">
        <f>+IF(F110="Pasajero",'2.2 OPEX LAP 2023'!N111*'2.1 OPEX TUUA'!$L$7,'2.2 OPEX LAP 2023'!N111*'2.1 OPEX TUUA'!$L$8)</f>
        <v>0</v>
      </c>
      <c r="M110" s="3"/>
      <c r="N110" s="3">
        <f>+IF(F110="Pasajero",'2.2 OPEX LAP 2023'!I111*'2.1 OPEX TUUA'!$N$7,'2.2 OPEX LAP 2023'!I111*'2.1 OPEX TUUA'!$N$8)</f>
        <v>0</v>
      </c>
      <c r="O110" s="3">
        <f>+IF(F110="Pasajero",'2.2 OPEX LAP 2023'!J111*'2.1 OPEX TUUA'!$O$7,'2.2 OPEX LAP 2023'!J111*'2.1 OPEX TUUA'!$O$8)</f>
        <v>0</v>
      </c>
      <c r="P110" s="3">
        <f>+IF(F110="Pasajero",'2.2 OPEX LAP 2023'!K111*'2.1 OPEX TUUA'!$P$7,'2.2 OPEX LAP 2023'!K111*'2.1 OPEX TUUA'!$P$8)</f>
        <v>0</v>
      </c>
      <c r="Q110" s="3">
        <f>+IF(F110="Pasajero",'2.2 OPEX LAP 2023'!L111*'2.1 OPEX TUUA'!$Q$7,'2.2 OPEX LAP 2023'!L111*'2.1 OPEX TUUA'!$Q$8)</f>
        <v>0</v>
      </c>
      <c r="R110" s="3">
        <f>+IF(F110="Pasajero",'2.2 OPEX LAP 2023'!M111*'2.1 OPEX TUUA'!$R$7,'2.2 OPEX LAP 2023'!M111*'2.1 OPEX TUUA'!$R$8)</f>
        <v>0</v>
      </c>
      <c r="S110" s="3">
        <f>+IF(F110="Pasajero",'2.2 OPEX LAP 2023'!N111*'2.1 OPEX TUUA'!$S$7,'2.2 OPEX LAP 2023'!N111*'2.1 OPEX TUUA'!$S$8)</f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7">
        <f t="shared" si="9"/>
        <v>0</v>
      </c>
      <c r="AB110" s="7">
        <f t="shared" si="10"/>
        <v>0</v>
      </c>
      <c r="AC110" s="7">
        <f t="shared" si="11"/>
        <v>0</v>
      </c>
      <c r="AD110" s="7">
        <f t="shared" si="12"/>
        <v>0</v>
      </c>
      <c r="AE110" s="7">
        <f t="shared" si="13"/>
        <v>0</v>
      </c>
      <c r="AF110" s="7">
        <f t="shared" si="14"/>
        <v>0</v>
      </c>
    </row>
    <row r="111" spans="2:32" x14ac:dyDescent="0.25">
      <c r="B111" s="17">
        <v>6380000018</v>
      </c>
      <c r="C111" s="193" t="s">
        <v>13</v>
      </c>
      <c r="D111" s="193" t="s">
        <v>49</v>
      </c>
      <c r="E111" s="193" t="s">
        <v>116</v>
      </c>
      <c r="F111" s="163" t="s">
        <v>190</v>
      </c>
      <c r="G111" s="3">
        <f>+IF(F111="Pasajero",'2.2 OPEX LAP 2023'!I112*'2.1 OPEX TUUA'!$G$7,'2.2 OPEX LAP 2023'!I112*'2.1 OPEX TUUA'!$G$8)</f>
        <v>0</v>
      </c>
      <c r="H111" s="3">
        <f>+IF(F111="Pasajero",'2.2 OPEX LAP 2023'!J112*'2.1 OPEX TUUA'!$H$7,'2.2 OPEX LAP 2023'!J112*'2.1 OPEX TUUA'!$H$8)</f>
        <v>0</v>
      </c>
      <c r="I111" s="3">
        <f>+IF(F111="Pasajero",'2.2 OPEX LAP 2023'!K112*'2.1 OPEX TUUA'!$I$7,'2.2 OPEX LAP 2023'!K112*'2.1 OPEX TUUA'!$I$8)</f>
        <v>0</v>
      </c>
      <c r="J111" s="3">
        <f>+IF(F111="Pasajero",'2.2 OPEX LAP 2023'!L112*'2.1 OPEX TUUA'!$J$7,'2.2 OPEX LAP 2023'!L112*'2.1 OPEX TUUA'!$J$8)</f>
        <v>0</v>
      </c>
      <c r="K111" s="3">
        <f>+IF(F111="Pasajero",'2.2 OPEX LAP 2023'!M112*'2.1 OPEX TUUA'!$K$7,'2.2 OPEX LAP 2023'!M112*'2.1 OPEX TUUA'!$K$8)</f>
        <v>0</v>
      </c>
      <c r="L111" s="3">
        <f>+IF(F111="Pasajero",'2.2 OPEX LAP 2023'!N112*'2.1 OPEX TUUA'!$L$7,'2.2 OPEX LAP 2023'!N112*'2.1 OPEX TUUA'!$L$8)</f>
        <v>0</v>
      </c>
      <c r="M111" s="3"/>
      <c r="N111" s="3">
        <f>+IF(F111="Pasajero",'2.2 OPEX LAP 2023'!I112*'2.1 OPEX TUUA'!$N$7,'2.2 OPEX LAP 2023'!I112*'2.1 OPEX TUUA'!$N$8)</f>
        <v>0</v>
      </c>
      <c r="O111" s="3">
        <f>+IF(F111="Pasajero",'2.2 OPEX LAP 2023'!J112*'2.1 OPEX TUUA'!$O$7,'2.2 OPEX LAP 2023'!J112*'2.1 OPEX TUUA'!$O$8)</f>
        <v>0</v>
      </c>
      <c r="P111" s="3">
        <f>+IF(F111="Pasajero",'2.2 OPEX LAP 2023'!K112*'2.1 OPEX TUUA'!$P$7,'2.2 OPEX LAP 2023'!K112*'2.1 OPEX TUUA'!$P$8)</f>
        <v>0</v>
      </c>
      <c r="Q111" s="3">
        <f>+IF(F111="Pasajero",'2.2 OPEX LAP 2023'!L112*'2.1 OPEX TUUA'!$Q$7,'2.2 OPEX LAP 2023'!L112*'2.1 OPEX TUUA'!$Q$8)</f>
        <v>0</v>
      </c>
      <c r="R111" s="3">
        <f>+IF(F111="Pasajero",'2.2 OPEX LAP 2023'!M112*'2.1 OPEX TUUA'!$R$7,'2.2 OPEX LAP 2023'!M112*'2.1 OPEX TUUA'!$R$8)</f>
        <v>0</v>
      </c>
      <c r="S111" s="3">
        <f>+IF(F111="Pasajero",'2.2 OPEX LAP 2023'!N112*'2.1 OPEX TUUA'!$S$7,'2.2 OPEX LAP 2023'!N112*'2.1 OPEX TUUA'!$S$8)</f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7">
        <f t="shared" si="9"/>
        <v>0</v>
      </c>
      <c r="AB111" s="7">
        <f t="shared" si="10"/>
        <v>0</v>
      </c>
      <c r="AC111" s="7">
        <f t="shared" si="11"/>
        <v>0</v>
      </c>
      <c r="AD111" s="7">
        <f t="shared" si="12"/>
        <v>0</v>
      </c>
      <c r="AE111" s="7">
        <f t="shared" si="13"/>
        <v>0</v>
      </c>
      <c r="AF111" s="7">
        <f t="shared" si="14"/>
        <v>0</v>
      </c>
    </row>
    <row r="112" spans="2:32" x14ac:dyDescent="0.25">
      <c r="B112" s="17">
        <v>6380000019</v>
      </c>
      <c r="C112" s="193" t="s">
        <v>13</v>
      </c>
      <c r="D112" s="193" t="s">
        <v>40</v>
      </c>
      <c r="E112" s="193" t="s">
        <v>117</v>
      </c>
      <c r="F112" s="163" t="s">
        <v>190</v>
      </c>
      <c r="G112" s="3">
        <f>+IF(F112="Pasajero",'2.2 OPEX LAP 2023'!I113*'2.1 OPEX TUUA'!$G$7,'2.2 OPEX LAP 2023'!I113*'2.1 OPEX TUUA'!$G$8)</f>
        <v>0</v>
      </c>
      <c r="H112" s="3">
        <f>+IF(F112="Pasajero",'2.2 OPEX LAP 2023'!J113*'2.1 OPEX TUUA'!$H$7,'2.2 OPEX LAP 2023'!J113*'2.1 OPEX TUUA'!$H$8)</f>
        <v>0</v>
      </c>
      <c r="I112" s="3">
        <f>+IF(F112="Pasajero",'2.2 OPEX LAP 2023'!K113*'2.1 OPEX TUUA'!$I$7,'2.2 OPEX LAP 2023'!K113*'2.1 OPEX TUUA'!$I$8)</f>
        <v>0</v>
      </c>
      <c r="J112" s="3">
        <f>+IF(F112="Pasajero",'2.2 OPEX LAP 2023'!L113*'2.1 OPEX TUUA'!$J$7,'2.2 OPEX LAP 2023'!L113*'2.1 OPEX TUUA'!$J$8)</f>
        <v>0</v>
      </c>
      <c r="K112" s="3">
        <f>+IF(F112="Pasajero",'2.2 OPEX LAP 2023'!M113*'2.1 OPEX TUUA'!$K$7,'2.2 OPEX LAP 2023'!M113*'2.1 OPEX TUUA'!$K$8)</f>
        <v>0</v>
      </c>
      <c r="L112" s="3">
        <f>+IF(F112="Pasajero",'2.2 OPEX LAP 2023'!N113*'2.1 OPEX TUUA'!$L$7,'2.2 OPEX LAP 2023'!N113*'2.1 OPEX TUUA'!$L$8)</f>
        <v>0</v>
      </c>
      <c r="M112" s="3"/>
      <c r="N112" s="3">
        <f>+IF(F112="Pasajero",'2.2 OPEX LAP 2023'!I113*'2.1 OPEX TUUA'!$N$7,'2.2 OPEX LAP 2023'!I113*'2.1 OPEX TUUA'!$N$8)</f>
        <v>0</v>
      </c>
      <c r="O112" s="3">
        <f>+IF(F112="Pasajero",'2.2 OPEX LAP 2023'!J113*'2.1 OPEX TUUA'!$O$7,'2.2 OPEX LAP 2023'!J113*'2.1 OPEX TUUA'!$O$8)</f>
        <v>0</v>
      </c>
      <c r="P112" s="3">
        <f>+IF(F112="Pasajero",'2.2 OPEX LAP 2023'!K113*'2.1 OPEX TUUA'!$P$7,'2.2 OPEX LAP 2023'!K113*'2.1 OPEX TUUA'!$P$8)</f>
        <v>0</v>
      </c>
      <c r="Q112" s="3">
        <f>+IF(F112="Pasajero",'2.2 OPEX LAP 2023'!L113*'2.1 OPEX TUUA'!$Q$7,'2.2 OPEX LAP 2023'!L113*'2.1 OPEX TUUA'!$Q$8)</f>
        <v>0</v>
      </c>
      <c r="R112" s="3">
        <f>+IF(F112="Pasajero",'2.2 OPEX LAP 2023'!M113*'2.1 OPEX TUUA'!$R$7,'2.2 OPEX LAP 2023'!M113*'2.1 OPEX TUUA'!$R$8)</f>
        <v>0</v>
      </c>
      <c r="S112" s="3">
        <f>+IF(F112="Pasajero",'2.2 OPEX LAP 2023'!N113*'2.1 OPEX TUUA'!$S$7,'2.2 OPEX LAP 2023'!N113*'2.1 OPEX TUUA'!$S$8)</f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7">
        <f t="shared" si="9"/>
        <v>0</v>
      </c>
      <c r="AB112" s="7">
        <f t="shared" si="10"/>
        <v>0</v>
      </c>
      <c r="AC112" s="7">
        <f t="shared" si="11"/>
        <v>0</v>
      </c>
      <c r="AD112" s="7">
        <f t="shared" si="12"/>
        <v>0</v>
      </c>
      <c r="AE112" s="7">
        <f t="shared" si="13"/>
        <v>0</v>
      </c>
      <c r="AF112" s="7">
        <f t="shared" si="14"/>
        <v>0</v>
      </c>
    </row>
    <row r="113" spans="2:32" x14ac:dyDescent="0.25">
      <c r="B113" s="17">
        <v>6380000020</v>
      </c>
      <c r="C113" s="193" t="s">
        <v>13</v>
      </c>
      <c r="D113" s="193" t="s">
        <v>49</v>
      </c>
      <c r="E113" s="193" t="s">
        <v>118</v>
      </c>
      <c r="F113" s="163" t="s">
        <v>190</v>
      </c>
      <c r="G113" s="3">
        <f>+IF(F113="Pasajero",'2.2 OPEX LAP 2023'!I114*'2.1 OPEX TUUA'!$G$7,'2.2 OPEX LAP 2023'!I114*'2.1 OPEX TUUA'!$G$8)</f>
        <v>1952.4416768060673</v>
      </c>
      <c r="H113" s="3">
        <f>+IF(F113="Pasajero",'2.2 OPEX LAP 2023'!J114*'2.1 OPEX TUUA'!$H$7,'2.2 OPEX LAP 2023'!J114*'2.1 OPEX TUUA'!$H$8)</f>
        <v>2290.2240116224689</v>
      </c>
      <c r="I113" s="3">
        <f>+IF(F113="Pasajero",'2.2 OPEX LAP 2023'!K114*'2.1 OPEX TUUA'!$I$7,'2.2 OPEX LAP 2023'!K114*'2.1 OPEX TUUA'!$I$8)</f>
        <v>2574.5761668581504</v>
      </c>
      <c r="J113" s="3">
        <f>+IF(F113="Pasajero",'2.2 OPEX LAP 2023'!L114*'2.1 OPEX TUUA'!$J$7,'2.2 OPEX LAP 2023'!L114*'2.1 OPEX TUUA'!$J$8)</f>
        <v>2727.8053993579456</v>
      </c>
      <c r="K113" s="3">
        <f>+IF(F113="Pasajero",'2.2 OPEX LAP 2023'!M114*'2.1 OPEX TUUA'!$K$7,'2.2 OPEX LAP 2023'!M114*'2.1 OPEX TUUA'!$K$8)</f>
        <v>2839.7609001151218</v>
      </c>
      <c r="L113" s="3">
        <f>+IF(F113="Pasajero",'2.2 OPEX LAP 2023'!N114*'2.1 OPEX TUUA'!$L$7,'2.2 OPEX LAP 2023'!N114*'2.1 OPEX TUUA'!$L$8)</f>
        <v>2964.1456266239907</v>
      </c>
      <c r="M113" s="3"/>
      <c r="N113" s="3">
        <f>+IF(F113="Pasajero",'2.2 OPEX LAP 2023'!I114*'2.1 OPEX TUUA'!$N$7,'2.2 OPEX LAP 2023'!I114*'2.1 OPEX TUUA'!$N$8)</f>
        <v>962.97786371603547</v>
      </c>
      <c r="O113" s="3">
        <f>+IF(F113="Pasajero",'2.2 OPEX LAP 2023'!J114*'2.1 OPEX TUUA'!$O$7,'2.2 OPEX LAP 2023'!J114*'2.1 OPEX TUUA'!$O$8)</f>
        <v>948.52656451529083</v>
      </c>
      <c r="P113" s="3">
        <f>+IF(F113="Pasajero",'2.2 OPEX LAP 2023'!K114*'2.1 OPEX TUUA'!$P$7,'2.2 OPEX LAP 2023'!K114*'2.1 OPEX TUUA'!$P$8)</f>
        <v>942.6261640493077</v>
      </c>
      <c r="Q113" s="3">
        <f>+IF(F113="Pasajero",'2.2 OPEX LAP 2023'!L114*'2.1 OPEX TUUA'!$Q$7,'2.2 OPEX LAP 2023'!L114*'2.1 OPEX TUUA'!$Q$8)</f>
        <v>936.48532824445829</v>
      </c>
      <c r="R113" s="3">
        <f>+IF(F113="Pasajero",'2.2 OPEX LAP 2023'!M114*'2.1 OPEX TUUA'!$R$7,'2.2 OPEX LAP 2023'!M114*'2.1 OPEX TUUA'!$R$8)</f>
        <v>941.51014187690123</v>
      </c>
      <c r="S113" s="3">
        <f>+IF(F113="Pasajero",'2.2 OPEX LAP 2023'!N114*'2.1 OPEX TUUA'!$S$7,'2.2 OPEX LAP 2023'!N114*'2.1 OPEX TUUA'!$S$8)</f>
        <v>942.11112323652048</v>
      </c>
      <c r="U113" s="1">
        <v>1989.3331628765277</v>
      </c>
      <c r="V113" s="1">
        <v>2333.497912311384</v>
      </c>
      <c r="W113" s="1">
        <v>2623.2229161696905</v>
      </c>
      <c r="X113" s="1">
        <v>2779.3474229117369</v>
      </c>
      <c r="Y113" s="1">
        <v>2893.4183286235188</v>
      </c>
      <c r="Z113" s="1">
        <v>3020.1533109479096</v>
      </c>
      <c r="AA113" s="7">
        <f t="shared" si="9"/>
        <v>-36.89148607046036</v>
      </c>
      <c r="AB113" s="7">
        <f t="shared" si="10"/>
        <v>-43.273900688915091</v>
      </c>
      <c r="AC113" s="7">
        <f t="shared" si="11"/>
        <v>-48.646749311540134</v>
      </c>
      <c r="AD113" s="7">
        <f t="shared" si="12"/>
        <v>-51.542023553791296</v>
      </c>
      <c r="AE113" s="7">
        <f t="shared" si="13"/>
        <v>-53.657428508397061</v>
      </c>
      <c r="AF113" s="7">
        <f t="shared" si="14"/>
        <v>-56.007684323918966</v>
      </c>
    </row>
    <row r="114" spans="2:32" x14ac:dyDescent="0.25">
      <c r="B114" s="17">
        <v>6380000021</v>
      </c>
      <c r="C114" s="193" t="s">
        <v>13</v>
      </c>
      <c r="D114" s="193" t="s">
        <v>40</v>
      </c>
      <c r="E114" s="193" t="s">
        <v>119</v>
      </c>
      <c r="F114" s="163" t="s">
        <v>190</v>
      </c>
      <c r="G114" s="3">
        <f>+IF(F114="Pasajero",'2.2 OPEX LAP 2023'!I115*'2.1 OPEX TUUA'!$G$7,'2.2 OPEX LAP 2023'!I115*'2.1 OPEX TUUA'!$G$8)</f>
        <v>696.54382782207097</v>
      </c>
      <c r="H114" s="3">
        <f>+IF(F114="Pasajero",'2.2 OPEX LAP 2023'!J115*'2.1 OPEX TUUA'!$H$7,'2.2 OPEX LAP 2023'!J115*'2.1 OPEX TUUA'!$H$8)</f>
        <v>817.04945073449505</v>
      </c>
      <c r="I114" s="3">
        <f>+IF(F114="Pasajero",'2.2 OPEX LAP 2023'!K115*'2.1 OPEX TUUA'!$I$7,'2.2 OPEX LAP 2023'!K115*'2.1 OPEX TUUA'!$I$8)</f>
        <v>918.49357631847829</v>
      </c>
      <c r="J114" s="3">
        <f>+IF(F114="Pasajero",'2.2 OPEX LAP 2023'!L115*'2.1 OPEX TUUA'!$J$7,'2.2 OPEX LAP 2023'!L115*'2.1 OPEX TUUA'!$J$8)</f>
        <v>973.15891019633466</v>
      </c>
      <c r="K114" s="3">
        <f>+IF(F114="Pasajero",'2.2 OPEX LAP 2023'!M115*'2.1 OPEX TUUA'!$K$7,'2.2 OPEX LAP 2023'!M115*'2.1 OPEX TUUA'!$K$8)</f>
        <v>1013.0996233912649</v>
      </c>
      <c r="L114" s="3">
        <f>+IF(F114="Pasajero",'2.2 OPEX LAP 2023'!N115*'2.1 OPEX TUUA'!$L$7,'2.2 OPEX LAP 2023'!N115*'2.1 OPEX TUUA'!$L$8)</f>
        <v>1057.4745281857681</v>
      </c>
      <c r="M114" s="3"/>
      <c r="N114" s="3">
        <f>+IF(F114="Pasajero",'2.2 OPEX LAP 2023'!I115*'2.1 OPEX TUUA'!$N$7,'2.2 OPEX LAP 2023'!I115*'2.1 OPEX TUUA'!$N$8)</f>
        <v>343.54741310273369</v>
      </c>
      <c r="O114" s="3">
        <f>+IF(F114="Pasajero",'2.2 OPEX LAP 2023'!J115*'2.1 OPEX TUUA'!$O$7,'2.2 OPEX LAP 2023'!J115*'2.1 OPEX TUUA'!$O$8)</f>
        <v>338.39183617469178</v>
      </c>
      <c r="P114" s="3">
        <f>+IF(F114="Pasajero",'2.2 OPEX LAP 2023'!K115*'2.1 OPEX TUUA'!$P$7,'2.2 OPEX LAP 2023'!K115*'2.1 OPEX TUUA'!$P$8)</f>
        <v>336.28683730323655</v>
      </c>
      <c r="Q114" s="3">
        <f>+IF(F114="Pasajero",'2.2 OPEX LAP 2023'!L115*'2.1 OPEX TUUA'!$Q$7,'2.2 OPEX LAP 2023'!L115*'2.1 OPEX TUUA'!$Q$8)</f>
        <v>334.09606186120965</v>
      </c>
      <c r="R114" s="3">
        <f>+IF(F114="Pasajero",'2.2 OPEX LAP 2023'!M115*'2.1 OPEX TUUA'!$R$7,'2.2 OPEX LAP 2023'!M115*'2.1 OPEX TUUA'!$R$8)</f>
        <v>335.88869052879664</v>
      </c>
      <c r="S114" s="3">
        <f>+IF(F114="Pasajero",'2.2 OPEX LAP 2023'!N115*'2.1 OPEX TUUA'!$S$7,'2.2 OPEX LAP 2023'!N115*'2.1 OPEX TUUA'!$S$8)</f>
        <v>336.10309378685645</v>
      </c>
      <c r="U114" s="1">
        <v>709.70505933378467</v>
      </c>
      <c r="V114" s="1">
        <v>832.48764219942905</v>
      </c>
      <c r="W114" s="1">
        <v>935.84855976258859</v>
      </c>
      <c r="X114" s="1">
        <v>991.5467979403528</v>
      </c>
      <c r="Y114" s="1">
        <v>1032.2421929687939</v>
      </c>
      <c r="Z114" s="1">
        <v>1077.4555638755255</v>
      </c>
      <c r="AA114" s="7">
        <f t="shared" si="9"/>
        <v>-13.161231511713709</v>
      </c>
      <c r="AB114" s="7">
        <f t="shared" si="10"/>
        <v>-15.438191464933993</v>
      </c>
      <c r="AC114" s="7">
        <f t="shared" si="11"/>
        <v>-17.354983444110303</v>
      </c>
      <c r="AD114" s="7">
        <f t="shared" si="12"/>
        <v>-18.387887744018144</v>
      </c>
      <c r="AE114" s="7">
        <f t="shared" si="13"/>
        <v>-19.142569577529002</v>
      </c>
      <c r="AF114" s="7">
        <f t="shared" si="14"/>
        <v>-19.981035689757391</v>
      </c>
    </row>
    <row r="115" spans="2:32" x14ac:dyDescent="0.25">
      <c r="B115" s="17">
        <v>6380000022</v>
      </c>
      <c r="C115" s="193" t="s">
        <v>13</v>
      </c>
      <c r="D115" s="193" t="s">
        <v>40</v>
      </c>
      <c r="E115" s="193" t="s">
        <v>120</v>
      </c>
      <c r="F115" s="163" t="s">
        <v>190</v>
      </c>
      <c r="G115" s="3">
        <f>+IF(F115="Pasajero",'2.2 OPEX LAP 2023'!I116*'2.1 OPEX TUUA'!$G$7,'2.2 OPEX LAP 2023'!I116*'2.1 OPEX TUUA'!$G$8)</f>
        <v>1562.8935624720816</v>
      </c>
      <c r="H115" s="3">
        <f>+IF(F115="Pasajero",'2.2 OPEX LAP 2023'!J116*'2.1 OPEX TUUA'!$H$7,'2.2 OPEX LAP 2023'!J116*'2.1 OPEX TUUA'!$H$8)</f>
        <v>1833.282093342282</v>
      </c>
      <c r="I115" s="3">
        <f>+IF(F115="Pasajero",'2.2 OPEX LAP 2023'!K116*'2.1 OPEX TUUA'!$I$7,'2.2 OPEX LAP 2023'!K116*'2.1 OPEX TUUA'!$I$8)</f>
        <v>2060.9007506226917</v>
      </c>
      <c r="J115" s="3">
        <f>+IF(F115="Pasajero",'2.2 OPEX LAP 2023'!L116*'2.1 OPEX TUUA'!$J$7,'2.2 OPEX LAP 2023'!L116*'2.1 OPEX TUUA'!$J$8)</f>
        <v>2183.5579259439169</v>
      </c>
      <c r="K115" s="3">
        <f>+IF(F115="Pasajero",'2.2 OPEX LAP 2023'!M116*'2.1 OPEX TUUA'!$K$7,'2.2 OPEX LAP 2023'!M116*'2.1 OPEX TUUA'!$K$8)</f>
        <v>2273.1762400248595</v>
      </c>
      <c r="L115" s="3">
        <f>+IF(F115="Pasajero",'2.2 OPEX LAP 2023'!N116*'2.1 OPEX TUUA'!$L$7,'2.2 OPEX LAP 2023'!N116*'2.1 OPEX TUUA'!$L$8)</f>
        <v>2372.7439201455654</v>
      </c>
      <c r="M115" s="3"/>
      <c r="N115" s="3">
        <f>+IF(F115="Pasajero",'2.2 OPEX LAP 2023'!I116*'2.1 OPEX TUUA'!$N$7,'2.2 OPEX LAP 2023'!I116*'2.1 OPEX TUUA'!$N$8)</f>
        <v>770.84602417775659</v>
      </c>
      <c r="O115" s="3">
        <f>+IF(F115="Pasajero",'2.2 OPEX LAP 2023'!J116*'2.1 OPEX TUUA'!$O$7,'2.2 OPEX LAP 2023'!J116*'2.1 OPEX TUUA'!$O$8)</f>
        <v>759.27802562573368</v>
      </c>
      <c r="P115" s="3">
        <f>+IF(F115="Pasajero",'2.2 OPEX LAP 2023'!K116*'2.1 OPEX TUUA'!$P$7,'2.2 OPEX LAP 2023'!K116*'2.1 OPEX TUUA'!$P$8)</f>
        <v>754.55486384638789</v>
      </c>
      <c r="Q115" s="3">
        <f>+IF(F115="Pasajero",'2.2 OPEX LAP 2023'!L116*'2.1 OPEX TUUA'!$Q$7,'2.2 OPEX LAP 2023'!L116*'2.1 OPEX TUUA'!$Q$8)</f>
        <v>749.63923801151157</v>
      </c>
      <c r="R115" s="3">
        <f>+IF(F115="Pasajero",'2.2 OPEX LAP 2023'!M116*'2.1 OPEX TUUA'!$R$7,'2.2 OPEX LAP 2023'!M116*'2.1 OPEX TUUA'!$R$8)</f>
        <v>753.66150867498857</v>
      </c>
      <c r="S115" s="3">
        <f>+IF(F115="Pasajero",'2.2 OPEX LAP 2023'!N116*'2.1 OPEX TUUA'!$S$7,'2.2 OPEX LAP 2023'!N116*'2.1 OPEX TUUA'!$S$8)</f>
        <v>754.14258317225665</v>
      </c>
      <c r="U115" s="1">
        <v>1592.4245168531984</v>
      </c>
      <c r="V115" s="1">
        <v>1867.9220529442505</v>
      </c>
      <c r="W115" s="1">
        <v>2099.841576480585</v>
      </c>
      <c r="X115" s="1">
        <v>2224.8163654486398</v>
      </c>
      <c r="Y115" s="1">
        <v>2316.1280221911588</v>
      </c>
      <c r="Z115" s="1">
        <v>2417.5770387573407</v>
      </c>
      <c r="AA115" s="7">
        <f t="shared" si="9"/>
        <v>-29.530954381116771</v>
      </c>
      <c r="AB115" s="7">
        <f t="shared" si="10"/>
        <v>-34.639959601968485</v>
      </c>
      <c r="AC115" s="7">
        <f t="shared" si="11"/>
        <v>-38.940825857893287</v>
      </c>
      <c r="AD115" s="7">
        <f t="shared" si="12"/>
        <v>-41.258439504722901</v>
      </c>
      <c r="AE115" s="7">
        <f t="shared" si="13"/>
        <v>-42.951782166299381</v>
      </c>
      <c r="AF115" s="7">
        <f t="shared" si="14"/>
        <v>-44.833118611775262</v>
      </c>
    </row>
    <row r="116" spans="2:32" x14ac:dyDescent="0.25">
      <c r="B116" s="17">
        <v>6380000023</v>
      </c>
      <c r="C116" s="193" t="s">
        <v>13</v>
      </c>
      <c r="D116" s="193" t="s">
        <v>49</v>
      </c>
      <c r="E116" s="193" t="s">
        <v>121</v>
      </c>
      <c r="F116" s="163" t="s">
        <v>190</v>
      </c>
      <c r="G116" s="3">
        <f>+IF(F116="Pasajero",'2.2 OPEX LAP 2023'!I117*'2.1 OPEX TUUA'!$G$7,'2.2 OPEX LAP 2023'!I117*'2.1 OPEX TUUA'!$G$8)</f>
        <v>2946.0040090481107</v>
      </c>
      <c r="H116" s="3">
        <f>+IF(F116="Pasajero",'2.2 OPEX LAP 2023'!J117*'2.1 OPEX TUUA'!$H$7,'2.2 OPEX LAP 2023'!J117*'2.1 OPEX TUUA'!$H$8)</f>
        <v>3455.6776778578305</v>
      </c>
      <c r="I116" s="3">
        <f>+IF(F116="Pasajero",'2.2 OPEX LAP 2023'!K117*'2.1 OPEX TUUA'!$I$7,'2.2 OPEX LAP 2023'!K117*'2.1 OPEX TUUA'!$I$8)</f>
        <v>3884.731512990134</v>
      </c>
      <c r="J116" s="3">
        <f>+IF(F116="Pasajero",'2.2 OPEX LAP 2023'!L117*'2.1 OPEX TUUA'!$J$7,'2.2 OPEX LAP 2023'!L117*'2.1 OPEX TUUA'!$J$8)</f>
        <v>4115.9363364736273</v>
      </c>
      <c r="K116" s="3">
        <f>+IF(F116="Pasajero",'2.2 OPEX LAP 2023'!M117*'2.1 OPEX TUUA'!$K$7,'2.2 OPEX LAP 2023'!M117*'2.1 OPEX TUUA'!$K$8)</f>
        <v>4284.8639710266716</v>
      </c>
      <c r="L116" s="3">
        <f>+IF(F116="Pasajero",'2.2 OPEX LAP 2023'!N117*'2.1 OPEX TUUA'!$L$7,'2.2 OPEX LAP 2023'!N117*'2.1 OPEX TUUA'!$L$8)</f>
        <v>4472.5458399974896</v>
      </c>
      <c r="M116" s="3"/>
      <c r="N116" s="3">
        <f>+IF(F116="Pasajero",'2.2 OPEX LAP 2023'!I117*'2.1 OPEX TUUA'!$N$7,'2.2 OPEX LAP 2023'!I117*'2.1 OPEX TUUA'!$N$8)</f>
        <v>1453.0199190240978</v>
      </c>
      <c r="O116" s="3">
        <f>+IF(F116="Pasajero",'2.2 OPEX LAP 2023'!J117*'2.1 OPEX TUUA'!$O$7,'2.2 OPEX LAP 2023'!J117*'2.1 OPEX TUUA'!$O$8)</f>
        <v>1431.2146144728283</v>
      </c>
      <c r="P116" s="3">
        <f>+IF(F116="Pasajero",'2.2 OPEX LAP 2023'!K117*'2.1 OPEX TUUA'!$P$7,'2.2 OPEX LAP 2023'!K117*'2.1 OPEX TUUA'!$P$8)</f>
        <v>1422.3116066983728</v>
      </c>
      <c r="Q116" s="3">
        <f>+IF(F116="Pasajero",'2.2 OPEX LAP 2023'!L117*'2.1 OPEX TUUA'!$Q$7,'2.2 OPEX LAP 2023'!L117*'2.1 OPEX TUUA'!$Q$8)</f>
        <v>1413.0458103804069</v>
      </c>
      <c r="R116" s="3">
        <f>+IF(F116="Pasajero",'2.2 OPEX LAP 2023'!M117*'2.1 OPEX TUUA'!$R$7,'2.2 OPEX LAP 2023'!M117*'2.1 OPEX TUUA'!$R$8)</f>
        <v>1420.6276609840636</v>
      </c>
      <c r="S116" s="3">
        <f>+IF(F116="Pasajero",'2.2 OPEX LAP 2023'!N117*'2.1 OPEX TUUA'!$S$7,'2.2 OPEX LAP 2023'!N117*'2.1 OPEX TUUA'!$S$8)</f>
        <v>1421.5344709112608</v>
      </c>
      <c r="U116" s="1">
        <v>3001.6689065733003</v>
      </c>
      <c r="V116" s="1">
        <v>3520.9728856128932</v>
      </c>
      <c r="W116" s="1">
        <v>3958.1337150643071</v>
      </c>
      <c r="X116" s="1">
        <v>4193.7071655988875</v>
      </c>
      <c r="Y116" s="1">
        <v>4365.82669650974</v>
      </c>
      <c r="Z116" s="1">
        <v>4557.0548240638827</v>
      </c>
      <c r="AA116" s="7">
        <f t="shared" si="9"/>
        <v>-55.664897525189645</v>
      </c>
      <c r="AB116" s="7">
        <f t="shared" si="10"/>
        <v>-65.29520775506262</v>
      </c>
      <c r="AC116" s="7">
        <f t="shared" si="11"/>
        <v>-73.402202074173147</v>
      </c>
      <c r="AD116" s="7">
        <f t="shared" si="12"/>
        <v>-77.770829125260207</v>
      </c>
      <c r="AE116" s="7">
        <f t="shared" si="13"/>
        <v>-80.962725483068425</v>
      </c>
      <c r="AF116" s="7">
        <f t="shared" si="14"/>
        <v>-84.508984066393168</v>
      </c>
    </row>
    <row r="117" spans="2:32" x14ac:dyDescent="0.25">
      <c r="B117" s="17">
        <v>6380000024</v>
      </c>
      <c r="C117" s="193" t="s">
        <v>13</v>
      </c>
      <c r="D117" s="193" t="s">
        <v>49</v>
      </c>
      <c r="E117" s="193" t="s">
        <v>122</v>
      </c>
      <c r="F117" s="163" t="s">
        <v>190</v>
      </c>
      <c r="G117" s="3">
        <f>+IF(F117="Pasajero",'2.2 OPEX LAP 2023'!I118*'2.1 OPEX TUUA'!$G$7,'2.2 OPEX LAP 2023'!I118*'2.1 OPEX TUUA'!$G$8)</f>
        <v>4798.1814344174318</v>
      </c>
      <c r="H117" s="3">
        <f>+IF(F117="Pasajero",'2.2 OPEX LAP 2023'!J118*'2.1 OPEX TUUA'!$H$7,'2.2 OPEX LAP 2023'!J118*'2.1 OPEX TUUA'!$H$8)</f>
        <v>5628.291212877778</v>
      </c>
      <c r="I117" s="3">
        <f>+IF(F117="Pasajero",'2.2 OPEX LAP 2023'!K118*'2.1 OPEX TUUA'!$I$7,'2.2 OPEX LAP 2023'!K118*'2.1 OPEX TUUA'!$I$8)</f>
        <v>6327.0947921582419</v>
      </c>
      <c r="J117" s="3">
        <f>+IF(F117="Pasajero",'2.2 OPEX LAP 2023'!L118*'2.1 OPEX TUUA'!$J$7,'2.2 OPEX LAP 2023'!L118*'2.1 OPEX TUUA'!$J$8)</f>
        <v>6703.6600270252184</v>
      </c>
      <c r="K117" s="3">
        <f>+IF(F117="Pasajero",'2.2 OPEX LAP 2023'!M118*'2.1 OPEX TUUA'!$K$7,'2.2 OPEX LAP 2023'!M118*'2.1 OPEX TUUA'!$K$8)</f>
        <v>6978.7938820311956</v>
      </c>
      <c r="L117" s="3">
        <f>+IF(F117="Pasajero",'2.2 OPEX LAP 2023'!N118*'2.1 OPEX TUUA'!$L$7,'2.2 OPEX LAP 2023'!N118*'2.1 OPEX TUUA'!$L$8)</f>
        <v>7284.4729159044446</v>
      </c>
      <c r="M117" s="3"/>
      <c r="N117" s="3">
        <f>+IF(F117="Pasajero",'2.2 OPEX LAP 2023'!I118*'2.1 OPEX TUUA'!$N$7,'2.2 OPEX LAP 2023'!I118*'2.1 OPEX TUUA'!$N$8)</f>
        <v>2366.5457269872609</v>
      </c>
      <c r="O117" s="3">
        <f>+IF(F117="Pasajero",'2.2 OPEX LAP 2023'!J118*'2.1 OPEX TUUA'!$O$7,'2.2 OPEX LAP 2023'!J118*'2.1 OPEX TUUA'!$O$8)</f>
        <v>2331.0312446076105</v>
      </c>
      <c r="P117" s="3">
        <f>+IF(F117="Pasajero",'2.2 OPEX LAP 2023'!K118*'2.1 OPEX TUUA'!$P$7,'2.2 OPEX LAP 2023'!K118*'2.1 OPEX TUUA'!$P$8)</f>
        <v>2316.5308411856649</v>
      </c>
      <c r="Q117" s="3">
        <f>+IF(F117="Pasajero",'2.2 OPEX LAP 2023'!L118*'2.1 OPEX TUUA'!$Q$7,'2.2 OPEX LAP 2023'!L118*'2.1 OPEX TUUA'!$Q$8)</f>
        <v>2301.4395610205975</v>
      </c>
      <c r="R117" s="3">
        <f>+IF(F117="Pasajero",'2.2 OPEX LAP 2023'!M118*'2.1 OPEX TUUA'!$R$7,'2.2 OPEX LAP 2023'!M118*'2.1 OPEX TUUA'!$R$8)</f>
        <v>2313.7881846793771</v>
      </c>
      <c r="S117" s="3">
        <f>+IF(F117="Pasajero",'2.2 OPEX LAP 2023'!N118*'2.1 OPEX TUUA'!$S$7,'2.2 OPEX LAP 2023'!N118*'2.1 OPEX TUUA'!$S$8)</f>
        <v>2315.2651136122163</v>
      </c>
      <c r="U117" s="1">
        <v>4888.8433198167031</v>
      </c>
      <c r="V117" s="1">
        <v>5734.6380653072138</v>
      </c>
      <c r="W117" s="1">
        <v>6446.6455742196167</v>
      </c>
      <c r="X117" s="1">
        <v>6830.3260285995466</v>
      </c>
      <c r="Y117" s="1">
        <v>7110.658551970394</v>
      </c>
      <c r="Z117" s="1">
        <v>7422.1134069368572</v>
      </c>
      <c r="AA117" s="7">
        <f t="shared" si="9"/>
        <v>-90.661885399271341</v>
      </c>
      <c r="AB117" s="7">
        <f t="shared" si="10"/>
        <v>-106.34685242943578</v>
      </c>
      <c r="AC117" s="7">
        <f t="shared" si="11"/>
        <v>-119.55078206137478</v>
      </c>
      <c r="AD117" s="7">
        <f t="shared" si="12"/>
        <v>-126.66600157432822</v>
      </c>
      <c r="AE117" s="7">
        <f t="shared" si="13"/>
        <v>-131.86466993919839</v>
      </c>
      <c r="AF117" s="7">
        <f t="shared" si="14"/>
        <v>-137.64049103241268</v>
      </c>
    </row>
    <row r="118" spans="2:32" x14ac:dyDescent="0.25">
      <c r="B118" s="17">
        <v>6380000025</v>
      </c>
      <c r="C118" s="193" t="s">
        <v>13</v>
      </c>
      <c r="D118" s="193" t="s">
        <v>49</v>
      </c>
      <c r="E118" s="193" t="s">
        <v>123</v>
      </c>
      <c r="F118" s="163" t="s">
        <v>190</v>
      </c>
      <c r="G118" s="3">
        <f>+IF(F118="Pasajero",'2.2 OPEX LAP 2023'!I119*'2.1 OPEX TUUA'!$G$7,'2.2 OPEX LAP 2023'!I119*'2.1 OPEX TUUA'!$G$8)</f>
        <v>0</v>
      </c>
      <c r="H118" s="3">
        <f>+IF(F118="Pasajero",'2.2 OPEX LAP 2023'!J119*'2.1 OPEX TUUA'!$H$7,'2.2 OPEX LAP 2023'!J119*'2.1 OPEX TUUA'!$H$8)</f>
        <v>0</v>
      </c>
      <c r="I118" s="3">
        <f>+IF(F118="Pasajero",'2.2 OPEX LAP 2023'!K119*'2.1 OPEX TUUA'!$I$7,'2.2 OPEX LAP 2023'!K119*'2.1 OPEX TUUA'!$I$8)</f>
        <v>0</v>
      </c>
      <c r="J118" s="3">
        <f>+IF(F118="Pasajero",'2.2 OPEX LAP 2023'!L119*'2.1 OPEX TUUA'!$J$7,'2.2 OPEX LAP 2023'!L119*'2.1 OPEX TUUA'!$J$8)</f>
        <v>0</v>
      </c>
      <c r="K118" s="3">
        <f>+IF(F118="Pasajero",'2.2 OPEX LAP 2023'!M119*'2.1 OPEX TUUA'!$K$7,'2.2 OPEX LAP 2023'!M119*'2.1 OPEX TUUA'!$K$8)</f>
        <v>0</v>
      </c>
      <c r="L118" s="3">
        <f>+IF(F118="Pasajero",'2.2 OPEX LAP 2023'!N119*'2.1 OPEX TUUA'!$L$7,'2.2 OPEX LAP 2023'!N119*'2.1 OPEX TUUA'!$L$8)</f>
        <v>0</v>
      </c>
      <c r="M118" s="3"/>
      <c r="N118" s="3">
        <f>+IF(F118="Pasajero",'2.2 OPEX LAP 2023'!I119*'2.1 OPEX TUUA'!$N$7,'2.2 OPEX LAP 2023'!I119*'2.1 OPEX TUUA'!$N$8)</f>
        <v>0</v>
      </c>
      <c r="O118" s="3">
        <f>+IF(F118="Pasajero",'2.2 OPEX LAP 2023'!J119*'2.1 OPEX TUUA'!$O$7,'2.2 OPEX LAP 2023'!J119*'2.1 OPEX TUUA'!$O$8)</f>
        <v>0</v>
      </c>
      <c r="P118" s="3">
        <f>+IF(F118="Pasajero",'2.2 OPEX LAP 2023'!K119*'2.1 OPEX TUUA'!$P$7,'2.2 OPEX LAP 2023'!K119*'2.1 OPEX TUUA'!$P$8)</f>
        <v>0</v>
      </c>
      <c r="Q118" s="3">
        <f>+IF(F118="Pasajero",'2.2 OPEX LAP 2023'!L119*'2.1 OPEX TUUA'!$Q$7,'2.2 OPEX LAP 2023'!L119*'2.1 OPEX TUUA'!$Q$8)</f>
        <v>0</v>
      </c>
      <c r="R118" s="3">
        <f>+IF(F118="Pasajero",'2.2 OPEX LAP 2023'!M119*'2.1 OPEX TUUA'!$R$7,'2.2 OPEX LAP 2023'!M119*'2.1 OPEX TUUA'!$R$8)</f>
        <v>0</v>
      </c>
      <c r="S118" s="3">
        <f>+IF(F118="Pasajero",'2.2 OPEX LAP 2023'!N119*'2.1 OPEX TUUA'!$S$7,'2.2 OPEX LAP 2023'!N119*'2.1 OPEX TUUA'!$S$8)</f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7">
        <f t="shared" si="9"/>
        <v>0</v>
      </c>
      <c r="AB118" s="7">
        <f t="shared" si="10"/>
        <v>0</v>
      </c>
      <c r="AC118" s="7">
        <f t="shared" si="11"/>
        <v>0</v>
      </c>
      <c r="AD118" s="7">
        <f t="shared" si="12"/>
        <v>0</v>
      </c>
      <c r="AE118" s="7">
        <f t="shared" si="13"/>
        <v>0</v>
      </c>
      <c r="AF118" s="7">
        <f t="shared" si="14"/>
        <v>0</v>
      </c>
    </row>
    <row r="119" spans="2:32" x14ac:dyDescent="0.25">
      <c r="B119" s="17">
        <v>6380000026</v>
      </c>
      <c r="C119" s="193" t="s">
        <v>13</v>
      </c>
      <c r="D119" s="193" t="s">
        <v>49</v>
      </c>
      <c r="E119" s="193" t="s">
        <v>124</v>
      </c>
      <c r="F119" s="163" t="s">
        <v>190</v>
      </c>
      <c r="G119" s="3">
        <f>+IF(F119="Pasajero",'2.2 OPEX LAP 2023'!I120*'2.1 OPEX TUUA'!$G$7,'2.2 OPEX LAP 2023'!I120*'2.1 OPEX TUUA'!$G$8)</f>
        <v>0</v>
      </c>
      <c r="H119" s="3">
        <f>+IF(F119="Pasajero",'2.2 OPEX LAP 2023'!J120*'2.1 OPEX TUUA'!$H$7,'2.2 OPEX LAP 2023'!J120*'2.1 OPEX TUUA'!$H$8)</f>
        <v>0</v>
      </c>
      <c r="I119" s="3">
        <f>+IF(F119="Pasajero",'2.2 OPEX LAP 2023'!K120*'2.1 OPEX TUUA'!$I$7,'2.2 OPEX LAP 2023'!K120*'2.1 OPEX TUUA'!$I$8)</f>
        <v>0</v>
      </c>
      <c r="J119" s="3">
        <f>+IF(F119="Pasajero",'2.2 OPEX LAP 2023'!L120*'2.1 OPEX TUUA'!$J$7,'2.2 OPEX LAP 2023'!L120*'2.1 OPEX TUUA'!$J$8)</f>
        <v>0</v>
      </c>
      <c r="K119" s="3">
        <f>+IF(F119="Pasajero",'2.2 OPEX LAP 2023'!M120*'2.1 OPEX TUUA'!$K$7,'2.2 OPEX LAP 2023'!M120*'2.1 OPEX TUUA'!$K$8)</f>
        <v>0</v>
      </c>
      <c r="L119" s="3">
        <f>+IF(F119="Pasajero",'2.2 OPEX LAP 2023'!N120*'2.1 OPEX TUUA'!$L$7,'2.2 OPEX LAP 2023'!N120*'2.1 OPEX TUUA'!$L$8)</f>
        <v>0</v>
      </c>
      <c r="M119" s="3"/>
      <c r="N119" s="3">
        <f>+IF(F119="Pasajero",'2.2 OPEX LAP 2023'!I120*'2.1 OPEX TUUA'!$N$7,'2.2 OPEX LAP 2023'!I120*'2.1 OPEX TUUA'!$N$8)</f>
        <v>0</v>
      </c>
      <c r="O119" s="3">
        <f>+IF(F119="Pasajero",'2.2 OPEX LAP 2023'!J120*'2.1 OPEX TUUA'!$O$7,'2.2 OPEX LAP 2023'!J120*'2.1 OPEX TUUA'!$O$8)</f>
        <v>0</v>
      </c>
      <c r="P119" s="3">
        <f>+IF(F119="Pasajero",'2.2 OPEX LAP 2023'!K120*'2.1 OPEX TUUA'!$P$7,'2.2 OPEX LAP 2023'!K120*'2.1 OPEX TUUA'!$P$8)</f>
        <v>0</v>
      </c>
      <c r="Q119" s="3">
        <f>+IF(F119="Pasajero",'2.2 OPEX LAP 2023'!L120*'2.1 OPEX TUUA'!$Q$7,'2.2 OPEX LAP 2023'!L120*'2.1 OPEX TUUA'!$Q$8)</f>
        <v>0</v>
      </c>
      <c r="R119" s="3">
        <f>+IF(F119="Pasajero",'2.2 OPEX LAP 2023'!M120*'2.1 OPEX TUUA'!$R$7,'2.2 OPEX LAP 2023'!M120*'2.1 OPEX TUUA'!$R$8)</f>
        <v>0</v>
      </c>
      <c r="S119" s="3">
        <f>+IF(F119="Pasajero",'2.2 OPEX LAP 2023'!N120*'2.1 OPEX TUUA'!$S$7,'2.2 OPEX LAP 2023'!N120*'2.1 OPEX TUUA'!$S$8)</f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7">
        <f t="shared" si="9"/>
        <v>0</v>
      </c>
      <c r="AB119" s="7">
        <f t="shared" si="10"/>
        <v>0</v>
      </c>
      <c r="AC119" s="7">
        <f t="shared" si="11"/>
        <v>0</v>
      </c>
      <c r="AD119" s="7">
        <f t="shared" si="12"/>
        <v>0</v>
      </c>
      <c r="AE119" s="7">
        <f t="shared" si="13"/>
        <v>0</v>
      </c>
      <c r="AF119" s="7">
        <f t="shared" si="14"/>
        <v>0</v>
      </c>
    </row>
    <row r="120" spans="2:32" x14ac:dyDescent="0.25">
      <c r="B120" s="17">
        <v>6380000027</v>
      </c>
      <c r="C120" s="193" t="s">
        <v>13</v>
      </c>
      <c r="D120" s="193" t="s">
        <v>49</v>
      </c>
      <c r="E120" s="193" t="s">
        <v>125</v>
      </c>
      <c r="F120" s="163" t="s">
        <v>190</v>
      </c>
      <c r="G120" s="3">
        <f>+IF(F120="Pasajero",'2.2 OPEX LAP 2023'!I121*'2.1 OPEX TUUA'!$G$7,'2.2 OPEX LAP 2023'!I121*'2.1 OPEX TUUA'!$G$8)</f>
        <v>0</v>
      </c>
      <c r="H120" s="3">
        <f>+IF(F120="Pasajero",'2.2 OPEX LAP 2023'!J121*'2.1 OPEX TUUA'!$H$7,'2.2 OPEX LAP 2023'!J121*'2.1 OPEX TUUA'!$H$8)</f>
        <v>0</v>
      </c>
      <c r="I120" s="3">
        <f>+IF(F120="Pasajero",'2.2 OPEX LAP 2023'!K121*'2.1 OPEX TUUA'!$I$7,'2.2 OPEX LAP 2023'!K121*'2.1 OPEX TUUA'!$I$8)</f>
        <v>0</v>
      </c>
      <c r="J120" s="3">
        <f>+IF(F120="Pasajero",'2.2 OPEX LAP 2023'!L121*'2.1 OPEX TUUA'!$J$7,'2.2 OPEX LAP 2023'!L121*'2.1 OPEX TUUA'!$J$8)</f>
        <v>0</v>
      </c>
      <c r="K120" s="3">
        <f>+IF(F120="Pasajero",'2.2 OPEX LAP 2023'!M121*'2.1 OPEX TUUA'!$K$7,'2.2 OPEX LAP 2023'!M121*'2.1 OPEX TUUA'!$K$8)</f>
        <v>0</v>
      </c>
      <c r="L120" s="3">
        <f>+IF(F120="Pasajero",'2.2 OPEX LAP 2023'!N121*'2.1 OPEX TUUA'!$L$7,'2.2 OPEX LAP 2023'!N121*'2.1 OPEX TUUA'!$L$8)</f>
        <v>0</v>
      </c>
      <c r="M120" s="3"/>
      <c r="N120" s="3">
        <f>+IF(F120="Pasajero",'2.2 OPEX LAP 2023'!I121*'2.1 OPEX TUUA'!$N$7,'2.2 OPEX LAP 2023'!I121*'2.1 OPEX TUUA'!$N$8)</f>
        <v>0</v>
      </c>
      <c r="O120" s="3">
        <f>+IF(F120="Pasajero",'2.2 OPEX LAP 2023'!J121*'2.1 OPEX TUUA'!$O$7,'2.2 OPEX LAP 2023'!J121*'2.1 OPEX TUUA'!$O$8)</f>
        <v>0</v>
      </c>
      <c r="P120" s="3">
        <f>+IF(F120="Pasajero",'2.2 OPEX LAP 2023'!K121*'2.1 OPEX TUUA'!$P$7,'2.2 OPEX LAP 2023'!K121*'2.1 OPEX TUUA'!$P$8)</f>
        <v>0</v>
      </c>
      <c r="Q120" s="3">
        <f>+IF(F120="Pasajero",'2.2 OPEX LAP 2023'!L121*'2.1 OPEX TUUA'!$Q$7,'2.2 OPEX LAP 2023'!L121*'2.1 OPEX TUUA'!$Q$8)</f>
        <v>0</v>
      </c>
      <c r="R120" s="3">
        <f>+IF(F120="Pasajero",'2.2 OPEX LAP 2023'!M121*'2.1 OPEX TUUA'!$R$7,'2.2 OPEX LAP 2023'!M121*'2.1 OPEX TUUA'!$R$8)</f>
        <v>0</v>
      </c>
      <c r="S120" s="3">
        <f>+IF(F120="Pasajero",'2.2 OPEX LAP 2023'!N121*'2.1 OPEX TUUA'!$S$7,'2.2 OPEX LAP 2023'!N121*'2.1 OPEX TUUA'!$S$8)</f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7">
        <f t="shared" si="9"/>
        <v>0</v>
      </c>
      <c r="AB120" s="7">
        <f t="shared" si="10"/>
        <v>0</v>
      </c>
      <c r="AC120" s="7">
        <f t="shared" si="11"/>
        <v>0</v>
      </c>
      <c r="AD120" s="7">
        <f t="shared" si="12"/>
        <v>0</v>
      </c>
      <c r="AE120" s="7">
        <f t="shared" si="13"/>
        <v>0</v>
      </c>
      <c r="AF120" s="7">
        <f t="shared" si="14"/>
        <v>0</v>
      </c>
    </row>
    <row r="121" spans="2:32" x14ac:dyDescent="0.25">
      <c r="B121" s="17">
        <v>6380000028</v>
      </c>
      <c r="C121" s="193" t="s">
        <v>13</v>
      </c>
      <c r="D121" s="193" t="s">
        <v>49</v>
      </c>
      <c r="E121" s="193" t="s">
        <v>126</v>
      </c>
      <c r="F121" s="163" t="s">
        <v>190</v>
      </c>
      <c r="G121" s="3">
        <f>+IF(F121="Pasajero",'2.2 OPEX LAP 2023'!I122*'2.1 OPEX TUUA'!$G$7,'2.2 OPEX LAP 2023'!I122*'2.1 OPEX TUUA'!$G$8)</f>
        <v>9553.7008599589881</v>
      </c>
      <c r="H121" s="3">
        <f>+IF(F121="Pasajero",'2.2 OPEX LAP 2023'!J122*'2.1 OPEX TUUA'!$H$7,'2.2 OPEX LAP 2023'!J122*'2.1 OPEX TUUA'!$H$8)</f>
        <v>11206.539672482941</v>
      </c>
      <c r="I121" s="3">
        <f>+IF(F121="Pasajero",'2.2 OPEX LAP 2023'!K122*'2.1 OPEX TUUA'!$I$7,'2.2 OPEX LAP 2023'!K122*'2.1 OPEX TUUA'!$I$8)</f>
        <v>12597.933567767095</v>
      </c>
      <c r="J121" s="3">
        <f>+IF(F121="Pasajero",'2.2 OPEX LAP 2023'!L122*'2.1 OPEX TUUA'!$J$7,'2.2 OPEX LAP 2023'!L122*'2.1 OPEX TUUA'!$J$8)</f>
        <v>13347.71588787148</v>
      </c>
      <c r="K121" s="3">
        <f>+IF(F121="Pasajero",'2.2 OPEX LAP 2023'!M122*'2.1 OPEX TUUA'!$K$7,'2.2 OPEX LAP 2023'!M122*'2.1 OPEX TUUA'!$K$8)</f>
        <v>13895.537303777064</v>
      </c>
      <c r="L121" s="3">
        <f>+IF(F121="Pasajero",'2.2 OPEX LAP 2023'!N122*'2.1 OPEX TUUA'!$L$7,'2.2 OPEX LAP 2023'!N122*'2.1 OPEX TUUA'!$L$8)</f>
        <v>14504.177491461183</v>
      </c>
      <c r="M121" s="3"/>
      <c r="N121" s="3">
        <f>+IF(F121="Pasajero",'2.2 OPEX LAP 2023'!I122*'2.1 OPEX TUUA'!$N$7,'2.2 OPEX LAP 2023'!I122*'2.1 OPEX TUUA'!$N$8)</f>
        <v>4712.0498163895627</v>
      </c>
      <c r="O121" s="3">
        <f>+IF(F121="Pasajero",'2.2 OPEX LAP 2023'!J122*'2.1 OPEX TUUA'!$O$7,'2.2 OPEX LAP 2023'!J122*'2.1 OPEX TUUA'!$O$8)</f>
        <v>4641.3366210906725</v>
      </c>
      <c r="P121" s="3">
        <f>+IF(F121="Pasajero",'2.2 OPEX LAP 2023'!K122*'2.1 OPEX TUUA'!$P$7,'2.2 OPEX LAP 2023'!K122*'2.1 OPEX TUUA'!$P$8)</f>
        <v>4612.4647414972296</v>
      </c>
      <c r="Q121" s="3">
        <f>+IF(F121="Pasajero",'2.2 OPEX LAP 2023'!L122*'2.1 OPEX TUUA'!$Q$7,'2.2 OPEX LAP 2023'!L122*'2.1 OPEX TUUA'!$Q$8)</f>
        <v>4582.4163620723293</v>
      </c>
      <c r="R121" s="3">
        <f>+IF(F121="Pasajero",'2.2 OPEX LAP 2023'!M122*'2.1 OPEX TUUA'!$R$7,'2.2 OPEX LAP 2023'!M122*'2.1 OPEX TUUA'!$R$8)</f>
        <v>4607.0038142311732</v>
      </c>
      <c r="S121" s="3">
        <f>+IF(F121="Pasajero",'2.2 OPEX LAP 2023'!N122*'2.1 OPEX TUUA'!$S$7,'2.2 OPEX LAP 2023'!N122*'2.1 OPEX TUUA'!$S$8)</f>
        <v>4609.9445402976271</v>
      </c>
      <c r="U121" s="1">
        <v>9734.2185299019311</v>
      </c>
      <c r="V121" s="1">
        <v>11418.28781694059</v>
      </c>
      <c r="W121" s="1">
        <v>12835.972171558911</v>
      </c>
      <c r="X121" s="1">
        <v>13599.921667229462</v>
      </c>
      <c r="Y121" s="1">
        <v>14158.094197011615</v>
      </c>
      <c r="Z121" s="1">
        <v>14778.234672398365</v>
      </c>
      <c r="AA121" s="7">
        <f t="shared" si="9"/>
        <v>-180.51766994294303</v>
      </c>
      <c r="AB121" s="7">
        <f t="shared" si="10"/>
        <v>-211.74814445764969</v>
      </c>
      <c r="AC121" s="7">
        <f t="shared" si="11"/>
        <v>-238.03860379181606</v>
      </c>
      <c r="AD121" s="7">
        <f t="shared" si="12"/>
        <v>-252.20577935798246</v>
      </c>
      <c r="AE121" s="7">
        <f t="shared" si="13"/>
        <v>-262.55689323455044</v>
      </c>
      <c r="AF121" s="7">
        <f t="shared" si="14"/>
        <v>-274.05718093718133</v>
      </c>
    </row>
    <row r="122" spans="2:32" x14ac:dyDescent="0.25">
      <c r="B122" s="17">
        <v>6380000029</v>
      </c>
      <c r="C122" s="193" t="s">
        <v>13</v>
      </c>
      <c r="D122" s="193" t="s">
        <v>40</v>
      </c>
      <c r="E122" s="193" t="s">
        <v>127</v>
      </c>
      <c r="F122" s="163" t="s">
        <v>190</v>
      </c>
      <c r="G122" s="3">
        <f>+IF(F122="Pasajero",'2.2 OPEX LAP 2023'!I123*'2.1 OPEX TUUA'!$G$7,'2.2 OPEX LAP 2023'!I123*'2.1 OPEX TUUA'!$G$8)</f>
        <v>0</v>
      </c>
      <c r="H122" s="3">
        <f>+IF(F122="Pasajero",'2.2 OPEX LAP 2023'!J123*'2.1 OPEX TUUA'!$H$7,'2.2 OPEX LAP 2023'!J123*'2.1 OPEX TUUA'!$H$8)</f>
        <v>0</v>
      </c>
      <c r="I122" s="3">
        <f>+IF(F122="Pasajero",'2.2 OPEX LAP 2023'!K123*'2.1 OPEX TUUA'!$I$7,'2.2 OPEX LAP 2023'!K123*'2.1 OPEX TUUA'!$I$8)</f>
        <v>0</v>
      </c>
      <c r="J122" s="3">
        <f>+IF(F122="Pasajero",'2.2 OPEX LAP 2023'!L123*'2.1 OPEX TUUA'!$J$7,'2.2 OPEX LAP 2023'!L123*'2.1 OPEX TUUA'!$J$8)</f>
        <v>0</v>
      </c>
      <c r="K122" s="3">
        <f>+IF(F122="Pasajero",'2.2 OPEX LAP 2023'!M123*'2.1 OPEX TUUA'!$K$7,'2.2 OPEX LAP 2023'!M123*'2.1 OPEX TUUA'!$K$8)</f>
        <v>0</v>
      </c>
      <c r="L122" s="3">
        <f>+IF(F122="Pasajero",'2.2 OPEX LAP 2023'!N123*'2.1 OPEX TUUA'!$L$7,'2.2 OPEX LAP 2023'!N123*'2.1 OPEX TUUA'!$L$8)</f>
        <v>0</v>
      </c>
      <c r="M122" s="3"/>
      <c r="N122" s="3">
        <f>+IF(F122="Pasajero",'2.2 OPEX LAP 2023'!I123*'2.1 OPEX TUUA'!$N$7,'2.2 OPEX LAP 2023'!I123*'2.1 OPEX TUUA'!$N$8)</f>
        <v>0</v>
      </c>
      <c r="O122" s="3">
        <f>+IF(F122="Pasajero",'2.2 OPEX LAP 2023'!J123*'2.1 OPEX TUUA'!$O$7,'2.2 OPEX LAP 2023'!J123*'2.1 OPEX TUUA'!$O$8)</f>
        <v>0</v>
      </c>
      <c r="P122" s="3">
        <f>+IF(F122="Pasajero",'2.2 OPEX LAP 2023'!K123*'2.1 OPEX TUUA'!$P$7,'2.2 OPEX LAP 2023'!K123*'2.1 OPEX TUUA'!$P$8)</f>
        <v>0</v>
      </c>
      <c r="Q122" s="3">
        <f>+IF(F122="Pasajero",'2.2 OPEX LAP 2023'!L123*'2.1 OPEX TUUA'!$Q$7,'2.2 OPEX LAP 2023'!L123*'2.1 OPEX TUUA'!$Q$8)</f>
        <v>0</v>
      </c>
      <c r="R122" s="3">
        <f>+IF(F122="Pasajero",'2.2 OPEX LAP 2023'!M123*'2.1 OPEX TUUA'!$R$7,'2.2 OPEX LAP 2023'!M123*'2.1 OPEX TUUA'!$R$8)</f>
        <v>0</v>
      </c>
      <c r="S122" s="3">
        <f>+IF(F122="Pasajero",'2.2 OPEX LAP 2023'!N123*'2.1 OPEX TUUA'!$S$7,'2.2 OPEX LAP 2023'!N123*'2.1 OPEX TUUA'!$S$8)</f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7">
        <f t="shared" si="9"/>
        <v>0</v>
      </c>
      <c r="AB122" s="7">
        <f t="shared" si="10"/>
        <v>0</v>
      </c>
      <c r="AC122" s="7">
        <f t="shared" si="11"/>
        <v>0</v>
      </c>
      <c r="AD122" s="7">
        <f t="shared" si="12"/>
        <v>0</v>
      </c>
      <c r="AE122" s="7">
        <f t="shared" si="13"/>
        <v>0</v>
      </c>
      <c r="AF122" s="7">
        <f t="shared" si="14"/>
        <v>0</v>
      </c>
    </row>
    <row r="123" spans="2:32" x14ac:dyDescent="0.25">
      <c r="B123" s="17">
        <v>6380000030</v>
      </c>
      <c r="C123" s="193" t="s">
        <v>13</v>
      </c>
      <c r="D123" s="193" t="s">
        <v>40</v>
      </c>
      <c r="E123" s="193" t="s">
        <v>128</v>
      </c>
      <c r="F123" s="163" t="s">
        <v>190</v>
      </c>
      <c r="G123" s="3">
        <f>+IF(F123="Pasajero",'2.2 OPEX LAP 2023'!I124*'2.1 OPEX TUUA'!$G$7,'2.2 OPEX LAP 2023'!I124*'2.1 OPEX TUUA'!$G$8)</f>
        <v>26474.643034052508</v>
      </c>
      <c r="H123" s="3">
        <f>+IF(F123="Pasajero",'2.2 OPEX LAP 2023'!J124*'2.1 OPEX TUUA'!$H$7,'2.2 OPEX LAP 2023'!J124*'2.1 OPEX TUUA'!$H$8)</f>
        <v>31054.890855898866</v>
      </c>
      <c r="I123" s="3">
        <f>+IF(F123="Pasajero",'2.2 OPEX LAP 2023'!K124*'2.1 OPEX TUUA'!$I$7,'2.2 OPEX LAP 2023'!K124*'2.1 OPEX TUUA'!$I$8)</f>
        <v>34910.638197936321</v>
      </c>
      <c r="J123" s="3">
        <f>+IF(F123="Pasajero",'2.2 OPEX LAP 2023'!L124*'2.1 OPEX TUUA'!$J$7,'2.2 OPEX LAP 2023'!L124*'2.1 OPEX TUUA'!$J$8)</f>
        <v>36988.390010451469</v>
      </c>
      <c r="K123" s="3">
        <f>+IF(F123="Pasajero",'2.2 OPEX LAP 2023'!M124*'2.1 OPEX TUUA'!$K$7,'2.2 OPEX LAP 2023'!M124*'2.1 OPEX TUUA'!$K$8)</f>
        <v>38506.479873752025</v>
      </c>
      <c r="L123" s="3">
        <f>+IF(F123="Pasajero",'2.2 OPEX LAP 2023'!N124*'2.1 OPEX TUUA'!$L$7,'2.2 OPEX LAP 2023'!N124*'2.1 OPEX TUUA'!$L$8)</f>
        <v>40193.107071035338</v>
      </c>
      <c r="M123" s="3"/>
      <c r="N123" s="3">
        <f>+IF(F123="Pasajero",'2.2 OPEX LAP 2023'!I124*'2.1 OPEX TUUA'!$N$7,'2.2 OPEX LAP 2023'!I124*'2.1 OPEX TUUA'!$N$8)</f>
        <v>13057.749941745804</v>
      </c>
      <c r="O123" s="3">
        <f>+IF(F123="Pasajero",'2.2 OPEX LAP 2023'!J124*'2.1 OPEX TUUA'!$O$7,'2.2 OPEX LAP 2023'!J124*'2.1 OPEX TUUA'!$O$8)</f>
        <v>12861.793774520427</v>
      </c>
      <c r="P123" s="3">
        <f>+IF(F123="Pasajero",'2.2 OPEX LAP 2023'!K124*'2.1 OPEX TUUA'!$P$7,'2.2 OPEX LAP 2023'!K124*'2.1 OPEX TUUA'!$P$8)</f>
        <v>12781.785752795342</v>
      </c>
      <c r="Q123" s="3">
        <f>+IF(F123="Pasajero",'2.2 OPEX LAP 2023'!L124*'2.1 OPEX TUUA'!$Q$7,'2.2 OPEX LAP 2023'!L124*'2.1 OPEX TUUA'!$Q$8)</f>
        <v>12698.517485273996</v>
      </c>
      <c r="R123" s="3">
        <f>+IF(F123="Pasajero",'2.2 OPEX LAP 2023'!M124*'2.1 OPEX TUUA'!$R$7,'2.2 OPEX LAP 2023'!M124*'2.1 OPEX TUUA'!$R$8)</f>
        <v>12766.652758563789</v>
      </c>
      <c r="S123" s="3">
        <f>+IF(F123="Pasajero",'2.2 OPEX LAP 2023'!N124*'2.1 OPEX TUUA'!$S$7,'2.2 OPEX LAP 2023'!N124*'2.1 OPEX TUUA'!$S$8)</f>
        <v>12774.801922328857</v>
      </c>
      <c r="U123" s="1">
        <v>26974.882778119485</v>
      </c>
      <c r="V123" s="1">
        <v>31641.674618527933</v>
      </c>
      <c r="W123" s="1">
        <v>35570.276505236194</v>
      </c>
      <c r="X123" s="1">
        <v>37687.287545291838</v>
      </c>
      <c r="Y123" s="1">
        <v>39234.061794769434</v>
      </c>
      <c r="Z123" s="1">
        <v>40952.557899838219</v>
      </c>
      <c r="AA123" s="7">
        <f t="shared" si="9"/>
        <v>-500.23974406697744</v>
      </c>
      <c r="AB123" s="7">
        <f t="shared" si="10"/>
        <v>-586.7837626290675</v>
      </c>
      <c r="AC123" s="7">
        <f t="shared" si="11"/>
        <v>-659.63830729987239</v>
      </c>
      <c r="AD123" s="7">
        <f t="shared" si="12"/>
        <v>-698.89753484036919</v>
      </c>
      <c r="AE123" s="7">
        <f t="shared" si="13"/>
        <v>-727.5819210174086</v>
      </c>
      <c r="AF123" s="7">
        <f t="shared" si="14"/>
        <v>-759.45082880288101</v>
      </c>
    </row>
    <row r="124" spans="2:32" x14ac:dyDescent="0.25">
      <c r="B124" s="17">
        <v>6380000031</v>
      </c>
      <c r="C124" s="193" t="s">
        <v>13</v>
      </c>
      <c r="D124" s="193" t="s">
        <v>49</v>
      </c>
      <c r="E124" s="193" t="s">
        <v>129</v>
      </c>
      <c r="F124" s="163" t="s">
        <v>190</v>
      </c>
      <c r="G124" s="3">
        <f>+IF(F124="Pasajero",'2.2 OPEX LAP 2023'!I125*'2.1 OPEX TUUA'!$G$7,'2.2 OPEX LAP 2023'!I125*'2.1 OPEX TUUA'!$G$8)</f>
        <v>0</v>
      </c>
      <c r="H124" s="3">
        <f>+IF(F124="Pasajero",'2.2 OPEX LAP 2023'!J125*'2.1 OPEX TUUA'!$H$7,'2.2 OPEX LAP 2023'!J125*'2.1 OPEX TUUA'!$H$8)</f>
        <v>0</v>
      </c>
      <c r="I124" s="3">
        <f>+IF(F124="Pasajero",'2.2 OPEX LAP 2023'!K125*'2.1 OPEX TUUA'!$I$7,'2.2 OPEX LAP 2023'!K125*'2.1 OPEX TUUA'!$I$8)</f>
        <v>0</v>
      </c>
      <c r="J124" s="3">
        <f>+IF(F124="Pasajero",'2.2 OPEX LAP 2023'!L125*'2.1 OPEX TUUA'!$J$7,'2.2 OPEX LAP 2023'!L125*'2.1 OPEX TUUA'!$J$8)</f>
        <v>0</v>
      </c>
      <c r="K124" s="3">
        <f>+IF(F124="Pasajero",'2.2 OPEX LAP 2023'!M125*'2.1 OPEX TUUA'!$K$7,'2.2 OPEX LAP 2023'!M125*'2.1 OPEX TUUA'!$K$8)</f>
        <v>0</v>
      </c>
      <c r="L124" s="3">
        <f>+IF(F124="Pasajero",'2.2 OPEX LAP 2023'!N125*'2.1 OPEX TUUA'!$L$7,'2.2 OPEX LAP 2023'!N125*'2.1 OPEX TUUA'!$L$8)</f>
        <v>0</v>
      </c>
      <c r="M124" s="3"/>
      <c r="N124" s="3">
        <f>+IF(F124="Pasajero",'2.2 OPEX LAP 2023'!I125*'2.1 OPEX TUUA'!$N$7,'2.2 OPEX LAP 2023'!I125*'2.1 OPEX TUUA'!$N$8)</f>
        <v>0</v>
      </c>
      <c r="O124" s="3">
        <f>+IF(F124="Pasajero",'2.2 OPEX LAP 2023'!J125*'2.1 OPEX TUUA'!$O$7,'2.2 OPEX LAP 2023'!J125*'2.1 OPEX TUUA'!$O$8)</f>
        <v>0</v>
      </c>
      <c r="P124" s="3">
        <f>+IF(F124="Pasajero",'2.2 OPEX LAP 2023'!K125*'2.1 OPEX TUUA'!$P$7,'2.2 OPEX LAP 2023'!K125*'2.1 OPEX TUUA'!$P$8)</f>
        <v>0</v>
      </c>
      <c r="Q124" s="3">
        <f>+IF(F124="Pasajero",'2.2 OPEX LAP 2023'!L125*'2.1 OPEX TUUA'!$Q$7,'2.2 OPEX LAP 2023'!L125*'2.1 OPEX TUUA'!$Q$8)</f>
        <v>0</v>
      </c>
      <c r="R124" s="3">
        <f>+IF(F124="Pasajero",'2.2 OPEX LAP 2023'!M125*'2.1 OPEX TUUA'!$R$7,'2.2 OPEX LAP 2023'!M125*'2.1 OPEX TUUA'!$R$8)</f>
        <v>0</v>
      </c>
      <c r="S124" s="3">
        <f>+IF(F124="Pasajero",'2.2 OPEX LAP 2023'!N125*'2.1 OPEX TUUA'!$S$7,'2.2 OPEX LAP 2023'!N125*'2.1 OPEX TUUA'!$S$8)</f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7">
        <f t="shared" si="9"/>
        <v>0</v>
      </c>
      <c r="AB124" s="7">
        <f t="shared" si="10"/>
        <v>0</v>
      </c>
      <c r="AC124" s="7">
        <f t="shared" si="11"/>
        <v>0</v>
      </c>
      <c r="AD124" s="7">
        <f t="shared" si="12"/>
        <v>0</v>
      </c>
      <c r="AE124" s="7">
        <f t="shared" si="13"/>
        <v>0</v>
      </c>
      <c r="AF124" s="7">
        <f t="shared" si="14"/>
        <v>0</v>
      </c>
    </row>
    <row r="125" spans="2:32" x14ac:dyDescent="0.25">
      <c r="B125" s="17">
        <v>6381000001</v>
      </c>
      <c r="C125" s="193" t="s">
        <v>13</v>
      </c>
      <c r="D125" s="193" t="s">
        <v>49</v>
      </c>
      <c r="E125" s="193" t="s">
        <v>130</v>
      </c>
      <c r="F125" s="163" t="s">
        <v>190</v>
      </c>
      <c r="G125" s="3">
        <f>+IF(F125="Pasajero",'2.2 OPEX LAP 2023'!I126*'2.1 OPEX TUUA'!$G$7,'2.2 OPEX LAP 2023'!I126*'2.1 OPEX TUUA'!$G$8)</f>
        <v>0</v>
      </c>
      <c r="H125" s="3">
        <f>+IF(F125="Pasajero",'2.2 OPEX LAP 2023'!J126*'2.1 OPEX TUUA'!$H$7,'2.2 OPEX LAP 2023'!J126*'2.1 OPEX TUUA'!$H$8)</f>
        <v>0</v>
      </c>
      <c r="I125" s="3">
        <f>+IF(F125="Pasajero",'2.2 OPEX LAP 2023'!K126*'2.1 OPEX TUUA'!$I$7,'2.2 OPEX LAP 2023'!K126*'2.1 OPEX TUUA'!$I$8)</f>
        <v>0</v>
      </c>
      <c r="J125" s="3">
        <f>+IF(F125="Pasajero",'2.2 OPEX LAP 2023'!L126*'2.1 OPEX TUUA'!$J$7,'2.2 OPEX LAP 2023'!L126*'2.1 OPEX TUUA'!$J$8)</f>
        <v>0</v>
      </c>
      <c r="K125" s="3">
        <f>+IF(F125="Pasajero",'2.2 OPEX LAP 2023'!M126*'2.1 OPEX TUUA'!$K$7,'2.2 OPEX LAP 2023'!M126*'2.1 OPEX TUUA'!$K$8)</f>
        <v>0</v>
      </c>
      <c r="L125" s="3">
        <f>+IF(F125="Pasajero",'2.2 OPEX LAP 2023'!N126*'2.1 OPEX TUUA'!$L$7,'2.2 OPEX LAP 2023'!N126*'2.1 OPEX TUUA'!$L$8)</f>
        <v>0</v>
      </c>
      <c r="M125" s="3"/>
      <c r="N125" s="3">
        <f>+IF(F125="Pasajero",'2.2 OPEX LAP 2023'!I126*'2.1 OPEX TUUA'!$N$7,'2.2 OPEX LAP 2023'!I126*'2.1 OPEX TUUA'!$N$8)</f>
        <v>0</v>
      </c>
      <c r="O125" s="3">
        <f>+IF(F125="Pasajero",'2.2 OPEX LAP 2023'!J126*'2.1 OPEX TUUA'!$O$7,'2.2 OPEX LAP 2023'!J126*'2.1 OPEX TUUA'!$O$8)</f>
        <v>0</v>
      </c>
      <c r="P125" s="3">
        <f>+IF(F125="Pasajero",'2.2 OPEX LAP 2023'!K126*'2.1 OPEX TUUA'!$P$7,'2.2 OPEX LAP 2023'!K126*'2.1 OPEX TUUA'!$P$8)</f>
        <v>0</v>
      </c>
      <c r="Q125" s="3">
        <f>+IF(F125="Pasajero",'2.2 OPEX LAP 2023'!L126*'2.1 OPEX TUUA'!$Q$7,'2.2 OPEX LAP 2023'!L126*'2.1 OPEX TUUA'!$Q$8)</f>
        <v>0</v>
      </c>
      <c r="R125" s="3">
        <f>+IF(F125="Pasajero",'2.2 OPEX LAP 2023'!M126*'2.1 OPEX TUUA'!$R$7,'2.2 OPEX LAP 2023'!M126*'2.1 OPEX TUUA'!$R$8)</f>
        <v>0</v>
      </c>
      <c r="S125" s="3">
        <f>+IF(F125="Pasajero",'2.2 OPEX LAP 2023'!N126*'2.1 OPEX TUUA'!$S$7,'2.2 OPEX LAP 2023'!N126*'2.1 OPEX TUUA'!$S$8)</f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7">
        <f t="shared" si="9"/>
        <v>0</v>
      </c>
      <c r="AB125" s="7">
        <f t="shared" si="10"/>
        <v>0</v>
      </c>
      <c r="AC125" s="7">
        <f t="shared" si="11"/>
        <v>0</v>
      </c>
      <c r="AD125" s="7">
        <f t="shared" si="12"/>
        <v>0</v>
      </c>
      <c r="AE125" s="7">
        <f t="shared" si="13"/>
        <v>0</v>
      </c>
      <c r="AF125" s="7">
        <f t="shared" si="14"/>
        <v>0</v>
      </c>
    </row>
    <row r="126" spans="2:32" x14ac:dyDescent="0.25">
      <c r="B126" s="17">
        <v>6381000002</v>
      </c>
      <c r="C126" s="193" t="s">
        <v>13</v>
      </c>
      <c r="D126" s="193" t="s">
        <v>49</v>
      </c>
      <c r="E126" s="193" t="s">
        <v>131</v>
      </c>
      <c r="F126" s="163" t="s">
        <v>190</v>
      </c>
      <c r="G126" s="3">
        <f>+IF(F126="Pasajero",'2.2 OPEX LAP 2023'!I127*'2.1 OPEX TUUA'!$G$7,'2.2 OPEX LAP 2023'!I127*'2.1 OPEX TUUA'!$G$8)</f>
        <v>94374.588438078164</v>
      </c>
      <c r="H126" s="3">
        <f>+IF(F126="Pasajero",'2.2 OPEX LAP 2023'!J127*'2.1 OPEX TUUA'!$H$7,'2.2 OPEX LAP 2023'!J127*'2.1 OPEX TUUA'!$H$8)</f>
        <v>110701.87196651589</v>
      </c>
      <c r="I126" s="3">
        <f>+IF(F126="Pasajero",'2.2 OPEX LAP 2023'!K127*'2.1 OPEX TUUA'!$I$7,'2.2 OPEX LAP 2023'!K127*'2.1 OPEX TUUA'!$I$8)</f>
        <v>124446.51691065957</v>
      </c>
      <c r="J126" s="3">
        <f>+IF(F126="Pasajero",'2.2 OPEX LAP 2023'!L127*'2.1 OPEX TUUA'!$J$7,'2.2 OPEX LAP 2023'!L127*'2.1 OPEX TUUA'!$J$8)</f>
        <v>131853.11241906264</v>
      </c>
      <c r="K126" s="3">
        <f>+IF(F126="Pasajero",'2.2 OPEX LAP 2023'!M127*'2.1 OPEX TUUA'!$K$7,'2.2 OPEX LAP 2023'!M127*'2.1 OPEX TUUA'!$K$8)</f>
        <v>137264.67192061024</v>
      </c>
      <c r="L126" s="3">
        <f>+IF(F126="Pasajero",'2.2 OPEX LAP 2023'!N127*'2.1 OPEX TUUA'!$L$7,'2.2 OPEX LAP 2023'!N127*'2.1 OPEX TUUA'!$L$8)</f>
        <v>143277.01918388956</v>
      </c>
      <c r="M126" s="3"/>
      <c r="N126" s="3">
        <f>+IF(F126="Pasajero",'2.2 OPEX LAP 2023'!I127*'2.1 OPEX TUUA'!$N$7,'2.2 OPEX LAP 2023'!I127*'2.1 OPEX TUUA'!$N$8)</f>
        <v>46547.172518796622</v>
      </c>
      <c r="O126" s="3">
        <f>+IF(F126="Pasajero",'2.2 OPEX LAP 2023'!J127*'2.1 OPEX TUUA'!$O$7,'2.2 OPEX LAP 2023'!J127*'2.1 OPEX TUUA'!$O$8)</f>
        <v>45848.644398511431</v>
      </c>
      <c r="P126" s="3">
        <f>+IF(F126="Pasajero",'2.2 OPEX LAP 2023'!K127*'2.1 OPEX TUUA'!$P$7,'2.2 OPEX LAP 2023'!K127*'2.1 OPEX TUUA'!$P$8)</f>
        <v>45563.438508772422</v>
      </c>
      <c r="Q126" s="3">
        <f>+IF(F126="Pasajero",'2.2 OPEX LAP 2023'!L127*'2.1 OPEX TUUA'!$Q$7,'2.2 OPEX LAP 2023'!L127*'2.1 OPEX TUUA'!$Q$8)</f>
        <v>45266.610768085935</v>
      </c>
      <c r="R126" s="3">
        <f>+IF(F126="Pasajero",'2.2 OPEX LAP 2023'!M127*'2.1 OPEX TUUA'!$R$7,'2.2 OPEX LAP 2023'!M127*'2.1 OPEX TUUA'!$R$8)</f>
        <v>45509.493679351996</v>
      </c>
      <c r="S126" s="3">
        <f>+IF(F126="Pasajero",'2.2 OPEX LAP 2023'!N127*'2.1 OPEX TUUA'!$S$7,'2.2 OPEX LAP 2023'!N127*'2.1 OPEX TUUA'!$S$8)</f>
        <v>45538.543135295695</v>
      </c>
      <c r="U126" s="1">
        <v>96157.801148669489</v>
      </c>
      <c r="V126" s="1">
        <v>112793.58954053707</v>
      </c>
      <c r="W126" s="1">
        <v>126797.94025900627</v>
      </c>
      <c r="X126" s="1">
        <v>134344.4837711186</v>
      </c>
      <c r="Y126" s="1">
        <v>139858.29496824433</v>
      </c>
      <c r="Z126" s="1">
        <v>145984.24584281148</v>
      </c>
      <c r="AA126" s="7">
        <f t="shared" si="9"/>
        <v>-1783.2127105913241</v>
      </c>
      <c r="AB126" s="7">
        <f t="shared" si="10"/>
        <v>-2091.7175740211824</v>
      </c>
      <c r="AC126" s="7">
        <f t="shared" si="11"/>
        <v>-2351.423348346696</v>
      </c>
      <c r="AD126" s="7">
        <f t="shared" si="12"/>
        <v>-2491.371352055954</v>
      </c>
      <c r="AE126" s="7">
        <f t="shared" si="13"/>
        <v>-2593.6230476340861</v>
      </c>
      <c r="AF126" s="7">
        <f t="shared" si="14"/>
        <v>-2707.2266589219216</v>
      </c>
    </row>
    <row r="127" spans="2:32" x14ac:dyDescent="0.25">
      <c r="B127" s="17">
        <v>6381000003</v>
      </c>
      <c r="C127" s="193" t="s">
        <v>13</v>
      </c>
      <c r="D127" s="193" t="s">
        <v>49</v>
      </c>
      <c r="E127" s="193" t="s">
        <v>132</v>
      </c>
      <c r="F127" s="163" t="s">
        <v>190</v>
      </c>
      <c r="G127" s="3">
        <f>+IF(F127="Pasajero",'2.2 OPEX LAP 2023'!I128*'2.1 OPEX TUUA'!$G$7,'2.2 OPEX LAP 2023'!I128*'2.1 OPEX TUUA'!$G$8)</f>
        <v>0</v>
      </c>
      <c r="H127" s="3">
        <f>+IF(F127="Pasajero",'2.2 OPEX LAP 2023'!J128*'2.1 OPEX TUUA'!$H$7,'2.2 OPEX LAP 2023'!J128*'2.1 OPEX TUUA'!$H$8)</f>
        <v>0</v>
      </c>
      <c r="I127" s="3">
        <f>+IF(F127="Pasajero",'2.2 OPEX LAP 2023'!K128*'2.1 OPEX TUUA'!$I$7,'2.2 OPEX LAP 2023'!K128*'2.1 OPEX TUUA'!$I$8)</f>
        <v>0</v>
      </c>
      <c r="J127" s="3">
        <f>+IF(F127="Pasajero",'2.2 OPEX LAP 2023'!L128*'2.1 OPEX TUUA'!$J$7,'2.2 OPEX LAP 2023'!L128*'2.1 OPEX TUUA'!$J$8)</f>
        <v>0</v>
      </c>
      <c r="K127" s="3">
        <f>+IF(F127="Pasajero",'2.2 OPEX LAP 2023'!M128*'2.1 OPEX TUUA'!$K$7,'2.2 OPEX LAP 2023'!M128*'2.1 OPEX TUUA'!$K$8)</f>
        <v>0</v>
      </c>
      <c r="L127" s="3">
        <f>+IF(F127="Pasajero",'2.2 OPEX LAP 2023'!N128*'2.1 OPEX TUUA'!$L$7,'2.2 OPEX LAP 2023'!N128*'2.1 OPEX TUUA'!$L$8)</f>
        <v>0</v>
      </c>
      <c r="M127" s="3"/>
      <c r="N127" s="3">
        <f>+IF(F127="Pasajero",'2.2 OPEX LAP 2023'!I128*'2.1 OPEX TUUA'!$N$7,'2.2 OPEX LAP 2023'!I128*'2.1 OPEX TUUA'!$N$8)</f>
        <v>0</v>
      </c>
      <c r="O127" s="3">
        <f>+IF(F127="Pasajero",'2.2 OPEX LAP 2023'!J128*'2.1 OPEX TUUA'!$O$7,'2.2 OPEX LAP 2023'!J128*'2.1 OPEX TUUA'!$O$8)</f>
        <v>0</v>
      </c>
      <c r="P127" s="3">
        <f>+IF(F127="Pasajero",'2.2 OPEX LAP 2023'!K128*'2.1 OPEX TUUA'!$P$7,'2.2 OPEX LAP 2023'!K128*'2.1 OPEX TUUA'!$P$8)</f>
        <v>0</v>
      </c>
      <c r="Q127" s="3">
        <f>+IF(F127="Pasajero",'2.2 OPEX LAP 2023'!L128*'2.1 OPEX TUUA'!$Q$7,'2.2 OPEX LAP 2023'!L128*'2.1 OPEX TUUA'!$Q$8)</f>
        <v>0</v>
      </c>
      <c r="R127" s="3">
        <f>+IF(F127="Pasajero",'2.2 OPEX LAP 2023'!M128*'2.1 OPEX TUUA'!$R$7,'2.2 OPEX LAP 2023'!M128*'2.1 OPEX TUUA'!$R$8)</f>
        <v>0</v>
      </c>
      <c r="S127" s="3">
        <f>+IF(F127="Pasajero",'2.2 OPEX LAP 2023'!N128*'2.1 OPEX TUUA'!$S$7,'2.2 OPEX LAP 2023'!N128*'2.1 OPEX TUUA'!$S$8)</f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7">
        <f t="shared" si="9"/>
        <v>0</v>
      </c>
      <c r="AB127" s="7">
        <f t="shared" si="10"/>
        <v>0</v>
      </c>
      <c r="AC127" s="7">
        <f t="shared" si="11"/>
        <v>0</v>
      </c>
      <c r="AD127" s="7">
        <f t="shared" si="12"/>
        <v>0</v>
      </c>
      <c r="AE127" s="7">
        <f t="shared" si="13"/>
        <v>0</v>
      </c>
      <c r="AF127" s="7">
        <f t="shared" si="14"/>
        <v>0</v>
      </c>
    </row>
    <row r="128" spans="2:32" x14ac:dyDescent="0.25">
      <c r="B128" s="17">
        <v>6381000004</v>
      </c>
      <c r="C128" s="193" t="s">
        <v>13</v>
      </c>
      <c r="D128" s="193" t="s">
        <v>40</v>
      </c>
      <c r="E128" s="193" t="s">
        <v>133</v>
      </c>
      <c r="F128" s="163" t="s">
        <v>190</v>
      </c>
      <c r="G128" s="3">
        <f>+IF(F128="Pasajero",'2.2 OPEX LAP 2023'!I129*'2.1 OPEX TUUA'!$G$7,'2.2 OPEX LAP 2023'!I129*'2.1 OPEX TUUA'!$G$8)</f>
        <v>0</v>
      </c>
      <c r="H128" s="3">
        <f>+IF(F128="Pasajero",'2.2 OPEX LAP 2023'!J129*'2.1 OPEX TUUA'!$H$7,'2.2 OPEX LAP 2023'!J129*'2.1 OPEX TUUA'!$H$8)</f>
        <v>0</v>
      </c>
      <c r="I128" s="3">
        <f>+IF(F128="Pasajero",'2.2 OPEX LAP 2023'!K129*'2.1 OPEX TUUA'!$I$7,'2.2 OPEX LAP 2023'!K129*'2.1 OPEX TUUA'!$I$8)</f>
        <v>0</v>
      </c>
      <c r="J128" s="3">
        <f>+IF(F128="Pasajero",'2.2 OPEX LAP 2023'!L129*'2.1 OPEX TUUA'!$J$7,'2.2 OPEX LAP 2023'!L129*'2.1 OPEX TUUA'!$J$8)</f>
        <v>0</v>
      </c>
      <c r="K128" s="3">
        <f>+IF(F128="Pasajero",'2.2 OPEX LAP 2023'!M129*'2.1 OPEX TUUA'!$K$7,'2.2 OPEX LAP 2023'!M129*'2.1 OPEX TUUA'!$K$8)</f>
        <v>0</v>
      </c>
      <c r="L128" s="3">
        <f>+IF(F128="Pasajero",'2.2 OPEX LAP 2023'!N129*'2.1 OPEX TUUA'!$L$7,'2.2 OPEX LAP 2023'!N129*'2.1 OPEX TUUA'!$L$8)</f>
        <v>0</v>
      </c>
      <c r="M128" s="3"/>
      <c r="N128" s="3">
        <f>+IF(F128="Pasajero",'2.2 OPEX LAP 2023'!I129*'2.1 OPEX TUUA'!$N$7,'2.2 OPEX LAP 2023'!I129*'2.1 OPEX TUUA'!$N$8)</f>
        <v>0</v>
      </c>
      <c r="O128" s="3">
        <f>+IF(F128="Pasajero",'2.2 OPEX LAP 2023'!J129*'2.1 OPEX TUUA'!$O$7,'2.2 OPEX LAP 2023'!J129*'2.1 OPEX TUUA'!$O$8)</f>
        <v>0</v>
      </c>
      <c r="P128" s="3">
        <f>+IF(F128="Pasajero",'2.2 OPEX LAP 2023'!K129*'2.1 OPEX TUUA'!$P$7,'2.2 OPEX LAP 2023'!K129*'2.1 OPEX TUUA'!$P$8)</f>
        <v>0</v>
      </c>
      <c r="Q128" s="3">
        <f>+IF(F128="Pasajero",'2.2 OPEX LAP 2023'!L129*'2.1 OPEX TUUA'!$Q$7,'2.2 OPEX LAP 2023'!L129*'2.1 OPEX TUUA'!$Q$8)</f>
        <v>0</v>
      </c>
      <c r="R128" s="3">
        <f>+IF(F128="Pasajero",'2.2 OPEX LAP 2023'!M129*'2.1 OPEX TUUA'!$R$7,'2.2 OPEX LAP 2023'!M129*'2.1 OPEX TUUA'!$R$8)</f>
        <v>0</v>
      </c>
      <c r="S128" s="3">
        <f>+IF(F128="Pasajero",'2.2 OPEX LAP 2023'!N129*'2.1 OPEX TUUA'!$S$7,'2.2 OPEX LAP 2023'!N129*'2.1 OPEX TUUA'!$S$8)</f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7">
        <f t="shared" si="9"/>
        <v>0</v>
      </c>
      <c r="AB128" s="7">
        <f t="shared" si="10"/>
        <v>0</v>
      </c>
      <c r="AC128" s="7">
        <f t="shared" si="11"/>
        <v>0</v>
      </c>
      <c r="AD128" s="7">
        <f t="shared" si="12"/>
        <v>0</v>
      </c>
      <c r="AE128" s="7">
        <f t="shared" si="13"/>
        <v>0</v>
      </c>
      <c r="AF128" s="7">
        <f t="shared" si="14"/>
        <v>0</v>
      </c>
    </row>
    <row r="129" spans="2:32" x14ac:dyDescent="0.25">
      <c r="B129" s="17">
        <v>6381000005</v>
      </c>
      <c r="C129" s="193" t="s">
        <v>13</v>
      </c>
      <c r="D129" s="193" t="s">
        <v>49</v>
      </c>
      <c r="E129" s="193" t="s">
        <v>134</v>
      </c>
      <c r="F129" s="163" t="s">
        <v>190</v>
      </c>
      <c r="G129" s="3">
        <f>+IF(F129="Pasajero",'2.2 OPEX LAP 2023'!I130*'2.1 OPEX TUUA'!$G$7,'2.2 OPEX LAP 2023'!I130*'2.1 OPEX TUUA'!$G$8)</f>
        <v>0</v>
      </c>
      <c r="H129" s="3">
        <f>+IF(F129="Pasajero",'2.2 OPEX LAP 2023'!J130*'2.1 OPEX TUUA'!$H$7,'2.2 OPEX LAP 2023'!J130*'2.1 OPEX TUUA'!$H$8)</f>
        <v>0</v>
      </c>
      <c r="I129" s="3">
        <f>+IF(F129="Pasajero",'2.2 OPEX LAP 2023'!K130*'2.1 OPEX TUUA'!$I$7,'2.2 OPEX LAP 2023'!K130*'2.1 OPEX TUUA'!$I$8)</f>
        <v>0</v>
      </c>
      <c r="J129" s="3">
        <f>+IF(F129="Pasajero",'2.2 OPEX LAP 2023'!L130*'2.1 OPEX TUUA'!$J$7,'2.2 OPEX LAP 2023'!L130*'2.1 OPEX TUUA'!$J$8)</f>
        <v>0</v>
      </c>
      <c r="K129" s="3">
        <f>+IF(F129="Pasajero",'2.2 OPEX LAP 2023'!M130*'2.1 OPEX TUUA'!$K$7,'2.2 OPEX LAP 2023'!M130*'2.1 OPEX TUUA'!$K$8)</f>
        <v>0</v>
      </c>
      <c r="L129" s="3">
        <f>+IF(F129="Pasajero",'2.2 OPEX LAP 2023'!N130*'2.1 OPEX TUUA'!$L$7,'2.2 OPEX LAP 2023'!N130*'2.1 OPEX TUUA'!$L$8)</f>
        <v>0</v>
      </c>
      <c r="M129" s="3"/>
      <c r="N129" s="3">
        <f>+IF(F129="Pasajero",'2.2 OPEX LAP 2023'!I130*'2.1 OPEX TUUA'!$N$7,'2.2 OPEX LAP 2023'!I130*'2.1 OPEX TUUA'!$N$8)</f>
        <v>0</v>
      </c>
      <c r="O129" s="3">
        <f>+IF(F129="Pasajero",'2.2 OPEX LAP 2023'!J130*'2.1 OPEX TUUA'!$O$7,'2.2 OPEX LAP 2023'!J130*'2.1 OPEX TUUA'!$O$8)</f>
        <v>0</v>
      </c>
      <c r="P129" s="3">
        <f>+IF(F129="Pasajero",'2.2 OPEX LAP 2023'!K130*'2.1 OPEX TUUA'!$P$7,'2.2 OPEX LAP 2023'!K130*'2.1 OPEX TUUA'!$P$8)</f>
        <v>0</v>
      </c>
      <c r="Q129" s="3">
        <f>+IF(F129="Pasajero",'2.2 OPEX LAP 2023'!L130*'2.1 OPEX TUUA'!$Q$7,'2.2 OPEX LAP 2023'!L130*'2.1 OPEX TUUA'!$Q$8)</f>
        <v>0</v>
      </c>
      <c r="R129" s="3">
        <f>+IF(F129="Pasajero",'2.2 OPEX LAP 2023'!M130*'2.1 OPEX TUUA'!$R$7,'2.2 OPEX LAP 2023'!M130*'2.1 OPEX TUUA'!$R$8)</f>
        <v>0</v>
      </c>
      <c r="S129" s="3">
        <f>+IF(F129="Pasajero",'2.2 OPEX LAP 2023'!N130*'2.1 OPEX TUUA'!$S$7,'2.2 OPEX LAP 2023'!N130*'2.1 OPEX TUUA'!$S$8)</f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7">
        <f t="shared" si="9"/>
        <v>0</v>
      </c>
      <c r="AB129" s="7">
        <f t="shared" si="10"/>
        <v>0</v>
      </c>
      <c r="AC129" s="7">
        <f t="shared" si="11"/>
        <v>0</v>
      </c>
      <c r="AD129" s="7">
        <f t="shared" si="12"/>
        <v>0</v>
      </c>
      <c r="AE129" s="7">
        <f t="shared" si="13"/>
        <v>0</v>
      </c>
      <c r="AF129" s="7">
        <f t="shared" si="14"/>
        <v>0</v>
      </c>
    </row>
    <row r="130" spans="2:32" x14ac:dyDescent="0.25">
      <c r="B130" s="17">
        <v>6381000006</v>
      </c>
      <c r="C130" s="193" t="s">
        <v>13</v>
      </c>
      <c r="D130" s="193" t="s">
        <v>49</v>
      </c>
      <c r="E130" s="193" t="s">
        <v>135</v>
      </c>
      <c r="F130" s="163" t="s">
        <v>190</v>
      </c>
      <c r="G130" s="3">
        <f>+IF(F130="Pasajero",'2.2 OPEX LAP 2023'!I131*'2.1 OPEX TUUA'!$G$7,'2.2 OPEX LAP 2023'!I131*'2.1 OPEX TUUA'!$G$8)</f>
        <v>0</v>
      </c>
      <c r="H130" s="3">
        <f>+IF(F130="Pasajero",'2.2 OPEX LAP 2023'!J131*'2.1 OPEX TUUA'!$H$7,'2.2 OPEX LAP 2023'!J131*'2.1 OPEX TUUA'!$H$8)</f>
        <v>0</v>
      </c>
      <c r="I130" s="3">
        <f>+IF(F130="Pasajero",'2.2 OPEX LAP 2023'!K131*'2.1 OPEX TUUA'!$I$7,'2.2 OPEX LAP 2023'!K131*'2.1 OPEX TUUA'!$I$8)</f>
        <v>0</v>
      </c>
      <c r="J130" s="3">
        <f>+IF(F130="Pasajero",'2.2 OPEX LAP 2023'!L131*'2.1 OPEX TUUA'!$J$7,'2.2 OPEX LAP 2023'!L131*'2.1 OPEX TUUA'!$J$8)</f>
        <v>0</v>
      </c>
      <c r="K130" s="3">
        <f>+IF(F130="Pasajero",'2.2 OPEX LAP 2023'!M131*'2.1 OPEX TUUA'!$K$7,'2.2 OPEX LAP 2023'!M131*'2.1 OPEX TUUA'!$K$8)</f>
        <v>0</v>
      </c>
      <c r="L130" s="3">
        <f>+IF(F130="Pasajero",'2.2 OPEX LAP 2023'!N131*'2.1 OPEX TUUA'!$L$7,'2.2 OPEX LAP 2023'!N131*'2.1 OPEX TUUA'!$L$8)</f>
        <v>0</v>
      </c>
      <c r="M130" s="3"/>
      <c r="N130" s="3">
        <f>+IF(F130="Pasajero",'2.2 OPEX LAP 2023'!I131*'2.1 OPEX TUUA'!$N$7,'2.2 OPEX LAP 2023'!I131*'2.1 OPEX TUUA'!$N$8)</f>
        <v>0</v>
      </c>
      <c r="O130" s="3">
        <f>+IF(F130="Pasajero",'2.2 OPEX LAP 2023'!J131*'2.1 OPEX TUUA'!$O$7,'2.2 OPEX LAP 2023'!J131*'2.1 OPEX TUUA'!$O$8)</f>
        <v>0</v>
      </c>
      <c r="P130" s="3">
        <f>+IF(F130="Pasajero",'2.2 OPEX LAP 2023'!K131*'2.1 OPEX TUUA'!$P$7,'2.2 OPEX LAP 2023'!K131*'2.1 OPEX TUUA'!$P$8)</f>
        <v>0</v>
      </c>
      <c r="Q130" s="3">
        <f>+IF(F130="Pasajero",'2.2 OPEX LAP 2023'!L131*'2.1 OPEX TUUA'!$Q$7,'2.2 OPEX LAP 2023'!L131*'2.1 OPEX TUUA'!$Q$8)</f>
        <v>0</v>
      </c>
      <c r="R130" s="3">
        <f>+IF(F130="Pasajero",'2.2 OPEX LAP 2023'!M131*'2.1 OPEX TUUA'!$R$7,'2.2 OPEX LAP 2023'!M131*'2.1 OPEX TUUA'!$R$8)</f>
        <v>0</v>
      </c>
      <c r="S130" s="3">
        <f>+IF(F130="Pasajero",'2.2 OPEX LAP 2023'!N131*'2.1 OPEX TUUA'!$S$7,'2.2 OPEX LAP 2023'!N131*'2.1 OPEX TUUA'!$S$8)</f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7">
        <f t="shared" si="9"/>
        <v>0</v>
      </c>
      <c r="AB130" s="7">
        <f t="shared" si="10"/>
        <v>0</v>
      </c>
      <c r="AC130" s="7">
        <f t="shared" si="11"/>
        <v>0</v>
      </c>
      <c r="AD130" s="7">
        <f t="shared" si="12"/>
        <v>0</v>
      </c>
      <c r="AE130" s="7">
        <f t="shared" si="13"/>
        <v>0</v>
      </c>
      <c r="AF130" s="7">
        <f t="shared" si="14"/>
        <v>0</v>
      </c>
    </row>
    <row r="131" spans="2:32" x14ac:dyDescent="0.25">
      <c r="B131" s="17">
        <v>6382000001</v>
      </c>
      <c r="C131" s="193" t="s">
        <v>13</v>
      </c>
      <c r="D131" s="193" t="s">
        <v>40</v>
      </c>
      <c r="E131" s="193" t="s">
        <v>136</v>
      </c>
      <c r="F131" s="163" t="s">
        <v>190</v>
      </c>
      <c r="G131" s="3">
        <f>+IF(F131="Pasajero",'2.2 OPEX LAP 2023'!I132*'2.1 OPEX TUUA'!$G$7,'2.2 OPEX LAP 2023'!I132*'2.1 OPEX TUUA'!$G$8)</f>
        <v>0</v>
      </c>
      <c r="H131" s="3">
        <f>+IF(F131="Pasajero",'2.2 OPEX LAP 2023'!J132*'2.1 OPEX TUUA'!$H$7,'2.2 OPEX LAP 2023'!J132*'2.1 OPEX TUUA'!$H$8)</f>
        <v>0</v>
      </c>
      <c r="I131" s="3">
        <f>+IF(F131="Pasajero",'2.2 OPEX LAP 2023'!K132*'2.1 OPEX TUUA'!$I$7,'2.2 OPEX LAP 2023'!K132*'2.1 OPEX TUUA'!$I$8)</f>
        <v>0</v>
      </c>
      <c r="J131" s="3">
        <f>+IF(F131="Pasajero",'2.2 OPEX LAP 2023'!L132*'2.1 OPEX TUUA'!$J$7,'2.2 OPEX LAP 2023'!L132*'2.1 OPEX TUUA'!$J$8)</f>
        <v>0</v>
      </c>
      <c r="K131" s="3">
        <f>+IF(F131="Pasajero",'2.2 OPEX LAP 2023'!M132*'2.1 OPEX TUUA'!$K$7,'2.2 OPEX LAP 2023'!M132*'2.1 OPEX TUUA'!$K$8)</f>
        <v>0</v>
      </c>
      <c r="L131" s="3">
        <f>+IF(F131="Pasajero",'2.2 OPEX LAP 2023'!N132*'2.1 OPEX TUUA'!$L$7,'2.2 OPEX LAP 2023'!N132*'2.1 OPEX TUUA'!$L$8)</f>
        <v>0</v>
      </c>
      <c r="M131" s="3"/>
      <c r="N131" s="3">
        <f>+IF(F131="Pasajero",'2.2 OPEX LAP 2023'!I132*'2.1 OPEX TUUA'!$N$7,'2.2 OPEX LAP 2023'!I132*'2.1 OPEX TUUA'!$N$8)</f>
        <v>0</v>
      </c>
      <c r="O131" s="3">
        <f>+IF(F131="Pasajero",'2.2 OPEX LAP 2023'!J132*'2.1 OPEX TUUA'!$O$7,'2.2 OPEX LAP 2023'!J132*'2.1 OPEX TUUA'!$O$8)</f>
        <v>0</v>
      </c>
      <c r="P131" s="3">
        <f>+IF(F131="Pasajero",'2.2 OPEX LAP 2023'!K132*'2.1 OPEX TUUA'!$P$7,'2.2 OPEX LAP 2023'!K132*'2.1 OPEX TUUA'!$P$8)</f>
        <v>0</v>
      </c>
      <c r="Q131" s="3">
        <f>+IF(F131="Pasajero",'2.2 OPEX LAP 2023'!L132*'2.1 OPEX TUUA'!$Q$7,'2.2 OPEX LAP 2023'!L132*'2.1 OPEX TUUA'!$Q$8)</f>
        <v>0</v>
      </c>
      <c r="R131" s="3">
        <f>+IF(F131="Pasajero",'2.2 OPEX LAP 2023'!M132*'2.1 OPEX TUUA'!$R$7,'2.2 OPEX LAP 2023'!M132*'2.1 OPEX TUUA'!$R$8)</f>
        <v>0</v>
      </c>
      <c r="S131" s="3">
        <f>+IF(F131="Pasajero",'2.2 OPEX LAP 2023'!N132*'2.1 OPEX TUUA'!$S$7,'2.2 OPEX LAP 2023'!N132*'2.1 OPEX TUUA'!$S$8)</f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7">
        <f t="shared" si="9"/>
        <v>0</v>
      </c>
      <c r="AB131" s="7">
        <f t="shared" si="10"/>
        <v>0</v>
      </c>
      <c r="AC131" s="7">
        <f t="shared" si="11"/>
        <v>0</v>
      </c>
      <c r="AD131" s="7">
        <f t="shared" si="12"/>
        <v>0</v>
      </c>
      <c r="AE131" s="7">
        <f t="shared" si="13"/>
        <v>0</v>
      </c>
      <c r="AF131" s="7">
        <f t="shared" si="14"/>
        <v>0</v>
      </c>
    </row>
    <row r="132" spans="2:32" x14ac:dyDescent="0.25">
      <c r="B132" s="17">
        <v>6382000002</v>
      </c>
      <c r="C132" s="193" t="s">
        <v>13</v>
      </c>
      <c r="D132" s="193" t="s">
        <v>40</v>
      </c>
      <c r="E132" s="193" t="s">
        <v>137</v>
      </c>
      <c r="F132" s="163" t="s">
        <v>190</v>
      </c>
      <c r="G132" s="3">
        <f>+IF(F132="Pasajero",'2.2 OPEX LAP 2023'!I133*'2.1 OPEX TUUA'!$G$7,'2.2 OPEX LAP 2023'!I133*'2.1 OPEX TUUA'!$G$8)</f>
        <v>0</v>
      </c>
      <c r="H132" s="3">
        <f>+IF(F132="Pasajero",'2.2 OPEX LAP 2023'!J133*'2.1 OPEX TUUA'!$H$7,'2.2 OPEX LAP 2023'!J133*'2.1 OPEX TUUA'!$H$8)</f>
        <v>0</v>
      </c>
      <c r="I132" s="3">
        <f>+IF(F132="Pasajero",'2.2 OPEX LAP 2023'!K133*'2.1 OPEX TUUA'!$I$7,'2.2 OPEX LAP 2023'!K133*'2.1 OPEX TUUA'!$I$8)</f>
        <v>0</v>
      </c>
      <c r="J132" s="3">
        <f>+IF(F132="Pasajero",'2.2 OPEX LAP 2023'!L133*'2.1 OPEX TUUA'!$J$7,'2.2 OPEX LAP 2023'!L133*'2.1 OPEX TUUA'!$J$8)</f>
        <v>0</v>
      </c>
      <c r="K132" s="3">
        <f>+IF(F132="Pasajero",'2.2 OPEX LAP 2023'!M133*'2.1 OPEX TUUA'!$K$7,'2.2 OPEX LAP 2023'!M133*'2.1 OPEX TUUA'!$K$8)</f>
        <v>0</v>
      </c>
      <c r="L132" s="3">
        <f>+IF(F132="Pasajero",'2.2 OPEX LAP 2023'!N133*'2.1 OPEX TUUA'!$L$7,'2.2 OPEX LAP 2023'!N133*'2.1 OPEX TUUA'!$L$8)</f>
        <v>0</v>
      </c>
      <c r="M132" s="3"/>
      <c r="N132" s="3">
        <f>+IF(F132="Pasajero",'2.2 OPEX LAP 2023'!I133*'2.1 OPEX TUUA'!$N$7,'2.2 OPEX LAP 2023'!I133*'2.1 OPEX TUUA'!$N$8)</f>
        <v>0</v>
      </c>
      <c r="O132" s="3">
        <f>+IF(F132="Pasajero",'2.2 OPEX LAP 2023'!J133*'2.1 OPEX TUUA'!$O$7,'2.2 OPEX LAP 2023'!J133*'2.1 OPEX TUUA'!$O$8)</f>
        <v>0</v>
      </c>
      <c r="P132" s="3">
        <f>+IF(F132="Pasajero",'2.2 OPEX LAP 2023'!K133*'2.1 OPEX TUUA'!$P$7,'2.2 OPEX LAP 2023'!K133*'2.1 OPEX TUUA'!$P$8)</f>
        <v>0</v>
      </c>
      <c r="Q132" s="3">
        <f>+IF(F132="Pasajero",'2.2 OPEX LAP 2023'!L133*'2.1 OPEX TUUA'!$Q$7,'2.2 OPEX LAP 2023'!L133*'2.1 OPEX TUUA'!$Q$8)</f>
        <v>0</v>
      </c>
      <c r="R132" s="3">
        <f>+IF(F132="Pasajero",'2.2 OPEX LAP 2023'!M133*'2.1 OPEX TUUA'!$R$7,'2.2 OPEX LAP 2023'!M133*'2.1 OPEX TUUA'!$R$8)</f>
        <v>0</v>
      </c>
      <c r="S132" s="3">
        <f>+IF(F132="Pasajero",'2.2 OPEX LAP 2023'!N133*'2.1 OPEX TUUA'!$S$7,'2.2 OPEX LAP 2023'!N133*'2.1 OPEX TUUA'!$S$8)</f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7">
        <f t="shared" si="9"/>
        <v>0</v>
      </c>
      <c r="AB132" s="7">
        <f t="shared" si="10"/>
        <v>0</v>
      </c>
      <c r="AC132" s="7">
        <f t="shared" si="11"/>
        <v>0</v>
      </c>
      <c r="AD132" s="7">
        <f t="shared" si="12"/>
        <v>0</v>
      </c>
      <c r="AE132" s="7">
        <f t="shared" si="13"/>
        <v>0</v>
      </c>
      <c r="AF132" s="7">
        <f t="shared" si="14"/>
        <v>0</v>
      </c>
    </row>
    <row r="133" spans="2:32" x14ac:dyDescent="0.25">
      <c r="B133" s="17">
        <v>6390000001</v>
      </c>
      <c r="C133" s="193" t="s">
        <v>13</v>
      </c>
      <c r="D133" s="193" t="s">
        <v>38</v>
      </c>
      <c r="E133" s="193" t="s">
        <v>138</v>
      </c>
      <c r="F133" s="163" t="s">
        <v>190</v>
      </c>
      <c r="G133" s="3">
        <f>+IF(F133="Pasajero",'2.2 OPEX LAP 2023'!I134*'2.1 OPEX TUUA'!$G$7,'2.2 OPEX LAP 2023'!I134*'2.1 OPEX TUUA'!$G$8)</f>
        <v>0</v>
      </c>
      <c r="H133" s="3">
        <f>+IF(F133="Pasajero",'2.2 OPEX LAP 2023'!J134*'2.1 OPEX TUUA'!$H$7,'2.2 OPEX LAP 2023'!J134*'2.1 OPEX TUUA'!$H$8)</f>
        <v>0</v>
      </c>
      <c r="I133" s="3">
        <f>+IF(F133="Pasajero",'2.2 OPEX LAP 2023'!K134*'2.1 OPEX TUUA'!$I$7,'2.2 OPEX LAP 2023'!K134*'2.1 OPEX TUUA'!$I$8)</f>
        <v>0</v>
      </c>
      <c r="J133" s="3">
        <f>+IF(F133="Pasajero",'2.2 OPEX LAP 2023'!L134*'2.1 OPEX TUUA'!$J$7,'2.2 OPEX LAP 2023'!L134*'2.1 OPEX TUUA'!$J$8)</f>
        <v>0</v>
      </c>
      <c r="K133" s="3">
        <f>+IF(F133="Pasajero",'2.2 OPEX LAP 2023'!M134*'2.1 OPEX TUUA'!$K$7,'2.2 OPEX LAP 2023'!M134*'2.1 OPEX TUUA'!$K$8)</f>
        <v>0</v>
      </c>
      <c r="L133" s="3">
        <f>+IF(F133="Pasajero",'2.2 OPEX LAP 2023'!N134*'2.1 OPEX TUUA'!$L$7,'2.2 OPEX LAP 2023'!N134*'2.1 OPEX TUUA'!$L$8)</f>
        <v>0</v>
      </c>
      <c r="M133" s="3"/>
      <c r="N133" s="3">
        <f>+IF(F133="Pasajero",'2.2 OPEX LAP 2023'!I134*'2.1 OPEX TUUA'!$N$7,'2.2 OPEX LAP 2023'!I134*'2.1 OPEX TUUA'!$N$8)</f>
        <v>0</v>
      </c>
      <c r="O133" s="3">
        <f>+IF(F133="Pasajero",'2.2 OPEX LAP 2023'!J134*'2.1 OPEX TUUA'!$O$7,'2.2 OPEX LAP 2023'!J134*'2.1 OPEX TUUA'!$O$8)</f>
        <v>0</v>
      </c>
      <c r="P133" s="3">
        <f>+IF(F133="Pasajero",'2.2 OPEX LAP 2023'!K134*'2.1 OPEX TUUA'!$P$7,'2.2 OPEX LAP 2023'!K134*'2.1 OPEX TUUA'!$P$8)</f>
        <v>0</v>
      </c>
      <c r="Q133" s="3">
        <f>+IF(F133="Pasajero",'2.2 OPEX LAP 2023'!L134*'2.1 OPEX TUUA'!$Q$7,'2.2 OPEX LAP 2023'!L134*'2.1 OPEX TUUA'!$Q$8)</f>
        <v>0</v>
      </c>
      <c r="R133" s="3">
        <f>+IF(F133="Pasajero",'2.2 OPEX LAP 2023'!M134*'2.1 OPEX TUUA'!$R$7,'2.2 OPEX LAP 2023'!M134*'2.1 OPEX TUUA'!$R$8)</f>
        <v>0</v>
      </c>
      <c r="S133" s="3">
        <f>+IF(F133="Pasajero",'2.2 OPEX LAP 2023'!N134*'2.1 OPEX TUUA'!$S$7,'2.2 OPEX LAP 2023'!N134*'2.1 OPEX TUUA'!$S$8)</f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7">
        <f t="shared" si="9"/>
        <v>0</v>
      </c>
      <c r="AB133" s="7">
        <f t="shared" si="10"/>
        <v>0</v>
      </c>
      <c r="AC133" s="7">
        <f t="shared" si="11"/>
        <v>0</v>
      </c>
      <c r="AD133" s="7">
        <f t="shared" si="12"/>
        <v>0</v>
      </c>
      <c r="AE133" s="7">
        <f t="shared" si="13"/>
        <v>0</v>
      </c>
      <c r="AF133" s="7">
        <f t="shared" si="14"/>
        <v>0</v>
      </c>
    </row>
    <row r="134" spans="2:32" x14ac:dyDescent="0.25">
      <c r="B134" s="17">
        <v>6391000001</v>
      </c>
      <c r="C134" s="193" t="s">
        <v>13</v>
      </c>
      <c r="D134" s="193" t="s">
        <v>38</v>
      </c>
      <c r="E134" s="193" t="s">
        <v>139</v>
      </c>
      <c r="F134" s="163" t="s">
        <v>190</v>
      </c>
      <c r="G134" s="3">
        <f>+IF(F134="Pasajero",'2.2 OPEX LAP 2023'!I135*'2.1 OPEX TUUA'!$G$7,'2.2 OPEX LAP 2023'!I135*'2.1 OPEX TUUA'!$G$8)</f>
        <v>48.838538383881307</v>
      </c>
      <c r="H134" s="3">
        <f>+IF(F134="Pasajero",'2.2 OPEX LAP 2023'!J135*'2.1 OPEX TUUA'!$H$7,'2.2 OPEX LAP 2023'!J135*'2.1 OPEX TUUA'!$H$8)</f>
        <v>57.287853782287691</v>
      </c>
      <c r="I134" s="3">
        <f>+IF(F134="Pasajero",'2.2 OPEX LAP 2023'!K135*'2.1 OPEX TUUA'!$I$7,'2.2 OPEX LAP 2023'!K135*'2.1 OPEX TUUA'!$I$8)</f>
        <v>64.400662227728702</v>
      </c>
      <c r="J134" s="3">
        <f>+IF(F134="Pasajero",'2.2 OPEX LAP 2023'!L135*'2.1 OPEX TUUA'!$J$7,'2.2 OPEX LAP 2023'!L135*'2.1 OPEX TUUA'!$J$8)</f>
        <v>68.233550985366733</v>
      </c>
      <c r="K134" s="3">
        <f>+IF(F134="Pasajero",'2.2 OPEX LAP 2023'!M135*'2.1 OPEX TUUA'!$K$7,'2.2 OPEX LAP 2023'!M135*'2.1 OPEX TUUA'!$K$8)</f>
        <v>71.034015186663893</v>
      </c>
      <c r="L134" s="3">
        <f>+IF(F134="Pasajero",'2.2 OPEX LAP 2023'!N135*'2.1 OPEX TUUA'!$L$7,'2.2 OPEX LAP 2023'!N135*'2.1 OPEX TUUA'!$L$8)</f>
        <v>74.145385073988507</v>
      </c>
      <c r="M134" s="3"/>
      <c r="N134" s="3">
        <f>+IF(F134="Pasajero",'2.2 OPEX LAP 2023'!I135*'2.1 OPEX TUUA'!$N$7,'2.2 OPEX LAP 2023'!I135*'2.1 OPEX TUUA'!$N$8)</f>
        <v>24.088008322409458</v>
      </c>
      <c r="O134" s="3">
        <f>+IF(F134="Pasajero",'2.2 OPEX LAP 2023'!J135*'2.1 OPEX TUUA'!$O$7,'2.2 OPEX LAP 2023'!J135*'2.1 OPEX TUUA'!$O$8)</f>
        <v>23.726522323059616</v>
      </c>
      <c r="P134" s="3">
        <f>+IF(F134="Pasajero",'2.2 OPEX LAP 2023'!K135*'2.1 OPEX TUUA'!$P$7,'2.2 OPEX LAP 2023'!K135*'2.1 OPEX TUUA'!$P$8)</f>
        <v>23.57892921538247</v>
      </c>
      <c r="Q134" s="3">
        <f>+IF(F134="Pasajero",'2.2 OPEX LAP 2023'!L135*'2.1 OPEX TUUA'!$Q$7,'2.2 OPEX LAP 2023'!L135*'2.1 OPEX TUUA'!$Q$8)</f>
        <v>23.425321838154762</v>
      </c>
      <c r="R134" s="3">
        <f>+IF(F134="Pasajero",'2.2 OPEX LAP 2023'!M135*'2.1 OPEX TUUA'!$R$7,'2.2 OPEX LAP 2023'!M135*'2.1 OPEX TUUA'!$R$8)</f>
        <v>23.551012944001958</v>
      </c>
      <c r="S134" s="3">
        <f>+IF(F134="Pasajero",'2.2 OPEX LAP 2023'!N135*'2.1 OPEX TUUA'!$S$7,'2.2 OPEX LAP 2023'!N135*'2.1 OPEX TUUA'!$S$8)</f>
        <v>23.566045941682983</v>
      </c>
      <c r="U134" s="1">
        <v>49.761345082741578</v>
      </c>
      <c r="V134" s="1">
        <v>58.370310730898389</v>
      </c>
      <c r="W134" s="1">
        <v>65.617516058358476</v>
      </c>
      <c r="X134" s="1">
        <v>69.522827446537434</v>
      </c>
      <c r="Y134" s="1">
        <v>72.376206563194316</v>
      </c>
      <c r="Z134" s="1">
        <v>75.546365944833582</v>
      </c>
      <c r="AA134" s="7">
        <f t="shared" si="9"/>
        <v>-0.92280669886027056</v>
      </c>
      <c r="AB134" s="7">
        <f t="shared" si="10"/>
        <v>-1.0824569486106981</v>
      </c>
      <c r="AC134" s="7">
        <f t="shared" si="11"/>
        <v>-1.2168538306297734</v>
      </c>
      <c r="AD134" s="7">
        <f t="shared" si="12"/>
        <v>-1.2892764611707008</v>
      </c>
      <c r="AE134" s="7">
        <f t="shared" si="13"/>
        <v>-1.3421913765304225</v>
      </c>
      <c r="AF134" s="7">
        <f t="shared" si="14"/>
        <v>-1.4009808708450748</v>
      </c>
    </row>
    <row r="135" spans="2:32" x14ac:dyDescent="0.25">
      <c r="B135" s="17">
        <v>6391000003</v>
      </c>
      <c r="C135" s="193" t="s">
        <v>13</v>
      </c>
      <c r="D135" s="193" t="s">
        <v>38</v>
      </c>
      <c r="E135" s="193" t="s">
        <v>140</v>
      </c>
      <c r="F135" s="163" t="s">
        <v>190</v>
      </c>
      <c r="G135" s="3">
        <f>+IF(F135="Pasajero",'2.2 OPEX LAP 2023'!I136*'2.1 OPEX TUUA'!$G$7,'2.2 OPEX LAP 2023'!I136*'2.1 OPEX TUUA'!$G$8)</f>
        <v>0</v>
      </c>
      <c r="H135" s="3">
        <f>+IF(F135="Pasajero",'2.2 OPEX LAP 2023'!J136*'2.1 OPEX TUUA'!$H$7,'2.2 OPEX LAP 2023'!J136*'2.1 OPEX TUUA'!$H$8)</f>
        <v>0</v>
      </c>
      <c r="I135" s="3">
        <f>+IF(F135="Pasajero",'2.2 OPEX LAP 2023'!K136*'2.1 OPEX TUUA'!$I$7,'2.2 OPEX LAP 2023'!K136*'2.1 OPEX TUUA'!$I$8)</f>
        <v>0</v>
      </c>
      <c r="J135" s="3">
        <f>+IF(F135="Pasajero",'2.2 OPEX LAP 2023'!L136*'2.1 OPEX TUUA'!$J$7,'2.2 OPEX LAP 2023'!L136*'2.1 OPEX TUUA'!$J$8)</f>
        <v>0</v>
      </c>
      <c r="K135" s="3">
        <f>+IF(F135="Pasajero",'2.2 OPEX LAP 2023'!M136*'2.1 OPEX TUUA'!$K$7,'2.2 OPEX LAP 2023'!M136*'2.1 OPEX TUUA'!$K$8)</f>
        <v>0</v>
      </c>
      <c r="L135" s="3">
        <f>+IF(F135="Pasajero",'2.2 OPEX LAP 2023'!N136*'2.1 OPEX TUUA'!$L$7,'2.2 OPEX LAP 2023'!N136*'2.1 OPEX TUUA'!$L$8)</f>
        <v>0</v>
      </c>
      <c r="M135" s="3"/>
      <c r="N135" s="3">
        <f>+IF(F135="Pasajero",'2.2 OPEX LAP 2023'!I136*'2.1 OPEX TUUA'!$N$7,'2.2 OPEX LAP 2023'!I136*'2.1 OPEX TUUA'!$N$8)</f>
        <v>0</v>
      </c>
      <c r="O135" s="3">
        <f>+IF(F135="Pasajero",'2.2 OPEX LAP 2023'!J136*'2.1 OPEX TUUA'!$O$7,'2.2 OPEX LAP 2023'!J136*'2.1 OPEX TUUA'!$O$8)</f>
        <v>0</v>
      </c>
      <c r="P135" s="3">
        <f>+IF(F135="Pasajero",'2.2 OPEX LAP 2023'!K136*'2.1 OPEX TUUA'!$P$7,'2.2 OPEX LAP 2023'!K136*'2.1 OPEX TUUA'!$P$8)</f>
        <v>0</v>
      </c>
      <c r="Q135" s="3">
        <f>+IF(F135="Pasajero",'2.2 OPEX LAP 2023'!L136*'2.1 OPEX TUUA'!$Q$7,'2.2 OPEX LAP 2023'!L136*'2.1 OPEX TUUA'!$Q$8)</f>
        <v>0</v>
      </c>
      <c r="R135" s="3">
        <f>+IF(F135="Pasajero",'2.2 OPEX LAP 2023'!M136*'2.1 OPEX TUUA'!$R$7,'2.2 OPEX LAP 2023'!M136*'2.1 OPEX TUUA'!$R$8)</f>
        <v>0</v>
      </c>
      <c r="S135" s="3">
        <f>+IF(F135="Pasajero",'2.2 OPEX LAP 2023'!N136*'2.1 OPEX TUUA'!$S$7,'2.2 OPEX LAP 2023'!N136*'2.1 OPEX TUUA'!$S$8)</f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7">
        <f t="shared" si="9"/>
        <v>0</v>
      </c>
      <c r="AB135" s="7">
        <f t="shared" si="10"/>
        <v>0</v>
      </c>
      <c r="AC135" s="7">
        <f t="shared" si="11"/>
        <v>0</v>
      </c>
      <c r="AD135" s="7">
        <f t="shared" si="12"/>
        <v>0</v>
      </c>
      <c r="AE135" s="7">
        <f t="shared" si="13"/>
        <v>0</v>
      </c>
      <c r="AF135" s="7">
        <f t="shared" si="14"/>
        <v>0</v>
      </c>
    </row>
    <row r="136" spans="2:32" x14ac:dyDescent="0.25">
      <c r="B136" s="17">
        <v>6410000001</v>
      </c>
      <c r="C136" s="193" t="s">
        <v>13</v>
      </c>
      <c r="D136" s="193" t="s">
        <v>38</v>
      </c>
      <c r="E136" s="193" t="s">
        <v>141</v>
      </c>
      <c r="F136" s="163" t="s">
        <v>190</v>
      </c>
      <c r="G136" s="3">
        <f>+IF(F136="Pasajero",'2.2 OPEX LAP 2023'!I137*'2.1 OPEX TUUA'!$G$7,'2.2 OPEX LAP 2023'!I137*'2.1 OPEX TUUA'!$G$8)</f>
        <v>0</v>
      </c>
      <c r="H136" s="3">
        <f>+IF(F136="Pasajero",'2.2 OPEX LAP 2023'!J137*'2.1 OPEX TUUA'!$H$7,'2.2 OPEX LAP 2023'!J137*'2.1 OPEX TUUA'!$H$8)</f>
        <v>0</v>
      </c>
      <c r="I136" s="3">
        <f>+IF(F136="Pasajero",'2.2 OPEX LAP 2023'!K137*'2.1 OPEX TUUA'!$I$7,'2.2 OPEX LAP 2023'!K137*'2.1 OPEX TUUA'!$I$8)</f>
        <v>0</v>
      </c>
      <c r="J136" s="3">
        <f>+IF(F136="Pasajero",'2.2 OPEX LAP 2023'!L137*'2.1 OPEX TUUA'!$J$7,'2.2 OPEX LAP 2023'!L137*'2.1 OPEX TUUA'!$J$8)</f>
        <v>0</v>
      </c>
      <c r="K136" s="3">
        <f>+IF(F136="Pasajero",'2.2 OPEX LAP 2023'!M137*'2.1 OPEX TUUA'!$K$7,'2.2 OPEX LAP 2023'!M137*'2.1 OPEX TUUA'!$K$8)</f>
        <v>0</v>
      </c>
      <c r="L136" s="3">
        <f>+IF(F136="Pasajero",'2.2 OPEX LAP 2023'!N137*'2.1 OPEX TUUA'!$L$7,'2.2 OPEX LAP 2023'!N137*'2.1 OPEX TUUA'!$L$8)</f>
        <v>0</v>
      </c>
      <c r="M136" s="3"/>
      <c r="N136" s="3">
        <f>+IF(F136="Pasajero",'2.2 OPEX LAP 2023'!I137*'2.1 OPEX TUUA'!$N$7,'2.2 OPEX LAP 2023'!I137*'2.1 OPEX TUUA'!$N$8)</f>
        <v>0</v>
      </c>
      <c r="O136" s="3">
        <f>+IF(F136="Pasajero",'2.2 OPEX LAP 2023'!J137*'2.1 OPEX TUUA'!$O$7,'2.2 OPEX LAP 2023'!J137*'2.1 OPEX TUUA'!$O$8)</f>
        <v>0</v>
      </c>
      <c r="P136" s="3">
        <f>+IF(F136="Pasajero",'2.2 OPEX LAP 2023'!K137*'2.1 OPEX TUUA'!$P$7,'2.2 OPEX LAP 2023'!K137*'2.1 OPEX TUUA'!$P$8)</f>
        <v>0</v>
      </c>
      <c r="Q136" s="3">
        <f>+IF(F136="Pasajero",'2.2 OPEX LAP 2023'!L137*'2.1 OPEX TUUA'!$Q$7,'2.2 OPEX LAP 2023'!L137*'2.1 OPEX TUUA'!$Q$8)</f>
        <v>0</v>
      </c>
      <c r="R136" s="3">
        <f>+IF(F136="Pasajero",'2.2 OPEX LAP 2023'!M137*'2.1 OPEX TUUA'!$R$7,'2.2 OPEX LAP 2023'!M137*'2.1 OPEX TUUA'!$R$8)</f>
        <v>0</v>
      </c>
      <c r="S136" s="3">
        <f>+IF(F136="Pasajero",'2.2 OPEX LAP 2023'!N137*'2.1 OPEX TUUA'!$S$7,'2.2 OPEX LAP 2023'!N137*'2.1 OPEX TUUA'!$S$8)</f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7">
        <f t="shared" si="9"/>
        <v>0</v>
      </c>
      <c r="AB136" s="7">
        <f t="shared" si="10"/>
        <v>0</v>
      </c>
      <c r="AC136" s="7">
        <f t="shared" si="11"/>
        <v>0</v>
      </c>
      <c r="AD136" s="7">
        <f t="shared" si="12"/>
        <v>0</v>
      </c>
      <c r="AE136" s="7">
        <f t="shared" si="13"/>
        <v>0</v>
      </c>
      <c r="AF136" s="7">
        <f t="shared" si="14"/>
        <v>0</v>
      </c>
    </row>
    <row r="137" spans="2:32" x14ac:dyDescent="0.25">
      <c r="B137" s="17">
        <v>6410000002</v>
      </c>
      <c r="C137" s="193" t="s">
        <v>13</v>
      </c>
      <c r="D137" s="193" t="s">
        <v>38</v>
      </c>
      <c r="E137" s="193" t="s">
        <v>142</v>
      </c>
      <c r="F137" s="163" t="s">
        <v>190</v>
      </c>
      <c r="G137" s="3">
        <f>+IF(F137="Pasajero",'2.2 OPEX LAP 2023'!I138*'2.1 OPEX TUUA'!$G$7,'2.2 OPEX LAP 2023'!I138*'2.1 OPEX TUUA'!$G$8)</f>
        <v>2937.8643493667937</v>
      </c>
      <c r="H137" s="3">
        <f>+IF(F137="Pasajero",'2.2 OPEX LAP 2023'!J138*'2.1 OPEX TUUA'!$H$7,'2.2 OPEX LAP 2023'!J138*'2.1 OPEX TUUA'!$H$8)</f>
        <v>3446.1298156758057</v>
      </c>
      <c r="I137" s="3">
        <f>+IF(F137="Pasajero",'2.2 OPEX LAP 2023'!K138*'2.1 OPEX TUUA'!$I$7,'2.2 OPEX LAP 2023'!K138*'2.1 OPEX TUUA'!$I$8)</f>
        <v>3873.9981968195148</v>
      </c>
      <c r="J137" s="3">
        <f>+IF(F137="Pasajero",'2.2 OPEX LAP 2023'!L138*'2.1 OPEX TUUA'!$J$7,'2.2 OPEX LAP 2023'!L138*'2.1 OPEX TUUA'!$J$8)</f>
        <v>4104.5642131004197</v>
      </c>
      <c r="K137" s="3">
        <f>+IF(F137="Pasajero",'2.2 OPEX LAP 2023'!M138*'2.1 OPEX TUUA'!$K$7,'2.2 OPEX LAP 2023'!M138*'2.1 OPEX TUUA'!$K$8)</f>
        <v>4273.0251091657337</v>
      </c>
      <c r="L137" s="3">
        <f>+IF(F137="Pasajero",'2.2 OPEX LAP 2023'!N138*'2.1 OPEX TUUA'!$L$7,'2.2 OPEX LAP 2023'!N138*'2.1 OPEX TUUA'!$L$8)</f>
        <v>4460.1884226501761</v>
      </c>
      <c r="M137" s="3"/>
      <c r="N137" s="3">
        <f>+IF(F137="Pasajero",'2.2 OPEX LAP 2023'!I138*'2.1 OPEX TUUA'!$N$7,'2.2 OPEX LAP 2023'!I138*'2.1 OPEX TUUA'!$N$8)</f>
        <v>1449.0052986723583</v>
      </c>
      <c r="O137" s="3">
        <f>+IF(F137="Pasajero",'2.2 OPEX LAP 2023'!J138*'2.1 OPEX TUUA'!$O$7,'2.2 OPEX LAP 2023'!J138*'2.1 OPEX TUUA'!$O$8)</f>
        <v>1427.2602410717889</v>
      </c>
      <c r="P137" s="3">
        <f>+IF(F137="Pasajero",'2.2 OPEX LAP 2023'!K138*'2.1 OPEX TUUA'!$P$7,'2.2 OPEX LAP 2023'!K138*'2.1 OPEX TUUA'!$P$8)</f>
        <v>1418.381831856331</v>
      </c>
      <c r="Q137" s="3">
        <f>+IF(F137="Pasajero",'2.2 OPEX LAP 2023'!L138*'2.1 OPEX TUUA'!$Q$7,'2.2 OPEX LAP 2023'!L138*'2.1 OPEX TUUA'!$Q$8)</f>
        <v>1409.1416364637114</v>
      </c>
      <c r="R137" s="3">
        <f>+IF(F137="Pasajero",'2.2 OPEX LAP 2023'!M138*'2.1 OPEX TUUA'!$R$7,'2.2 OPEX LAP 2023'!M138*'2.1 OPEX TUUA'!$R$8)</f>
        <v>1416.7025387986355</v>
      </c>
      <c r="S137" s="3">
        <f>+IF(F137="Pasajero",'2.2 OPEX LAP 2023'!N138*'2.1 OPEX TUUA'!$S$7,'2.2 OPEX LAP 2023'!N138*'2.1 OPEX TUUA'!$S$8)</f>
        <v>1417.6068432559894</v>
      </c>
      <c r="U137" s="1">
        <v>2993.3754476029603</v>
      </c>
      <c r="V137" s="1">
        <v>3511.2446160830445</v>
      </c>
      <c r="W137" s="1">
        <v>3947.1975923316763</v>
      </c>
      <c r="X137" s="1">
        <v>4182.1201653686649</v>
      </c>
      <c r="Y137" s="1">
        <v>4353.7641387440144</v>
      </c>
      <c r="Z137" s="1">
        <v>4544.4639126791517</v>
      </c>
      <c r="AA137" s="7">
        <f t="shared" si="9"/>
        <v>-55.511098236166617</v>
      </c>
      <c r="AB137" s="7">
        <f t="shared" si="10"/>
        <v>-65.114800407238818</v>
      </c>
      <c r="AC137" s="7">
        <f t="shared" si="11"/>
        <v>-73.199395512161573</v>
      </c>
      <c r="AD137" s="7">
        <f t="shared" si="12"/>
        <v>-77.555952268245164</v>
      </c>
      <c r="AE137" s="7">
        <f t="shared" si="13"/>
        <v>-80.739029578280679</v>
      </c>
      <c r="AF137" s="7">
        <f t="shared" si="14"/>
        <v>-84.275490028975582</v>
      </c>
    </row>
    <row r="138" spans="2:32" x14ac:dyDescent="0.25">
      <c r="B138" s="17">
        <v>6430000001</v>
      </c>
      <c r="C138" s="193" t="s">
        <v>13</v>
      </c>
      <c r="D138" s="193" t="s">
        <v>38</v>
      </c>
      <c r="E138" s="193" t="s">
        <v>143</v>
      </c>
      <c r="F138" s="163" t="s">
        <v>192</v>
      </c>
      <c r="G138" s="3">
        <f>+IF(F138="Pasajero",'2.2 OPEX LAP 2023'!I139*'2.1 OPEX TUUA'!$G$7,'2.2 OPEX LAP 2023'!I139*'2.1 OPEX TUUA'!$G$8)</f>
        <v>19086.367864100252</v>
      </c>
      <c r="H138" s="3">
        <f>+IF(F138="Pasajero",'2.2 OPEX LAP 2023'!J139*'2.1 OPEX TUUA'!$H$7,'2.2 OPEX LAP 2023'!J139*'2.1 OPEX TUUA'!$H$8)</f>
        <v>19086.367864100252</v>
      </c>
      <c r="I138" s="3">
        <f>+IF(F138="Pasajero",'2.2 OPEX LAP 2023'!K139*'2.1 OPEX TUUA'!$I$7,'2.2 OPEX LAP 2023'!K139*'2.1 OPEX TUUA'!$I$8)</f>
        <v>19086.367864100252</v>
      </c>
      <c r="J138" s="3">
        <f>+IF(F138="Pasajero",'2.2 OPEX LAP 2023'!L139*'2.1 OPEX TUUA'!$J$7,'2.2 OPEX LAP 2023'!L139*'2.1 OPEX TUUA'!$J$8)</f>
        <v>19086.367864100252</v>
      </c>
      <c r="K138" s="3">
        <f>+IF(F138="Pasajero",'2.2 OPEX LAP 2023'!M139*'2.1 OPEX TUUA'!$K$7,'2.2 OPEX LAP 2023'!M139*'2.1 OPEX TUUA'!$K$8)</f>
        <v>19086.367864100252</v>
      </c>
      <c r="L138" s="3">
        <f>+IF(F138="Pasajero",'2.2 OPEX LAP 2023'!N139*'2.1 OPEX TUUA'!$L$7,'2.2 OPEX LAP 2023'!N139*'2.1 OPEX TUUA'!$L$8)</f>
        <v>19086.367864100252</v>
      </c>
      <c r="M138" s="3"/>
      <c r="N138" s="3">
        <f>+IF(F138="Pasajero",'2.2 OPEX LAP 2023'!I139*'2.1 OPEX TUUA'!$N$7,'2.2 OPEX LAP 2023'!I139*'2.1 OPEX TUUA'!$N$8)</f>
        <v>3659.9701960079615</v>
      </c>
      <c r="O138" s="3">
        <f>+IF(F138="Pasajero",'2.2 OPEX LAP 2023'!J139*'2.1 OPEX TUUA'!$O$7,'2.2 OPEX LAP 2023'!J139*'2.1 OPEX TUUA'!$O$8)</f>
        <v>3659.9701960079615</v>
      </c>
      <c r="P138" s="3">
        <f>+IF(F138="Pasajero",'2.2 OPEX LAP 2023'!K139*'2.1 OPEX TUUA'!$P$7,'2.2 OPEX LAP 2023'!K139*'2.1 OPEX TUUA'!$P$8)</f>
        <v>3659.9701960079615</v>
      </c>
      <c r="Q138" s="3">
        <f>+IF(F138="Pasajero",'2.2 OPEX LAP 2023'!L139*'2.1 OPEX TUUA'!$Q$7,'2.2 OPEX LAP 2023'!L139*'2.1 OPEX TUUA'!$Q$8)</f>
        <v>3659.9701960079615</v>
      </c>
      <c r="R138" s="3">
        <f>+IF(F138="Pasajero",'2.2 OPEX LAP 2023'!M139*'2.1 OPEX TUUA'!$R$7,'2.2 OPEX LAP 2023'!M139*'2.1 OPEX TUUA'!$R$8)</f>
        <v>3659.9701960079615</v>
      </c>
      <c r="S138" s="3">
        <f>+IF(F138="Pasajero",'2.2 OPEX LAP 2023'!N139*'2.1 OPEX TUUA'!$S$7,'2.2 OPEX LAP 2023'!N139*'2.1 OPEX TUUA'!$S$8)</f>
        <v>3659.9701960079615</v>
      </c>
      <c r="U138" s="1">
        <v>19447.005768196825</v>
      </c>
      <c r="V138" s="1">
        <v>19447.005768196825</v>
      </c>
      <c r="W138" s="1">
        <v>19447.005768196825</v>
      </c>
      <c r="X138" s="1">
        <v>19447.005768196825</v>
      </c>
      <c r="Y138" s="1">
        <v>19447.005768196825</v>
      </c>
      <c r="Z138" s="1">
        <v>19447.005768196825</v>
      </c>
      <c r="AA138" s="7">
        <f t="shared" si="9"/>
        <v>-360.63790409657304</v>
      </c>
      <c r="AB138" s="7">
        <f t="shared" si="10"/>
        <v>-360.63790409657304</v>
      </c>
      <c r="AC138" s="7">
        <f t="shared" si="11"/>
        <v>-360.63790409657304</v>
      </c>
      <c r="AD138" s="7">
        <f t="shared" si="12"/>
        <v>-360.63790409657304</v>
      </c>
      <c r="AE138" s="7">
        <f t="shared" si="13"/>
        <v>-360.63790409657304</v>
      </c>
      <c r="AF138" s="7">
        <f t="shared" si="14"/>
        <v>-360.63790409657304</v>
      </c>
    </row>
    <row r="139" spans="2:32" x14ac:dyDescent="0.25">
      <c r="B139" s="17">
        <v>6430000002</v>
      </c>
      <c r="C139" s="193" t="s">
        <v>13</v>
      </c>
      <c r="D139" s="193" t="s">
        <v>38</v>
      </c>
      <c r="E139" s="193" t="s">
        <v>144</v>
      </c>
      <c r="F139" s="163" t="s">
        <v>192</v>
      </c>
      <c r="G139" s="3">
        <f>+IF(F139="Pasajero",'2.2 OPEX LAP 2023'!I140*'2.1 OPEX TUUA'!$G$7,'2.2 OPEX LAP 2023'!I140*'2.1 OPEX TUUA'!$G$8)</f>
        <v>86.801058099575627</v>
      </c>
      <c r="H139" s="3">
        <f>+IF(F139="Pasajero",'2.2 OPEX LAP 2023'!J140*'2.1 OPEX TUUA'!$H$7,'2.2 OPEX LAP 2023'!J140*'2.1 OPEX TUUA'!$H$8)</f>
        <v>86.801058099575627</v>
      </c>
      <c r="I139" s="3">
        <f>+IF(F139="Pasajero",'2.2 OPEX LAP 2023'!K140*'2.1 OPEX TUUA'!$I$7,'2.2 OPEX LAP 2023'!K140*'2.1 OPEX TUUA'!$I$8)</f>
        <v>86.801058099575627</v>
      </c>
      <c r="J139" s="3">
        <f>+IF(F139="Pasajero",'2.2 OPEX LAP 2023'!L140*'2.1 OPEX TUUA'!$J$7,'2.2 OPEX LAP 2023'!L140*'2.1 OPEX TUUA'!$J$8)</f>
        <v>86.801058099575627</v>
      </c>
      <c r="K139" s="3">
        <f>+IF(F139="Pasajero",'2.2 OPEX LAP 2023'!M140*'2.1 OPEX TUUA'!$K$7,'2.2 OPEX LAP 2023'!M140*'2.1 OPEX TUUA'!$K$8)</f>
        <v>86.801058099575627</v>
      </c>
      <c r="L139" s="3">
        <f>+IF(F139="Pasajero",'2.2 OPEX LAP 2023'!N140*'2.1 OPEX TUUA'!$L$7,'2.2 OPEX LAP 2023'!N140*'2.1 OPEX TUUA'!$L$8)</f>
        <v>86.801058099575627</v>
      </c>
      <c r="M139" s="3"/>
      <c r="N139" s="3">
        <f>+IF(F139="Pasajero",'2.2 OPEX LAP 2023'!I140*'2.1 OPEX TUUA'!$N$7,'2.2 OPEX LAP 2023'!I140*'2.1 OPEX TUUA'!$N$8)</f>
        <v>16.644826710269342</v>
      </c>
      <c r="O139" s="3">
        <f>+IF(F139="Pasajero",'2.2 OPEX LAP 2023'!J140*'2.1 OPEX TUUA'!$O$7,'2.2 OPEX LAP 2023'!J140*'2.1 OPEX TUUA'!$O$8)</f>
        <v>16.644826710269342</v>
      </c>
      <c r="P139" s="3">
        <f>+IF(F139="Pasajero",'2.2 OPEX LAP 2023'!K140*'2.1 OPEX TUUA'!$P$7,'2.2 OPEX LAP 2023'!K140*'2.1 OPEX TUUA'!$P$8)</f>
        <v>16.644826710269342</v>
      </c>
      <c r="Q139" s="3">
        <f>+IF(F139="Pasajero",'2.2 OPEX LAP 2023'!L140*'2.1 OPEX TUUA'!$Q$7,'2.2 OPEX LAP 2023'!L140*'2.1 OPEX TUUA'!$Q$8)</f>
        <v>16.644826710269342</v>
      </c>
      <c r="R139" s="3">
        <f>+IF(F139="Pasajero",'2.2 OPEX LAP 2023'!M140*'2.1 OPEX TUUA'!$R$7,'2.2 OPEX LAP 2023'!M140*'2.1 OPEX TUUA'!$R$8)</f>
        <v>16.644826710269342</v>
      </c>
      <c r="S139" s="3">
        <f>+IF(F139="Pasajero",'2.2 OPEX LAP 2023'!N140*'2.1 OPEX TUUA'!$S$7,'2.2 OPEX LAP 2023'!N140*'2.1 OPEX TUUA'!$S$8)</f>
        <v>16.644826710269342</v>
      </c>
      <c r="U139" s="1">
        <v>88.441168564242687</v>
      </c>
      <c r="V139" s="1">
        <v>88.441168564242687</v>
      </c>
      <c r="W139" s="1">
        <v>88.441168564242687</v>
      </c>
      <c r="X139" s="1">
        <v>88.441168564242687</v>
      </c>
      <c r="Y139" s="1">
        <v>88.441168564242687</v>
      </c>
      <c r="Z139" s="1">
        <v>88.441168564242687</v>
      </c>
      <c r="AA139" s="7">
        <f t="shared" si="9"/>
        <v>-1.6401104646670603</v>
      </c>
      <c r="AB139" s="7">
        <f t="shared" si="10"/>
        <v>-1.6401104646670603</v>
      </c>
      <c r="AC139" s="7">
        <f t="shared" si="11"/>
        <v>-1.6401104646670603</v>
      </c>
      <c r="AD139" s="7">
        <f t="shared" si="12"/>
        <v>-1.6401104646670603</v>
      </c>
      <c r="AE139" s="7">
        <f t="shared" si="13"/>
        <v>-1.6401104646670603</v>
      </c>
      <c r="AF139" s="7">
        <f t="shared" si="14"/>
        <v>-1.6401104646670603</v>
      </c>
    </row>
    <row r="140" spans="2:32" x14ac:dyDescent="0.25">
      <c r="B140" s="17">
        <v>6430000003</v>
      </c>
      <c r="C140" s="193" t="s">
        <v>13</v>
      </c>
      <c r="D140" s="193" t="s">
        <v>38</v>
      </c>
      <c r="E140" s="193" t="s">
        <v>145</v>
      </c>
      <c r="F140" s="163" t="s">
        <v>190</v>
      </c>
      <c r="G140" s="3">
        <f>+IF(F140="Pasajero",'2.2 OPEX LAP 2023'!I141*'2.1 OPEX TUUA'!$G$7,'2.2 OPEX LAP 2023'!I141*'2.1 OPEX TUUA'!$G$8)</f>
        <v>0</v>
      </c>
      <c r="H140" s="3">
        <f>+IF(F140="Pasajero",'2.2 OPEX LAP 2023'!J141*'2.1 OPEX TUUA'!$H$7,'2.2 OPEX LAP 2023'!J141*'2.1 OPEX TUUA'!$H$8)</f>
        <v>0</v>
      </c>
      <c r="I140" s="3">
        <f>+IF(F140="Pasajero",'2.2 OPEX LAP 2023'!K141*'2.1 OPEX TUUA'!$I$7,'2.2 OPEX LAP 2023'!K141*'2.1 OPEX TUUA'!$I$8)</f>
        <v>0</v>
      </c>
      <c r="J140" s="3">
        <f>+IF(F140="Pasajero",'2.2 OPEX LAP 2023'!L141*'2.1 OPEX TUUA'!$J$7,'2.2 OPEX LAP 2023'!L141*'2.1 OPEX TUUA'!$J$8)</f>
        <v>0</v>
      </c>
      <c r="K140" s="3">
        <f>+IF(F140="Pasajero",'2.2 OPEX LAP 2023'!M141*'2.1 OPEX TUUA'!$K$7,'2.2 OPEX LAP 2023'!M141*'2.1 OPEX TUUA'!$K$8)</f>
        <v>0</v>
      </c>
      <c r="L140" s="3">
        <f>+IF(F140="Pasajero",'2.2 OPEX LAP 2023'!N141*'2.1 OPEX TUUA'!$L$7,'2.2 OPEX LAP 2023'!N141*'2.1 OPEX TUUA'!$L$8)</f>
        <v>0</v>
      </c>
      <c r="M140" s="3"/>
      <c r="N140" s="3">
        <f>+IF(F140="Pasajero",'2.2 OPEX LAP 2023'!I141*'2.1 OPEX TUUA'!$N$7,'2.2 OPEX LAP 2023'!I141*'2.1 OPEX TUUA'!$N$8)</f>
        <v>0</v>
      </c>
      <c r="O140" s="3">
        <f>+IF(F140="Pasajero",'2.2 OPEX LAP 2023'!J141*'2.1 OPEX TUUA'!$O$7,'2.2 OPEX LAP 2023'!J141*'2.1 OPEX TUUA'!$O$8)</f>
        <v>0</v>
      </c>
      <c r="P140" s="3">
        <f>+IF(F140="Pasajero",'2.2 OPEX LAP 2023'!K141*'2.1 OPEX TUUA'!$P$7,'2.2 OPEX LAP 2023'!K141*'2.1 OPEX TUUA'!$P$8)</f>
        <v>0</v>
      </c>
      <c r="Q140" s="3">
        <f>+IF(F140="Pasajero",'2.2 OPEX LAP 2023'!L141*'2.1 OPEX TUUA'!$Q$7,'2.2 OPEX LAP 2023'!L141*'2.1 OPEX TUUA'!$Q$8)</f>
        <v>0</v>
      </c>
      <c r="R140" s="3">
        <f>+IF(F140="Pasajero",'2.2 OPEX LAP 2023'!M141*'2.1 OPEX TUUA'!$R$7,'2.2 OPEX LAP 2023'!M141*'2.1 OPEX TUUA'!$R$8)</f>
        <v>0</v>
      </c>
      <c r="S140" s="3">
        <f>+IF(F140="Pasajero",'2.2 OPEX LAP 2023'!N141*'2.1 OPEX TUUA'!$S$7,'2.2 OPEX LAP 2023'!N141*'2.1 OPEX TUUA'!$S$8)</f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7">
        <f t="shared" si="9"/>
        <v>0</v>
      </c>
      <c r="AB140" s="7">
        <f t="shared" si="10"/>
        <v>0</v>
      </c>
      <c r="AC140" s="7">
        <f t="shared" si="11"/>
        <v>0</v>
      </c>
      <c r="AD140" s="7">
        <f t="shared" si="12"/>
        <v>0</v>
      </c>
      <c r="AE140" s="7">
        <f t="shared" si="13"/>
        <v>0</v>
      </c>
      <c r="AF140" s="7">
        <f t="shared" si="14"/>
        <v>0</v>
      </c>
    </row>
    <row r="141" spans="2:32" x14ac:dyDescent="0.25">
      <c r="B141" s="17">
        <v>6510000001</v>
      </c>
      <c r="C141" s="193" t="s">
        <v>13</v>
      </c>
      <c r="D141" s="193" t="s">
        <v>38</v>
      </c>
      <c r="E141" s="193" t="s">
        <v>146</v>
      </c>
      <c r="F141" s="163" t="s">
        <v>192</v>
      </c>
      <c r="G141" s="3">
        <f>+IF(F141="Pasajero",'2.2 OPEX LAP 2023'!I142*'2.1 OPEX TUUA'!$G$7,'2.2 OPEX LAP 2023'!I142*'2.1 OPEX TUUA'!$G$8)</f>
        <v>73757.866340581837</v>
      </c>
      <c r="H141" s="3">
        <f>+IF(F141="Pasajero",'2.2 OPEX LAP 2023'!J142*'2.1 OPEX TUUA'!$H$7,'2.2 OPEX LAP 2023'!J142*'2.1 OPEX TUUA'!$H$8)</f>
        <v>73757.866340581837</v>
      </c>
      <c r="I141" s="3">
        <f>+IF(F141="Pasajero",'2.2 OPEX LAP 2023'!K142*'2.1 OPEX TUUA'!$I$7,'2.2 OPEX LAP 2023'!K142*'2.1 OPEX TUUA'!$I$8)</f>
        <v>73757.866340581837</v>
      </c>
      <c r="J141" s="3">
        <f>+IF(F141="Pasajero",'2.2 OPEX LAP 2023'!L142*'2.1 OPEX TUUA'!$J$7,'2.2 OPEX LAP 2023'!L142*'2.1 OPEX TUUA'!$J$8)</f>
        <v>73757.866340581837</v>
      </c>
      <c r="K141" s="3">
        <f>+IF(F141="Pasajero",'2.2 OPEX LAP 2023'!M142*'2.1 OPEX TUUA'!$K$7,'2.2 OPEX LAP 2023'!M142*'2.1 OPEX TUUA'!$K$8)</f>
        <v>73757.866340581837</v>
      </c>
      <c r="L141" s="3">
        <f>+IF(F141="Pasajero",'2.2 OPEX LAP 2023'!N142*'2.1 OPEX TUUA'!$L$7,'2.2 OPEX LAP 2023'!N142*'2.1 OPEX TUUA'!$L$8)</f>
        <v>73757.866340581837</v>
      </c>
      <c r="M141" s="3"/>
      <c r="N141" s="3">
        <f>+IF(F141="Pasajero",'2.2 OPEX LAP 2023'!I142*'2.1 OPEX TUUA'!$N$7,'2.2 OPEX LAP 2023'!I142*'2.1 OPEX TUUA'!$N$8)</f>
        <v>14143.685925462178</v>
      </c>
      <c r="O141" s="3">
        <f>+IF(F141="Pasajero",'2.2 OPEX LAP 2023'!J142*'2.1 OPEX TUUA'!$O$7,'2.2 OPEX LAP 2023'!J142*'2.1 OPEX TUUA'!$O$8)</f>
        <v>14143.685925462178</v>
      </c>
      <c r="P141" s="3">
        <f>+IF(F141="Pasajero",'2.2 OPEX LAP 2023'!K142*'2.1 OPEX TUUA'!$P$7,'2.2 OPEX LAP 2023'!K142*'2.1 OPEX TUUA'!$P$8)</f>
        <v>14143.685925462178</v>
      </c>
      <c r="Q141" s="3">
        <f>+IF(F141="Pasajero",'2.2 OPEX LAP 2023'!L142*'2.1 OPEX TUUA'!$Q$7,'2.2 OPEX LAP 2023'!L142*'2.1 OPEX TUUA'!$Q$8)</f>
        <v>14143.685925462178</v>
      </c>
      <c r="R141" s="3">
        <f>+IF(F141="Pasajero",'2.2 OPEX LAP 2023'!M142*'2.1 OPEX TUUA'!$R$7,'2.2 OPEX LAP 2023'!M142*'2.1 OPEX TUUA'!$R$8)</f>
        <v>14143.685925462178</v>
      </c>
      <c r="S141" s="3">
        <f>+IF(F141="Pasajero",'2.2 OPEX LAP 2023'!N142*'2.1 OPEX TUUA'!$S$7,'2.2 OPEX LAP 2023'!N142*'2.1 OPEX TUUA'!$S$8)</f>
        <v>14143.685925462178</v>
      </c>
      <c r="U141" s="1">
        <v>75151.525024994742</v>
      </c>
      <c r="V141" s="1">
        <v>75151.525024994742</v>
      </c>
      <c r="W141" s="1">
        <v>75151.525024994742</v>
      </c>
      <c r="X141" s="1">
        <v>75151.525024994742</v>
      </c>
      <c r="Y141" s="1">
        <v>75151.525024994742</v>
      </c>
      <c r="Z141" s="1">
        <v>75151.525024994742</v>
      </c>
      <c r="AA141" s="7">
        <f t="shared" si="9"/>
        <v>-1393.6586844129051</v>
      </c>
      <c r="AB141" s="7">
        <f t="shared" si="10"/>
        <v>-1393.6586844129051</v>
      </c>
      <c r="AC141" s="7">
        <f t="shared" si="11"/>
        <v>-1393.6586844129051</v>
      </c>
      <c r="AD141" s="7">
        <f t="shared" si="12"/>
        <v>-1393.6586844129051</v>
      </c>
      <c r="AE141" s="7">
        <f t="shared" si="13"/>
        <v>-1393.6586844129051</v>
      </c>
      <c r="AF141" s="7">
        <f t="shared" si="14"/>
        <v>-1393.6586844129051</v>
      </c>
    </row>
    <row r="142" spans="2:32" x14ac:dyDescent="0.25">
      <c r="B142" s="17">
        <v>6530000001</v>
      </c>
      <c r="C142" s="193" t="s">
        <v>13</v>
      </c>
      <c r="D142" s="193" t="s">
        <v>38</v>
      </c>
      <c r="E142" s="193" t="s">
        <v>147</v>
      </c>
      <c r="F142" s="163" t="s">
        <v>190</v>
      </c>
      <c r="G142" s="3">
        <f>+IF(F142="Pasajero",'2.2 OPEX LAP 2023'!I143*'2.1 OPEX TUUA'!$G$7,'2.2 OPEX LAP 2023'!I143*'2.1 OPEX TUUA'!$G$8)</f>
        <v>7.3740664363401116</v>
      </c>
      <c r="H142" s="3">
        <f>+IF(F142="Pasajero",'2.2 OPEX LAP 2023'!J143*'2.1 OPEX TUUA'!$H$7,'2.2 OPEX LAP 2023'!J143*'2.1 OPEX TUUA'!$H$8)</f>
        <v>8.6498174139738655</v>
      </c>
      <c r="I142" s="3">
        <f>+IF(F142="Pasajero",'2.2 OPEX LAP 2023'!K143*'2.1 OPEX TUUA'!$I$7,'2.2 OPEX LAP 2023'!K143*'2.1 OPEX TUUA'!$I$8)</f>
        <v>9.723770971170282</v>
      </c>
      <c r="J142" s="3">
        <f>+IF(F142="Pasajero",'2.2 OPEX LAP 2023'!L143*'2.1 OPEX TUUA'!$J$7,'2.2 OPEX LAP 2023'!L143*'2.1 OPEX TUUA'!$J$8)</f>
        <v>10.30249378469437</v>
      </c>
      <c r="K142" s="3">
        <f>+IF(F142="Pasajero",'2.2 OPEX LAP 2023'!M143*'2.1 OPEX TUUA'!$K$7,'2.2 OPEX LAP 2023'!M143*'2.1 OPEX TUUA'!$K$8)</f>
        <v>10.725332177412792</v>
      </c>
      <c r="L142" s="3">
        <f>+IF(F142="Pasajero",'2.2 OPEX LAP 2023'!N143*'2.1 OPEX TUUA'!$L$7,'2.2 OPEX LAP 2023'!N143*'2.1 OPEX TUUA'!$L$8)</f>
        <v>11.19511380922207</v>
      </c>
      <c r="M142" s="3"/>
      <c r="N142" s="3">
        <f>+IF(F142="Pasajero",'2.2 OPEX LAP 2023'!I143*'2.1 OPEX TUUA'!$N$7,'2.2 OPEX LAP 2023'!I143*'2.1 OPEX TUUA'!$N$8)</f>
        <v>3.6370165767938869</v>
      </c>
      <c r="O142" s="3">
        <f>+IF(F142="Pasajero",'2.2 OPEX LAP 2023'!J143*'2.1 OPEX TUUA'!$O$7,'2.2 OPEX LAP 2023'!J143*'2.1 OPEX TUUA'!$O$8)</f>
        <v>3.5824362829681347</v>
      </c>
      <c r="P142" s="3">
        <f>+IF(F142="Pasajero",'2.2 OPEX LAP 2023'!K143*'2.1 OPEX TUUA'!$P$7,'2.2 OPEX LAP 2023'!K143*'2.1 OPEX TUUA'!$P$8)</f>
        <v>3.5601513944851413</v>
      </c>
      <c r="Q142" s="3">
        <f>+IF(F142="Pasajero",'2.2 OPEX LAP 2023'!L143*'2.1 OPEX TUUA'!$Q$7,'2.2 OPEX LAP 2023'!L143*'2.1 OPEX TUUA'!$Q$8)</f>
        <v>3.5369584193824526</v>
      </c>
      <c r="R142" s="3">
        <f>+IF(F142="Pasajero",'2.2 OPEX LAP 2023'!M143*'2.1 OPEX TUUA'!$R$7,'2.2 OPEX LAP 2023'!M143*'2.1 OPEX TUUA'!$R$8)</f>
        <v>3.5559363535230895</v>
      </c>
      <c r="S142" s="3">
        <f>+IF(F142="Pasajero",'2.2 OPEX LAP 2023'!N143*'2.1 OPEX TUUA'!$S$7,'2.2 OPEX LAP 2023'!N143*'2.1 OPEX TUUA'!$S$8)</f>
        <v>3.5582061659971216</v>
      </c>
      <c r="U142" s="1">
        <v>7.5133998015568961</v>
      </c>
      <c r="V142" s="1">
        <v>8.8132561596380405</v>
      </c>
      <c r="W142" s="1">
        <v>9.9075021246263493</v>
      </c>
      <c r="X142" s="1">
        <v>10.497159935527009</v>
      </c>
      <c r="Y142" s="1">
        <v>10.92798788145992</v>
      </c>
      <c r="Z142" s="1">
        <v>11.406646061404761</v>
      </c>
      <c r="AA142" s="7">
        <f t="shared" si="9"/>
        <v>-0.13933336521678452</v>
      </c>
      <c r="AB142" s="7">
        <f t="shared" si="10"/>
        <v>-0.16343874566417504</v>
      </c>
      <c r="AC142" s="7">
        <f t="shared" si="11"/>
        <v>-0.18373115345606728</v>
      </c>
      <c r="AD142" s="7">
        <f t="shared" si="12"/>
        <v>-0.19466615083263861</v>
      </c>
      <c r="AE142" s="7">
        <f t="shared" si="13"/>
        <v>-0.20265570404712818</v>
      </c>
      <c r="AF142" s="7">
        <f t="shared" si="14"/>
        <v>-0.21153225218269078</v>
      </c>
    </row>
    <row r="143" spans="2:32" x14ac:dyDescent="0.25">
      <c r="B143" s="17">
        <v>6530000002</v>
      </c>
      <c r="C143" s="193" t="s">
        <v>13</v>
      </c>
      <c r="D143" s="193" t="s">
        <v>38</v>
      </c>
      <c r="E143" s="193" t="s">
        <v>148</v>
      </c>
      <c r="F143" s="163" t="s">
        <v>190</v>
      </c>
      <c r="G143" s="3">
        <f>+IF(F143="Pasajero",'2.2 OPEX LAP 2023'!I144*'2.1 OPEX TUUA'!$G$7,'2.2 OPEX LAP 2023'!I144*'2.1 OPEX TUUA'!$G$8)</f>
        <v>51.19125617003057</v>
      </c>
      <c r="H143" s="3">
        <f>+IF(F143="Pasajero",'2.2 OPEX LAP 2023'!J144*'2.1 OPEX TUUA'!$H$7,'2.2 OPEX LAP 2023'!J144*'2.1 OPEX TUUA'!$H$8)</f>
        <v>60.047603704869118</v>
      </c>
      <c r="I143" s="3">
        <f>+IF(F143="Pasajero",'2.2 OPEX LAP 2023'!K144*'2.1 OPEX TUUA'!$I$7,'2.2 OPEX LAP 2023'!K144*'2.1 OPEX TUUA'!$I$8)</f>
        <v>67.503060220723825</v>
      </c>
      <c r="J143" s="3">
        <f>+IF(F143="Pasajero",'2.2 OPEX LAP 2023'!L144*'2.1 OPEX TUUA'!$J$7,'2.2 OPEX LAP 2023'!L144*'2.1 OPEX TUUA'!$J$8)</f>
        <v>71.520592209933312</v>
      </c>
      <c r="K143" s="3">
        <f>+IF(F143="Pasajero",'2.2 OPEX LAP 2023'!M144*'2.1 OPEX TUUA'!$K$7,'2.2 OPEX LAP 2023'!M144*'2.1 OPEX TUUA'!$K$8)</f>
        <v>74.455964255606929</v>
      </c>
      <c r="L143" s="3">
        <f>+IF(F143="Pasajero",'2.2 OPEX LAP 2023'!N144*'2.1 OPEX TUUA'!$L$7,'2.2 OPEX LAP 2023'!N144*'2.1 OPEX TUUA'!$L$8)</f>
        <v>77.717219367089143</v>
      </c>
      <c r="M143" s="3"/>
      <c r="N143" s="3">
        <f>+IF(F143="Pasajero",'2.2 OPEX LAP 2023'!I144*'2.1 OPEX TUUA'!$N$7,'2.2 OPEX LAP 2023'!I144*'2.1 OPEX TUUA'!$N$8)</f>
        <v>25.24840925758053</v>
      </c>
      <c r="O143" s="3">
        <f>+IF(F143="Pasajero",'2.2 OPEX LAP 2023'!J144*'2.1 OPEX TUUA'!$O$7,'2.2 OPEX LAP 2023'!J144*'2.1 OPEX TUUA'!$O$8)</f>
        <v>24.86950925346606</v>
      </c>
      <c r="P143" s="3">
        <f>+IF(F143="Pasajero",'2.2 OPEX LAP 2023'!K144*'2.1 OPEX TUUA'!$P$7,'2.2 OPEX LAP 2023'!K144*'2.1 OPEX TUUA'!$P$8)</f>
        <v>24.714806085966575</v>
      </c>
      <c r="Q143" s="3">
        <f>+IF(F143="Pasajero",'2.2 OPEX LAP 2023'!L144*'2.1 OPEX TUUA'!$Q$7,'2.2 OPEX LAP 2023'!L144*'2.1 OPEX TUUA'!$Q$8)</f>
        <v>24.553798921184892</v>
      </c>
      <c r="R143" s="3">
        <f>+IF(F143="Pasajero",'2.2 OPEX LAP 2023'!M144*'2.1 OPEX TUUA'!$R$7,'2.2 OPEX LAP 2023'!M144*'2.1 OPEX TUUA'!$R$8)</f>
        <v>24.685544993254933</v>
      </c>
      <c r="S143" s="3">
        <f>+IF(F143="Pasajero",'2.2 OPEX LAP 2023'!N144*'2.1 OPEX TUUA'!$S$7,'2.2 OPEX LAP 2023'!N144*'2.1 OPEX TUUA'!$S$8)</f>
        <v>24.70130218134365</v>
      </c>
      <c r="U143" s="1">
        <v>52.158517592669035</v>
      </c>
      <c r="V143" s="1">
        <v>61.182206270445661</v>
      </c>
      <c r="W143" s="1">
        <v>68.778534021262686</v>
      </c>
      <c r="X143" s="1">
        <v>72.871977484386221</v>
      </c>
      <c r="Y143" s="1">
        <v>75.86281353608932</v>
      </c>
      <c r="Z143" s="1">
        <v>79.185690230918539</v>
      </c>
      <c r="AA143" s="7">
        <f t="shared" ref="AA143:AA206" si="15">+G143-U143</f>
        <v>-0.96726142263846526</v>
      </c>
      <c r="AB143" s="7">
        <f t="shared" ref="AB143:AB206" si="16">+H143-V143</f>
        <v>-1.134602565576543</v>
      </c>
      <c r="AC143" s="7">
        <f t="shared" ref="AC143:AC206" si="17">+I143-W143</f>
        <v>-1.2754738005388617</v>
      </c>
      <c r="AD143" s="7">
        <f t="shared" ref="AD143:AD206" si="18">+J143-X143</f>
        <v>-1.3513852744529089</v>
      </c>
      <c r="AE143" s="7">
        <f t="shared" ref="AE143:AE206" si="19">+K143-Y143</f>
        <v>-1.4068492804823904</v>
      </c>
      <c r="AF143" s="7">
        <f t="shared" ref="AF143:AF206" si="20">+L143-Z143</f>
        <v>-1.4684708638293955</v>
      </c>
    </row>
    <row r="144" spans="2:32" x14ac:dyDescent="0.25">
      <c r="B144" s="17">
        <v>6540000001</v>
      </c>
      <c r="C144" s="193" t="s">
        <v>13</v>
      </c>
      <c r="D144" s="193" t="s">
        <v>38</v>
      </c>
      <c r="E144" s="193" t="s">
        <v>149</v>
      </c>
      <c r="F144" s="163" t="s">
        <v>190</v>
      </c>
      <c r="G144" s="3">
        <f>+IF(F144="Pasajero",'2.2 OPEX LAP 2023'!I145*'2.1 OPEX TUUA'!$G$7,'2.2 OPEX LAP 2023'!I145*'2.1 OPEX TUUA'!$G$8)</f>
        <v>1.3357963661015564</v>
      </c>
      <c r="H144" s="3">
        <f>+IF(F144="Pasajero",'2.2 OPEX LAP 2023'!J145*'2.1 OPEX TUUA'!$H$7,'2.2 OPEX LAP 2023'!J145*'2.1 OPEX TUUA'!$H$8)</f>
        <v>1.5668959276101824</v>
      </c>
      <c r="I144" s="3">
        <f>+IF(F144="Pasajero",'2.2 OPEX LAP 2023'!K145*'2.1 OPEX TUUA'!$I$7,'2.2 OPEX LAP 2023'!K145*'2.1 OPEX TUUA'!$I$8)</f>
        <v>1.7614403179339595</v>
      </c>
      <c r="J144" s="3">
        <f>+IF(F144="Pasajero",'2.2 OPEX LAP 2023'!L145*'2.1 OPEX TUUA'!$J$7,'2.2 OPEX LAP 2023'!L145*'2.1 OPEX TUUA'!$J$8)</f>
        <v>1.8662747180521699</v>
      </c>
      <c r="K144" s="3">
        <f>+IF(F144="Pasajero",'2.2 OPEX LAP 2023'!M145*'2.1 OPEX TUUA'!$K$7,'2.2 OPEX LAP 2023'!M145*'2.1 OPEX TUUA'!$K$8)</f>
        <v>1.9428709886875923</v>
      </c>
      <c r="L144" s="3">
        <f>+IF(F144="Pasajero",'2.2 OPEX LAP 2023'!N145*'2.1 OPEX TUUA'!$L$7,'2.2 OPEX LAP 2023'!N145*'2.1 OPEX TUUA'!$L$8)</f>
        <v>2.0279709267000237</v>
      </c>
      <c r="M144" s="3"/>
      <c r="N144" s="3">
        <f>+IF(F144="Pasajero",'2.2 OPEX LAP 2023'!I145*'2.1 OPEX TUUA'!$N$7,'2.2 OPEX LAP 2023'!I145*'2.1 OPEX TUUA'!$N$8)</f>
        <v>0.65883777542200572</v>
      </c>
      <c r="O144" s="3">
        <f>+IF(F144="Pasajero",'2.2 OPEX LAP 2023'!J145*'2.1 OPEX TUUA'!$O$7,'2.2 OPEX LAP 2023'!J145*'2.1 OPEX TUUA'!$O$8)</f>
        <v>0.64895067191099087</v>
      </c>
      <c r="P144" s="3">
        <f>+IF(F144="Pasajero",'2.2 OPEX LAP 2023'!K145*'2.1 OPEX TUUA'!$P$7,'2.2 OPEX LAP 2023'!K145*'2.1 OPEX TUUA'!$P$8)</f>
        <v>0.6449138120167186</v>
      </c>
      <c r="Q144" s="3">
        <f>+IF(F144="Pasajero",'2.2 OPEX LAP 2023'!L145*'2.1 OPEX TUUA'!$Q$7,'2.2 OPEX LAP 2023'!L145*'2.1 OPEX TUUA'!$Q$8)</f>
        <v>0.64071245417315781</v>
      </c>
      <c r="R144" s="3">
        <f>+IF(F144="Pasajero",'2.2 OPEX LAP 2023'!M145*'2.1 OPEX TUUA'!$R$7,'2.2 OPEX LAP 2023'!M145*'2.1 OPEX TUUA'!$R$8)</f>
        <v>0.64415026635996531</v>
      </c>
      <c r="S144" s="3">
        <f>+IF(F144="Pasajero",'2.2 OPEX LAP 2023'!N145*'2.1 OPEX TUUA'!$S$7,'2.2 OPEX LAP 2023'!N145*'2.1 OPEX TUUA'!$S$8)</f>
        <v>0.64456143803582688</v>
      </c>
      <c r="U144" s="1">
        <v>1.3610363072575054</v>
      </c>
      <c r="V144" s="1">
        <v>1.5965025068867802</v>
      </c>
      <c r="W144" s="1">
        <v>1.7947228234883941</v>
      </c>
      <c r="X144" s="1">
        <v>1.9015380749977677</v>
      </c>
      <c r="Y144" s="1">
        <v>1.979581636112985</v>
      </c>
      <c r="Z144" s="1">
        <v>2.0662895418383966</v>
      </c>
      <c r="AA144" s="7">
        <f t="shared" si="15"/>
        <v>-2.5239941155948964E-2</v>
      </c>
      <c r="AB144" s="7">
        <f t="shared" si="16"/>
        <v>-2.9606579276597822E-2</v>
      </c>
      <c r="AC144" s="7">
        <f t="shared" si="17"/>
        <v>-3.3282505554434572E-2</v>
      </c>
      <c r="AD144" s="7">
        <f t="shared" si="18"/>
        <v>-3.526335694559779E-2</v>
      </c>
      <c r="AE144" s="7">
        <f t="shared" si="19"/>
        <v>-3.6710647425392651E-2</v>
      </c>
      <c r="AF144" s="7">
        <f t="shared" si="20"/>
        <v>-3.831861513837298E-2</v>
      </c>
    </row>
    <row r="145" spans="2:32" x14ac:dyDescent="0.25">
      <c r="B145" s="17">
        <v>6561000001</v>
      </c>
      <c r="C145" s="193" t="s">
        <v>13</v>
      </c>
      <c r="D145" s="193" t="s">
        <v>38</v>
      </c>
      <c r="E145" s="193" t="s">
        <v>150</v>
      </c>
      <c r="F145" s="163" t="s">
        <v>190</v>
      </c>
      <c r="G145" s="3">
        <f>+IF(F145="Pasajero",'2.2 OPEX LAP 2023'!I146*'2.1 OPEX TUUA'!$G$7,'2.2 OPEX LAP 2023'!I146*'2.1 OPEX TUUA'!$G$8)</f>
        <v>1117.8544812277341</v>
      </c>
      <c r="H145" s="3">
        <f>+IF(F145="Pasajero",'2.2 OPEX LAP 2023'!J146*'2.1 OPEX TUUA'!$H$7,'2.2 OPEX LAP 2023'!J146*'2.1 OPEX TUUA'!$H$8)</f>
        <v>1311.2489888023576</v>
      </c>
      <c r="I145" s="3">
        <f>+IF(F145="Pasajero",'2.2 OPEX LAP 2023'!K146*'2.1 OPEX TUUA'!$I$7,'2.2 OPEX LAP 2023'!K146*'2.1 OPEX TUUA'!$I$8)</f>
        <v>1474.0524849339063</v>
      </c>
      <c r="J145" s="3">
        <f>+IF(F145="Pasajero",'2.2 OPEX LAP 2023'!L146*'2.1 OPEX TUUA'!$J$7,'2.2 OPEX LAP 2023'!L146*'2.1 OPEX TUUA'!$J$8)</f>
        <v>1561.7826262435237</v>
      </c>
      <c r="K145" s="3">
        <f>+IF(F145="Pasajero",'2.2 OPEX LAP 2023'!M146*'2.1 OPEX TUUA'!$K$7,'2.2 OPEX LAP 2023'!M146*'2.1 OPEX TUUA'!$K$8)</f>
        <v>1625.8818306941441</v>
      </c>
      <c r="L145" s="3">
        <f>+IF(F145="Pasajero",'2.2 OPEX LAP 2023'!N146*'2.1 OPEX TUUA'!$L$7,'2.2 OPEX LAP 2023'!N146*'2.1 OPEX TUUA'!$L$8)</f>
        <v>1697.0972864877751</v>
      </c>
      <c r="M145" s="3"/>
      <c r="N145" s="3">
        <f>+IF(F145="Pasajero",'2.2 OPEX LAP 2023'!I146*'2.1 OPEX TUUA'!$N$7,'2.2 OPEX LAP 2023'!I146*'2.1 OPEX TUUA'!$N$8)</f>
        <v>551.34508398685671</v>
      </c>
      <c r="O145" s="3">
        <f>+IF(F145="Pasajero",'2.2 OPEX LAP 2023'!J146*'2.1 OPEX TUUA'!$O$7,'2.2 OPEX LAP 2023'!J146*'2.1 OPEX TUUA'!$O$8)</f>
        <v>543.07111106207174</v>
      </c>
      <c r="P145" s="3">
        <f>+IF(F145="Pasajero",'2.2 OPEX LAP 2023'!K146*'2.1 OPEX TUUA'!$P$7,'2.2 OPEX LAP 2023'!K146*'2.1 OPEX TUUA'!$P$8)</f>
        <v>539.69288513077163</v>
      </c>
      <c r="Q145" s="3">
        <f>+IF(F145="Pasajero",'2.2 OPEX LAP 2023'!L146*'2.1 OPEX TUUA'!$Q$7,'2.2 OPEX LAP 2023'!L146*'2.1 OPEX TUUA'!$Q$8)</f>
        <v>536.17699991664119</v>
      </c>
      <c r="R145" s="3">
        <f>+IF(F145="Pasajero",'2.2 OPEX LAP 2023'!M146*'2.1 OPEX TUUA'!$R$7,'2.2 OPEX LAP 2023'!M146*'2.1 OPEX TUUA'!$R$8)</f>
        <v>539.05391578208673</v>
      </c>
      <c r="S145" s="3">
        <f>+IF(F145="Pasajero",'2.2 OPEX LAP 2023'!N146*'2.1 OPEX TUUA'!$S$7,'2.2 OPEX LAP 2023'!N146*'2.1 OPEX TUUA'!$S$8)</f>
        <v>539.39800273431968</v>
      </c>
      <c r="U145" s="1">
        <v>1138.9763992409148</v>
      </c>
      <c r="V145" s="1">
        <v>1336.0251059995896</v>
      </c>
      <c r="W145" s="1">
        <v>1501.9047825779644</v>
      </c>
      <c r="X145" s="1">
        <v>1591.2925894273676</v>
      </c>
      <c r="Y145" s="1">
        <v>1656.6029516483884</v>
      </c>
      <c r="Z145" s="1">
        <v>1729.1640271481658</v>
      </c>
      <c r="AA145" s="7">
        <f t="shared" si="15"/>
        <v>-21.121918013180675</v>
      </c>
      <c r="AB145" s="7">
        <f t="shared" si="16"/>
        <v>-24.776117197231997</v>
      </c>
      <c r="AC145" s="7">
        <f t="shared" si="17"/>
        <v>-27.852297644058126</v>
      </c>
      <c r="AD145" s="7">
        <f t="shared" si="18"/>
        <v>-29.509963183843865</v>
      </c>
      <c r="AE145" s="7">
        <f t="shared" si="19"/>
        <v>-30.72112095424427</v>
      </c>
      <c r="AF145" s="7">
        <f t="shared" si="20"/>
        <v>-32.066740660390678</v>
      </c>
    </row>
    <row r="146" spans="2:32" x14ac:dyDescent="0.25">
      <c r="B146" s="17">
        <v>6561000002</v>
      </c>
      <c r="C146" s="193" t="s">
        <v>13</v>
      </c>
      <c r="D146" s="193" t="s">
        <v>38</v>
      </c>
      <c r="E146" s="193" t="s">
        <v>151</v>
      </c>
      <c r="F146" s="163" t="s">
        <v>190</v>
      </c>
      <c r="G146" s="3">
        <f>+IF(F146="Pasajero",'2.2 OPEX LAP 2023'!I147*'2.1 OPEX TUUA'!$G$7,'2.2 OPEX LAP 2023'!I147*'2.1 OPEX TUUA'!$G$8)</f>
        <v>15136.439739750598</v>
      </c>
      <c r="H146" s="3">
        <f>+IF(F146="Pasajero",'2.2 OPEX LAP 2023'!J147*'2.1 OPEX TUUA'!$H$7,'2.2 OPEX LAP 2023'!J147*'2.1 OPEX TUUA'!$H$8)</f>
        <v>17755.120756878146</v>
      </c>
      <c r="I146" s="3">
        <f>+IF(F146="Pasajero",'2.2 OPEX LAP 2023'!K147*'2.1 OPEX TUUA'!$I$7,'2.2 OPEX LAP 2023'!K147*'2.1 OPEX TUUA'!$I$8)</f>
        <v>19959.580594896968</v>
      </c>
      <c r="J146" s="3">
        <f>+IF(F146="Pasajero",'2.2 OPEX LAP 2023'!L147*'2.1 OPEX TUUA'!$J$7,'2.2 OPEX LAP 2023'!L147*'2.1 OPEX TUUA'!$J$8)</f>
        <v>21147.500865015114</v>
      </c>
      <c r="K146" s="3">
        <f>+IF(F146="Pasajero",'2.2 OPEX LAP 2023'!M147*'2.1 OPEX TUUA'!$K$7,'2.2 OPEX LAP 2023'!M147*'2.1 OPEX TUUA'!$K$8)</f>
        <v>22015.443662423921</v>
      </c>
      <c r="L146" s="3">
        <f>+IF(F146="Pasajero",'2.2 OPEX LAP 2023'!N147*'2.1 OPEX TUUA'!$L$7,'2.2 OPEX LAP 2023'!N147*'2.1 OPEX TUUA'!$L$8)</f>
        <v>22979.744895957701</v>
      </c>
      <c r="M146" s="3"/>
      <c r="N146" s="3">
        <f>+IF(F146="Pasajero",'2.2 OPEX LAP 2023'!I147*'2.1 OPEX TUUA'!$N$7,'2.2 OPEX LAP 2023'!I147*'2.1 OPEX TUUA'!$N$8)</f>
        <v>7465.5527885964866</v>
      </c>
      <c r="O146" s="3">
        <f>+IF(F146="Pasajero",'2.2 OPEX LAP 2023'!J147*'2.1 OPEX TUUA'!$O$7,'2.2 OPEX LAP 2023'!J147*'2.1 OPEX TUUA'!$O$8)</f>
        <v>7353.5180875799579</v>
      </c>
      <c r="P146" s="3">
        <f>+IF(F146="Pasajero",'2.2 OPEX LAP 2023'!K147*'2.1 OPEX TUUA'!$P$7,'2.2 OPEX LAP 2023'!K147*'2.1 OPEX TUUA'!$P$8)</f>
        <v>7307.7748230539464</v>
      </c>
      <c r="Q146" s="3">
        <f>+IF(F146="Pasajero",'2.2 OPEX LAP 2023'!L147*'2.1 OPEX TUUA'!$Q$7,'2.2 OPEX LAP 2023'!L147*'2.1 OPEX TUUA'!$Q$8)</f>
        <v>7260.1675668598164</v>
      </c>
      <c r="R146" s="3">
        <f>+IF(F146="Pasajero",'2.2 OPEX LAP 2023'!M147*'2.1 OPEX TUUA'!$R$7,'2.2 OPEX LAP 2023'!M147*'2.1 OPEX TUUA'!$R$8)</f>
        <v>7299.1227836299113</v>
      </c>
      <c r="S146" s="3">
        <f>+IF(F146="Pasajero",'2.2 OPEX LAP 2023'!N147*'2.1 OPEX TUUA'!$S$7,'2.2 OPEX LAP 2023'!N147*'2.1 OPEX TUUA'!$S$8)</f>
        <v>7303.7819333718244</v>
      </c>
      <c r="U146" s="1">
        <v>15422.443548442519</v>
      </c>
      <c r="V146" s="1">
        <v>18090.604678299671</v>
      </c>
      <c r="W146" s="1">
        <v>20336.71789852871</v>
      </c>
      <c r="X146" s="1">
        <v>21547.083983350818</v>
      </c>
      <c r="Y146" s="1">
        <v>22431.426604631924</v>
      </c>
      <c r="Z146" s="1">
        <v>23413.948359652852</v>
      </c>
      <c r="AA146" s="7">
        <f t="shared" si="15"/>
        <v>-286.00380869192122</v>
      </c>
      <c r="AB146" s="7">
        <f t="shared" si="16"/>
        <v>-335.48392142152443</v>
      </c>
      <c r="AC146" s="7">
        <f t="shared" si="17"/>
        <v>-377.13730363174182</v>
      </c>
      <c r="AD146" s="7">
        <f t="shared" si="18"/>
        <v>-399.58311833570406</v>
      </c>
      <c r="AE146" s="7">
        <f t="shared" si="19"/>
        <v>-415.98294220800381</v>
      </c>
      <c r="AF146" s="7">
        <f t="shared" si="20"/>
        <v>-434.20346369515028</v>
      </c>
    </row>
    <row r="147" spans="2:32" x14ac:dyDescent="0.25">
      <c r="B147" s="17">
        <v>6561000003</v>
      </c>
      <c r="C147" s="193" t="s">
        <v>13</v>
      </c>
      <c r="D147" s="193" t="s">
        <v>38</v>
      </c>
      <c r="E147" s="193" t="s">
        <v>152</v>
      </c>
      <c r="F147" s="163" t="s">
        <v>190</v>
      </c>
      <c r="G147" s="3">
        <f>+IF(F147="Pasajero",'2.2 OPEX LAP 2023'!I148*'2.1 OPEX TUUA'!$G$7,'2.2 OPEX LAP 2023'!I148*'2.1 OPEX TUUA'!$G$8)</f>
        <v>1655.7384737925183</v>
      </c>
      <c r="H147" s="3">
        <f>+IF(F147="Pasajero",'2.2 OPEX LAP 2023'!J148*'2.1 OPEX TUUA'!$H$7,'2.2 OPEX LAP 2023'!J148*'2.1 OPEX TUUA'!$H$8)</f>
        <v>1942.1896462740892</v>
      </c>
      <c r="I147" s="3">
        <f>+IF(F147="Pasajero",'2.2 OPEX LAP 2023'!K148*'2.1 OPEX TUUA'!$I$7,'2.2 OPEX LAP 2023'!K148*'2.1 OPEX TUUA'!$I$8)</f>
        <v>2183.3301674597092</v>
      </c>
      <c r="J147" s="3">
        <f>+IF(F147="Pasajero",'2.2 OPEX LAP 2023'!L148*'2.1 OPEX TUUA'!$J$7,'2.2 OPEX LAP 2023'!L148*'2.1 OPEX TUUA'!$J$8)</f>
        <v>2313.2738879679914</v>
      </c>
      <c r="K147" s="3">
        <f>+IF(F147="Pasajero",'2.2 OPEX LAP 2023'!M148*'2.1 OPEX TUUA'!$K$7,'2.2 OPEX LAP 2023'!M148*'2.1 OPEX TUUA'!$K$8)</f>
        <v>2408.2160479097943</v>
      </c>
      <c r="L147" s="3">
        <f>+IF(F147="Pasajero",'2.2 OPEX LAP 2023'!N148*'2.1 OPEX TUUA'!$L$7,'2.2 OPEX LAP 2023'!N148*'2.1 OPEX TUUA'!$L$8)</f>
        <v>2513.6986237426349</v>
      </c>
      <c r="M147" s="3"/>
      <c r="N147" s="3">
        <f>+IF(F147="Pasajero",'2.2 OPEX LAP 2023'!I148*'2.1 OPEX TUUA'!$N$7,'2.2 OPEX LAP 2023'!I148*'2.1 OPEX TUUA'!$N$8)</f>
        <v>816.63873359508364</v>
      </c>
      <c r="O147" s="3">
        <f>+IF(F147="Pasajero",'2.2 OPEX LAP 2023'!J148*'2.1 OPEX TUUA'!$O$7,'2.2 OPEX LAP 2023'!J148*'2.1 OPEX TUUA'!$O$8)</f>
        <v>804.38352906467105</v>
      </c>
      <c r="P147" s="3">
        <f>+IF(F147="Pasajero",'2.2 OPEX LAP 2023'!K148*'2.1 OPEX TUUA'!$P$7,'2.2 OPEX LAP 2023'!K148*'2.1 OPEX TUUA'!$P$8)</f>
        <v>799.37978417519855</v>
      </c>
      <c r="Q147" s="3">
        <f>+IF(F147="Pasajero",'2.2 OPEX LAP 2023'!L148*'2.1 OPEX TUUA'!$Q$7,'2.2 OPEX LAP 2023'!L148*'2.1 OPEX TUUA'!$Q$8)</f>
        <v>794.17214175283198</v>
      </c>
      <c r="R147" s="3">
        <f>+IF(F147="Pasajero",'2.2 OPEX LAP 2023'!M148*'2.1 OPEX TUUA'!$R$7,'2.2 OPEX LAP 2023'!M148*'2.1 OPEX TUUA'!$R$8)</f>
        <v>798.43335854291956</v>
      </c>
      <c r="S147" s="3">
        <f>+IF(F147="Pasajero",'2.2 OPEX LAP 2023'!N148*'2.1 OPEX TUUA'!$S$7,'2.2 OPEX LAP 2023'!N148*'2.1 OPEX TUUA'!$S$8)</f>
        <v>798.94301164599278</v>
      </c>
      <c r="U147" s="1">
        <v>1687.0237375562817</v>
      </c>
      <c r="V147" s="1">
        <v>1978.8874196994773</v>
      </c>
      <c r="W147" s="1">
        <v>2224.5843034561394</v>
      </c>
      <c r="X147" s="1">
        <v>2356.9833172579547</v>
      </c>
      <c r="Y147" s="1">
        <v>2453.7194142031522</v>
      </c>
      <c r="Z147" s="1">
        <v>2561.195088740677</v>
      </c>
      <c r="AA147" s="7">
        <f t="shared" si="15"/>
        <v>-31.285263763763396</v>
      </c>
      <c r="AB147" s="7">
        <f t="shared" si="16"/>
        <v>-36.69777342538805</v>
      </c>
      <c r="AC147" s="7">
        <f t="shared" si="17"/>
        <v>-41.25413599643025</v>
      </c>
      <c r="AD147" s="7">
        <f t="shared" si="18"/>
        <v>-43.709429289963282</v>
      </c>
      <c r="AE147" s="7">
        <f t="shared" si="19"/>
        <v>-45.503366293357885</v>
      </c>
      <c r="AF147" s="7">
        <f t="shared" si="20"/>
        <v>-47.496464998042029</v>
      </c>
    </row>
    <row r="148" spans="2:32" x14ac:dyDescent="0.25">
      <c r="B148" s="17">
        <v>6561000004</v>
      </c>
      <c r="C148" s="193" t="s">
        <v>13</v>
      </c>
      <c r="D148" s="193" t="s">
        <v>38</v>
      </c>
      <c r="E148" s="193" t="s">
        <v>153</v>
      </c>
      <c r="F148" s="163" t="s">
        <v>190</v>
      </c>
      <c r="G148" s="3">
        <f>+IF(F148="Pasajero",'2.2 OPEX LAP 2023'!I149*'2.1 OPEX TUUA'!$G$7,'2.2 OPEX LAP 2023'!I149*'2.1 OPEX TUUA'!$G$8)</f>
        <v>364.37705151282711</v>
      </c>
      <c r="H148" s="3">
        <f>+IF(F148="Pasajero",'2.2 OPEX LAP 2023'!J149*'2.1 OPEX TUUA'!$H$7,'2.2 OPEX LAP 2023'!J149*'2.1 OPEX TUUA'!$H$8)</f>
        <v>427.4161336404232</v>
      </c>
      <c r="I148" s="3">
        <f>+IF(F148="Pasajero",'2.2 OPEX LAP 2023'!K149*'2.1 OPEX TUUA'!$I$7,'2.2 OPEX LAP 2023'!K149*'2.1 OPEX TUUA'!$I$8)</f>
        <v>480.48373670736328</v>
      </c>
      <c r="J148" s="3">
        <f>+IF(F148="Pasajero",'2.2 OPEX LAP 2023'!L149*'2.1 OPEX TUUA'!$J$7,'2.2 OPEX LAP 2023'!L149*'2.1 OPEX TUUA'!$J$8)</f>
        <v>509.0803481232723</v>
      </c>
      <c r="K148" s="3">
        <f>+IF(F148="Pasajero",'2.2 OPEX LAP 2023'!M149*'2.1 OPEX TUUA'!$K$7,'2.2 OPEX LAP 2023'!M149*'2.1 OPEX TUUA'!$K$8)</f>
        <v>529.9741938914467</v>
      </c>
      <c r="L148" s="3">
        <f>+IF(F148="Pasajero",'2.2 OPEX LAP 2023'!N149*'2.1 OPEX TUUA'!$L$7,'2.2 OPEX LAP 2023'!N149*'2.1 OPEX TUUA'!$L$8)</f>
        <v>553.18766061720999</v>
      </c>
      <c r="M148" s="3"/>
      <c r="N148" s="3">
        <f>+IF(F148="Pasajero",'2.2 OPEX LAP 2023'!I149*'2.1 OPEX TUUA'!$N$7,'2.2 OPEX LAP 2023'!I149*'2.1 OPEX TUUA'!$N$8)</f>
        <v>179.71703781030439</v>
      </c>
      <c r="O148" s="3">
        <f>+IF(F148="Pasajero",'2.2 OPEX LAP 2023'!J149*'2.1 OPEX TUUA'!$O$7,'2.2 OPEX LAP 2023'!J149*'2.1 OPEX TUUA'!$O$8)</f>
        <v>177.02004467814024</v>
      </c>
      <c r="P148" s="3">
        <f>+IF(F148="Pasajero",'2.2 OPEX LAP 2023'!K149*'2.1 OPEX TUUA'!$P$7,'2.2 OPEX LAP 2023'!K149*'2.1 OPEX TUUA'!$P$8)</f>
        <v>175.91887451255715</v>
      </c>
      <c r="Q148" s="3">
        <f>+IF(F148="Pasajero",'2.2 OPEX LAP 2023'!L149*'2.1 OPEX TUUA'!$Q$7,'2.2 OPEX LAP 2023'!L149*'2.1 OPEX TUUA'!$Q$8)</f>
        <v>174.77283277877498</v>
      </c>
      <c r="R148" s="3">
        <f>+IF(F148="Pasajero",'2.2 OPEX LAP 2023'!M149*'2.1 OPEX TUUA'!$R$7,'2.2 OPEX LAP 2023'!M149*'2.1 OPEX TUUA'!$R$8)</f>
        <v>175.71059537498536</v>
      </c>
      <c r="S148" s="3">
        <f>+IF(F148="Pasajero",'2.2 OPEX LAP 2023'!N149*'2.1 OPEX TUUA'!$S$7,'2.2 OPEX LAP 2023'!N149*'2.1 OPEX TUUA'!$S$8)</f>
        <v>175.82275432878851</v>
      </c>
      <c r="U148" s="1">
        <v>371.26197467338517</v>
      </c>
      <c r="V148" s="1">
        <v>435.49218350547221</v>
      </c>
      <c r="W148" s="1">
        <v>489.56250166633481</v>
      </c>
      <c r="X148" s="1">
        <v>518.69944752820697</v>
      </c>
      <c r="Y148" s="1">
        <v>539.98808358859435</v>
      </c>
      <c r="Z148" s="1">
        <v>563.64016996406804</v>
      </c>
      <c r="AA148" s="7">
        <f t="shared" si="15"/>
        <v>-6.8849231605580599</v>
      </c>
      <c r="AB148" s="7">
        <f t="shared" si="16"/>
        <v>-8.0760498650490149</v>
      </c>
      <c r="AC148" s="7">
        <f t="shared" si="17"/>
        <v>-9.0787649589715329</v>
      </c>
      <c r="AD148" s="7">
        <f t="shared" si="18"/>
        <v>-9.6190994049346727</v>
      </c>
      <c r="AE148" s="7">
        <f t="shared" si="19"/>
        <v>-10.013889697147647</v>
      </c>
      <c r="AF148" s="7">
        <f t="shared" si="20"/>
        <v>-10.452509346858051</v>
      </c>
    </row>
    <row r="149" spans="2:32" x14ac:dyDescent="0.25">
      <c r="B149" s="17">
        <v>6561000005</v>
      </c>
      <c r="C149" s="193" t="s">
        <v>13</v>
      </c>
      <c r="D149" s="193" t="s">
        <v>38</v>
      </c>
      <c r="E149" s="193" t="s">
        <v>154</v>
      </c>
      <c r="F149" s="163" t="s">
        <v>190</v>
      </c>
      <c r="G149" s="3">
        <f>+IF(F149="Pasajero",'2.2 OPEX LAP 2023'!I150*'2.1 OPEX TUUA'!$G$7,'2.2 OPEX LAP 2023'!I150*'2.1 OPEX TUUA'!$G$8)</f>
        <v>2.5325004953121439</v>
      </c>
      <c r="H149" s="3">
        <f>+IF(F149="Pasajero",'2.2 OPEX LAP 2023'!J150*'2.1 OPEX TUUA'!$H$7,'2.2 OPEX LAP 2023'!J150*'2.1 OPEX TUUA'!$H$8)</f>
        <v>2.9706359543080847</v>
      </c>
      <c r="I149" s="3">
        <f>+IF(F149="Pasajero",'2.2 OPEX LAP 2023'!K150*'2.1 OPEX TUUA'!$I$7,'2.2 OPEX LAP 2023'!K150*'2.1 OPEX TUUA'!$I$8)</f>
        <v>3.3394674449139714</v>
      </c>
      <c r="J149" s="3">
        <f>+IF(F149="Pasajero",'2.2 OPEX LAP 2023'!L150*'2.1 OPEX TUUA'!$J$7,'2.2 OPEX LAP 2023'!L150*'2.1 OPEX TUUA'!$J$8)</f>
        <v>3.5382201717236321</v>
      </c>
      <c r="K149" s="3">
        <f>+IF(F149="Pasajero",'2.2 OPEX LAP 2023'!M150*'2.1 OPEX TUUA'!$K$7,'2.2 OPEX LAP 2023'!M150*'2.1 OPEX TUUA'!$K$8)</f>
        <v>3.6834369863863268</v>
      </c>
      <c r="L149" s="3">
        <f>+IF(F149="Pasajero",'2.2 OPEX LAP 2023'!N150*'2.1 OPEX TUUA'!$L$7,'2.2 OPEX LAP 2023'!N150*'2.1 OPEX TUUA'!$L$8)</f>
        <v>3.8447756759026666</v>
      </c>
      <c r="M149" s="3"/>
      <c r="N149" s="3">
        <f>+IF(F149="Pasajero",'2.2 OPEX LAP 2023'!I150*'2.1 OPEX TUUA'!$N$7,'2.2 OPEX LAP 2023'!I150*'2.1 OPEX TUUA'!$N$8)</f>
        <v>1.2490728638946824</v>
      </c>
      <c r="O149" s="3">
        <f>+IF(F149="Pasajero",'2.2 OPEX LAP 2023'!J150*'2.1 OPEX TUUA'!$O$7,'2.2 OPEX LAP 2023'!J150*'2.1 OPEX TUUA'!$O$8)</f>
        <v>1.2303281695877779</v>
      </c>
      <c r="P149" s="3">
        <f>+IF(F149="Pasajero",'2.2 OPEX LAP 2023'!K150*'2.1 OPEX TUUA'!$P$7,'2.2 OPEX LAP 2023'!K150*'2.1 OPEX TUUA'!$P$8)</f>
        <v>1.2226747952103745</v>
      </c>
      <c r="Q149" s="3">
        <f>+IF(F149="Pasajero",'2.2 OPEX LAP 2023'!L150*'2.1 OPEX TUUA'!$Q$7,'2.2 OPEX LAP 2023'!L150*'2.1 OPEX TUUA'!$Q$8)</f>
        <v>1.2147095535838732</v>
      </c>
      <c r="R149" s="3">
        <f>+IF(F149="Pasajero",'2.2 OPEX LAP 2023'!M150*'2.1 OPEX TUUA'!$R$7,'2.2 OPEX LAP 2023'!M150*'2.1 OPEX TUUA'!$R$8)</f>
        <v>1.2212272094832441</v>
      </c>
      <c r="S149" s="3">
        <f>+IF(F149="Pasajero",'2.2 OPEX LAP 2023'!N150*'2.1 OPEX TUUA'!$S$7,'2.2 OPEX LAP 2023'!N150*'2.1 OPEX TUUA'!$S$8)</f>
        <v>1.222006738833078</v>
      </c>
      <c r="U149" s="1">
        <v>2.5803522226421389</v>
      </c>
      <c r="V149" s="1">
        <v>3.0267662737079664</v>
      </c>
      <c r="W149" s="1">
        <v>3.4025668543305612</v>
      </c>
      <c r="X149" s="1">
        <v>3.6050750241527676</v>
      </c>
      <c r="Y149" s="1">
        <v>3.7530357180098917</v>
      </c>
      <c r="Z149" s="1">
        <v>3.9174229103765978</v>
      </c>
      <c r="AA149" s="7">
        <f t="shared" si="15"/>
        <v>-4.7851727329994986E-2</v>
      </c>
      <c r="AB149" s="7">
        <f t="shared" si="16"/>
        <v>-5.6130319399881667E-2</v>
      </c>
      <c r="AC149" s="7">
        <f t="shared" si="17"/>
        <v>-6.3099409416589758E-2</v>
      </c>
      <c r="AD149" s="7">
        <f t="shared" si="18"/>
        <v>-6.685485242913547E-2</v>
      </c>
      <c r="AE149" s="7">
        <f t="shared" si="19"/>
        <v>-6.9598731623564891E-2</v>
      </c>
      <c r="AF149" s="7">
        <f t="shared" si="20"/>
        <v>-7.2647234473931288E-2</v>
      </c>
    </row>
    <row r="150" spans="2:32" x14ac:dyDescent="0.25">
      <c r="B150" s="17">
        <v>6562000001</v>
      </c>
      <c r="C150" s="193" t="s">
        <v>13</v>
      </c>
      <c r="D150" s="193" t="s">
        <v>38</v>
      </c>
      <c r="E150" s="193" t="s">
        <v>155</v>
      </c>
      <c r="F150" s="163" t="s">
        <v>190</v>
      </c>
      <c r="G150" s="3">
        <f>+IF(F150="Pasajero",'2.2 OPEX LAP 2023'!I151*'2.1 OPEX TUUA'!$G$7,'2.2 OPEX LAP 2023'!I151*'2.1 OPEX TUUA'!$G$8)</f>
        <v>0</v>
      </c>
      <c r="H150" s="3">
        <f>+IF(F150="Pasajero",'2.2 OPEX LAP 2023'!J151*'2.1 OPEX TUUA'!$H$7,'2.2 OPEX LAP 2023'!J151*'2.1 OPEX TUUA'!$H$8)</f>
        <v>0</v>
      </c>
      <c r="I150" s="3">
        <f>+IF(F150="Pasajero",'2.2 OPEX LAP 2023'!K151*'2.1 OPEX TUUA'!$I$7,'2.2 OPEX LAP 2023'!K151*'2.1 OPEX TUUA'!$I$8)</f>
        <v>0</v>
      </c>
      <c r="J150" s="3">
        <f>+IF(F150="Pasajero",'2.2 OPEX LAP 2023'!L151*'2.1 OPEX TUUA'!$J$7,'2.2 OPEX LAP 2023'!L151*'2.1 OPEX TUUA'!$J$8)</f>
        <v>0</v>
      </c>
      <c r="K150" s="3">
        <f>+IF(F150="Pasajero",'2.2 OPEX LAP 2023'!M151*'2.1 OPEX TUUA'!$K$7,'2.2 OPEX LAP 2023'!M151*'2.1 OPEX TUUA'!$K$8)</f>
        <v>0</v>
      </c>
      <c r="L150" s="3">
        <f>+IF(F150="Pasajero",'2.2 OPEX LAP 2023'!N151*'2.1 OPEX TUUA'!$L$7,'2.2 OPEX LAP 2023'!N151*'2.1 OPEX TUUA'!$L$8)</f>
        <v>0</v>
      </c>
      <c r="M150" s="3"/>
      <c r="N150" s="3">
        <f>+IF(F150="Pasajero",'2.2 OPEX LAP 2023'!I151*'2.1 OPEX TUUA'!$N$7,'2.2 OPEX LAP 2023'!I151*'2.1 OPEX TUUA'!$N$8)</f>
        <v>0</v>
      </c>
      <c r="O150" s="3">
        <f>+IF(F150="Pasajero",'2.2 OPEX LAP 2023'!J151*'2.1 OPEX TUUA'!$O$7,'2.2 OPEX LAP 2023'!J151*'2.1 OPEX TUUA'!$O$8)</f>
        <v>0</v>
      </c>
      <c r="P150" s="3">
        <f>+IF(F150="Pasajero",'2.2 OPEX LAP 2023'!K151*'2.1 OPEX TUUA'!$P$7,'2.2 OPEX LAP 2023'!K151*'2.1 OPEX TUUA'!$P$8)</f>
        <v>0</v>
      </c>
      <c r="Q150" s="3">
        <f>+IF(F150="Pasajero",'2.2 OPEX LAP 2023'!L151*'2.1 OPEX TUUA'!$Q$7,'2.2 OPEX LAP 2023'!L151*'2.1 OPEX TUUA'!$Q$8)</f>
        <v>0</v>
      </c>
      <c r="R150" s="3">
        <f>+IF(F150="Pasajero",'2.2 OPEX LAP 2023'!M151*'2.1 OPEX TUUA'!$R$7,'2.2 OPEX LAP 2023'!M151*'2.1 OPEX TUUA'!$R$8)</f>
        <v>0</v>
      </c>
      <c r="S150" s="3">
        <f>+IF(F150="Pasajero",'2.2 OPEX LAP 2023'!N151*'2.1 OPEX TUUA'!$S$7,'2.2 OPEX LAP 2023'!N151*'2.1 OPEX TUUA'!$S$8)</f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7">
        <f t="shared" si="15"/>
        <v>0</v>
      </c>
      <c r="AB150" s="7">
        <f t="shared" si="16"/>
        <v>0</v>
      </c>
      <c r="AC150" s="7">
        <f t="shared" si="17"/>
        <v>0</v>
      </c>
      <c r="AD150" s="7">
        <f t="shared" si="18"/>
        <v>0</v>
      </c>
      <c r="AE150" s="7">
        <f t="shared" si="19"/>
        <v>0</v>
      </c>
      <c r="AF150" s="7">
        <f t="shared" si="20"/>
        <v>0</v>
      </c>
    </row>
    <row r="151" spans="2:32" x14ac:dyDescent="0.25">
      <c r="B151" s="17">
        <v>6562000002</v>
      </c>
      <c r="C151" s="193" t="s">
        <v>13</v>
      </c>
      <c r="D151" s="193" t="s">
        <v>38</v>
      </c>
      <c r="E151" s="193" t="s">
        <v>156</v>
      </c>
      <c r="F151" s="163" t="s">
        <v>190</v>
      </c>
      <c r="G151" s="3">
        <f>+IF(F151="Pasajero",'2.2 OPEX LAP 2023'!I152*'2.1 OPEX TUUA'!$G$7,'2.2 OPEX LAP 2023'!I152*'2.1 OPEX TUUA'!$G$8)</f>
        <v>0</v>
      </c>
      <c r="H151" s="3">
        <f>+IF(F151="Pasajero",'2.2 OPEX LAP 2023'!J152*'2.1 OPEX TUUA'!$H$7,'2.2 OPEX LAP 2023'!J152*'2.1 OPEX TUUA'!$H$8)</f>
        <v>0</v>
      </c>
      <c r="I151" s="3">
        <f>+IF(F151="Pasajero",'2.2 OPEX LAP 2023'!K152*'2.1 OPEX TUUA'!$I$7,'2.2 OPEX LAP 2023'!K152*'2.1 OPEX TUUA'!$I$8)</f>
        <v>0</v>
      </c>
      <c r="J151" s="3">
        <f>+IF(F151="Pasajero",'2.2 OPEX LAP 2023'!L152*'2.1 OPEX TUUA'!$J$7,'2.2 OPEX LAP 2023'!L152*'2.1 OPEX TUUA'!$J$8)</f>
        <v>0</v>
      </c>
      <c r="K151" s="3">
        <f>+IF(F151="Pasajero",'2.2 OPEX LAP 2023'!M152*'2.1 OPEX TUUA'!$K$7,'2.2 OPEX LAP 2023'!M152*'2.1 OPEX TUUA'!$K$8)</f>
        <v>0</v>
      </c>
      <c r="L151" s="3">
        <f>+IF(F151="Pasajero",'2.2 OPEX LAP 2023'!N152*'2.1 OPEX TUUA'!$L$7,'2.2 OPEX LAP 2023'!N152*'2.1 OPEX TUUA'!$L$8)</f>
        <v>0</v>
      </c>
      <c r="M151" s="3"/>
      <c r="N151" s="3">
        <f>+IF(F151="Pasajero",'2.2 OPEX LAP 2023'!I152*'2.1 OPEX TUUA'!$N$7,'2.2 OPEX LAP 2023'!I152*'2.1 OPEX TUUA'!$N$8)</f>
        <v>0</v>
      </c>
      <c r="O151" s="3">
        <f>+IF(F151="Pasajero",'2.2 OPEX LAP 2023'!J152*'2.1 OPEX TUUA'!$O$7,'2.2 OPEX LAP 2023'!J152*'2.1 OPEX TUUA'!$O$8)</f>
        <v>0</v>
      </c>
      <c r="P151" s="3">
        <f>+IF(F151="Pasajero",'2.2 OPEX LAP 2023'!K152*'2.1 OPEX TUUA'!$P$7,'2.2 OPEX LAP 2023'!K152*'2.1 OPEX TUUA'!$P$8)</f>
        <v>0</v>
      </c>
      <c r="Q151" s="3">
        <f>+IF(F151="Pasajero",'2.2 OPEX LAP 2023'!L152*'2.1 OPEX TUUA'!$Q$7,'2.2 OPEX LAP 2023'!L152*'2.1 OPEX TUUA'!$Q$8)</f>
        <v>0</v>
      </c>
      <c r="R151" s="3">
        <f>+IF(F151="Pasajero",'2.2 OPEX LAP 2023'!M152*'2.1 OPEX TUUA'!$R$7,'2.2 OPEX LAP 2023'!M152*'2.1 OPEX TUUA'!$R$8)</f>
        <v>0</v>
      </c>
      <c r="S151" s="3">
        <f>+IF(F151="Pasajero",'2.2 OPEX LAP 2023'!N152*'2.1 OPEX TUUA'!$S$7,'2.2 OPEX LAP 2023'!N152*'2.1 OPEX TUUA'!$S$8)</f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7">
        <f t="shared" si="15"/>
        <v>0</v>
      </c>
      <c r="AB151" s="7">
        <f t="shared" si="16"/>
        <v>0</v>
      </c>
      <c r="AC151" s="7">
        <f t="shared" si="17"/>
        <v>0</v>
      </c>
      <c r="AD151" s="7">
        <f t="shared" si="18"/>
        <v>0</v>
      </c>
      <c r="AE151" s="7">
        <f t="shared" si="19"/>
        <v>0</v>
      </c>
      <c r="AF151" s="7">
        <f t="shared" si="20"/>
        <v>0</v>
      </c>
    </row>
    <row r="152" spans="2:32" x14ac:dyDescent="0.25">
      <c r="B152" s="17">
        <v>6562000003</v>
      </c>
      <c r="C152" s="193" t="s">
        <v>13</v>
      </c>
      <c r="D152" s="193" t="s">
        <v>38</v>
      </c>
      <c r="E152" s="193" t="s">
        <v>157</v>
      </c>
      <c r="F152" s="163" t="s">
        <v>190</v>
      </c>
      <c r="G152" s="3">
        <f>+IF(F152="Pasajero",'2.2 OPEX LAP 2023'!I153*'2.1 OPEX TUUA'!$G$7,'2.2 OPEX LAP 2023'!I153*'2.1 OPEX TUUA'!$G$8)</f>
        <v>1.0447276838945267</v>
      </c>
      <c r="H152" s="3">
        <f>+IF(F152="Pasajero",'2.2 OPEX LAP 2023'!J153*'2.1 OPEX TUUA'!$H$7,'2.2 OPEX LAP 2023'!J153*'2.1 OPEX TUUA'!$H$8)</f>
        <v>1.2254708838094694</v>
      </c>
      <c r="I152" s="3">
        <f>+IF(F152="Pasajero",'2.2 OPEX LAP 2023'!K153*'2.1 OPEX TUUA'!$I$7,'2.2 OPEX LAP 2023'!K153*'2.1 OPEX TUUA'!$I$8)</f>
        <v>1.3776242475072562</v>
      </c>
      <c r="J152" s="3">
        <f>+IF(F152="Pasajero",'2.2 OPEX LAP 2023'!L153*'2.1 OPEX TUUA'!$J$7,'2.2 OPEX LAP 2023'!L153*'2.1 OPEX TUUA'!$J$8)</f>
        <v>1.4596153374722693</v>
      </c>
      <c r="K152" s="3">
        <f>+IF(F152="Pasajero",'2.2 OPEX LAP 2023'!M153*'2.1 OPEX TUUA'!$K$7,'2.2 OPEX LAP 2023'!M153*'2.1 OPEX TUUA'!$K$8)</f>
        <v>1.5195213579156723</v>
      </c>
      <c r="L152" s="3">
        <f>+IF(F152="Pasajero",'2.2 OPEX LAP 2023'!N153*'2.1 OPEX TUUA'!$L$7,'2.2 OPEX LAP 2023'!N153*'2.1 OPEX TUUA'!$L$8)</f>
        <v>1.5860781051830442</v>
      </c>
      <c r="M152" s="3"/>
      <c r="N152" s="3">
        <f>+IF(F152="Pasajero",'2.2 OPEX LAP 2023'!I153*'2.1 OPEX TUUA'!$N$7,'2.2 OPEX LAP 2023'!I153*'2.1 OPEX TUUA'!$N$8)</f>
        <v>0.51527768801141105</v>
      </c>
      <c r="O152" s="3">
        <f>+IF(F152="Pasajero",'2.2 OPEX LAP 2023'!J153*'2.1 OPEX TUUA'!$O$7,'2.2 OPEX LAP 2023'!J153*'2.1 OPEX TUUA'!$O$8)</f>
        <v>0.50754497439306701</v>
      </c>
      <c r="P152" s="3">
        <f>+IF(F152="Pasajero",'2.2 OPEX LAP 2023'!K153*'2.1 OPEX TUUA'!$P$7,'2.2 OPEX LAP 2023'!K153*'2.1 OPEX TUUA'!$P$8)</f>
        <v>0.50438774220216198</v>
      </c>
      <c r="Q152" s="3">
        <f>+IF(F152="Pasajero",'2.2 OPEX LAP 2023'!L153*'2.1 OPEX TUUA'!$Q$7,'2.2 OPEX LAP 2023'!L153*'2.1 OPEX TUUA'!$Q$8)</f>
        <v>0.50110185599936807</v>
      </c>
      <c r="R152" s="3">
        <f>+IF(F152="Pasajero",'2.2 OPEX LAP 2023'!M153*'2.1 OPEX TUUA'!$R$7,'2.2 OPEX LAP 2023'!M153*'2.1 OPEX TUUA'!$R$8)</f>
        <v>0.5037905723746563</v>
      </c>
      <c r="S152" s="3">
        <f>+IF(F152="Pasajero",'2.2 OPEX LAP 2023'!N153*'2.1 OPEX TUUA'!$S$7,'2.2 OPEX LAP 2023'!N153*'2.1 OPEX TUUA'!$S$8)</f>
        <v>0.50411215015664967</v>
      </c>
      <c r="U152" s="1">
        <v>1.0644678673047008</v>
      </c>
      <c r="V152" s="1">
        <v>1.2486262192936868</v>
      </c>
      <c r="W152" s="1">
        <v>1.4036545286372835</v>
      </c>
      <c r="X152" s="1">
        <v>1.4871948444712577</v>
      </c>
      <c r="Y152" s="1">
        <v>1.5482327922572174</v>
      </c>
      <c r="Z152" s="1">
        <v>1.6160471326931216</v>
      </c>
      <c r="AA152" s="7">
        <f t="shared" si="15"/>
        <v>-1.9740183410174028E-2</v>
      </c>
      <c r="AB152" s="7">
        <f t="shared" si="16"/>
        <v>-2.3155335484217332E-2</v>
      </c>
      <c r="AC152" s="7">
        <f t="shared" si="17"/>
        <v>-2.6030281130027255E-2</v>
      </c>
      <c r="AD152" s="7">
        <f t="shared" si="18"/>
        <v>-2.7579506998988368E-2</v>
      </c>
      <c r="AE152" s="7">
        <f t="shared" si="19"/>
        <v>-2.8711434341545106E-2</v>
      </c>
      <c r="AF152" s="7">
        <f t="shared" si="20"/>
        <v>-2.9969027510077462E-2</v>
      </c>
    </row>
    <row r="153" spans="2:32" x14ac:dyDescent="0.25">
      <c r="B153" s="17">
        <v>6562000004</v>
      </c>
      <c r="C153" s="193" t="s">
        <v>13</v>
      </c>
      <c r="D153" s="193" t="s">
        <v>38</v>
      </c>
      <c r="E153" s="193" t="s">
        <v>158</v>
      </c>
      <c r="F153" s="163" t="s">
        <v>190</v>
      </c>
      <c r="G153" s="3">
        <f>+IF(F153="Pasajero",'2.2 OPEX LAP 2023'!I154*'2.1 OPEX TUUA'!$G$7,'2.2 OPEX LAP 2023'!I154*'2.1 OPEX TUUA'!$G$8)</f>
        <v>0</v>
      </c>
      <c r="H153" s="3">
        <f>+IF(F153="Pasajero",'2.2 OPEX LAP 2023'!J154*'2.1 OPEX TUUA'!$H$7,'2.2 OPEX LAP 2023'!J154*'2.1 OPEX TUUA'!$H$8)</f>
        <v>0</v>
      </c>
      <c r="I153" s="3">
        <f>+IF(F153="Pasajero",'2.2 OPEX LAP 2023'!K154*'2.1 OPEX TUUA'!$I$7,'2.2 OPEX LAP 2023'!K154*'2.1 OPEX TUUA'!$I$8)</f>
        <v>0</v>
      </c>
      <c r="J153" s="3">
        <f>+IF(F153="Pasajero",'2.2 OPEX LAP 2023'!L154*'2.1 OPEX TUUA'!$J$7,'2.2 OPEX LAP 2023'!L154*'2.1 OPEX TUUA'!$J$8)</f>
        <v>0</v>
      </c>
      <c r="K153" s="3">
        <f>+IF(F153="Pasajero",'2.2 OPEX LAP 2023'!M154*'2.1 OPEX TUUA'!$K$7,'2.2 OPEX LAP 2023'!M154*'2.1 OPEX TUUA'!$K$8)</f>
        <v>0</v>
      </c>
      <c r="L153" s="3">
        <f>+IF(F153="Pasajero",'2.2 OPEX LAP 2023'!N154*'2.1 OPEX TUUA'!$L$7,'2.2 OPEX LAP 2023'!N154*'2.1 OPEX TUUA'!$L$8)</f>
        <v>0</v>
      </c>
      <c r="M153" s="3"/>
      <c r="N153" s="3">
        <f>+IF(F153="Pasajero",'2.2 OPEX LAP 2023'!I154*'2.1 OPEX TUUA'!$N$7,'2.2 OPEX LAP 2023'!I154*'2.1 OPEX TUUA'!$N$8)</f>
        <v>0</v>
      </c>
      <c r="O153" s="3">
        <f>+IF(F153="Pasajero",'2.2 OPEX LAP 2023'!J154*'2.1 OPEX TUUA'!$O$7,'2.2 OPEX LAP 2023'!J154*'2.1 OPEX TUUA'!$O$8)</f>
        <v>0</v>
      </c>
      <c r="P153" s="3">
        <f>+IF(F153="Pasajero",'2.2 OPEX LAP 2023'!K154*'2.1 OPEX TUUA'!$P$7,'2.2 OPEX LAP 2023'!K154*'2.1 OPEX TUUA'!$P$8)</f>
        <v>0</v>
      </c>
      <c r="Q153" s="3">
        <f>+IF(F153="Pasajero",'2.2 OPEX LAP 2023'!L154*'2.1 OPEX TUUA'!$Q$7,'2.2 OPEX LAP 2023'!L154*'2.1 OPEX TUUA'!$Q$8)</f>
        <v>0</v>
      </c>
      <c r="R153" s="3">
        <f>+IF(F153="Pasajero",'2.2 OPEX LAP 2023'!M154*'2.1 OPEX TUUA'!$R$7,'2.2 OPEX LAP 2023'!M154*'2.1 OPEX TUUA'!$R$8)</f>
        <v>0</v>
      </c>
      <c r="S153" s="3">
        <f>+IF(F153="Pasajero",'2.2 OPEX LAP 2023'!N154*'2.1 OPEX TUUA'!$S$7,'2.2 OPEX LAP 2023'!N154*'2.1 OPEX TUUA'!$S$8)</f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7">
        <f t="shared" si="15"/>
        <v>0</v>
      </c>
      <c r="AB153" s="7">
        <f t="shared" si="16"/>
        <v>0</v>
      </c>
      <c r="AC153" s="7">
        <f t="shared" si="17"/>
        <v>0</v>
      </c>
      <c r="AD153" s="7">
        <f t="shared" si="18"/>
        <v>0</v>
      </c>
      <c r="AE153" s="7">
        <f t="shared" si="19"/>
        <v>0</v>
      </c>
      <c r="AF153" s="7">
        <f t="shared" si="20"/>
        <v>0</v>
      </c>
    </row>
    <row r="154" spans="2:32" x14ac:dyDescent="0.25">
      <c r="B154" s="17">
        <v>6562000005</v>
      </c>
      <c r="C154" s="193" t="s">
        <v>13</v>
      </c>
      <c r="D154" s="193" t="s">
        <v>38</v>
      </c>
      <c r="E154" s="193" t="s">
        <v>159</v>
      </c>
      <c r="F154" s="163" t="s">
        <v>190</v>
      </c>
      <c r="G154" s="3">
        <f>+IF(F154="Pasajero",'2.2 OPEX LAP 2023'!I155*'2.1 OPEX TUUA'!$G$7,'2.2 OPEX LAP 2023'!I155*'2.1 OPEX TUUA'!$G$8)</f>
        <v>8.7720830953333308E-4</v>
      </c>
      <c r="H154" s="3">
        <f>+IF(F154="Pasajero",'2.2 OPEX LAP 2023'!J155*'2.1 OPEX TUUA'!$H$7,'2.2 OPEX LAP 2023'!J155*'2.1 OPEX TUUA'!$H$8)</f>
        <v>1.0289698061426628E-3</v>
      </c>
      <c r="I154" s="3">
        <f>+IF(F154="Pasajero",'2.2 OPEX LAP 2023'!K155*'2.1 OPEX TUUA'!$I$7,'2.2 OPEX LAP 2023'!K155*'2.1 OPEX TUUA'!$I$8)</f>
        <v>1.1567257726176749E-3</v>
      </c>
      <c r="J154" s="3">
        <f>+IF(F154="Pasajero",'2.2 OPEX LAP 2023'!L155*'2.1 OPEX TUUA'!$J$7,'2.2 OPEX LAP 2023'!L155*'2.1 OPEX TUUA'!$J$8)</f>
        <v>1.2255698039703136E-3</v>
      </c>
      <c r="K154" s="3">
        <f>+IF(F154="Pasajero",'2.2 OPEX LAP 2023'!M155*'2.1 OPEX TUUA'!$K$7,'2.2 OPEX LAP 2023'!M155*'2.1 OPEX TUUA'!$K$8)</f>
        <v>1.2758700494162189E-3</v>
      </c>
      <c r="L154" s="3">
        <f>+IF(F154="Pasajero",'2.2 OPEX LAP 2023'!N155*'2.1 OPEX TUUA'!$L$7,'2.2 OPEX LAP 2023'!N155*'2.1 OPEX TUUA'!$L$8)</f>
        <v>1.3317545948901212E-3</v>
      </c>
      <c r="M154" s="3"/>
      <c r="N154" s="3">
        <f>+IF(F154="Pasajero",'2.2 OPEX LAP 2023'!I155*'2.1 OPEX TUUA'!$N$7,'2.2 OPEX LAP 2023'!I155*'2.1 OPEX TUUA'!$N$8)</f>
        <v>4.3265424723479192E-4</v>
      </c>
      <c r="O154" s="3">
        <f>+IF(F154="Pasajero",'2.2 OPEX LAP 2023'!J155*'2.1 OPEX TUUA'!$O$7,'2.2 OPEX LAP 2023'!J155*'2.1 OPEX TUUA'!$O$8)</f>
        <v>4.261614541885058E-4</v>
      </c>
      <c r="P154" s="3">
        <f>+IF(F154="Pasajero",'2.2 OPEX LAP 2023'!K155*'2.1 OPEX TUUA'!$P$7,'2.2 OPEX LAP 2023'!K155*'2.1 OPEX TUUA'!$P$8)</f>
        <v>4.2351047599037503E-4</v>
      </c>
      <c r="Q154" s="3">
        <f>+IF(F154="Pasajero",'2.2 OPEX LAP 2023'!L155*'2.1 OPEX TUUA'!$Q$7,'2.2 OPEX LAP 2023'!L155*'2.1 OPEX TUUA'!$Q$8)</f>
        <v>4.2075147311746683E-4</v>
      </c>
      <c r="R154" s="3">
        <f>+IF(F154="Pasajero",'2.2 OPEX LAP 2023'!M155*'2.1 OPEX TUUA'!$R$7,'2.2 OPEX LAP 2023'!M155*'2.1 OPEX TUUA'!$R$8)</f>
        <v>4.2300906079580704E-4</v>
      </c>
      <c r="S154" s="3">
        <f>+IF(F154="Pasajero",'2.2 OPEX LAP 2023'!N155*'2.1 OPEX TUUA'!$S$7,'2.2 OPEX LAP 2023'!N155*'2.1 OPEX TUUA'!$S$8)</f>
        <v>4.2327907441454672E-4</v>
      </c>
      <c r="U154" s="1">
        <v>8.9378320573457607E-4</v>
      </c>
      <c r="V154" s="1">
        <v>1.0484122436408905E-3</v>
      </c>
      <c r="W154" s="1">
        <v>1.1785821656842661E-3</v>
      </c>
      <c r="X154" s="1">
        <v>1.2487270085560663E-3</v>
      </c>
      <c r="Y154" s="1">
        <v>1.2999776797310741E-3</v>
      </c>
      <c r="Z154" s="1">
        <v>1.3569181665708035E-3</v>
      </c>
      <c r="AA154" s="7">
        <f t="shared" si="15"/>
        <v>-1.6574896201242985E-5</v>
      </c>
      <c r="AB154" s="7">
        <f t="shared" si="16"/>
        <v>-1.944243749822769E-5</v>
      </c>
      <c r="AC154" s="7">
        <f t="shared" si="17"/>
        <v>-2.1856393066591213E-5</v>
      </c>
      <c r="AD154" s="7">
        <f t="shared" si="18"/>
        <v>-2.3157204585752631E-5</v>
      </c>
      <c r="AE154" s="7">
        <f t="shared" si="19"/>
        <v>-2.4107630314855206E-5</v>
      </c>
      <c r="AF154" s="7">
        <f t="shared" si="20"/>
        <v>-2.5163571680682315E-5</v>
      </c>
    </row>
    <row r="155" spans="2:32" x14ac:dyDescent="0.25">
      <c r="B155" s="17">
        <v>6563000001</v>
      </c>
      <c r="C155" s="193" t="s">
        <v>13</v>
      </c>
      <c r="D155" s="193" t="s">
        <v>38</v>
      </c>
      <c r="E155" s="193" t="s">
        <v>160</v>
      </c>
      <c r="F155" s="163" t="s">
        <v>190</v>
      </c>
      <c r="G155" s="3">
        <f>+IF(F155="Pasajero",'2.2 OPEX LAP 2023'!I156*'2.1 OPEX TUUA'!$G$7,'2.2 OPEX LAP 2023'!I156*'2.1 OPEX TUUA'!$G$8)</f>
        <v>0</v>
      </c>
      <c r="H155" s="3">
        <f>+IF(F155="Pasajero",'2.2 OPEX LAP 2023'!J156*'2.1 OPEX TUUA'!$H$7,'2.2 OPEX LAP 2023'!J156*'2.1 OPEX TUUA'!$H$8)</f>
        <v>0</v>
      </c>
      <c r="I155" s="3">
        <f>+IF(F155="Pasajero",'2.2 OPEX LAP 2023'!K156*'2.1 OPEX TUUA'!$I$7,'2.2 OPEX LAP 2023'!K156*'2.1 OPEX TUUA'!$I$8)</f>
        <v>0</v>
      </c>
      <c r="J155" s="3">
        <f>+IF(F155="Pasajero",'2.2 OPEX LAP 2023'!L156*'2.1 OPEX TUUA'!$J$7,'2.2 OPEX LAP 2023'!L156*'2.1 OPEX TUUA'!$J$8)</f>
        <v>0</v>
      </c>
      <c r="K155" s="3">
        <f>+IF(F155="Pasajero",'2.2 OPEX LAP 2023'!M156*'2.1 OPEX TUUA'!$K$7,'2.2 OPEX LAP 2023'!M156*'2.1 OPEX TUUA'!$K$8)</f>
        <v>0</v>
      </c>
      <c r="L155" s="3">
        <f>+IF(F155="Pasajero",'2.2 OPEX LAP 2023'!N156*'2.1 OPEX TUUA'!$L$7,'2.2 OPEX LAP 2023'!N156*'2.1 OPEX TUUA'!$L$8)</f>
        <v>0</v>
      </c>
      <c r="M155" s="3"/>
      <c r="N155" s="3">
        <f>+IF(F155="Pasajero",'2.2 OPEX LAP 2023'!I156*'2.1 OPEX TUUA'!$N$7,'2.2 OPEX LAP 2023'!I156*'2.1 OPEX TUUA'!$N$8)</f>
        <v>0</v>
      </c>
      <c r="O155" s="3">
        <f>+IF(F155="Pasajero",'2.2 OPEX LAP 2023'!J156*'2.1 OPEX TUUA'!$O$7,'2.2 OPEX LAP 2023'!J156*'2.1 OPEX TUUA'!$O$8)</f>
        <v>0</v>
      </c>
      <c r="P155" s="3">
        <f>+IF(F155="Pasajero",'2.2 OPEX LAP 2023'!K156*'2.1 OPEX TUUA'!$P$7,'2.2 OPEX LAP 2023'!K156*'2.1 OPEX TUUA'!$P$8)</f>
        <v>0</v>
      </c>
      <c r="Q155" s="3">
        <f>+IF(F155="Pasajero",'2.2 OPEX LAP 2023'!L156*'2.1 OPEX TUUA'!$Q$7,'2.2 OPEX LAP 2023'!L156*'2.1 OPEX TUUA'!$Q$8)</f>
        <v>0</v>
      </c>
      <c r="R155" s="3">
        <f>+IF(F155="Pasajero",'2.2 OPEX LAP 2023'!M156*'2.1 OPEX TUUA'!$R$7,'2.2 OPEX LAP 2023'!M156*'2.1 OPEX TUUA'!$R$8)</f>
        <v>0</v>
      </c>
      <c r="S155" s="3">
        <f>+IF(F155="Pasajero",'2.2 OPEX LAP 2023'!N156*'2.1 OPEX TUUA'!$S$7,'2.2 OPEX LAP 2023'!N156*'2.1 OPEX TUUA'!$S$8)</f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7">
        <f t="shared" si="15"/>
        <v>0</v>
      </c>
      <c r="AB155" s="7">
        <f t="shared" si="16"/>
        <v>0</v>
      </c>
      <c r="AC155" s="7">
        <f t="shared" si="17"/>
        <v>0</v>
      </c>
      <c r="AD155" s="7">
        <f t="shared" si="18"/>
        <v>0</v>
      </c>
      <c r="AE155" s="7">
        <f t="shared" si="19"/>
        <v>0</v>
      </c>
      <c r="AF155" s="7">
        <f t="shared" si="20"/>
        <v>0</v>
      </c>
    </row>
    <row r="156" spans="2:32" x14ac:dyDescent="0.25">
      <c r="B156" s="17">
        <v>6563000002</v>
      </c>
      <c r="C156" s="193" t="s">
        <v>13</v>
      </c>
      <c r="D156" s="193" t="s">
        <v>38</v>
      </c>
      <c r="E156" s="193" t="s">
        <v>161</v>
      </c>
      <c r="F156" s="163" t="s">
        <v>190</v>
      </c>
      <c r="G156" s="3">
        <f>+IF(F156="Pasajero",'2.2 OPEX LAP 2023'!I157*'2.1 OPEX TUUA'!$G$7,'2.2 OPEX LAP 2023'!I157*'2.1 OPEX TUUA'!$G$8)</f>
        <v>0</v>
      </c>
      <c r="H156" s="3">
        <f>+IF(F156="Pasajero",'2.2 OPEX LAP 2023'!J157*'2.1 OPEX TUUA'!$H$7,'2.2 OPEX LAP 2023'!J157*'2.1 OPEX TUUA'!$H$8)</f>
        <v>0</v>
      </c>
      <c r="I156" s="3">
        <f>+IF(F156="Pasajero",'2.2 OPEX LAP 2023'!K157*'2.1 OPEX TUUA'!$I$7,'2.2 OPEX LAP 2023'!K157*'2.1 OPEX TUUA'!$I$8)</f>
        <v>0</v>
      </c>
      <c r="J156" s="3">
        <f>+IF(F156="Pasajero",'2.2 OPEX LAP 2023'!L157*'2.1 OPEX TUUA'!$J$7,'2.2 OPEX LAP 2023'!L157*'2.1 OPEX TUUA'!$J$8)</f>
        <v>0</v>
      </c>
      <c r="K156" s="3">
        <f>+IF(F156="Pasajero",'2.2 OPEX LAP 2023'!M157*'2.1 OPEX TUUA'!$K$7,'2.2 OPEX LAP 2023'!M157*'2.1 OPEX TUUA'!$K$8)</f>
        <v>0</v>
      </c>
      <c r="L156" s="3">
        <f>+IF(F156="Pasajero",'2.2 OPEX LAP 2023'!N157*'2.1 OPEX TUUA'!$L$7,'2.2 OPEX LAP 2023'!N157*'2.1 OPEX TUUA'!$L$8)</f>
        <v>0</v>
      </c>
      <c r="M156" s="3"/>
      <c r="N156" s="3">
        <f>+IF(F156="Pasajero",'2.2 OPEX LAP 2023'!I157*'2.1 OPEX TUUA'!$N$7,'2.2 OPEX LAP 2023'!I157*'2.1 OPEX TUUA'!$N$8)</f>
        <v>0</v>
      </c>
      <c r="O156" s="3">
        <f>+IF(F156="Pasajero",'2.2 OPEX LAP 2023'!J157*'2.1 OPEX TUUA'!$O$7,'2.2 OPEX LAP 2023'!J157*'2.1 OPEX TUUA'!$O$8)</f>
        <v>0</v>
      </c>
      <c r="P156" s="3">
        <f>+IF(F156="Pasajero",'2.2 OPEX LAP 2023'!K157*'2.1 OPEX TUUA'!$P$7,'2.2 OPEX LAP 2023'!K157*'2.1 OPEX TUUA'!$P$8)</f>
        <v>0</v>
      </c>
      <c r="Q156" s="3">
        <f>+IF(F156="Pasajero",'2.2 OPEX LAP 2023'!L157*'2.1 OPEX TUUA'!$Q$7,'2.2 OPEX LAP 2023'!L157*'2.1 OPEX TUUA'!$Q$8)</f>
        <v>0</v>
      </c>
      <c r="R156" s="3">
        <f>+IF(F156="Pasajero",'2.2 OPEX LAP 2023'!M157*'2.1 OPEX TUUA'!$R$7,'2.2 OPEX LAP 2023'!M157*'2.1 OPEX TUUA'!$R$8)</f>
        <v>0</v>
      </c>
      <c r="S156" s="3">
        <f>+IF(F156="Pasajero",'2.2 OPEX LAP 2023'!N157*'2.1 OPEX TUUA'!$S$7,'2.2 OPEX LAP 2023'!N157*'2.1 OPEX TUUA'!$S$8)</f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7">
        <f t="shared" si="15"/>
        <v>0</v>
      </c>
      <c r="AB156" s="7">
        <f t="shared" si="16"/>
        <v>0</v>
      </c>
      <c r="AC156" s="7">
        <f t="shared" si="17"/>
        <v>0</v>
      </c>
      <c r="AD156" s="7">
        <f t="shared" si="18"/>
        <v>0</v>
      </c>
      <c r="AE156" s="7">
        <f t="shared" si="19"/>
        <v>0</v>
      </c>
      <c r="AF156" s="7">
        <f t="shared" si="20"/>
        <v>0</v>
      </c>
    </row>
    <row r="157" spans="2:32" x14ac:dyDescent="0.25">
      <c r="B157" s="17">
        <v>6563000003</v>
      </c>
      <c r="C157" s="193" t="s">
        <v>13</v>
      </c>
      <c r="D157" s="193" t="s">
        <v>38</v>
      </c>
      <c r="E157" s="193" t="s">
        <v>162</v>
      </c>
      <c r="F157" s="163" t="s">
        <v>190</v>
      </c>
      <c r="G157" s="3">
        <f>+IF(F157="Pasajero",'2.2 OPEX LAP 2023'!I158*'2.1 OPEX TUUA'!$G$7,'2.2 OPEX LAP 2023'!I158*'2.1 OPEX TUUA'!$G$8)</f>
        <v>0</v>
      </c>
      <c r="H157" s="3">
        <f>+IF(F157="Pasajero",'2.2 OPEX LAP 2023'!J158*'2.1 OPEX TUUA'!$H$7,'2.2 OPEX LAP 2023'!J158*'2.1 OPEX TUUA'!$H$8)</f>
        <v>0</v>
      </c>
      <c r="I157" s="3">
        <f>+IF(F157="Pasajero",'2.2 OPEX LAP 2023'!K158*'2.1 OPEX TUUA'!$I$7,'2.2 OPEX LAP 2023'!K158*'2.1 OPEX TUUA'!$I$8)</f>
        <v>0</v>
      </c>
      <c r="J157" s="3">
        <f>+IF(F157="Pasajero",'2.2 OPEX LAP 2023'!L158*'2.1 OPEX TUUA'!$J$7,'2.2 OPEX LAP 2023'!L158*'2.1 OPEX TUUA'!$J$8)</f>
        <v>0</v>
      </c>
      <c r="K157" s="3">
        <f>+IF(F157="Pasajero",'2.2 OPEX LAP 2023'!M158*'2.1 OPEX TUUA'!$K$7,'2.2 OPEX LAP 2023'!M158*'2.1 OPEX TUUA'!$K$8)</f>
        <v>0</v>
      </c>
      <c r="L157" s="3">
        <f>+IF(F157="Pasajero",'2.2 OPEX LAP 2023'!N158*'2.1 OPEX TUUA'!$L$7,'2.2 OPEX LAP 2023'!N158*'2.1 OPEX TUUA'!$L$8)</f>
        <v>0</v>
      </c>
      <c r="M157" s="3"/>
      <c r="N157" s="3">
        <f>+IF(F157="Pasajero",'2.2 OPEX LAP 2023'!I158*'2.1 OPEX TUUA'!$N$7,'2.2 OPEX LAP 2023'!I158*'2.1 OPEX TUUA'!$N$8)</f>
        <v>0</v>
      </c>
      <c r="O157" s="3">
        <f>+IF(F157="Pasajero",'2.2 OPEX LAP 2023'!J158*'2.1 OPEX TUUA'!$O$7,'2.2 OPEX LAP 2023'!J158*'2.1 OPEX TUUA'!$O$8)</f>
        <v>0</v>
      </c>
      <c r="P157" s="3">
        <f>+IF(F157="Pasajero",'2.2 OPEX LAP 2023'!K158*'2.1 OPEX TUUA'!$P$7,'2.2 OPEX LAP 2023'!K158*'2.1 OPEX TUUA'!$P$8)</f>
        <v>0</v>
      </c>
      <c r="Q157" s="3">
        <f>+IF(F157="Pasajero",'2.2 OPEX LAP 2023'!L158*'2.1 OPEX TUUA'!$Q$7,'2.2 OPEX LAP 2023'!L158*'2.1 OPEX TUUA'!$Q$8)</f>
        <v>0</v>
      </c>
      <c r="R157" s="3">
        <f>+IF(F157="Pasajero",'2.2 OPEX LAP 2023'!M158*'2.1 OPEX TUUA'!$R$7,'2.2 OPEX LAP 2023'!M158*'2.1 OPEX TUUA'!$R$8)</f>
        <v>0</v>
      </c>
      <c r="S157" s="3">
        <f>+IF(F157="Pasajero",'2.2 OPEX LAP 2023'!N158*'2.1 OPEX TUUA'!$S$7,'2.2 OPEX LAP 2023'!N158*'2.1 OPEX TUUA'!$S$8)</f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7">
        <f t="shared" si="15"/>
        <v>0</v>
      </c>
      <c r="AB157" s="7">
        <f t="shared" si="16"/>
        <v>0</v>
      </c>
      <c r="AC157" s="7">
        <f t="shared" si="17"/>
        <v>0</v>
      </c>
      <c r="AD157" s="7">
        <f t="shared" si="18"/>
        <v>0</v>
      </c>
      <c r="AE157" s="7">
        <f t="shared" si="19"/>
        <v>0</v>
      </c>
      <c r="AF157" s="7">
        <f t="shared" si="20"/>
        <v>0</v>
      </c>
    </row>
    <row r="158" spans="2:32" x14ac:dyDescent="0.25">
      <c r="B158" s="17">
        <v>6563000004</v>
      </c>
      <c r="C158" s="193" t="s">
        <v>13</v>
      </c>
      <c r="D158" s="193" t="s">
        <v>38</v>
      </c>
      <c r="E158" s="193" t="s">
        <v>163</v>
      </c>
      <c r="F158" s="163" t="s">
        <v>190</v>
      </c>
      <c r="G158" s="3">
        <f>+IF(F158="Pasajero",'2.2 OPEX LAP 2023'!I159*'2.1 OPEX TUUA'!$G$7,'2.2 OPEX LAP 2023'!I159*'2.1 OPEX TUUA'!$G$8)</f>
        <v>0</v>
      </c>
      <c r="H158" s="3">
        <f>+IF(F158="Pasajero",'2.2 OPEX LAP 2023'!J159*'2.1 OPEX TUUA'!$H$7,'2.2 OPEX LAP 2023'!J159*'2.1 OPEX TUUA'!$H$8)</f>
        <v>0</v>
      </c>
      <c r="I158" s="3">
        <f>+IF(F158="Pasajero",'2.2 OPEX LAP 2023'!K159*'2.1 OPEX TUUA'!$I$7,'2.2 OPEX LAP 2023'!K159*'2.1 OPEX TUUA'!$I$8)</f>
        <v>0</v>
      </c>
      <c r="J158" s="3">
        <f>+IF(F158="Pasajero",'2.2 OPEX LAP 2023'!L159*'2.1 OPEX TUUA'!$J$7,'2.2 OPEX LAP 2023'!L159*'2.1 OPEX TUUA'!$J$8)</f>
        <v>0</v>
      </c>
      <c r="K158" s="3">
        <f>+IF(F158="Pasajero",'2.2 OPEX LAP 2023'!M159*'2.1 OPEX TUUA'!$K$7,'2.2 OPEX LAP 2023'!M159*'2.1 OPEX TUUA'!$K$8)</f>
        <v>0</v>
      </c>
      <c r="L158" s="3">
        <f>+IF(F158="Pasajero",'2.2 OPEX LAP 2023'!N159*'2.1 OPEX TUUA'!$L$7,'2.2 OPEX LAP 2023'!N159*'2.1 OPEX TUUA'!$L$8)</f>
        <v>0</v>
      </c>
      <c r="M158" s="3"/>
      <c r="N158" s="3">
        <f>+IF(F158="Pasajero",'2.2 OPEX LAP 2023'!I159*'2.1 OPEX TUUA'!$N$7,'2.2 OPEX LAP 2023'!I159*'2.1 OPEX TUUA'!$N$8)</f>
        <v>0</v>
      </c>
      <c r="O158" s="3">
        <f>+IF(F158="Pasajero",'2.2 OPEX LAP 2023'!J159*'2.1 OPEX TUUA'!$O$7,'2.2 OPEX LAP 2023'!J159*'2.1 OPEX TUUA'!$O$8)</f>
        <v>0</v>
      </c>
      <c r="P158" s="3">
        <f>+IF(F158="Pasajero",'2.2 OPEX LAP 2023'!K159*'2.1 OPEX TUUA'!$P$7,'2.2 OPEX LAP 2023'!K159*'2.1 OPEX TUUA'!$P$8)</f>
        <v>0</v>
      </c>
      <c r="Q158" s="3">
        <f>+IF(F158="Pasajero",'2.2 OPEX LAP 2023'!L159*'2.1 OPEX TUUA'!$Q$7,'2.2 OPEX LAP 2023'!L159*'2.1 OPEX TUUA'!$Q$8)</f>
        <v>0</v>
      </c>
      <c r="R158" s="3">
        <f>+IF(F158="Pasajero",'2.2 OPEX LAP 2023'!M159*'2.1 OPEX TUUA'!$R$7,'2.2 OPEX LAP 2023'!M159*'2.1 OPEX TUUA'!$R$8)</f>
        <v>0</v>
      </c>
      <c r="S158" s="3">
        <f>+IF(F158="Pasajero",'2.2 OPEX LAP 2023'!N159*'2.1 OPEX TUUA'!$S$7,'2.2 OPEX LAP 2023'!N159*'2.1 OPEX TUUA'!$S$8)</f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7">
        <f t="shared" si="15"/>
        <v>0</v>
      </c>
      <c r="AB158" s="7">
        <f t="shared" si="16"/>
        <v>0</v>
      </c>
      <c r="AC158" s="7">
        <f t="shared" si="17"/>
        <v>0</v>
      </c>
      <c r="AD158" s="7">
        <f t="shared" si="18"/>
        <v>0</v>
      </c>
      <c r="AE158" s="7">
        <f t="shared" si="19"/>
        <v>0</v>
      </c>
      <c r="AF158" s="7">
        <f t="shared" si="20"/>
        <v>0</v>
      </c>
    </row>
    <row r="159" spans="2:32" x14ac:dyDescent="0.25">
      <c r="B159" s="17">
        <v>6563000005</v>
      </c>
      <c r="C159" s="193" t="s">
        <v>13</v>
      </c>
      <c r="D159" s="193" t="s">
        <v>38</v>
      </c>
      <c r="E159" s="193" t="s">
        <v>164</v>
      </c>
      <c r="F159" s="163" t="s">
        <v>190</v>
      </c>
      <c r="G159" s="3">
        <f>+IF(F159="Pasajero",'2.2 OPEX LAP 2023'!I160*'2.1 OPEX TUUA'!$G$7,'2.2 OPEX LAP 2023'!I160*'2.1 OPEX TUUA'!$G$8)</f>
        <v>0</v>
      </c>
      <c r="H159" s="3">
        <f>+IF(F159="Pasajero",'2.2 OPEX LAP 2023'!J160*'2.1 OPEX TUUA'!$H$7,'2.2 OPEX LAP 2023'!J160*'2.1 OPEX TUUA'!$H$8)</f>
        <v>0</v>
      </c>
      <c r="I159" s="3">
        <f>+IF(F159="Pasajero",'2.2 OPEX LAP 2023'!K160*'2.1 OPEX TUUA'!$I$7,'2.2 OPEX LAP 2023'!K160*'2.1 OPEX TUUA'!$I$8)</f>
        <v>0</v>
      </c>
      <c r="J159" s="3">
        <f>+IF(F159="Pasajero",'2.2 OPEX LAP 2023'!L160*'2.1 OPEX TUUA'!$J$7,'2.2 OPEX LAP 2023'!L160*'2.1 OPEX TUUA'!$J$8)</f>
        <v>0</v>
      </c>
      <c r="K159" s="3">
        <f>+IF(F159="Pasajero",'2.2 OPEX LAP 2023'!M160*'2.1 OPEX TUUA'!$K$7,'2.2 OPEX LAP 2023'!M160*'2.1 OPEX TUUA'!$K$8)</f>
        <v>0</v>
      </c>
      <c r="L159" s="3">
        <f>+IF(F159="Pasajero",'2.2 OPEX LAP 2023'!N160*'2.1 OPEX TUUA'!$L$7,'2.2 OPEX LAP 2023'!N160*'2.1 OPEX TUUA'!$L$8)</f>
        <v>0</v>
      </c>
      <c r="M159" s="3"/>
      <c r="N159" s="3">
        <f>+IF(F159="Pasajero",'2.2 OPEX LAP 2023'!I160*'2.1 OPEX TUUA'!$N$7,'2.2 OPEX LAP 2023'!I160*'2.1 OPEX TUUA'!$N$8)</f>
        <v>0</v>
      </c>
      <c r="O159" s="3">
        <f>+IF(F159="Pasajero",'2.2 OPEX LAP 2023'!J160*'2.1 OPEX TUUA'!$O$7,'2.2 OPEX LAP 2023'!J160*'2.1 OPEX TUUA'!$O$8)</f>
        <v>0</v>
      </c>
      <c r="P159" s="3">
        <f>+IF(F159="Pasajero",'2.2 OPEX LAP 2023'!K160*'2.1 OPEX TUUA'!$P$7,'2.2 OPEX LAP 2023'!K160*'2.1 OPEX TUUA'!$P$8)</f>
        <v>0</v>
      </c>
      <c r="Q159" s="3">
        <f>+IF(F159="Pasajero",'2.2 OPEX LAP 2023'!L160*'2.1 OPEX TUUA'!$Q$7,'2.2 OPEX LAP 2023'!L160*'2.1 OPEX TUUA'!$Q$8)</f>
        <v>0</v>
      </c>
      <c r="R159" s="3">
        <f>+IF(F159="Pasajero",'2.2 OPEX LAP 2023'!M160*'2.1 OPEX TUUA'!$R$7,'2.2 OPEX LAP 2023'!M160*'2.1 OPEX TUUA'!$R$8)</f>
        <v>0</v>
      </c>
      <c r="S159" s="3">
        <f>+IF(F159="Pasajero",'2.2 OPEX LAP 2023'!N160*'2.1 OPEX TUUA'!$S$7,'2.2 OPEX LAP 2023'!N160*'2.1 OPEX TUUA'!$S$8)</f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7">
        <f t="shared" si="15"/>
        <v>0</v>
      </c>
      <c r="AB159" s="7">
        <f t="shared" si="16"/>
        <v>0</v>
      </c>
      <c r="AC159" s="7">
        <f t="shared" si="17"/>
        <v>0</v>
      </c>
      <c r="AD159" s="7">
        <f t="shared" si="18"/>
        <v>0</v>
      </c>
      <c r="AE159" s="7">
        <f t="shared" si="19"/>
        <v>0</v>
      </c>
      <c r="AF159" s="7">
        <f t="shared" si="20"/>
        <v>0</v>
      </c>
    </row>
    <row r="160" spans="2:32" x14ac:dyDescent="0.25">
      <c r="B160" s="17">
        <v>6590000001</v>
      </c>
      <c r="C160" s="193" t="s">
        <v>13</v>
      </c>
      <c r="D160" s="193" t="s">
        <v>38</v>
      </c>
      <c r="E160" s="193" t="s">
        <v>165</v>
      </c>
      <c r="F160" s="163" t="s">
        <v>190</v>
      </c>
      <c r="G160" s="3">
        <f>+IF(F160="Pasajero",'2.2 OPEX LAP 2023'!I161*'2.1 OPEX TUUA'!$G$7,'2.2 OPEX LAP 2023'!I161*'2.1 OPEX TUUA'!$G$8)</f>
        <v>0</v>
      </c>
      <c r="H160" s="3">
        <f>+IF(F160="Pasajero",'2.2 OPEX LAP 2023'!J161*'2.1 OPEX TUUA'!$H$7,'2.2 OPEX LAP 2023'!J161*'2.1 OPEX TUUA'!$H$8)</f>
        <v>0</v>
      </c>
      <c r="I160" s="3">
        <f>+IF(F160="Pasajero",'2.2 OPEX LAP 2023'!K161*'2.1 OPEX TUUA'!$I$7,'2.2 OPEX LAP 2023'!K161*'2.1 OPEX TUUA'!$I$8)</f>
        <v>0</v>
      </c>
      <c r="J160" s="3">
        <f>+IF(F160="Pasajero",'2.2 OPEX LAP 2023'!L161*'2.1 OPEX TUUA'!$J$7,'2.2 OPEX LAP 2023'!L161*'2.1 OPEX TUUA'!$J$8)</f>
        <v>0</v>
      </c>
      <c r="K160" s="3">
        <f>+IF(F160="Pasajero",'2.2 OPEX LAP 2023'!M161*'2.1 OPEX TUUA'!$K$7,'2.2 OPEX LAP 2023'!M161*'2.1 OPEX TUUA'!$K$8)</f>
        <v>0</v>
      </c>
      <c r="L160" s="3">
        <f>+IF(F160="Pasajero",'2.2 OPEX LAP 2023'!N161*'2.1 OPEX TUUA'!$L$7,'2.2 OPEX LAP 2023'!N161*'2.1 OPEX TUUA'!$L$8)</f>
        <v>0</v>
      </c>
      <c r="M160" s="3"/>
      <c r="N160" s="3">
        <f>+IF(F160="Pasajero",'2.2 OPEX LAP 2023'!I161*'2.1 OPEX TUUA'!$N$7,'2.2 OPEX LAP 2023'!I161*'2.1 OPEX TUUA'!$N$8)</f>
        <v>0</v>
      </c>
      <c r="O160" s="3">
        <f>+IF(F160="Pasajero",'2.2 OPEX LAP 2023'!J161*'2.1 OPEX TUUA'!$O$7,'2.2 OPEX LAP 2023'!J161*'2.1 OPEX TUUA'!$O$8)</f>
        <v>0</v>
      </c>
      <c r="P160" s="3">
        <f>+IF(F160="Pasajero",'2.2 OPEX LAP 2023'!K161*'2.1 OPEX TUUA'!$P$7,'2.2 OPEX LAP 2023'!K161*'2.1 OPEX TUUA'!$P$8)</f>
        <v>0</v>
      </c>
      <c r="Q160" s="3">
        <f>+IF(F160="Pasajero",'2.2 OPEX LAP 2023'!L161*'2.1 OPEX TUUA'!$Q$7,'2.2 OPEX LAP 2023'!L161*'2.1 OPEX TUUA'!$Q$8)</f>
        <v>0</v>
      </c>
      <c r="R160" s="3">
        <f>+IF(F160="Pasajero",'2.2 OPEX LAP 2023'!M161*'2.1 OPEX TUUA'!$R$7,'2.2 OPEX LAP 2023'!M161*'2.1 OPEX TUUA'!$R$8)</f>
        <v>0</v>
      </c>
      <c r="S160" s="3">
        <f>+IF(F160="Pasajero",'2.2 OPEX LAP 2023'!N161*'2.1 OPEX TUUA'!$S$7,'2.2 OPEX LAP 2023'!N161*'2.1 OPEX TUUA'!$S$8)</f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7">
        <f t="shared" si="15"/>
        <v>0</v>
      </c>
      <c r="AB160" s="7">
        <f t="shared" si="16"/>
        <v>0</v>
      </c>
      <c r="AC160" s="7">
        <f t="shared" si="17"/>
        <v>0</v>
      </c>
      <c r="AD160" s="7">
        <f t="shared" si="18"/>
        <v>0</v>
      </c>
      <c r="AE160" s="7">
        <f t="shared" si="19"/>
        <v>0</v>
      </c>
      <c r="AF160" s="7">
        <f t="shared" si="20"/>
        <v>0</v>
      </c>
    </row>
    <row r="161" spans="2:32" x14ac:dyDescent="0.25">
      <c r="B161" s="17">
        <v>6590000002</v>
      </c>
      <c r="C161" s="193" t="s">
        <v>13</v>
      </c>
      <c r="D161" s="193" t="s">
        <v>38</v>
      </c>
      <c r="E161" s="193" t="s">
        <v>166</v>
      </c>
      <c r="F161" s="163" t="s">
        <v>190</v>
      </c>
      <c r="G161" s="3">
        <f>+IF(F161="Pasajero",'2.2 OPEX LAP 2023'!I162*'2.1 OPEX TUUA'!$G$7,'2.2 OPEX LAP 2023'!I162*'2.1 OPEX TUUA'!$G$8)</f>
        <v>125.37736271522253</v>
      </c>
      <c r="H161" s="3">
        <f>+IF(F161="Pasajero",'2.2 OPEX LAP 2023'!J162*'2.1 OPEX TUUA'!$H$7,'2.2 OPEX LAP 2023'!J162*'2.1 OPEX TUUA'!$H$8)</f>
        <v>147.06828378813779</v>
      </c>
      <c r="I161" s="3">
        <f>+IF(F161="Pasajero",'2.2 OPEX LAP 2023'!K162*'2.1 OPEX TUUA'!$I$7,'2.2 OPEX LAP 2023'!K162*'2.1 OPEX TUUA'!$I$8)</f>
        <v>165.32814974436963</v>
      </c>
      <c r="J161" s="3">
        <f>+IF(F161="Pasajero",'2.2 OPEX LAP 2023'!L162*'2.1 OPEX TUUA'!$J$7,'2.2 OPEX LAP 2023'!L162*'2.1 OPEX TUUA'!$J$8)</f>
        <v>175.16786853849484</v>
      </c>
      <c r="K161" s="3">
        <f>+IF(F161="Pasajero",'2.2 OPEX LAP 2023'!M162*'2.1 OPEX TUUA'!$K$7,'2.2 OPEX LAP 2023'!M162*'2.1 OPEX TUUA'!$K$8)</f>
        <v>182.3571667352835</v>
      </c>
      <c r="L161" s="3">
        <f>+IF(F161="Pasajero",'2.2 OPEX LAP 2023'!N162*'2.1 OPEX TUUA'!$L$7,'2.2 OPEX LAP 2023'!N162*'2.1 OPEX TUUA'!$L$8)</f>
        <v>190.34461606962034</v>
      </c>
      <c r="M161" s="3"/>
      <c r="N161" s="3">
        <f>+IF(F161="Pasajero",'2.2 OPEX LAP 2023'!I162*'2.1 OPEX TUUA'!$N$7,'2.2 OPEX LAP 2023'!I162*'2.1 OPEX TUUA'!$N$8)</f>
        <v>61.838274781842806</v>
      </c>
      <c r="O161" s="3">
        <f>+IF(F161="Pasajero",'2.2 OPEX LAP 2023'!J162*'2.1 OPEX TUUA'!$O$7,'2.2 OPEX LAP 2023'!J162*'2.1 OPEX TUUA'!$O$8)</f>
        <v>60.91027483023251</v>
      </c>
      <c r="P161" s="3">
        <f>+IF(F161="Pasajero",'2.2 OPEX LAP 2023'!K162*'2.1 OPEX TUUA'!$P$7,'2.2 OPEX LAP 2023'!K162*'2.1 OPEX TUUA'!$P$8)</f>
        <v>60.531376623860062</v>
      </c>
      <c r="Q161" s="3">
        <f>+IF(F161="Pasajero",'2.2 OPEX LAP 2023'!L162*'2.1 OPEX TUUA'!$Q$7,'2.2 OPEX LAP 2023'!L162*'2.1 OPEX TUUA'!$Q$8)</f>
        <v>60.137038699595557</v>
      </c>
      <c r="R161" s="3">
        <f>+IF(F161="Pasajero",'2.2 OPEX LAP 2023'!M162*'2.1 OPEX TUUA'!$R$7,'2.2 OPEX LAP 2023'!M162*'2.1 OPEX TUUA'!$R$8)</f>
        <v>60.459710505291575</v>
      </c>
      <c r="S161" s="3">
        <f>+IF(F161="Pasajero",'2.2 OPEX LAP 2023'!N162*'2.1 OPEX TUUA'!$S$7,'2.2 OPEX LAP 2023'!N162*'2.1 OPEX TUUA'!$S$8)</f>
        <v>60.498302929744078</v>
      </c>
      <c r="U161" s="1">
        <v>127.74637444300237</v>
      </c>
      <c r="V161" s="1">
        <v>149.84714658707787</v>
      </c>
      <c r="W161" s="1">
        <v>168.45203365127685</v>
      </c>
      <c r="X161" s="1">
        <v>178.47767443894631</v>
      </c>
      <c r="Y161" s="1">
        <v>185.80281479554637</v>
      </c>
      <c r="Z161" s="1">
        <v>193.94118739655838</v>
      </c>
      <c r="AA161" s="7">
        <f t="shared" si="15"/>
        <v>-2.369011727779835</v>
      </c>
      <c r="AB161" s="7">
        <f t="shared" si="16"/>
        <v>-2.7788627989400823</v>
      </c>
      <c r="AC161" s="7">
        <f t="shared" si="17"/>
        <v>-3.1238839069072242</v>
      </c>
      <c r="AD161" s="7">
        <f t="shared" si="18"/>
        <v>-3.3098059004514653</v>
      </c>
      <c r="AE161" s="7">
        <f t="shared" si="19"/>
        <v>-3.4456480602628687</v>
      </c>
      <c r="AF161" s="7">
        <f t="shared" si="20"/>
        <v>-3.5965713269380331</v>
      </c>
    </row>
    <row r="162" spans="2:32" x14ac:dyDescent="0.25">
      <c r="B162" s="17">
        <v>6590000003</v>
      </c>
      <c r="C162" s="193" t="s">
        <v>13</v>
      </c>
      <c r="D162" s="193" t="s">
        <v>38</v>
      </c>
      <c r="E162" s="193" t="s">
        <v>167</v>
      </c>
      <c r="F162" s="163" t="s">
        <v>190</v>
      </c>
      <c r="G162" s="3">
        <f>+IF(F162="Pasajero",'2.2 OPEX LAP 2023'!I163*'2.1 OPEX TUUA'!$G$7,'2.2 OPEX LAP 2023'!I163*'2.1 OPEX TUUA'!$G$8)</f>
        <v>0</v>
      </c>
      <c r="H162" s="3">
        <f>+IF(F162="Pasajero",'2.2 OPEX LAP 2023'!J163*'2.1 OPEX TUUA'!$H$7,'2.2 OPEX LAP 2023'!J163*'2.1 OPEX TUUA'!$H$8)</f>
        <v>0</v>
      </c>
      <c r="I162" s="3">
        <f>+IF(F162="Pasajero",'2.2 OPEX LAP 2023'!K163*'2.1 OPEX TUUA'!$I$7,'2.2 OPEX LAP 2023'!K163*'2.1 OPEX TUUA'!$I$8)</f>
        <v>0</v>
      </c>
      <c r="J162" s="3">
        <f>+IF(F162="Pasajero",'2.2 OPEX LAP 2023'!L163*'2.1 OPEX TUUA'!$J$7,'2.2 OPEX LAP 2023'!L163*'2.1 OPEX TUUA'!$J$8)</f>
        <v>0</v>
      </c>
      <c r="K162" s="3">
        <f>+IF(F162="Pasajero",'2.2 OPEX LAP 2023'!M163*'2.1 OPEX TUUA'!$K$7,'2.2 OPEX LAP 2023'!M163*'2.1 OPEX TUUA'!$K$8)</f>
        <v>0</v>
      </c>
      <c r="L162" s="3">
        <f>+IF(F162="Pasajero",'2.2 OPEX LAP 2023'!N163*'2.1 OPEX TUUA'!$L$7,'2.2 OPEX LAP 2023'!N163*'2.1 OPEX TUUA'!$L$8)</f>
        <v>0</v>
      </c>
      <c r="M162" s="3"/>
      <c r="N162" s="3">
        <f>+IF(F162="Pasajero",'2.2 OPEX LAP 2023'!I163*'2.1 OPEX TUUA'!$N$7,'2.2 OPEX LAP 2023'!I163*'2.1 OPEX TUUA'!$N$8)</f>
        <v>0</v>
      </c>
      <c r="O162" s="3">
        <f>+IF(F162="Pasajero",'2.2 OPEX LAP 2023'!J163*'2.1 OPEX TUUA'!$O$7,'2.2 OPEX LAP 2023'!J163*'2.1 OPEX TUUA'!$O$8)</f>
        <v>0</v>
      </c>
      <c r="P162" s="3">
        <f>+IF(F162="Pasajero",'2.2 OPEX LAP 2023'!K163*'2.1 OPEX TUUA'!$P$7,'2.2 OPEX LAP 2023'!K163*'2.1 OPEX TUUA'!$P$8)</f>
        <v>0</v>
      </c>
      <c r="Q162" s="3">
        <f>+IF(F162="Pasajero",'2.2 OPEX LAP 2023'!L163*'2.1 OPEX TUUA'!$Q$7,'2.2 OPEX LAP 2023'!L163*'2.1 OPEX TUUA'!$Q$8)</f>
        <v>0</v>
      </c>
      <c r="R162" s="3">
        <f>+IF(F162="Pasajero",'2.2 OPEX LAP 2023'!M163*'2.1 OPEX TUUA'!$R$7,'2.2 OPEX LAP 2023'!M163*'2.1 OPEX TUUA'!$R$8)</f>
        <v>0</v>
      </c>
      <c r="S162" s="3">
        <f>+IF(F162="Pasajero",'2.2 OPEX LAP 2023'!N163*'2.1 OPEX TUUA'!$S$7,'2.2 OPEX LAP 2023'!N163*'2.1 OPEX TUUA'!$S$8)</f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7">
        <f t="shared" si="15"/>
        <v>0</v>
      </c>
      <c r="AB162" s="7">
        <f t="shared" si="16"/>
        <v>0</v>
      </c>
      <c r="AC162" s="7">
        <f t="shared" si="17"/>
        <v>0</v>
      </c>
      <c r="AD162" s="7">
        <f t="shared" si="18"/>
        <v>0</v>
      </c>
      <c r="AE162" s="7">
        <f t="shared" si="19"/>
        <v>0</v>
      </c>
      <c r="AF162" s="7">
        <f t="shared" si="20"/>
        <v>0</v>
      </c>
    </row>
    <row r="163" spans="2:32" x14ac:dyDescent="0.25">
      <c r="B163" s="17">
        <v>6590000004</v>
      </c>
      <c r="C163" s="193" t="s">
        <v>13</v>
      </c>
      <c r="D163" s="193" t="s">
        <v>38</v>
      </c>
      <c r="E163" s="193" t="s">
        <v>168</v>
      </c>
      <c r="F163" s="163" t="s">
        <v>190</v>
      </c>
      <c r="G163" s="3">
        <f>+IF(F163="Pasajero",'2.2 OPEX LAP 2023'!I164*'2.1 OPEX TUUA'!$G$7,'2.2 OPEX LAP 2023'!I164*'2.1 OPEX TUUA'!$G$8)</f>
        <v>0</v>
      </c>
      <c r="H163" s="3">
        <f>+IF(F163="Pasajero",'2.2 OPEX LAP 2023'!J164*'2.1 OPEX TUUA'!$H$7,'2.2 OPEX LAP 2023'!J164*'2.1 OPEX TUUA'!$H$8)</f>
        <v>0</v>
      </c>
      <c r="I163" s="3">
        <f>+IF(F163="Pasajero",'2.2 OPEX LAP 2023'!K164*'2.1 OPEX TUUA'!$I$7,'2.2 OPEX LAP 2023'!K164*'2.1 OPEX TUUA'!$I$8)</f>
        <v>0</v>
      </c>
      <c r="J163" s="3">
        <f>+IF(F163="Pasajero",'2.2 OPEX LAP 2023'!L164*'2.1 OPEX TUUA'!$J$7,'2.2 OPEX LAP 2023'!L164*'2.1 OPEX TUUA'!$J$8)</f>
        <v>0</v>
      </c>
      <c r="K163" s="3">
        <f>+IF(F163="Pasajero",'2.2 OPEX LAP 2023'!M164*'2.1 OPEX TUUA'!$K$7,'2.2 OPEX LAP 2023'!M164*'2.1 OPEX TUUA'!$K$8)</f>
        <v>0</v>
      </c>
      <c r="L163" s="3">
        <f>+IF(F163="Pasajero",'2.2 OPEX LAP 2023'!N164*'2.1 OPEX TUUA'!$L$7,'2.2 OPEX LAP 2023'!N164*'2.1 OPEX TUUA'!$L$8)</f>
        <v>0</v>
      </c>
      <c r="M163" s="3"/>
      <c r="N163" s="3">
        <f>+IF(F163="Pasajero",'2.2 OPEX LAP 2023'!I164*'2.1 OPEX TUUA'!$N$7,'2.2 OPEX LAP 2023'!I164*'2.1 OPEX TUUA'!$N$8)</f>
        <v>0</v>
      </c>
      <c r="O163" s="3">
        <f>+IF(F163="Pasajero",'2.2 OPEX LAP 2023'!J164*'2.1 OPEX TUUA'!$O$7,'2.2 OPEX LAP 2023'!J164*'2.1 OPEX TUUA'!$O$8)</f>
        <v>0</v>
      </c>
      <c r="P163" s="3">
        <f>+IF(F163="Pasajero",'2.2 OPEX LAP 2023'!K164*'2.1 OPEX TUUA'!$P$7,'2.2 OPEX LAP 2023'!K164*'2.1 OPEX TUUA'!$P$8)</f>
        <v>0</v>
      </c>
      <c r="Q163" s="3">
        <f>+IF(F163="Pasajero",'2.2 OPEX LAP 2023'!L164*'2.1 OPEX TUUA'!$Q$7,'2.2 OPEX LAP 2023'!L164*'2.1 OPEX TUUA'!$Q$8)</f>
        <v>0</v>
      </c>
      <c r="R163" s="3">
        <f>+IF(F163="Pasajero",'2.2 OPEX LAP 2023'!M164*'2.1 OPEX TUUA'!$R$7,'2.2 OPEX LAP 2023'!M164*'2.1 OPEX TUUA'!$R$8)</f>
        <v>0</v>
      </c>
      <c r="S163" s="3">
        <f>+IF(F163="Pasajero",'2.2 OPEX LAP 2023'!N164*'2.1 OPEX TUUA'!$S$7,'2.2 OPEX LAP 2023'!N164*'2.1 OPEX TUUA'!$S$8)</f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7">
        <f t="shared" si="15"/>
        <v>0</v>
      </c>
      <c r="AB163" s="7">
        <f t="shared" si="16"/>
        <v>0</v>
      </c>
      <c r="AC163" s="7">
        <f t="shared" si="17"/>
        <v>0</v>
      </c>
      <c r="AD163" s="7">
        <f t="shared" si="18"/>
        <v>0</v>
      </c>
      <c r="AE163" s="7">
        <f t="shared" si="19"/>
        <v>0</v>
      </c>
      <c r="AF163" s="7">
        <f t="shared" si="20"/>
        <v>0</v>
      </c>
    </row>
    <row r="164" spans="2:32" x14ac:dyDescent="0.25">
      <c r="B164" s="17">
        <v>6590000005</v>
      </c>
      <c r="C164" s="193" t="s">
        <v>13</v>
      </c>
      <c r="D164" s="193" t="s">
        <v>38</v>
      </c>
      <c r="E164" s="193" t="s">
        <v>169</v>
      </c>
      <c r="F164" s="163" t="s">
        <v>190</v>
      </c>
      <c r="G164" s="3">
        <f>+IF(F164="Pasajero",'2.2 OPEX LAP 2023'!I165*'2.1 OPEX TUUA'!$G$7,'2.2 OPEX LAP 2023'!I165*'2.1 OPEX TUUA'!$G$8)</f>
        <v>0</v>
      </c>
      <c r="H164" s="3">
        <f>+IF(F164="Pasajero",'2.2 OPEX LAP 2023'!J165*'2.1 OPEX TUUA'!$H$7,'2.2 OPEX LAP 2023'!J165*'2.1 OPEX TUUA'!$H$8)</f>
        <v>0</v>
      </c>
      <c r="I164" s="3">
        <f>+IF(F164="Pasajero",'2.2 OPEX LAP 2023'!K165*'2.1 OPEX TUUA'!$I$7,'2.2 OPEX LAP 2023'!K165*'2.1 OPEX TUUA'!$I$8)</f>
        <v>0</v>
      </c>
      <c r="J164" s="3">
        <f>+IF(F164="Pasajero",'2.2 OPEX LAP 2023'!L165*'2.1 OPEX TUUA'!$J$7,'2.2 OPEX LAP 2023'!L165*'2.1 OPEX TUUA'!$J$8)</f>
        <v>0</v>
      </c>
      <c r="K164" s="3">
        <f>+IF(F164="Pasajero",'2.2 OPEX LAP 2023'!M165*'2.1 OPEX TUUA'!$K$7,'2.2 OPEX LAP 2023'!M165*'2.1 OPEX TUUA'!$K$8)</f>
        <v>0</v>
      </c>
      <c r="L164" s="3">
        <f>+IF(F164="Pasajero",'2.2 OPEX LAP 2023'!N165*'2.1 OPEX TUUA'!$L$7,'2.2 OPEX LAP 2023'!N165*'2.1 OPEX TUUA'!$L$8)</f>
        <v>0</v>
      </c>
      <c r="M164" s="3"/>
      <c r="N164" s="3">
        <f>+IF(F164="Pasajero",'2.2 OPEX LAP 2023'!I165*'2.1 OPEX TUUA'!$N$7,'2.2 OPEX LAP 2023'!I165*'2.1 OPEX TUUA'!$N$8)</f>
        <v>0</v>
      </c>
      <c r="O164" s="3">
        <f>+IF(F164="Pasajero",'2.2 OPEX LAP 2023'!J165*'2.1 OPEX TUUA'!$O$7,'2.2 OPEX LAP 2023'!J165*'2.1 OPEX TUUA'!$O$8)</f>
        <v>0</v>
      </c>
      <c r="P164" s="3">
        <f>+IF(F164="Pasajero",'2.2 OPEX LAP 2023'!K165*'2.1 OPEX TUUA'!$P$7,'2.2 OPEX LAP 2023'!K165*'2.1 OPEX TUUA'!$P$8)</f>
        <v>0</v>
      </c>
      <c r="Q164" s="3">
        <f>+IF(F164="Pasajero",'2.2 OPEX LAP 2023'!L165*'2.1 OPEX TUUA'!$Q$7,'2.2 OPEX LAP 2023'!L165*'2.1 OPEX TUUA'!$Q$8)</f>
        <v>0</v>
      </c>
      <c r="R164" s="3">
        <f>+IF(F164="Pasajero",'2.2 OPEX LAP 2023'!M165*'2.1 OPEX TUUA'!$R$7,'2.2 OPEX LAP 2023'!M165*'2.1 OPEX TUUA'!$R$8)</f>
        <v>0</v>
      </c>
      <c r="S164" s="3">
        <f>+IF(F164="Pasajero",'2.2 OPEX LAP 2023'!N165*'2.1 OPEX TUUA'!$S$7,'2.2 OPEX LAP 2023'!N165*'2.1 OPEX TUUA'!$S$8)</f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7">
        <f t="shared" si="15"/>
        <v>0</v>
      </c>
      <c r="AB164" s="7">
        <f t="shared" si="16"/>
        <v>0</v>
      </c>
      <c r="AC164" s="7">
        <f t="shared" si="17"/>
        <v>0</v>
      </c>
      <c r="AD164" s="7">
        <f t="shared" si="18"/>
        <v>0</v>
      </c>
      <c r="AE164" s="7">
        <f t="shared" si="19"/>
        <v>0</v>
      </c>
      <c r="AF164" s="7">
        <f t="shared" si="20"/>
        <v>0</v>
      </c>
    </row>
    <row r="165" spans="2:32" x14ac:dyDescent="0.25">
      <c r="B165" s="17">
        <v>6590000006</v>
      </c>
      <c r="C165" s="193" t="s">
        <v>13</v>
      </c>
      <c r="D165" s="193" t="s">
        <v>38</v>
      </c>
      <c r="E165" s="193" t="s">
        <v>170</v>
      </c>
      <c r="F165" s="163" t="s">
        <v>190</v>
      </c>
      <c r="G165" s="3">
        <f>+IF(F165="Pasajero",'2.2 OPEX LAP 2023'!I166*'2.1 OPEX TUUA'!$G$7,'2.2 OPEX LAP 2023'!I166*'2.1 OPEX TUUA'!$G$8)</f>
        <v>0</v>
      </c>
      <c r="H165" s="3">
        <f>+IF(F165="Pasajero",'2.2 OPEX LAP 2023'!J166*'2.1 OPEX TUUA'!$H$7,'2.2 OPEX LAP 2023'!J166*'2.1 OPEX TUUA'!$H$8)</f>
        <v>0</v>
      </c>
      <c r="I165" s="3">
        <f>+IF(F165="Pasajero",'2.2 OPEX LAP 2023'!K166*'2.1 OPEX TUUA'!$I$7,'2.2 OPEX LAP 2023'!K166*'2.1 OPEX TUUA'!$I$8)</f>
        <v>0</v>
      </c>
      <c r="J165" s="3">
        <f>+IF(F165="Pasajero",'2.2 OPEX LAP 2023'!L166*'2.1 OPEX TUUA'!$J$7,'2.2 OPEX LAP 2023'!L166*'2.1 OPEX TUUA'!$J$8)</f>
        <v>0</v>
      </c>
      <c r="K165" s="3">
        <f>+IF(F165="Pasajero",'2.2 OPEX LAP 2023'!M166*'2.1 OPEX TUUA'!$K$7,'2.2 OPEX LAP 2023'!M166*'2.1 OPEX TUUA'!$K$8)</f>
        <v>0</v>
      </c>
      <c r="L165" s="3">
        <f>+IF(F165="Pasajero",'2.2 OPEX LAP 2023'!N166*'2.1 OPEX TUUA'!$L$7,'2.2 OPEX LAP 2023'!N166*'2.1 OPEX TUUA'!$L$8)</f>
        <v>0</v>
      </c>
      <c r="M165" s="3"/>
      <c r="N165" s="3">
        <f>+IF(F165="Pasajero",'2.2 OPEX LAP 2023'!I166*'2.1 OPEX TUUA'!$N$7,'2.2 OPEX LAP 2023'!I166*'2.1 OPEX TUUA'!$N$8)</f>
        <v>0</v>
      </c>
      <c r="O165" s="3">
        <f>+IF(F165="Pasajero",'2.2 OPEX LAP 2023'!J166*'2.1 OPEX TUUA'!$O$7,'2.2 OPEX LAP 2023'!J166*'2.1 OPEX TUUA'!$O$8)</f>
        <v>0</v>
      </c>
      <c r="P165" s="3">
        <f>+IF(F165="Pasajero",'2.2 OPEX LAP 2023'!K166*'2.1 OPEX TUUA'!$P$7,'2.2 OPEX LAP 2023'!K166*'2.1 OPEX TUUA'!$P$8)</f>
        <v>0</v>
      </c>
      <c r="Q165" s="3">
        <f>+IF(F165="Pasajero",'2.2 OPEX LAP 2023'!L166*'2.1 OPEX TUUA'!$Q$7,'2.2 OPEX LAP 2023'!L166*'2.1 OPEX TUUA'!$Q$8)</f>
        <v>0</v>
      </c>
      <c r="R165" s="3">
        <f>+IF(F165="Pasajero",'2.2 OPEX LAP 2023'!M166*'2.1 OPEX TUUA'!$R$7,'2.2 OPEX LAP 2023'!M166*'2.1 OPEX TUUA'!$R$8)</f>
        <v>0</v>
      </c>
      <c r="S165" s="3">
        <f>+IF(F165="Pasajero",'2.2 OPEX LAP 2023'!N166*'2.1 OPEX TUUA'!$S$7,'2.2 OPEX LAP 2023'!N166*'2.1 OPEX TUUA'!$S$8)</f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7">
        <f t="shared" si="15"/>
        <v>0</v>
      </c>
      <c r="AB165" s="7">
        <f t="shared" si="16"/>
        <v>0</v>
      </c>
      <c r="AC165" s="7">
        <f t="shared" si="17"/>
        <v>0</v>
      </c>
      <c r="AD165" s="7">
        <f t="shared" si="18"/>
        <v>0</v>
      </c>
      <c r="AE165" s="7">
        <f t="shared" si="19"/>
        <v>0</v>
      </c>
      <c r="AF165" s="7">
        <f t="shared" si="20"/>
        <v>0</v>
      </c>
    </row>
    <row r="166" spans="2:32" x14ac:dyDescent="0.25">
      <c r="B166" s="17">
        <v>6590000007</v>
      </c>
      <c r="C166" s="193" t="s">
        <v>13</v>
      </c>
      <c r="D166" s="193" t="s">
        <v>38</v>
      </c>
      <c r="E166" s="193" t="s">
        <v>171</v>
      </c>
      <c r="F166" s="163" t="s">
        <v>190</v>
      </c>
      <c r="G166" s="3">
        <f>+IF(F166="Pasajero",'2.2 OPEX LAP 2023'!I167*'2.1 OPEX TUUA'!$G$7,'2.2 OPEX LAP 2023'!I167*'2.1 OPEX TUUA'!$G$8)</f>
        <v>0</v>
      </c>
      <c r="H166" s="3">
        <f>+IF(F166="Pasajero",'2.2 OPEX LAP 2023'!J167*'2.1 OPEX TUUA'!$H$7,'2.2 OPEX LAP 2023'!J167*'2.1 OPEX TUUA'!$H$8)</f>
        <v>0</v>
      </c>
      <c r="I166" s="3">
        <f>+IF(F166="Pasajero",'2.2 OPEX LAP 2023'!K167*'2.1 OPEX TUUA'!$I$7,'2.2 OPEX LAP 2023'!K167*'2.1 OPEX TUUA'!$I$8)</f>
        <v>0</v>
      </c>
      <c r="J166" s="3">
        <f>+IF(F166="Pasajero",'2.2 OPEX LAP 2023'!L167*'2.1 OPEX TUUA'!$J$7,'2.2 OPEX LAP 2023'!L167*'2.1 OPEX TUUA'!$J$8)</f>
        <v>0</v>
      </c>
      <c r="K166" s="3">
        <f>+IF(F166="Pasajero",'2.2 OPEX LAP 2023'!M167*'2.1 OPEX TUUA'!$K$7,'2.2 OPEX LAP 2023'!M167*'2.1 OPEX TUUA'!$K$8)</f>
        <v>0</v>
      </c>
      <c r="L166" s="3">
        <f>+IF(F166="Pasajero",'2.2 OPEX LAP 2023'!N167*'2.1 OPEX TUUA'!$L$7,'2.2 OPEX LAP 2023'!N167*'2.1 OPEX TUUA'!$L$8)</f>
        <v>0</v>
      </c>
      <c r="M166" s="3"/>
      <c r="N166" s="3">
        <f>+IF(F166="Pasajero",'2.2 OPEX LAP 2023'!I167*'2.1 OPEX TUUA'!$N$7,'2.2 OPEX LAP 2023'!I167*'2.1 OPEX TUUA'!$N$8)</f>
        <v>0</v>
      </c>
      <c r="O166" s="3">
        <f>+IF(F166="Pasajero",'2.2 OPEX LAP 2023'!J167*'2.1 OPEX TUUA'!$O$7,'2.2 OPEX LAP 2023'!J167*'2.1 OPEX TUUA'!$O$8)</f>
        <v>0</v>
      </c>
      <c r="P166" s="3">
        <f>+IF(F166="Pasajero",'2.2 OPEX LAP 2023'!K167*'2.1 OPEX TUUA'!$P$7,'2.2 OPEX LAP 2023'!K167*'2.1 OPEX TUUA'!$P$8)</f>
        <v>0</v>
      </c>
      <c r="Q166" s="3">
        <f>+IF(F166="Pasajero",'2.2 OPEX LAP 2023'!L167*'2.1 OPEX TUUA'!$Q$7,'2.2 OPEX LAP 2023'!L167*'2.1 OPEX TUUA'!$Q$8)</f>
        <v>0</v>
      </c>
      <c r="R166" s="3">
        <f>+IF(F166="Pasajero",'2.2 OPEX LAP 2023'!M167*'2.1 OPEX TUUA'!$R$7,'2.2 OPEX LAP 2023'!M167*'2.1 OPEX TUUA'!$R$8)</f>
        <v>0</v>
      </c>
      <c r="S166" s="3">
        <f>+IF(F166="Pasajero",'2.2 OPEX LAP 2023'!N167*'2.1 OPEX TUUA'!$S$7,'2.2 OPEX LAP 2023'!N167*'2.1 OPEX TUUA'!$S$8)</f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7">
        <f t="shared" si="15"/>
        <v>0</v>
      </c>
      <c r="AB166" s="7">
        <f t="shared" si="16"/>
        <v>0</v>
      </c>
      <c r="AC166" s="7">
        <f t="shared" si="17"/>
        <v>0</v>
      </c>
      <c r="AD166" s="7">
        <f t="shared" si="18"/>
        <v>0</v>
      </c>
      <c r="AE166" s="7">
        <f t="shared" si="19"/>
        <v>0</v>
      </c>
      <c r="AF166" s="7">
        <f t="shared" si="20"/>
        <v>0</v>
      </c>
    </row>
    <row r="167" spans="2:32" x14ac:dyDescent="0.25">
      <c r="B167" s="17">
        <v>6590000010</v>
      </c>
      <c r="C167" s="193" t="s">
        <v>13</v>
      </c>
      <c r="D167" s="193" t="s">
        <v>38</v>
      </c>
      <c r="E167" s="193" t="s">
        <v>172</v>
      </c>
      <c r="F167" s="163" t="s">
        <v>190</v>
      </c>
      <c r="G167" s="3">
        <f>+IF(F167="Pasajero",'2.2 OPEX LAP 2023'!I168*'2.1 OPEX TUUA'!$G$7,'2.2 OPEX LAP 2023'!I168*'2.1 OPEX TUUA'!$G$8)</f>
        <v>0</v>
      </c>
      <c r="H167" s="3">
        <f>+IF(F167="Pasajero",'2.2 OPEX LAP 2023'!J168*'2.1 OPEX TUUA'!$H$7,'2.2 OPEX LAP 2023'!J168*'2.1 OPEX TUUA'!$H$8)</f>
        <v>0</v>
      </c>
      <c r="I167" s="3">
        <f>+IF(F167="Pasajero",'2.2 OPEX LAP 2023'!K168*'2.1 OPEX TUUA'!$I$7,'2.2 OPEX LAP 2023'!K168*'2.1 OPEX TUUA'!$I$8)</f>
        <v>0</v>
      </c>
      <c r="J167" s="3">
        <f>+IF(F167="Pasajero",'2.2 OPEX LAP 2023'!L168*'2.1 OPEX TUUA'!$J$7,'2.2 OPEX LAP 2023'!L168*'2.1 OPEX TUUA'!$J$8)</f>
        <v>0</v>
      </c>
      <c r="K167" s="3">
        <f>+IF(F167="Pasajero",'2.2 OPEX LAP 2023'!M168*'2.1 OPEX TUUA'!$K$7,'2.2 OPEX LAP 2023'!M168*'2.1 OPEX TUUA'!$K$8)</f>
        <v>0</v>
      </c>
      <c r="L167" s="3">
        <f>+IF(F167="Pasajero",'2.2 OPEX LAP 2023'!N168*'2.1 OPEX TUUA'!$L$7,'2.2 OPEX LAP 2023'!N168*'2.1 OPEX TUUA'!$L$8)</f>
        <v>0</v>
      </c>
      <c r="M167" s="3"/>
      <c r="N167" s="3">
        <f>+IF(F167="Pasajero",'2.2 OPEX LAP 2023'!I168*'2.1 OPEX TUUA'!$N$7,'2.2 OPEX LAP 2023'!I168*'2.1 OPEX TUUA'!$N$8)</f>
        <v>0</v>
      </c>
      <c r="O167" s="3">
        <f>+IF(F167="Pasajero",'2.2 OPEX LAP 2023'!J168*'2.1 OPEX TUUA'!$O$7,'2.2 OPEX LAP 2023'!J168*'2.1 OPEX TUUA'!$O$8)</f>
        <v>0</v>
      </c>
      <c r="P167" s="3">
        <f>+IF(F167="Pasajero",'2.2 OPEX LAP 2023'!K168*'2.1 OPEX TUUA'!$P$7,'2.2 OPEX LAP 2023'!K168*'2.1 OPEX TUUA'!$P$8)</f>
        <v>0</v>
      </c>
      <c r="Q167" s="3">
        <f>+IF(F167="Pasajero",'2.2 OPEX LAP 2023'!L168*'2.1 OPEX TUUA'!$Q$7,'2.2 OPEX LAP 2023'!L168*'2.1 OPEX TUUA'!$Q$8)</f>
        <v>0</v>
      </c>
      <c r="R167" s="3">
        <f>+IF(F167="Pasajero",'2.2 OPEX LAP 2023'!M168*'2.1 OPEX TUUA'!$R$7,'2.2 OPEX LAP 2023'!M168*'2.1 OPEX TUUA'!$R$8)</f>
        <v>0</v>
      </c>
      <c r="S167" s="3">
        <f>+IF(F167="Pasajero",'2.2 OPEX LAP 2023'!N168*'2.1 OPEX TUUA'!$S$7,'2.2 OPEX LAP 2023'!N168*'2.1 OPEX TUUA'!$S$8)</f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7">
        <f t="shared" si="15"/>
        <v>0</v>
      </c>
      <c r="AB167" s="7">
        <f t="shared" si="16"/>
        <v>0</v>
      </c>
      <c r="AC167" s="7">
        <f t="shared" si="17"/>
        <v>0</v>
      </c>
      <c r="AD167" s="7">
        <f t="shared" si="18"/>
        <v>0</v>
      </c>
      <c r="AE167" s="7">
        <f t="shared" si="19"/>
        <v>0</v>
      </c>
      <c r="AF167" s="7">
        <f t="shared" si="20"/>
        <v>0</v>
      </c>
    </row>
    <row r="168" spans="2:32" x14ac:dyDescent="0.25">
      <c r="B168" s="17">
        <v>6590000011</v>
      </c>
      <c r="C168" s="193" t="s">
        <v>13</v>
      </c>
      <c r="D168" s="193" t="s">
        <v>38</v>
      </c>
      <c r="E168" s="193" t="s">
        <v>173</v>
      </c>
      <c r="F168" s="163" t="s">
        <v>190</v>
      </c>
      <c r="G168" s="3">
        <f>+IF(F168="Pasajero",'2.2 OPEX LAP 2023'!I169*'2.1 OPEX TUUA'!$G$7,'2.2 OPEX LAP 2023'!I169*'2.1 OPEX TUUA'!$G$8)</f>
        <v>0</v>
      </c>
      <c r="H168" s="3">
        <f>+IF(F168="Pasajero",'2.2 OPEX LAP 2023'!J169*'2.1 OPEX TUUA'!$H$7,'2.2 OPEX LAP 2023'!J169*'2.1 OPEX TUUA'!$H$8)</f>
        <v>0</v>
      </c>
      <c r="I168" s="3">
        <f>+IF(F168="Pasajero",'2.2 OPEX LAP 2023'!K169*'2.1 OPEX TUUA'!$I$7,'2.2 OPEX LAP 2023'!K169*'2.1 OPEX TUUA'!$I$8)</f>
        <v>0</v>
      </c>
      <c r="J168" s="3">
        <f>+IF(F168="Pasajero",'2.2 OPEX LAP 2023'!L169*'2.1 OPEX TUUA'!$J$7,'2.2 OPEX LAP 2023'!L169*'2.1 OPEX TUUA'!$J$8)</f>
        <v>0</v>
      </c>
      <c r="K168" s="3">
        <f>+IF(F168="Pasajero",'2.2 OPEX LAP 2023'!M169*'2.1 OPEX TUUA'!$K$7,'2.2 OPEX LAP 2023'!M169*'2.1 OPEX TUUA'!$K$8)</f>
        <v>0</v>
      </c>
      <c r="L168" s="3">
        <f>+IF(F168="Pasajero",'2.2 OPEX LAP 2023'!N169*'2.1 OPEX TUUA'!$L$7,'2.2 OPEX LAP 2023'!N169*'2.1 OPEX TUUA'!$L$8)</f>
        <v>0</v>
      </c>
      <c r="M168" s="3"/>
      <c r="N168" s="3">
        <f>+IF(F168="Pasajero",'2.2 OPEX LAP 2023'!I169*'2.1 OPEX TUUA'!$N$7,'2.2 OPEX LAP 2023'!I169*'2.1 OPEX TUUA'!$N$8)</f>
        <v>0</v>
      </c>
      <c r="O168" s="3">
        <f>+IF(F168="Pasajero",'2.2 OPEX LAP 2023'!J169*'2.1 OPEX TUUA'!$O$7,'2.2 OPEX LAP 2023'!J169*'2.1 OPEX TUUA'!$O$8)</f>
        <v>0</v>
      </c>
      <c r="P168" s="3">
        <f>+IF(F168="Pasajero",'2.2 OPEX LAP 2023'!K169*'2.1 OPEX TUUA'!$P$7,'2.2 OPEX LAP 2023'!K169*'2.1 OPEX TUUA'!$P$8)</f>
        <v>0</v>
      </c>
      <c r="Q168" s="3">
        <f>+IF(F168="Pasajero",'2.2 OPEX LAP 2023'!L169*'2.1 OPEX TUUA'!$Q$7,'2.2 OPEX LAP 2023'!L169*'2.1 OPEX TUUA'!$Q$8)</f>
        <v>0</v>
      </c>
      <c r="R168" s="3">
        <f>+IF(F168="Pasajero",'2.2 OPEX LAP 2023'!M169*'2.1 OPEX TUUA'!$R$7,'2.2 OPEX LAP 2023'!M169*'2.1 OPEX TUUA'!$R$8)</f>
        <v>0</v>
      </c>
      <c r="S168" s="3">
        <f>+IF(F168="Pasajero",'2.2 OPEX LAP 2023'!N169*'2.1 OPEX TUUA'!$S$7,'2.2 OPEX LAP 2023'!N169*'2.1 OPEX TUUA'!$S$8)</f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7">
        <f t="shared" si="15"/>
        <v>0</v>
      </c>
      <c r="AB168" s="7">
        <f t="shared" si="16"/>
        <v>0</v>
      </c>
      <c r="AC168" s="7">
        <f t="shared" si="17"/>
        <v>0</v>
      </c>
      <c r="AD168" s="7">
        <f t="shared" si="18"/>
        <v>0</v>
      </c>
      <c r="AE168" s="7">
        <f t="shared" si="19"/>
        <v>0</v>
      </c>
      <c r="AF168" s="7">
        <f t="shared" si="20"/>
        <v>0</v>
      </c>
    </row>
    <row r="169" spans="2:32" x14ac:dyDescent="0.25">
      <c r="B169" s="17">
        <v>6840000001</v>
      </c>
      <c r="C169" s="193" t="s">
        <v>13</v>
      </c>
      <c r="D169" s="193" t="s">
        <v>38</v>
      </c>
      <c r="E169" s="193" t="s">
        <v>174</v>
      </c>
      <c r="F169" s="163" t="s">
        <v>190</v>
      </c>
      <c r="G169" s="3">
        <f>+IF(F169="Pasajero",'2.2 OPEX LAP 2023'!I170*'2.1 OPEX TUUA'!$G$7,'2.2 OPEX LAP 2023'!I170*'2.1 OPEX TUUA'!$G$8)</f>
        <v>0</v>
      </c>
      <c r="H169" s="3">
        <f>+IF(F169="Pasajero",'2.2 OPEX LAP 2023'!J170*'2.1 OPEX TUUA'!$H$7,'2.2 OPEX LAP 2023'!J170*'2.1 OPEX TUUA'!$H$8)</f>
        <v>0</v>
      </c>
      <c r="I169" s="3">
        <f>+IF(F169="Pasajero",'2.2 OPEX LAP 2023'!K170*'2.1 OPEX TUUA'!$I$7,'2.2 OPEX LAP 2023'!K170*'2.1 OPEX TUUA'!$I$8)</f>
        <v>0</v>
      </c>
      <c r="J169" s="3">
        <f>+IF(F169="Pasajero",'2.2 OPEX LAP 2023'!L170*'2.1 OPEX TUUA'!$J$7,'2.2 OPEX LAP 2023'!L170*'2.1 OPEX TUUA'!$J$8)</f>
        <v>0</v>
      </c>
      <c r="K169" s="3">
        <f>+IF(F169="Pasajero",'2.2 OPEX LAP 2023'!M170*'2.1 OPEX TUUA'!$K$7,'2.2 OPEX LAP 2023'!M170*'2.1 OPEX TUUA'!$K$8)</f>
        <v>0</v>
      </c>
      <c r="L169" s="3">
        <f>+IF(F169="Pasajero",'2.2 OPEX LAP 2023'!N170*'2.1 OPEX TUUA'!$L$7,'2.2 OPEX LAP 2023'!N170*'2.1 OPEX TUUA'!$L$8)</f>
        <v>0</v>
      </c>
      <c r="M169" s="3"/>
      <c r="N169" s="3">
        <f>+IF(F169="Pasajero",'2.2 OPEX LAP 2023'!I170*'2.1 OPEX TUUA'!$N$7,'2.2 OPEX LAP 2023'!I170*'2.1 OPEX TUUA'!$N$8)</f>
        <v>0</v>
      </c>
      <c r="O169" s="3">
        <f>+IF(F169="Pasajero",'2.2 OPEX LAP 2023'!J170*'2.1 OPEX TUUA'!$O$7,'2.2 OPEX LAP 2023'!J170*'2.1 OPEX TUUA'!$O$8)</f>
        <v>0</v>
      </c>
      <c r="P169" s="3">
        <f>+IF(F169="Pasajero",'2.2 OPEX LAP 2023'!K170*'2.1 OPEX TUUA'!$P$7,'2.2 OPEX LAP 2023'!K170*'2.1 OPEX TUUA'!$P$8)</f>
        <v>0</v>
      </c>
      <c r="Q169" s="3">
        <f>+IF(F169="Pasajero",'2.2 OPEX LAP 2023'!L170*'2.1 OPEX TUUA'!$Q$7,'2.2 OPEX LAP 2023'!L170*'2.1 OPEX TUUA'!$Q$8)</f>
        <v>0</v>
      </c>
      <c r="R169" s="3">
        <f>+IF(F169="Pasajero",'2.2 OPEX LAP 2023'!M170*'2.1 OPEX TUUA'!$R$7,'2.2 OPEX LAP 2023'!M170*'2.1 OPEX TUUA'!$R$8)</f>
        <v>0</v>
      </c>
      <c r="S169" s="3">
        <f>+IF(F169="Pasajero",'2.2 OPEX LAP 2023'!N170*'2.1 OPEX TUUA'!$S$7,'2.2 OPEX LAP 2023'!N170*'2.1 OPEX TUUA'!$S$8)</f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7">
        <f t="shared" si="15"/>
        <v>0</v>
      </c>
      <c r="AB169" s="7">
        <f t="shared" si="16"/>
        <v>0</v>
      </c>
      <c r="AC169" s="7">
        <f t="shared" si="17"/>
        <v>0</v>
      </c>
      <c r="AD169" s="7">
        <f t="shared" si="18"/>
        <v>0</v>
      </c>
      <c r="AE169" s="7">
        <f t="shared" si="19"/>
        <v>0</v>
      </c>
      <c r="AF169" s="7">
        <f t="shared" si="20"/>
        <v>0</v>
      </c>
    </row>
    <row r="170" spans="2:32" x14ac:dyDescent="0.25">
      <c r="B170" s="17">
        <v>8710000001</v>
      </c>
      <c r="C170" s="193" t="s">
        <v>13</v>
      </c>
      <c r="D170" s="193" t="s">
        <v>14</v>
      </c>
      <c r="E170" s="193" t="s">
        <v>175</v>
      </c>
      <c r="F170" s="163" t="s">
        <v>190</v>
      </c>
      <c r="G170" s="3">
        <f>+IF(F170="Pasajero",'2.2 OPEX LAP 2023'!I171*'2.1 OPEX TUUA'!$G$7,'2.2 OPEX LAP 2023'!I171*'2.1 OPEX TUUA'!$G$8)</f>
        <v>0</v>
      </c>
      <c r="H170" s="3">
        <f>+IF(F170="Pasajero",'2.2 OPEX LAP 2023'!J171*'2.1 OPEX TUUA'!$H$7,'2.2 OPEX LAP 2023'!J171*'2.1 OPEX TUUA'!$H$8)</f>
        <v>0</v>
      </c>
      <c r="I170" s="3">
        <f>+IF(F170="Pasajero",'2.2 OPEX LAP 2023'!K171*'2.1 OPEX TUUA'!$I$7,'2.2 OPEX LAP 2023'!K171*'2.1 OPEX TUUA'!$I$8)</f>
        <v>0</v>
      </c>
      <c r="J170" s="3">
        <f>+IF(F170="Pasajero",'2.2 OPEX LAP 2023'!L171*'2.1 OPEX TUUA'!$J$7,'2.2 OPEX LAP 2023'!L171*'2.1 OPEX TUUA'!$J$8)</f>
        <v>0</v>
      </c>
      <c r="K170" s="3">
        <f>+IF(F170="Pasajero",'2.2 OPEX LAP 2023'!M171*'2.1 OPEX TUUA'!$K$7,'2.2 OPEX LAP 2023'!M171*'2.1 OPEX TUUA'!$K$8)</f>
        <v>0</v>
      </c>
      <c r="L170" s="3">
        <f>+IF(F170="Pasajero",'2.2 OPEX LAP 2023'!N171*'2.1 OPEX TUUA'!$L$7,'2.2 OPEX LAP 2023'!N171*'2.1 OPEX TUUA'!$L$8)</f>
        <v>0</v>
      </c>
      <c r="M170" s="3"/>
      <c r="N170" s="3">
        <f>+IF(F170="Pasajero",'2.2 OPEX LAP 2023'!I171*'2.1 OPEX TUUA'!$N$7,'2.2 OPEX LAP 2023'!I171*'2.1 OPEX TUUA'!$N$8)</f>
        <v>0</v>
      </c>
      <c r="O170" s="3">
        <f>+IF(F170="Pasajero",'2.2 OPEX LAP 2023'!J171*'2.1 OPEX TUUA'!$O$7,'2.2 OPEX LAP 2023'!J171*'2.1 OPEX TUUA'!$O$8)</f>
        <v>0</v>
      </c>
      <c r="P170" s="3">
        <f>+IF(F170="Pasajero",'2.2 OPEX LAP 2023'!K171*'2.1 OPEX TUUA'!$P$7,'2.2 OPEX LAP 2023'!K171*'2.1 OPEX TUUA'!$P$8)</f>
        <v>0</v>
      </c>
      <c r="Q170" s="3">
        <f>+IF(F170="Pasajero",'2.2 OPEX LAP 2023'!L171*'2.1 OPEX TUUA'!$Q$7,'2.2 OPEX LAP 2023'!L171*'2.1 OPEX TUUA'!$Q$8)</f>
        <v>0</v>
      </c>
      <c r="R170" s="3">
        <f>+IF(F170="Pasajero",'2.2 OPEX LAP 2023'!M171*'2.1 OPEX TUUA'!$R$7,'2.2 OPEX LAP 2023'!M171*'2.1 OPEX TUUA'!$R$8)</f>
        <v>0</v>
      </c>
      <c r="S170" s="3">
        <f>+IF(F170="Pasajero",'2.2 OPEX LAP 2023'!N171*'2.1 OPEX TUUA'!$S$7,'2.2 OPEX LAP 2023'!N171*'2.1 OPEX TUUA'!$S$8)</f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7">
        <f t="shared" si="15"/>
        <v>0</v>
      </c>
      <c r="AB170" s="7">
        <f t="shared" si="16"/>
        <v>0</v>
      </c>
      <c r="AC170" s="7">
        <f t="shared" si="17"/>
        <v>0</v>
      </c>
      <c r="AD170" s="7">
        <f t="shared" si="18"/>
        <v>0</v>
      </c>
      <c r="AE170" s="7">
        <f t="shared" si="19"/>
        <v>0</v>
      </c>
      <c r="AF170" s="7">
        <f t="shared" si="20"/>
        <v>0</v>
      </c>
    </row>
    <row r="171" spans="2:32" x14ac:dyDescent="0.25">
      <c r="B171" s="17">
        <v>6211000001</v>
      </c>
      <c r="C171" s="193" t="s">
        <v>176</v>
      </c>
      <c r="D171" s="193" t="s">
        <v>14</v>
      </c>
      <c r="E171" s="193" t="s">
        <v>15</v>
      </c>
      <c r="F171" s="163" t="s">
        <v>190</v>
      </c>
      <c r="G171" s="3">
        <f>+IF(F171="Pasajero",'2.2 OPEX LAP 2023'!I172*'2.1 OPEX TUUA'!$G$7,'2.2 OPEX LAP 2023'!I172*'2.1 OPEX TUUA'!$G$8)</f>
        <v>486899.40495646722</v>
      </c>
      <c r="H171" s="3">
        <f>+IF(F171="Pasajero",'2.2 OPEX LAP 2023'!J172*'2.1 OPEX TUUA'!$H$7,'2.2 OPEX LAP 2023'!J172*'2.1 OPEX TUUA'!$H$8)</f>
        <v>571135.4770402984</v>
      </c>
      <c r="I171" s="3">
        <f>+IF(F171="Pasajero",'2.2 OPEX LAP 2023'!K172*'2.1 OPEX TUUA'!$I$7,'2.2 OPEX LAP 2023'!K172*'2.1 OPEX TUUA'!$I$8)</f>
        <v>642047.1446342977</v>
      </c>
      <c r="J171" s="3">
        <f>+IF(F171="Pasajero",'2.2 OPEX LAP 2023'!L172*'2.1 OPEX TUUA'!$J$7,'2.2 OPEX LAP 2023'!L172*'2.1 OPEX TUUA'!$J$8)</f>
        <v>680259.41136286594</v>
      </c>
      <c r="K171" s="3">
        <f>+IF(F171="Pasajero",'2.2 OPEX LAP 2023'!M172*'2.1 OPEX TUUA'!$K$7,'2.2 OPEX LAP 2023'!M172*'2.1 OPEX TUUA'!$K$8)</f>
        <v>708178.84544780373</v>
      </c>
      <c r="L171" s="3">
        <f>+IF(F171="Pasajero",'2.2 OPEX LAP 2023'!N172*'2.1 OPEX TUUA'!$L$7,'2.2 OPEX LAP 2023'!N172*'2.1 OPEX TUUA'!$L$8)</f>
        <v>739197.87666512222</v>
      </c>
      <c r="M171" s="3"/>
      <c r="N171" s="3">
        <f>+IF(F171="Pasajero",'2.2 OPEX LAP 2023'!I172*'2.1 OPEX TUUA'!$N$7,'2.2 OPEX LAP 2023'!I172*'2.1 OPEX TUUA'!$N$8)</f>
        <v>240147.17284492799</v>
      </c>
      <c r="O171" s="3">
        <f>+IF(F171="Pasajero",'2.2 OPEX LAP 2023'!J172*'2.1 OPEX TUUA'!$O$7,'2.2 OPEX LAP 2023'!J172*'2.1 OPEX TUUA'!$O$8)</f>
        <v>236543.31155407452</v>
      </c>
      <c r="P171" s="3">
        <f>+IF(F171="Pasajero",'2.2 OPEX LAP 2023'!K172*'2.1 OPEX TUUA'!$P$7,'2.2 OPEX LAP 2023'!K172*'2.1 OPEX TUUA'!$P$8)</f>
        <v>235071.87119812405</v>
      </c>
      <c r="Q171" s="3">
        <f>+IF(F171="Pasajero",'2.2 OPEX LAP 2023'!L172*'2.1 OPEX TUUA'!$Q$7,'2.2 OPEX LAP 2023'!L172*'2.1 OPEX TUUA'!$Q$8)</f>
        <v>233540.47113899005</v>
      </c>
      <c r="R171" s="3">
        <f>+IF(F171="Pasajero",'2.2 OPEX LAP 2023'!M172*'2.1 OPEX TUUA'!$R$7,'2.2 OPEX LAP 2023'!M172*'2.1 OPEX TUUA'!$R$8)</f>
        <v>234793.55787480273</v>
      </c>
      <c r="S171" s="3">
        <f>+IF(F171="Pasajero",'2.2 OPEX LAP 2023'!N172*'2.1 OPEX TUUA'!$S$7,'2.2 OPEX LAP 2023'!N172*'2.1 OPEX TUUA'!$S$8)</f>
        <v>234943.43045223472</v>
      </c>
      <c r="U171" s="1">
        <v>496099.39429753233</v>
      </c>
      <c r="V171" s="1">
        <v>581927.11130311841</v>
      </c>
      <c r="W171" s="1">
        <v>654178.65850958147</v>
      </c>
      <c r="X171" s="1">
        <v>693112.94798663142</v>
      </c>
      <c r="Y171" s="1">
        <v>721559.92121697636</v>
      </c>
      <c r="Z171" s="1">
        <v>753165.05862720544</v>
      </c>
      <c r="AA171" s="7">
        <f t="shared" si="15"/>
        <v>-9199.989341065113</v>
      </c>
      <c r="AB171" s="7">
        <f t="shared" si="16"/>
        <v>-10791.634262820007</v>
      </c>
      <c r="AC171" s="7">
        <f t="shared" si="17"/>
        <v>-12131.513875283767</v>
      </c>
      <c r="AD171" s="7">
        <f t="shared" si="18"/>
        <v>-12853.536623765482</v>
      </c>
      <c r="AE171" s="7">
        <f t="shared" si="19"/>
        <v>-13381.075769172632</v>
      </c>
      <c r="AF171" s="7">
        <f t="shared" si="20"/>
        <v>-13967.18196208321</v>
      </c>
    </row>
    <row r="172" spans="2:32" x14ac:dyDescent="0.25">
      <c r="B172" s="17">
        <v>6212000001</v>
      </c>
      <c r="C172" s="193" t="s">
        <v>176</v>
      </c>
      <c r="D172" s="193" t="s">
        <v>14</v>
      </c>
      <c r="E172" s="193" t="s">
        <v>16</v>
      </c>
      <c r="F172" s="163" t="s">
        <v>190</v>
      </c>
      <c r="G172" s="3">
        <f>+IF(F172="Pasajero",'2.2 OPEX LAP 2023'!I173*'2.1 OPEX TUUA'!$G$7,'2.2 OPEX LAP 2023'!I173*'2.1 OPEX TUUA'!$G$8)</f>
        <v>92648.814213065256</v>
      </c>
      <c r="H172" s="3">
        <f>+IF(F172="Pasajero",'2.2 OPEX LAP 2023'!J173*'2.1 OPEX TUUA'!$H$7,'2.2 OPEX LAP 2023'!J173*'2.1 OPEX TUUA'!$H$8)</f>
        <v>108677.53002805177</v>
      </c>
      <c r="I172" s="3">
        <f>+IF(F172="Pasajero",'2.2 OPEX LAP 2023'!K173*'2.1 OPEX TUUA'!$I$7,'2.2 OPEX LAP 2023'!K173*'2.1 OPEX TUUA'!$I$8)</f>
        <v>122170.83449623546</v>
      </c>
      <c r="J172" s="3">
        <f>+IF(F172="Pasajero",'2.2 OPEX LAP 2023'!L173*'2.1 OPEX TUUA'!$J$7,'2.2 OPEX LAP 2023'!L173*'2.1 OPEX TUUA'!$J$8)</f>
        <v>129441.98982063301</v>
      </c>
      <c r="K172" s="3">
        <f>+IF(F172="Pasajero",'2.2 OPEX LAP 2023'!M173*'2.1 OPEX TUUA'!$K$7,'2.2 OPEX LAP 2023'!M173*'2.1 OPEX TUUA'!$K$8)</f>
        <v>134754.59122276571</v>
      </c>
      <c r="L172" s="3">
        <f>+IF(F172="Pasajero",'2.2 OPEX LAP 2023'!N173*'2.1 OPEX TUUA'!$L$7,'2.2 OPEX LAP 2023'!N173*'2.1 OPEX TUUA'!$L$8)</f>
        <v>140656.99412379117</v>
      </c>
      <c r="M172" s="3"/>
      <c r="N172" s="3">
        <f>+IF(F172="Pasajero",'2.2 OPEX LAP 2023'!I173*'2.1 OPEX TUUA'!$N$7,'2.2 OPEX LAP 2023'!I173*'2.1 OPEX TUUA'!$N$8)</f>
        <v>45695.990946408892</v>
      </c>
      <c r="O172" s="3">
        <f>+IF(F172="Pasajero",'2.2 OPEX LAP 2023'!J173*'2.1 OPEX TUUA'!$O$7,'2.2 OPEX LAP 2023'!J173*'2.1 OPEX TUUA'!$O$8)</f>
        <v>45010.23641110443</v>
      </c>
      <c r="P172" s="3">
        <f>+IF(F172="Pasajero",'2.2 OPEX LAP 2023'!K173*'2.1 OPEX TUUA'!$P$7,'2.2 OPEX LAP 2023'!K173*'2.1 OPEX TUUA'!$P$8)</f>
        <v>44730.245918661232</v>
      </c>
      <c r="Q172" s="3">
        <f>+IF(F172="Pasajero",'2.2 OPEX LAP 2023'!L173*'2.1 OPEX TUUA'!$Q$7,'2.2 OPEX LAP 2023'!L173*'2.1 OPEX TUUA'!$Q$8)</f>
        <v>44438.846097424503</v>
      </c>
      <c r="R172" s="3">
        <f>+IF(F172="Pasajero",'2.2 OPEX LAP 2023'!M173*'2.1 OPEX TUUA'!$R$7,'2.2 OPEX LAP 2023'!M173*'2.1 OPEX TUUA'!$R$8)</f>
        <v>44677.287547542001</v>
      </c>
      <c r="S172" s="3">
        <f>+IF(F172="Pasajero",'2.2 OPEX LAP 2023'!N173*'2.1 OPEX TUUA'!$S$7,'2.2 OPEX LAP 2023'!N173*'2.1 OPEX TUUA'!$S$8)</f>
        <v>44705.805792667743</v>
      </c>
      <c r="U172" s="1">
        <v>94399.418330765358</v>
      </c>
      <c r="V172" s="1">
        <v>110730.99755685427</v>
      </c>
      <c r="W172" s="1">
        <v>124479.25870812146</v>
      </c>
      <c r="X172" s="1">
        <v>131887.8028869738</v>
      </c>
      <c r="Y172" s="1">
        <v>137300.786166298</v>
      </c>
      <c r="Z172" s="1">
        <v>143314.71527422234</v>
      </c>
      <c r="AA172" s="7">
        <f t="shared" si="15"/>
        <v>-1750.6041177001025</v>
      </c>
      <c r="AB172" s="7">
        <f t="shared" si="16"/>
        <v>-2053.4675288025028</v>
      </c>
      <c r="AC172" s="7">
        <f t="shared" si="17"/>
        <v>-2308.4242118859984</v>
      </c>
      <c r="AD172" s="7">
        <f t="shared" si="18"/>
        <v>-2445.8130663407937</v>
      </c>
      <c r="AE172" s="7">
        <f t="shared" si="19"/>
        <v>-2546.1949435322895</v>
      </c>
      <c r="AF172" s="7">
        <f t="shared" si="20"/>
        <v>-2657.7211504311708</v>
      </c>
    </row>
    <row r="173" spans="2:32" x14ac:dyDescent="0.25">
      <c r="B173" s="17">
        <v>6213000001</v>
      </c>
      <c r="C173" s="193" t="s">
        <v>176</v>
      </c>
      <c r="D173" s="193" t="s">
        <v>14</v>
      </c>
      <c r="E173" s="193" t="s">
        <v>17</v>
      </c>
      <c r="F173" s="163" t="s">
        <v>190</v>
      </c>
      <c r="G173" s="3">
        <f>+IF(F173="Pasajero",'2.2 OPEX LAP 2023'!I174*'2.1 OPEX TUUA'!$G$7,'2.2 OPEX LAP 2023'!I174*'2.1 OPEX TUUA'!$G$8)</f>
        <v>49188.337836967832</v>
      </c>
      <c r="H173" s="3">
        <f>+IF(F173="Pasajero",'2.2 OPEX LAP 2023'!J174*'2.1 OPEX TUUA'!$H$7,'2.2 OPEX LAP 2023'!J174*'2.1 OPEX TUUA'!$H$8)</f>
        <v>57698.170318872631</v>
      </c>
      <c r="I173" s="3">
        <f>+IF(F173="Pasajero",'2.2 OPEX LAP 2023'!K174*'2.1 OPEX TUUA'!$I$7,'2.2 OPEX LAP 2023'!K174*'2.1 OPEX TUUA'!$I$8)</f>
        <v>64861.923296776265</v>
      </c>
      <c r="J173" s="3">
        <f>+IF(F173="Pasajero",'2.2 OPEX LAP 2023'!L174*'2.1 OPEX TUUA'!$J$7,'2.2 OPEX LAP 2023'!L174*'2.1 OPEX TUUA'!$J$8)</f>
        <v>68722.264603887103</v>
      </c>
      <c r="K173" s="3">
        <f>+IF(F173="Pasajero",'2.2 OPEX LAP 2023'!M174*'2.1 OPEX TUUA'!$K$7,'2.2 OPEX LAP 2023'!M174*'2.1 OPEX TUUA'!$K$8)</f>
        <v>71542.786752830085</v>
      </c>
      <c r="L173" s="3">
        <f>+IF(F173="Pasajero",'2.2 OPEX LAP 2023'!N174*'2.1 OPEX TUUA'!$L$7,'2.2 OPEX LAP 2023'!N174*'2.1 OPEX TUUA'!$L$8)</f>
        <v>74676.441407900638</v>
      </c>
      <c r="M173" s="3"/>
      <c r="N173" s="3">
        <f>+IF(F173="Pasajero",'2.2 OPEX LAP 2023'!I174*'2.1 OPEX TUUA'!$N$7,'2.2 OPEX LAP 2023'!I174*'2.1 OPEX TUUA'!$N$8)</f>
        <v>24260.5354375924</v>
      </c>
      <c r="O173" s="3">
        <f>+IF(F173="Pasajero",'2.2 OPEX LAP 2023'!J174*'2.1 OPEX TUUA'!$O$7,'2.2 OPEX LAP 2023'!J174*'2.1 OPEX TUUA'!$O$8)</f>
        <v>23896.460343460949</v>
      </c>
      <c r="P173" s="3">
        <f>+IF(F173="Pasajero",'2.2 OPEX LAP 2023'!K174*'2.1 OPEX TUUA'!$P$7,'2.2 OPEX LAP 2023'!K174*'2.1 OPEX TUUA'!$P$8)</f>
        <v>23747.810120029459</v>
      </c>
      <c r="Q173" s="3">
        <f>+IF(F173="Pasajero",'2.2 OPEX LAP 2023'!L174*'2.1 OPEX TUUA'!$Q$7,'2.2 OPEX LAP 2023'!L174*'2.1 OPEX TUUA'!$Q$8)</f>
        <v>23593.102550651813</v>
      </c>
      <c r="R173" s="3">
        <f>+IF(F173="Pasajero",'2.2 OPEX LAP 2023'!M174*'2.1 OPEX TUUA'!$R$7,'2.2 OPEX LAP 2023'!M174*'2.1 OPEX TUUA'!$R$8)</f>
        <v>23719.693902115243</v>
      </c>
      <c r="S173" s="3">
        <f>+IF(F173="Pasajero",'2.2 OPEX LAP 2023'!N174*'2.1 OPEX TUUA'!$S$7,'2.2 OPEX LAP 2023'!N174*'2.1 OPEX TUUA'!$S$8)</f>
        <v>23734.834571617357</v>
      </c>
      <c r="U173" s="1">
        <v>50117.754014515369</v>
      </c>
      <c r="V173" s="1">
        <v>58788.380219581064</v>
      </c>
      <c r="W173" s="1">
        <v>66087.492679069255</v>
      </c>
      <c r="X173" s="1">
        <v>70020.775334057631</v>
      </c>
      <c r="Y173" s="1">
        <v>72894.591394314441</v>
      </c>
      <c r="Z173" s="1">
        <v>76087.456615534291</v>
      </c>
      <c r="AA173" s="7">
        <f t="shared" si="15"/>
        <v>-929.41617754753679</v>
      </c>
      <c r="AB173" s="7">
        <f t="shared" si="16"/>
        <v>-1090.2099007084325</v>
      </c>
      <c r="AC173" s="7">
        <f t="shared" si="17"/>
        <v>-1225.5693822929898</v>
      </c>
      <c r="AD173" s="7">
        <f t="shared" si="18"/>
        <v>-1298.5107301705284</v>
      </c>
      <c r="AE173" s="7">
        <f t="shared" si="19"/>
        <v>-1351.8046414843557</v>
      </c>
      <c r="AF173" s="7">
        <f t="shared" si="20"/>
        <v>-1411.0152076336526</v>
      </c>
    </row>
    <row r="174" spans="2:32" x14ac:dyDescent="0.25">
      <c r="B174" s="17">
        <v>6214000001</v>
      </c>
      <c r="C174" s="193" t="s">
        <v>176</v>
      </c>
      <c r="D174" s="193" t="s">
        <v>14</v>
      </c>
      <c r="E174" s="193" t="s">
        <v>18</v>
      </c>
      <c r="F174" s="163" t="s">
        <v>190</v>
      </c>
      <c r="G174" s="3">
        <f>+IF(F174="Pasajero",'2.2 OPEX LAP 2023'!I175*'2.1 OPEX TUUA'!$G$7,'2.2 OPEX LAP 2023'!I175*'2.1 OPEX TUUA'!$G$8)</f>
        <v>13909.071850565684</v>
      </c>
      <c r="H174" s="3">
        <f>+IF(F174="Pasajero",'2.2 OPEX LAP 2023'!J175*'2.1 OPEX TUUA'!$H$7,'2.2 OPEX LAP 2023'!J175*'2.1 OPEX TUUA'!$H$8)</f>
        <v>16315.411983859118</v>
      </c>
      <c r="I174" s="3">
        <f>+IF(F174="Pasajero",'2.2 OPEX LAP 2023'!K175*'2.1 OPEX TUUA'!$I$7,'2.2 OPEX LAP 2023'!K175*'2.1 OPEX TUUA'!$I$8)</f>
        <v>18341.118874374934</v>
      </c>
      <c r="J174" s="3">
        <f>+IF(F174="Pasajero",'2.2 OPEX LAP 2023'!L175*'2.1 OPEX TUUA'!$J$7,'2.2 OPEX LAP 2023'!L175*'2.1 OPEX TUUA'!$J$8)</f>
        <v>19432.714300637894</v>
      </c>
      <c r="K174" s="3">
        <f>+IF(F174="Pasajero",'2.2 OPEX LAP 2023'!M175*'2.1 OPEX TUUA'!$K$7,'2.2 OPEX LAP 2023'!M175*'2.1 OPEX TUUA'!$K$8)</f>
        <v>20230.278254837533</v>
      </c>
      <c r="L174" s="3">
        <f>+IF(F174="Pasajero",'2.2 OPEX LAP 2023'!N175*'2.1 OPEX TUUA'!$L$7,'2.2 OPEX LAP 2023'!N175*'2.1 OPEX TUUA'!$L$8)</f>
        <v>21116.387232471625</v>
      </c>
      <c r="M174" s="3"/>
      <c r="N174" s="3">
        <f>+IF(F174="Pasajero",'2.2 OPEX LAP 2023'!I175*'2.1 OPEX TUUA'!$N$7,'2.2 OPEX LAP 2023'!I175*'2.1 OPEX TUUA'!$N$8)</f>
        <v>6860.1938055540713</v>
      </c>
      <c r="O174" s="3">
        <f>+IF(F174="Pasajero",'2.2 OPEX LAP 2023'!J175*'2.1 OPEX TUUA'!$O$7,'2.2 OPEX LAP 2023'!J175*'2.1 OPEX TUUA'!$O$8)</f>
        <v>6757.243657897935</v>
      </c>
      <c r="P174" s="3">
        <f>+IF(F174="Pasajero",'2.2 OPEX LAP 2023'!K175*'2.1 OPEX TUUA'!$P$7,'2.2 OPEX LAP 2023'!K175*'2.1 OPEX TUUA'!$P$8)</f>
        <v>6715.2095756493309</v>
      </c>
      <c r="Q174" s="3">
        <f>+IF(F174="Pasajero",'2.2 OPEX LAP 2023'!L175*'2.1 OPEX TUUA'!$Q$7,'2.2 OPEX LAP 2023'!L175*'2.1 OPEX TUUA'!$Q$8)</f>
        <v>6671.4626471511128</v>
      </c>
      <c r="R174" s="3">
        <f>+IF(F174="Pasajero",'2.2 OPEX LAP 2023'!M175*'2.1 OPEX TUUA'!$R$7,'2.2 OPEX LAP 2023'!M175*'2.1 OPEX TUUA'!$R$8)</f>
        <v>6707.2591038031142</v>
      </c>
      <c r="S174" s="3">
        <f>+IF(F174="Pasajero",'2.2 OPEX LAP 2023'!N175*'2.1 OPEX TUUA'!$S$7,'2.2 OPEX LAP 2023'!N175*'2.1 OPEX TUUA'!$S$8)</f>
        <v>6711.5404572545876</v>
      </c>
      <c r="U174" s="1">
        <v>14171.884479759088</v>
      </c>
      <c r="V174" s="1">
        <v>16623.692533842557</v>
      </c>
      <c r="W174" s="1">
        <v>18687.675260416407</v>
      </c>
      <c r="X174" s="1">
        <v>19799.896438496158</v>
      </c>
      <c r="Y174" s="1">
        <v>20612.530404699839</v>
      </c>
      <c r="Z174" s="1">
        <v>21515.382457117488</v>
      </c>
      <c r="AA174" s="7">
        <f t="shared" si="15"/>
        <v>-262.81262919340406</v>
      </c>
      <c r="AB174" s="7">
        <f t="shared" si="16"/>
        <v>-308.28054998343941</v>
      </c>
      <c r="AC174" s="7">
        <f t="shared" si="17"/>
        <v>-346.55638604147316</v>
      </c>
      <c r="AD174" s="7">
        <f t="shared" si="18"/>
        <v>-367.18213785826447</v>
      </c>
      <c r="AE174" s="7">
        <f t="shared" si="19"/>
        <v>-382.2521498623064</v>
      </c>
      <c r="AF174" s="7">
        <f t="shared" si="20"/>
        <v>-398.99522464586335</v>
      </c>
    </row>
    <row r="175" spans="2:32" x14ac:dyDescent="0.25">
      <c r="B175" s="17">
        <v>6221000001</v>
      </c>
      <c r="C175" s="193" t="s">
        <v>176</v>
      </c>
      <c r="D175" s="193" t="s">
        <v>14</v>
      </c>
      <c r="E175" s="193" t="s">
        <v>19</v>
      </c>
      <c r="F175" s="163" t="s">
        <v>190</v>
      </c>
      <c r="G175" s="3">
        <f>+IF(F175="Pasajero",'2.2 OPEX LAP 2023'!I176*'2.1 OPEX TUUA'!$G$7,'2.2 OPEX LAP 2023'!I176*'2.1 OPEX TUUA'!$G$8)</f>
        <v>5156.6705322405232</v>
      </c>
      <c r="H175" s="3">
        <f>+IF(F175="Pasajero",'2.2 OPEX LAP 2023'!J176*'2.1 OPEX TUUA'!$H$7,'2.2 OPEX LAP 2023'!J176*'2.1 OPEX TUUA'!$H$8)</f>
        <v>6048.8007469102622</v>
      </c>
      <c r="I175" s="3">
        <f>+IF(F175="Pasajero",'2.2 OPEX LAP 2023'!K176*'2.1 OPEX TUUA'!$I$7,'2.2 OPEX LAP 2023'!K176*'2.1 OPEX TUUA'!$I$8)</f>
        <v>6799.8144120567722</v>
      </c>
      <c r="J175" s="3">
        <f>+IF(F175="Pasajero",'2.2 OPEX LAP 2023'!L176*'2.1 OPEX TUUA'!$J$7,'2.2 OPEX LAP 2023'!L176*'2.1 OPEX TUUA'!$J$8)</f>
        <v>7204.5141668797223</v>
      </c>
      <c r="K175" s="3">
        <f>+IF(F175="Pasajero",'2.2 OPEX LAP 2023'!M176*'2.1 OPEX TUUA'!$K$7,'2.2 OPEX LAP 2023'!M176*'2.1 OPEX TUUA'!$K$8)</f>
        <v>7500.2042448651373</v>
      </c>
      <c r="L175" s="3">
        <f>+IF(F175="Pasajero",'2.2 OPEX LAP 2023'!N176*'2.1 OPEX TUUA'!$L$7,'2.2 OPEX LAP 2023'!N176*'2.1 OPEX TUUA'!$L$8)</f>
        <v>7828.7216400163952</v>
      </c>
      <c r="M175" s="3"/>
      <c r="N175" s="3">
        <f>+IF(F175="Pasajero",'2.2 OPEX LAP 2023'!I176*'2.1 OPEX TUUA'!$N$7,'2.2 OPEX LAP 2023'!I176*'2.1 OPEX TUUA'!$N$8)</f>
        <v>2543.3587246240959</v>
      </c>
      <c r="O175" s="3">
        <f>+IF(F175="Pasajero",'2.2 OPEX LAP 2023'!J176*'2.1 OPEX TUUA'!$O$7,'2.2 OPEX LAP 2023'!J176*'2.1 OPEX TUUA'!$O$8)</f>
        <v>2505.1908297126452</v>
      </c>
      <c r="P175" s="3">
        <f>+IF(F175="Pasajero",'2.2 OPEX LAP 2023'!K176*'2.1 OPEX TUUA'!$P$7,'2.2 OPEX LAP 2023'!K176*'2.1 OPEX TUUA'!$P$8)</f>
        <v>2489.6070498882327</v>
      </c>
      <c r="Q175" s="3">
        <f>+IF(F175="Pasajero",'2.2 OPEX LAP 2023'!L176*'2.1 OPEX TUUA'!$Q$7,'2.2 OPEX LAP 2023'!L176*'2.1 OPEX TUUA'!$Q$8)</f>
        <v>2473.3882468303118</v>
      </c>
      <c r="R175" s="3">
        <f>+IF(F175="Pasajero",'2.2 OPEX LAP 2023'!M176*'2.1 OPEX TUUA'!$R$7,'2.2 OPEX LAP 2023'!M176*'2.1 OPEX TUUA'!$R$8)</f>
        <v>2486.6594798183341</v>
      </c>
      <c r="S175" s="3">
        <f>+IF(F175="Pasajero",'2.2 OPEX LAP 2023'!N176*'2.1 OPEX TUUA'!$S$7,'2.2 OPEX LAP 2023'!N176*'2.1 OPEX TUUA'!$S$8)</f>
        <v>2488.2467553330857</v>
      </c>
      <c r="U175" s="1">
        <v>5254.1060876120455</v>
      </c>
      <c r="V175" s="1">
        <v>6163.0931486493364</v>
      </c>
      <c r="W175" s="1">
        <v>6928.2972556900195</v>
      </c>
      <c r="X175" s="1">
        <v>7340.6438332299449</v>
      </c>
      <c r="Y175" s="1">
        <v>7641.9209904724557</v>
      </c>
      <c r="Z175" s="1">
        <v>7976.645738729876</v>
      </c>
      <c r="AA175" s="7">
        <f t="shared" si="15"/>
        <v>-97.435555371522241</v>
      </c>
      <c r="AB175" s="7">
        <f t="shared" si="16"/>
        <v>-114.29240173907419</v>
      </c>
      <c r="AC175" s="7">
        <f t="shared" si="17"/>
        <v>-128.48284363324728</v>
      </c>
      <c r="AD175" s="7">
        <f t="shared" si="18"/>
        <v>-136.12966635022258</v>
      </c>
      <c r="AE175" s="7">
        <f t="shared" si="19"/>
        <v>-141.71674560731844</v>
      </c>
      <c r="AF175" s="7">
        <f t="shared" si="20"/>
        <v>-147.92409871348082</v>
      </c>
    </row>
    <row r="176" spans="2:32" x14ac:dyDescent="0.25">
      <c r="B176" s="17">
        <v>6231000001</v>
      </c>
      <c r="C176" s="193" t="s">
        <v>176</v>
      </c>
      <c r="D176" s="193" t="s">
        <v>14</v>
      </c>
      <c r="E176" s="193" t="s">
        <v>20</v>
      </c>
      <c r="F176" s="163" t="s">
        <v>190</v>
      </c>
      <c r="G176" s="3">
        <f>+IF(F176="Pasajero",'2.2 OPEX LAP 2023'!I177*'2.1 OPEX TUUA'!$G$7,'2.2 OPEX LAP 2023'!I177*'2.1 OPEX TUUA'!$G$8)</f>
        <v>0</v>
      </c>
      <c r="H176" s="3">
        <f>+IF(F176="Pasajero",'2.2 OPEX LAP 2023'!J177*'2.1 OPEX TUUA'!$H$7,'2.2 OPEX LAP 2023'!J177*'2.1 OPEX TUUA'!$H$8)</f>
        <v>0</v>
      </c>
      <c r="I176" s="3">
        <f>+IF(F176="Pasajero",'2.2 OPEX LAP 2023'!K177*'2.1 OPEX TUUA'!$I$7,'2.2 OPEX LAP 2023'!K177*'2.1 OPEX TUUA'!$I$8)</f>
        <v>0</v>
      </c>
      <c r="J176" s="3">
        <f>+IF(F176="Pasajero",'2.2 OPEX LAP 2023'!L177*'2.1 OPEX TUUA'!$J$7,'2.2 OPEX LAP 2023'!L177*'2.1 OPEX TUUA'!$J$8)</f>
        <v>0</v>
      </c>
      <c r="K176" s="3">
        <f>+IF(F176="Pasajero",'2.2 OPEX LAP 2023'!M177*'2.1 OPEX TUUA'!$K$7,'2.2 OPEX LAP 2023'!M177*'2.1 OPEX TUUA'!$K$8)</f>
        <v>0</v>
      </c>
      <c r="L176" s="3">
        <f>+IF(F176="Pasajero",'2.2 OPEX LAP 2023'!N177*'2.1 OPEX TUUA'!$L$7,'2.2 OPEX LAP 2023'!N177*'2.1 OPEX TUUA'!$L$8)</f>
        <v>0</v>
      </c>
      <c r="M176" s="3"/>
      <c r="N176" s="3">
        <f>+IF(F176="Pasajero",'2.2 OPEX LAP 2023'!I177*'2.1 OPEX TUUA'!$N$7,'2.2 OPEX LAP 2023'!I177*'2.1 OPEX TUUA'!$N$8)</f>
        <v>0</v>
      </c>
      <c r="O176" s="3">
        <f>+IF(F176="Pasajero",'2.2 OPEX LAP 2023'!J177*'2.1 OPEX TUUA'!$O$7,'2.2 OPEX LAP 2023'!J177*'2.1 OPEX TUUA'!$O$8)</f>
        <v>0</v>
      </c>
      <c r="P176" s="3">
        <f>+IF(F176="Pasajero",'2.2 OPEX LAP 2023'!K177*'2.1 OPEX TUUA'!$P$7,'2.2 OPEX LAP 2023'!K177*'2.1 OPEX TUUA'!$P$8)</f>
        <v>0</v>
      </c>
      <c r="Q176" s="3">
        <f>+IF(F176="Pasajero",'2.2 OPEX LAP 2023'!L177*'2.1 OPEX TUUA'!$Q$7,'2.2 OPEX LAP 2023'!L177*'2.1 OPEX TUUA'!$Q$8)</f>
        <v>0</v>
      </c>
      <c r="R176" s="3">
        <f>+IF(F176="Pasajero",'2.2 OPEX LAP 2023'!M177*'2.1 OPEX TUUA'!$R$7,'2.2 OPEX LAP 2023'!M177*'2.1 OPEX TUUA'!$R$8)</f>
        <v>0</v>
      </c>
      <c r="S176" s="3">
        <f>+IF(F176="Pasajero",'2.2 OPEX LAP 2023'!N177*'2.1 OPEX TUUA'!$S$7,'2.2 OPEX LAP 2023'!N177*'2.1 OPEX TUUA'!$S$8)</f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7">
        <f t="shared" si="15"/>
        <v>0</v>
      </c>
      <c r="AB176" s="7">
        <f t="shared" si="16"/>
        <v>0</v>
      </c>
      <c r="AC176" s="7">
        <f t="shared" si="17"/>
        <v>0</v>
      </c>
      <c r="AD176" s="7">
        <f t="shared" si="18"/>
        <v>0</v>
      </c>
      <c r="AE176" s="7">
        <f t="shared" si="19"/>
        <v>0</v>
      </c>
      <c r="AF176" s="7">
        <f t="shared" si="20"/>
        <v>0</v>
      </c>
    </row>
    <row r="177" spans="2:32" x14ac:dyDescent="0.25">
      <c r="B177" s="17">
        <v>6240000001</v>
      </c>
      <c r="C177" s="193" t="s">
        <v>176</v>
      </c>
      <c r="D177" s="193" t="s">
        <v>14</v>
      </c>
      <c r="E177" s="193" t="s">
        <v>21</v>
      </c>
      <c r="F177" s="163" t="s">
        <v>190</v>
      </c>
      <c r="G177" s="3">
        <f>+IF(F177="Pasajero",'2.2 OPEX LAP 2023'!I178*'2.1 OPEX TUUA'!$G$7,'2.2 OPEX LAP 2023'!I178*'2.1 OPEX TUUA'!$G$8)</f>
        <v>4047.3078500410297</v>
      </c>
      <c r="H177" s="3">
        <f>+IF(F177="Pasajero",'2.2 OPEX LAP 2023'!J178*'2.1 OPEX TUUA'!$H$7,'2.2 OPEX LAP 2023'!J178*'2.1 OPEX TUUA'!$H$8)</f>
        <v>4747.5126815338799</v>
      </c>
      <c r="I177" s="3">
        <f>+IF(F177="Pasajero",'2.2 OPEX LAP 2023'!K178*'2.1 OPEX TUUA'!$I$7,'2.2 OPEX LAP 2023'!K178*'2.1 OPEX TUUA'!$I$8)</f>
        <v>5336.9595898502985</v>
      </c>
      <c r="J177" s="3">
        <f>+IF(F177="Pasajero",'2.2 OPEX LAP 2023'!L178*'2.1 OPEX TUUA'!$J$7,'2.2 OPEX LAP 2023'!L178*'2.1 OPEX TUUA'!$J$8)</f>
        <v>5654.5956467524902</v>
      </c>
      <c r="K177" s="3">
        <f>+IF(F177="Pasajero",'2.2 OPEX LAP 2023'!M178*'2.1 OPEX TUUA'!$K$7,'2.2 OPEX LAP 2023'!M178*'2.1 OPEX TUUA'!$K$8)</f>
        <v>5886.6734508951649</v>
      </c>
      <c r="L177" s="3">
        <f>+IF(F177="Pasajero",'2.2 OPEX LAP 2023'!N178*'2.1 OPEX TUUA'!$L$7,'2.2 OPEX LAP 2023'!N178*'2.1 OPEX TUUA'!$L$8)</f>
        <v>6144.5163795751569</v>
      </c>
      <c r="M177" s="3"/>
      <c r="N177" s="3">
        <f>+IF(F177="Pasajero",'2.2 OPEX LAP 2023'!I178*'2.1 OPEX TUUA'!$N$7,'2.2 OPEX LAP 2023'!I178*'2.1 OPEX TUUA'!$N$8)</f>
        <v>1996.2019421801044</v>
      </c>
      <c r="O177" s="3">
        <f>+IF(F177="Pasajero",'2.2 OPEX LAP 2023'!J178*'2.1 OPEX TUUA'!$O$7,'2.2 OPEX LAP 2023'!J178*'2.1 OPEX TUUA'!$O$8)</f>
        <v>1966.2451668288707</v>
      </c>
      <c r="P177" s="3">
        <f>+IF(F177="Pasajero",'2.2 OPEX LAP 2023'!K178*'2.1 OPEX TUUA'!$P$7,'2.2 OPEX LAP 2023'!K178*'2.1 OPEX TUUA'!$P$8)</f>
        <v>1954.0139501897011</v>
      </c>
      <c r="Q177" s="3">
        <f>+IF(F177="Pasajero",'2.2 OPEX LAP 2023'!L178*'2.1 OPEX TUUA'!$Q$7,'2.2 OPEX LAP 2023'!L178*'2.1 OPEX TUUA'!$Q$8)</f>
        <v>1941.2843238689613</v>
      </c>
      <c r="R177" s="3">
        <f>+IF(F177="Pasajero",'2.2 OPEX LAP 2023'!M178*'2.1 OPEX TUUA'!$R$7,'2.2 OPEX LAP 2023'!M178*'2.1 OPEX TUUA'!$R$8)</f>
        <v>1951.7004955278492</v>
      </c>
      <c r="S177" s="3">
        <f>+IF(F177="Pasajero",'2.2 OPEX LAP 2023'!N178*'2.1 OPEX TUUA'!$S$7,'2.2 OPEX LAP 2023'!N178*'2.1 OPEX TUUA'!$S$8)</f>
        <v>1952.946297952275</v>
      </c>
      <c r="U177" s="1">
        <v>4123.7819403794965</v>
      </c>
      <c r="V177" s="1">
        <v>4837.2171782370297</v>
      </c>
      <c r="W177" s="1">
        <v>5437.8017162536116</v>
      </c>
      <c r="X177" s="1">
        <v>5761.4395228151598</v>
      </c>
      <c r="Y177" s="1">
        <v>5997.9024490234515</v>
      </c>
      <c r="Z177" s="1">
        <v>6260.6173331245782</v>
      </c>
      <c r="AA177" s="7">
        <f t="shared" si="15"/>
        <v>-76.474090338466794</v>
      </c>
      <c r="AB177" s="7">
        <f t="shared" si="16"/>
        <v>-89.704496703149744</v>
      </c>
      <c r="AC177" s="7">
        <f t="shared" si="17"/>
        <v>-100.84212640331316</v>
      </c>
      <c r="AD177" s="7">
        <f t="shared" si="18"/>
        <v>-106.84387606266955</v>
      </c>
      <c r="AE177" s="7">
        <f t="shared" si="19"/>
        <v>-111.22899812828655</v>
      </c>
      <c r="AF177" s="7">
        <f t="shared" si="20"/>
        <v>-116.10095354942132</v>
      </c>
    </row>
    <row r="178" spans="2:32" x14ac:dyDescent="0.25">
      <c r="B178" s="17">
        <v>6250000001</v>
      </c>
      <c r="C178" s="193" t="s">
        <v>176</v>
      </c>
      <c r="D178" s="193" t="s">
        <v>14</v>
      </c>
      <c r="E178" s="193" t="s">
        <v>22</v>
      </c>
      <c r="F178" s="163" t="s">
        <v>190</v>
      </c>
      <c r="G178" s="3">
        <f>+IF(F178="Pasajero",'2.2 OPEX LAP 2023'!I179*'2.1 OPEX TUUA'!$G$7,'2.2 OPEX LAP 2023'!I179*'2.1 OPEX TUUA'!$G$8)</f>
        <v>2210.6724313671762</v>
      </c>
      <c r="H178" s="3">
        <f>+IF(F178="Pasajero",'2.2 OPEX LAP 2023'!J179*'2.1 OPEX TUUA'!$H$7,'2.2 OPEX LAP 2023'!J179*'2.1 OPEX TUUA'!$H$8)</f>
        <v>2593.1299993714611</v>
      </c>
      <c r="I178" s="3">
        <f>+IF(F178="Pasajero",'2.2 OPEX LAP 2023'!K179*'2.1 OPEX TUUA'!$I$7,'2.2 OPEX LAP 2023'!K179*'2.1 OPEX TUUA'!$I$8)</f>
        <v>2915.0906898478502</v>
      </c>
      <c r="J178" s="3">
        <f>+IF(F178="Pasajero",'2.2 OPEX LAP 2023'!L179*'2.1 OPEX TUUA'!$J$7,'2.2 OPEX LAP 2023'!L179*'2.1 OPEX TUUA'!$J$8)</f>
        <v>3088.5860848657344</v>
      </c>
      <c r="K178" s="3">
        <f>+IF(F178="Pasajero",'2.2 OPEX LAP 2023'!M179*'2.1 OPEX TUUA'!$K$7,'2.2 OPEX LAP 2023'!M179*'2.1 OPEX TUUA'!$K$8)</f>
        <v>3215.3488670803958</v>
      </c>
      <c r="L178" s="3">
        <f>+IF(F178="Pasajero",'2.2 OPEX LAP 2023'!N179*'2.1 OPEX TUUA'!$L$7,'2.2 OPEX LAP 2023'!N179*'2.1 OPEX TUUA'!$L$8)</f>
        <v>3356.1847696545115</v>
      </c>
      <c r="M178" s="3"/>
      <c r="N178" s="3">
        <f>+IF(F178="Pasajero",'2.2 OPEX LAP 2023'!I179*'2.1 OPEX TUUA'!$N$7,'2.2 OPEX LAP 2023'!I179*'2.1 OPEX TUUA'!$N$8)</f>
        <v>1090.3417196135536</v>
      </c>
      <c r="O178" s="3">
        <f>+IF(F178="Pasajero",'2.2 OPEX LAP 2023'!J179*'2.1 OPEX TUUA'!$O$7,'2.2 OPEX LAP 2023'!J179*'2.1 OPEX TUUA'!$O$8)</f>
        <v>1073.9790855231024</v>
      </c>
      <c r="P178" s="3">
        <f>+IF(F178="Pasajero",'2.2 OPEX LAP 2023'!K179*'2.1 OPEX TUUA'!$P$7,'2.2 OPEX LAP 2023'!K179*'2.1 OPEX TUUA'!$P$8)</f>
        <v>1067.2982956182725</v>
      </c>
      <c r="Q178" s="3">
        <f>+IF(F178="Pasajero",'2.2 OPEX LAP 2023'!L179*'2.1 OPEX TUUA'!$Q$7,'2.2 OPEX LAP 2023'!L179*'2.1 OPEX TUUA'!$Q$8)</f>
        <v>1060.3452702958771</v>
      </c>
      <c r="R178" s="3">
        <f>+IF(F178="Pasajero",'2.2 OPEX LAP 2023'!M179*'2.1 OPEX TUUA'!$R$7,'2.2 OPEX LAP 2023'!M179*'2.1 OPEX TUUA'!$R$8)</f>
        <v>1066.034667885551</v>
      </c>
      <c r="S178" s="3">
        <f>+IF(F178="Pasajero",'2.2 OPEX LAP 2023'!N179*'2.1 OPEX TUUA'!$S$7,'2.2 OPEX LAP 2023'!N179*'2.1 OPEX TUUA'!$S$8)</f>
        <v>1066.7151352917012</v>
      </c>
      <c r="U178" s="1">
        <v>2252.4432008487756</v>
      </c>
      <c r="V178" s="1">
        <v>2642.1273243042092</v>
      </c>
      <c r="W178" s="1">
        <v>2970.1714786141383</v>
      </c>
      <c r="X178" s="1">
        <v>3146.9450780591383</v>
      </c>
      <c r="Y178" s="1">
        <v>3276.1030495743962</v>
      </c>
      <c r="Z178" s="1">
        <v>3419.6000537833288</v>
      </c>
      <c r="AA178" s="7">
        <f t="shared" si="15"/>
        <v>-41.770769481599473</v>
      </c>
      <c r="AB178" s="7">
        <f t="shared" si="16"/>
        <v>-48.997324932748143</v>
      </c>
      <c r="AC178" s="7">
        <f t="shared" si="17"/>
        <v>-55.080788766288151</v>
      </c>
      <c r="AD178" s="7">
        <f t="shared" si="18"/>
        <v>-58.358993193403876</v>
      </c>
      <c r="AE178" s="7">
        <f t="shared" si="19"/>
        <v>-60.754182494000361</v>
      </c>
      <c r="AF178" s="7">
        <f t="shared" si="20"/>
        <v>-63.415284128817348</v>
      </c>
    </row>
    <row r="179" spans="2:32" x14ac:dyDescent="0.25">
      <c r="B179" s="17">
        <v>6250000003</v>
      </c>
      <c r="C179" s="193" t="s">
        <v>176</v>
      </c>
      <c r="D179" s="193" t="s">
        <v>14</v>
      </c>
      <c r="E179" s="193" t="s">
        <v>23</v>
      </c>
      <c r="F179" s="163" t="s">
        <v>190</v>
      </c>
      <c r="G179" s="3">
        <f>+IF(F179="Pasajero",'2.2 OPEX LAP 2023'!I180*'2.1 OPEX TUUA'!$G$7,'2.2 OPEX LAP 2023'!I180*'2.1 OPEX TUUA'!$G$8)</f>
        <v>5854.7490741615902</v>
      </c>
      <c r="H179" s="3">
        <f>+IF(F179="Pasajero",'2.2 OPEX LAP 2023'!J180*'2.1 OPEX TUUA'!$H$7,'2.2 OPEX LAP 2023'!J180*'2.1 OPEX TUUA'!$H$8)</f>
        <v>6867.650425084199</v>
      </c>
      <c r="I179" s="3">
        <f>+IF(F179="Pasajero",'2.2 OPEX LAP 2023'!K180*'2.1 OPEX TUUA'!$I$7,'2.2 OPEX LAP 2023'!K180*'2.1 OPEX TUUA'!$I$8)</f>
        <v>7720.331730435847</v>
      </c>
      <c r="J179" s="3">
        <f>+IF(F179="Pasajero",'2.2 OPEX LAP 2023'!L180*'2.1 OPEX TUUA'!$J$7,'2.2 OPEX LAP 2023'!L180*'2.1 OPEX TUUA'!$J$8)</f>
        <v>8179.8172647644496</v>
      </c>
      <c r="K179" s="3">
        <f>+IF(F179="Pasajero",'2.2 OPEX LAP 2023'!M180*'2.1 OPEX TUUA'!$K$7,'2.2 OPEX LAP 2023'!M180*'2.1 OPEX TUUA'!$K$8)</f>
        <v>8515.5360584124301</v>
      </c>
      <c r="L179" s="3">
        <f>+IF(F179="Pasajero",'2.2 OPEX LAP 2023'!N180*'2.1 OPEX TUUA'!$L$7,'2.2 OPEX LAP 2023'!N180*'2.1 OPEX TUUA'!$L$8)</f>
        <v>8888.5261308016597</v>
      </c>
      <c r="M179" s="3"/>
      <c r="N179" s="3">
        <f>+IF(F179="Pasajero",'2.2 OPEX LAP 2023'!I180*'2.1 OPEX TUUA'!$N$7,'2.2 OPEX LAP 2023'!I180*'2.1 OPEX TUUA'!$N$8)</f>
        <v>2887.66308515426</v>
      </c>
      <c r="O179" s="3">
        <f>+IF(F179="Pasajero",'2.2 OPEX LAP 2023'!J180*'2.1 OPEX TUUA'!$O$7,'2.2 OPEX LAP 2023'!J180*'2.1 OPEX TUUA'!$O$8)</f>
        <v>2844.3282538908747</v>
      </c>
      <c r="P179" s="3">
        <f>+IF(F179="Pasajero",'2.2 OPEX LAP 2023'!K180*'2.1 OPEX TUUA'!$P$7,'2.2 OPEX LAP 2023'!K180*'2.1 OPEX TUUA'!$P$8)</f>
        <v>2826.6348371933227</v>
      </c>
      <c r="Q179" s="3">
        <f>+IF(F179="Pasajero",'2.2 OPEX LAP 2023'!L180*'2.1 OPEX TUUA'!$Q$7,'2.2 OPEX LAP 2023'!L180*'2.1 OPEX TUUA'!$Q$8)</f>
        <v>2808.2204316978232</v>
      </c>
      <c r="R179" s="3">
        <f>+IF(F179="Pasajero",'2.2 OPEX LAP 2023'!M180*'2.1 OPEX TUUA'!$R$7,'2.2 OPEX LAP 2023'!M180*'2.1 OPEX TUUA'!$R$8)</f>
        <v>2823.2882431012886</v>
      </c>
      <c r="S179" s="3">
        <f>+IF(F179="Pasajero",'2.2 OPEX LAP 2023'!N180*'2.1 OPEX TUUA'!$S$7,'2.2 OPEX LAP 2023'!N180*'2.1 OPEX TUUA'!$S$8)</f>
        <v>2825.0903942746722</v>
      </c>
      <c r="U179" s="1">
        <v>5965.3748595467932</v>
      </c>
      <c r="V179" s="1">
        <v>6997.4150336784205</v>
      </c>
      <c r="W179" s="1">
        <v>7866.2077962236999</v>
      </c>
      <c r="X179" s="1">
        <v>8334.3753333955283</v>
      </c>
      <c r="Y179" s="1">
        <v>8676.4375509452748</v>
      </c>
      <c r="Z179" s="1">
        <v>9056.4752899682517</v>
      </c>
      <c r="AA179" s="7">
        <f t="shared" si="15"/>
        <v>-110.62578538520302</v>
      </c>
      <c r="AB179" s="7">
        <f t="shared" si="16"/>
        <v>-129.7646085942215</v>
      </c>
      <c r="AC179" s="7">
        <f t="shared" si="17"/>
        <v>-145.87606578785289</v>
      </c>
      <c r="AD179" s="7">
        <f t="shared" si="18"/>
        <v>-154.55806863107864</v>
      </c>
      <c r="AE179" s="7">
        <f t="shared" si="19"/>
        <v>-160.90149253284471</v>
      </c>
      <c r="AF179" s="7">
        <f t="shared" si="20"/>
        <v>-167.94915916659193</v>
      </c>
    </row>
    <row r="180" spans="2:32" x14ac:dyDescent="0.25">
      <c r="B180" s="17">
        <v>6250000004</v>
      </c>
      <c r="C180" s="193" t="s">
        <v>176</v>
      </c>
      <c r="D180" s="193" t="s">
        <v>14</v>
      </c>
      <c r="E180" s="193" t="s">
        <v>24</v>
      </c>
      <c r="F180" s="163" t="s">
        <v>190</v>
      </c>
      <c r="G180" s="3">
        <f>+IF(F180="Pasajero",'2.2 OPEX LAP 2023'!I181*'2.1 OPEX TUUA'!$G$7,'2.2 OPEX LAP 2023'!I181*'2.1 OPEX TUUA'!$G$8)</f>
        <v>3573.1341567510894</v>
      </c>
      <c r="H180" s="3">
        <f>+IF(F180="Pasajero",'2.2 OPEX LAP 2023'!J181*'2.1 OPEX TUUA'!$H$7,'2.2 OPEX LAP 2023'!J181*'2.1 OPEX TUUA'!$H$8)</f>
        <v>4191.3045289662596</v>
      </c>
      <c r="I180" s="3">
        <f>+IF(F180="Pasajero",'2.2 OPEX LAP 2023'!K181*'2.1 OPEX TUUA'!$I$7,'2.2 OPEX LAP 2023'!K181*'2.1 OPEX TUUA'!$I$8)</f>
        <v>4711.6931328811734</v>
      </c>
      <c r="J180" s="3">
        <f>+IF(F180="Pasajero",'2.2 OPEX LAP 2023'!L181*'2.1 OPEX TUUA'!$J$7,'2.2 OPEX LAP 2023'!L181*'2.1 OPEX TUUA'!$J$8)</f>
        <v>4992.1156473981882</v>
      </c>
      <c r="K180" s="3">
        <f>+IF(F180="Pasajero",'2.2 OPEX LAP 2023'!M181*'2.1 OPEX TUUA'!$K$7,'2.2 OPEX LAP 2023'!M181*'2.1 OPEX TUUA'!$K$8)</f>
        <v>5197.0037260249646</v>
      </c>
      <c r="L180" s="3">
        <f>+IF(F180="Pasajero",'2.2 OPEX LAP 2023'!N181*'2.1 OPEX TUUA'!$L$7,'2.2 OPEX LAP 2023'!N181*'2.1 OPEX TUUA'!$L$8)</f>
        <v>5424.6383438200692</v>
      </c>
      <c r="M180" s="3"/>
      <c r="N180" s="3">
        <f>+IF(F180="Pasajero",'2.2 OPEX LAP 2023'!I181*'2.1 OPEX TUUA'!$N$7,'2.2 OPEX LAP 2023'!I181*'2.1 OPEX TUUA'!$N$8)</f>
        <v>1762.3313095158519</v>
      </c>
      <c r="O180" s="3">
        <f>+IF(F180="Pasajero",'2.2 OPEX LAP 2023'!J181*'2.1 OPEX TUUA'!$O$7,'2.2 OPEX LAP 2023'!J181*'2.1 OPEX TUUA'!$O$8)</f>
        <v>1735.8842041313362</v>
      </c>
      <c r="P180" s="3">
        <f>+IF(F180="Pasajero",'2.2 OPEX LAP 2023'!K181*'2.1 OPEX TUUA'!$P$7,'2.2 OPEX LAP 2023'!K181*'2.1 OPEX TUUA'!$P$8)</f>
        <v>1725.0859699541172</v>
      </c>
      <c r="Q180" s="3">
        <f>+IF(F180="Pasajero",'2.2 OPEX LAP 2023'!L181*'2.1 OPEX TUUA'!$Q$7,'2.2 OPEX LAP 2023'!L181*'2.1 OPEX TUUA'!$Q$8)</f>
        <v>1713.8477186783089</v>
      </c>
      <c r="R180" s="3">
        <f>+IF(F180="Pasajero",'2.2 OPEX LAP 2023'!M181*'2.1 OPEX TUUA'!$R$7,'2.2 OPEX LAP 2023'!M181*'2.1 OPEX TUUA'!$R$8)</f>
        <v>1723.0435545563676</v>
      </c>
      <c r="S180" s="3">
        <f>+IF(F180="Pasajero",'2.2 OPEX LAP 2023'!N181*'2.1 OPEX TUUA'!$S$7,'2.2 OPEX LAP 2023'!N181*'2.1 OPEX TUUA'!$S$8)</f>
        <v>1724.1434015065406</v>
      </c>
      <c r="U180" s="1">
        <v>3640.6487107260418</v>
      </c>
      <c r="V180" s="1">
        <v>4270.4994439715365</v>
      </c>
      <c r="W180" s="1">
        <v>4800.7208173671543</v>
      </c>
      <c r="X180" s="1">
        <v>5086.441929742964</v>
      </c>
      <c r="Y180" s="1">
        <v>5295.201379170956</v>
      </c>
      <c r="Z180" s="1">
        <v>5527.1371647967335</v>
      </c>
      <c r="AA180" s="7">
        <f t="shared" si="15"/>
        <v>-67.514553974952378</v>
      </c>
      <c r="AB180" s="7">
        <f t="shared" si="16"/>
        <v>-79.194915005276926</v>
      </c>
      <c r="AC180" s="7">
        <f t="shared" si="17"/>
        <v>-89.027684485980899</v>
      </c>
      <c r="AD180" s="7">
        <f t="shared" si="18"/>
        <v>-94.326282344775791</v>
      </c>
      <c r="AE180" s="7">
        <f t="shared" si="19"/>
        <v>-98.197653145991353</v>
      </c>
      <c r="AF180" s="7">
        <f t="shared" si="20"/>
        <v>-102.49882097666432</v>
      </c>
    </row>
    <row r="181" spans="2:32" x14ac:dyDescent="0.25">
      <c r="B181" s="17">
        <v>6250000005</v>
      </c>
      <c r="C181" s="193" t="s">
        <v>176</v>
      </c>
      <c r="D181" s="193" t="s">
        <v>14</v>
      </c>
      <c r="E181" s="193" t="s">
        <v>25</v>
      </c>
      <c r="F181" s="163" t="s">
        <v>190</v>
      </c>
      <c r="G181" s="3">
        <f>+IF(F181="Pasajero",'2.2 OPEX LAP 2023'!I182*'2.1 OPEX TUUA'!$G$7,'2.2 OPEX LAP 2023'!I182*'2.1 OPEX TUUA'!$G$8)</f>
        <v>1409.5816903889431</v>
      </c>
      <c r="H181" s="3">
        <f>+IF(F181="Pasajero",'2.2 OPEX LAP 2023'!J182*'2.1 OPEX TUUA'!$H$7,'2.2 OPEX LAP 2023'!J182*'2.1 OPEX TUUA'!$H$8)</f>
        <v>1653.4464880677733</v>
      </c>
      <c r="I181" s="3">
        <f>+IF(F181="Pasajero",'2.2 OPEX LAP 2023'!K182*'2.1 OPEX TUUA'!$I$7,'2.2 OPEX LAP 2023'!K182*'2.1 OPEX TUUA'!$I$8)</f>
        <v>1858.7369182016635</v>
      </c>
      <c r="J181" s="3">
        <f>+IF(F181="Pasajero",'2.2 OPEX LAP 2023'!L182*'2.1 OPEX TUUA'!$J$7,'2.2 OPEX LAP 2023'!L182*'2.1 OPEX TUUA'!$J$8)</f>
        <v>1969.3620514027693</v>
      </c>
      <c r="K181" s="3">
        <f>+IF(F181="Pasajero",'2.2 OPEX LAP 2023'!M182*'2.1 OPEX TUUA'!$K$7,'2.2 OPEX LAP 2023'!M182*'2.1 OPEX TUUA'!$K$8)</f>
        <v>2050.1892668224882</v>
      </c>
      <c r="L181" s="3">
        <f>+IF(F181="Pasajero",'2.2 OPEX LAP 2023'!N182*'2.1 OPEX TUUA'!$L$7,'2.2 OPEX LAP 2023'!N182*'2.1 OPEX TUUA'!$L$8)</f>
        <v>2139.9898663147887</v>
      </c>
      <c r="M181" s="3"/>
      <c r="N181" s="3">
        <f>+IF(F181="Pasajero",'2.2 OPEX LAP 2023'!I182*'2.1 OPEX TUUA'!$N$7,'2.2 OPEX LAP 2023'!I182*'2.1 OPEX TUUA'!$N$8)</f>
        <v>695.22996823367362</v>
      </c>
      <c r="O181" s="3">
        <f>+IF(F181="Pasajero",'2.2 OPEX LAP 2023'!J182*'2.1 OPEX TUUA'!$O$7,'2.2 OPEX LAP 2023'!J182*'2.1 OPEX TUUA'!$O$8)</f>
        <v>684.79673122706299</v>
      </c>
      <c r="P181" s="3">
        <f>+IF(F181="Pasajero",'2.2 OPEX LAP 2023'!K182*'2.1 OPEX TUUA'!$P$7,'2.2 OPEX LAP 2023'!K182*'2.1 OPEX TUUA'!$P$8)</f>
        <v>680.5368874828863</v>
      </c>
      <c r="Q181" s="3">
        <f>+IF(F181="Pasajero",'2.2 OPEX LAP 2023'!L182*'2.1 OPEX TUUA'!$Q$7,'2.2 OPEX LAP 2023'!L182*'2.1 OPEX TUUA'!$Q$8)</f>
        <v>676.10345942353422</v>
      </c>
      <c r="R181" s="3">
        <f>+IF(F181="Pasajero",'2.2 OPEX LAP 2023'!M182*'2.1 OPEX TUUA'!$R$7,'2.2 OPEX LAP 2023'!M182*'2.1 OPEX TUUA'!$R$8)</f>
        <v>679.73116588875109</v>
      </c>
      <c r="S181" s="3">
        <f>+IF(F181="Pasajero",'2.2 OPEX LAP 2023'!N182*'2.1 OPEX TUUA'!$S$7,'2.2 OPEX LAP 2023'!N182*'2.1 OPEX TUUA'!$S$8)</f>
        <v>680.16504943613063</v>
      </c>
      <c r="U181" s="1">
        <v>1436.2158090486246</v>
      </c>
      <c r="V181" s="1">
        <v>1684.6884446431875</v>
      </c>
      <c r="W181" s="1">
        <v>1893.8578480307488</v>
      </c>
      <c r="X181" s="1">
        <v>2006.5732488229501</v>
      </c>
      <c r="Y181" s="1">
        <v>2088.9276986421355</v>
      </c>
      <c r="Z181" s="1">
        <v>2180.4250850882513</v>
      </c>
      <c r="AA181" s="7">
        <f t="shared" si="15"/>
        <v>-26.634118659681462</v>
      </c>
      <c r="AB181" s="7">
        <f t="shared" si="16"/>
        <v>-31.241956575414179</v>
      </c>
      <c r="AC181" s="7">
        <f t="shared" si="17"/>
        <v>-35.120929829085298</v>
      </c>
      <c r="AD181" s="7">
        <f t="shared" si="18"/>
        <v>-37.211197420180724</v>
      </c>
      <c r="AE181" s="7">
        <f t="shared" si="19"/>
        <v>-38.738431819647303</v>
      </c>
      <c r="AF181" s="7">
        <f t="shared" si="20"/>
        <v>-40.435218773462566</v>
      </c>
    </row>
    <row r="182" spans="2:32" x14ac:dyDescent="0.25">
      <c r="B182" s="17">
        <v>6250000006</v>
      </c>
      <c r="C182" s="193" t="s">
        <v>176</v>
      </c>
      <c r="D182" s="193" t="s">
        <v>14</v>
      </c>
      <c r="E182" s="193" t="s">
        <v>26</v>
      </c>
      <c r="F182" s="163" t="s">
        <v>190</v>
      </c>
      <c r="G182" s="3">
        <f>+IF(F182="Pasajero",'2.2 OPEX LAP 2023'!I183*'2.1 OPEX TUUA'!$G$7,'2.2 OPEX LAP 2023'!I183*'2.1 OPEX TUUA'!$G$8)</f>
        <v>1751.8593522828508</v>
      </c>
      <c r="H182" s="3">
        <f>+IF(F182="Pasajero",'2.2 OPEX LAP 2023'!J183*'2.1 OPEX TUUA'!$H$7,'2.2 OPEX LAP 2023'!J183*'2.1 OPEX TUUA'!$H$8)</f>
        <v>2054.9399253487104</v>
      </c>
      <c r="I182" s="3">
        <f>+IF(F182="Pasajero",'2.2 OPEX LAP 2023'!K183*'2.1 OPEX TUUA'!$I$7,'2.2 OPEX LAP 2023'!K183*'2.1 OPEX TUUA'!$I$8)</f>
        <v>2310.0794198642711</v>
      </c>
      <c r="J182" s="3">
        <f>+IF(F182="Pasajero",'2.2 OPEX LAP 2023'!L183*'2.1 OPEX TUUA'!$J$7,'2.2 OPEX LAP 2023'!L183*'2.1 OPEX TUUA'!$J$8)</f>
        <v>2447.5667861639986</v>
      </c>
      <c r="K182" s="3">
        <f>+IF(F182="Pasajero",'2.2 OPEX LAP 2023'!M183*'2.1 OPEX TUUA'!$K$7,'2.2 OPEX LAP 2023'!M183*'2.1 OPEX TUUA'!$K$8)</f>
        <v>2548.0206401105152</v>
      </c>
      <c r="L182" s="3">
        <f>+IF(F182="Pasajero",'2.2 OPEX LAP 2023'!N183*'2.1 OPEX TUUA'!$L$7,'2.2 OPEX LAP 2023'!N183*'2.1 OPEX TUUA'!$L$8)</f>
        <v>2659.6268145762074</v>
      </c>
      <c r="M182" s="3"/>
      <c r="N182" s="3">
        <f>+IF(F182="Pasajero",'2.2 OPEX LAP 2023'!I183*'2.1 OPEX TUUA'!$N$7,'2.2 OPEX LAP 2023'!I183*'2.1 OPEX TUUA'!$N$8)</f>
        <v>864.04720644562656</v>
      </c>
      <c r="O182" s="3">
        <f>+IF(F182="Pasajero",'2.2 OPEX LAP 2023'!J183*'2.1 OPEX TUUA'!$O$7,'2.2 OPEX LAP 2023'!J183*'2.1 OPEX TUUA'!$O$8)</f>
        <v>851.08054835887799</v>
      </c>
      <c r="P182" s="3">
        <f>+IF(F182="Pasajero",'2.2 OPEX LAP 2023'!K183*'2.1 OPEX TUUA'!$P$7,'2.2 OPEX LAP 2023'!K183*'2.1 OPEX TUUA'!$P$8)</f>
        <v>845.78632018226187</v>
      </c>
      <c r="Q182" s="3">
        <f>+IF(F182="Pasajero",'2.2 OPEX LAP 2023'!L183*'2.1 OPEX TUUA'!$Q$7,'2.2 OPEX LAP 2023'!L183*'2.1 OPEX TUUA'!$Q$8)</f>
        <v>840.27635757320854</v>
      </c>
      <c r="R182" s="3">
        <f>+IF(F182="Pasajero",'2.2 OPEX LAP 2023'!M183*'2.1 OPEX TUUA'!$R$7,'2.2 OPEX LAP 2023'!M183*'2.1 OPEX TUUA'!$R$8)</f>
        <v>844.78495153534607</v>
      </c>
      <c r="S182" s="3">
        <f>+IF(F182="Pasajero",'2.2 OPEX LAP 2023'!N183*'2.1 OPEX TUUA'!$S$7,'2.2 OPEX LAP 2023'!N183*'2.1 OPEX TUUA'!$S$8)</f>
        <v>845.32419162016072</v>
      </c>
      <c r="U182" s="1">
        <v>1784.9608249977096</v>
      </c>
      <c r="V182" s="1">
        <v>2093.7681211059585</v>
      </c>
      <c r="W182" s="1">
        <v>2353.7284895148396</v>
      </c>
      <c r="X182" s="1">
        <v>2493.8136866839673</v>
      </c>
      <c r="Y182" s="1">
        <v>2596.165621376053</v>
      </c>
      <c r="Z182" s="1">
        <v>2709.8806002580764</v>
      </c>
      <c r="AA182" s="7">
        <f t="shared" si="15"/>
        <v>-33.101472714858801</v>
      </c>
      <c r="AB182" s="7">
        <f t="shared" si="16"/>
        <v>-38.828195757248068</v>
      </c>
      <c r="AC182" s="7">
        <f t="shared" si="17"/>
        <v>-43.649069650568435</v>
      </c>
      <c r="AD182" s="7">
        <f t="shared" si="18"/>
        <v>-46.246900519968676</v>
      </c>
      <c r="AE182" s="7">
        <f t="shared" si="19"/>
        <v>-48.144981265537808</v>
      </c>
      <c r="AF182" s="7">
        <f t="shared" si="20"/>
        <v>-50.253785681868976</v>
      </c>
    </row>
    <row r="183" spans="2:32" x14ac:dyDescent="0.25">
      <c r="B183" s="17">
        <v>6250000007</v>
      </c>
      <c r="C183" s="193" t="s">
        <v>176</v>
      </c>
      <c r="D183" s="193" t="s">
        <v>14</v>
      </c>
      <c r="E183" s="193" t="s">
        <v>27</v>
      </c>
      <c r="F183" s="163" t="s">
        <v>190</v>
      </c>
      <c r="G183" s="3">
        <f>+IF(F183="Pasajero",'2.2 OPEX LAP 2023'!I184*'2.1 OPEX TUUA'!$G$7,'2.2 OPEX LAP 2023'!I184*'2.1 OPEX TUUA'!$G$8)</f>
        <v>0</v>
      </c>
      <c r="H183" s="3">
        <f>+IF(F183="Pasajero",'2.2 OPEX LAP 2023'!J184*'2.1 OPEX TUUA'!$H$7,'2.2 OPEX LAP 2023'!J184*'2.1 OPEX TUUA'!$H$8)</f>
        <v>0</v>
      </c>
      <c r="I183" s="3">
        <f>+IF(F183="Pasajero",'2.2 OPEX LAP 2023'!K184*'2.1 OPEX TUUA'!$I$7,'2.2 OPEX LAP 2023'!K184*'2.1 OPEX TUUA'!$I$8)</f>
        <v>0</v>
      </c>
      <c r="J183" s="3">
        <f>+IF(F183="Pasajero",'2.2 OPEX LAP 2023'!L184*'2.1 OPEX TUUA'!$J$7,'2.2 OPEX LAP 2023'!L184*'2.1 OPEX TUUA'!$J$8)</f>
        <v>0</v>
      </c>
      <c r="K183" s="3">
        <f>+IF(F183="Pasajero",'2.2 OPEX LAP 2023'!M184*'2.1 OPEX TUUA'!$K$7,'2.2 OPEX LAP 2023'!M184*'2.1 OPEX TUUA'!$K$8)</f>
        <v>0</v>
      </c>
      <c r="L183" s="3">
        <f>+IF(F183="Pasajero",'2.2 OPEX LAP 2023'!N184*'2.1 OPEX TUUA'!$L$7,'2.2 OPEX LAP 2023'!N184*'2.1 OPEX TUUA'!$L$8)</f>
        <v>0</v>
      </c>
      <c r="M183" s="3"/>
      <c r="N183" s="3">
        <f>+IF(F183="Pasajero",'2.2 OPEX LAP 2023'!I184*'2.1 OPEX TUUA'!$N$7,'2.2 OPEX LAP 2023'!I184*'2.1 OPEX TUUA'!$N$8)</f>
        <v>0</v>
      </c>
      <c r="O183" s="3">
        <f>+IF(F183="Pasajero",'2.2 OPEX LAP 2023'!J184*'2.1 OPEX TUUA'!$O$7,'2.2 OPEX LAP 2023'!J184*'2.1 OPEX TUUA'!$O$8)</f>
        <v>0</v>
      </c>
      <c r="P183" s="3">
        <f>+IF(F183="Pasajero",'2.2 OPEX LAP 2023'!K184*'2.1 OPEX TUUA'!$P$7,'2.2 OPEX LAP 2023'!K184*'2.1 OPEX TUUA'!$P$8)</f>
        <v>0</v>
      </c>
      <c r="Q183" s="3">
        <f>+IF(F183="Pasajero",'2.2 OPEX LAP 2023'!L184*'2.1 OPEX TUUA'!$Q$7,'2.2 OPEX LAP 2023'!L184*'2.1 OPEX TUUA'!$Q$8)</f>
        <v>0</v>
      </c>
      <c r="R183" s="3">
        <f>+IF(F183="Pasajero",'2.2 OPEX LAP 2023'!M184*'2.1 OPEX TUUA'!$R$7,'2.2 OPEX LAP 2023'!M184*'2.1 OPEX TUUA'!$R$8)</f>
        <v>0</v>
      </c>
      <c r="S183" s="3">
        <f>+IF(F183="Pasajero",'2.2 OPEX LAP 2023'!N184*'2.1 OPEX TUUA'!$S$7,'2.2 OPEX LAP 2023'!N184*'2.1 OPEX TUUA'!$S$8)</f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7">
        <f t="shared" si="15"/>
        <v>0</v>
      </c>
      <c r="AB183" s="7">
        <f t="shared" si="16"/>
        <v>0</v>
      </c>
      <c r="AC183" s="7">
        <f t="shared" si="17"/>
        <v>0</v>
      </c>
      <c r="AD183" s="7">
        <f t="shared" si="18"/>
        <v>0</v>
      </c>
      <c r="AE183" s="7">
        <f t="shared" si="19"/>
        <v>0</v>
      </c>
      <c r="AF183" s="7">
        <f t="shared" si="20"/>
        <v>0</v>
      </c>
    </row>
    <row r="184" spans="2:32" x14ac:dyDescent="0.25">
      <c r="B184" s="17">
        <v>6250000008</v>
      </c>
      <c r="C184" s="193" t="s">
        <v>176</v>
      </c>
      <c r="D184" s="193" t="s">
        <v>14</v>
      </c>
      <c r="E184" s="193" t="s">
        <v>28</v>
      </c>
      <c r="F184" s="163" t="s">
        <v>190</v>
      </c>
      <c r="G184" s="3">
        <f>+IF(F184="Pasajero",'2.2 OPEX LAP 2023'!I185*'2.1 OPEX TUUA'!$G$7,'2.2 OPEX LAP 2023'!I185*'2.1 OPEX TUUA'!$G$8)</f>
        <v>2404.5390523664837</v>
      </c>
      <c r="H184" s="3">
        <f>+IF(F184="Pasajero",'2.2 OPEX LAP 2023'!J185*'2.1 OPEX TUUA'!$H$7,'2.2 OPEX LAP 2023'!J185*'2.1 OPEX TUUA'!$H$8)</f>
        <v>2820.5365312741442</v>
      </c>
      <c r="I184" s="3">
        <f>+IF(F184="Pasajero",'2.2 OPEX LAP 2023'!K185*'2.1 OPEX TUUA'!$I$7,'2.2 OPEX LAP 2023'!K185*'2.1 OPEX TUUA'!$I$8)</f>
        <v>3170.7318123988916</v>
      </c>
      <c r="J184" s="3">
        <f>+IF(F184="Pasajero",'2.2 OPEX LAP 2023'!L185*'2.1 OPEX TUUA'!$J$7,'2.2 OPEX LAP 2023'!L185*'2.1 OPEX TUUA'!$J$8)</f>
        <v>3359.4420196674791</v>
      </c>
      <c r="K184" s="3">
        <f>+IF(F184="Pasajero",'2.2 OPEX LAP 2023'!M185*'2.1 OPEX TUUA'!$K$7,'2.2 OPEX LAP 2023'!M185*'2.1 OPEX TUUA'!$K$8)</f>
        <v>3497.3213616707972</v>
      </c>
      <c r="L184" s="3">
        <f>+IF(F184="Pasajero",'2.2 OPEX LAP 2023'!N185*'2.1 OPEX TUUA'!$L$7,'2.2 OPEX LAP 2023'!N185*'2.1 OPEX TUUA'!$L$8)</f>
        <v>3650.5079771592391</v>
      </c>
      <c r="M184" s="3"/>
      <c r="N184" s="3">
        <f>+IF(F184="Pasajero",'2.2 OPEX LAP 2023'!I185*'2.1 OPEX TUUA'!$N$7,'2.2 OPEX LAP 2023'!I185*'2.1 OPEX TUUA'!$N$8)</f>
        <v>1185.9600762351754</v>
      </c>
      <c r="O184" s="3">
        <f>+IF(F184="Pasajero",'2.2 OPEX LAP 2023'!J185*'2.1 OPEX TUUA'!$O$7,'2.2 OPEX LAP 2023'!J185*'2.1 OPEX TUUA'!$O$8)</f>
        <v>1168.1625083495792</v>
      </c>
      <c r="P184" s="3">
        <f>+IF(F184="Pasajero",'2.2 OPEX LAP 2023'!K185*'2.1 OPEX TUUA'!$P$7,'2.2 OPEX LAP 2023'!K185*'2.1 OPEX TUUA'!$P$8)</f>
        <v>1160.895841430101</v>
      </c>
      <c r="Q184" s="3">
        <f>+IF(F184="Pasajero",'2.2 OPEX LAP 2023'!L185*'2.1 OPEX TUUA'!$Q$7,'2.2 OPEX LAP 2023'!L185*'2.1 OPEX TUUA'!$Q$8)</f>
        <v>1153.3330651985027</v>
      </c>
      <c r="R184" s="3">
        <f>+IF(F184="Pasajero",'2.2 OPEX LAP 2023'!M185*'2.1 OPEX TUUA'!$R$7,'2.2 OPEX LAP 2023'!M185*'2.1 OPEX TUUA'!$R$8)</f>
        <v>1159.521398890415</v>
      </c>
      <c r="S184" s="3">
        <f>+IF(F184="Pasajero",'2.2 OPEX LAP 2023'!N185*'2.1 OPEX TUUA'!$S$7,'2.2 OPEX LAP 2023'!N185*'2.1 OPEX TUUA'!$S$8)</f>
        <v>1160.2615404096805</v>
      </c>
      <c r="U184" s="1">
        <v>2449.9729416396167</v>
      </c>
      <c r="V184" s="1">
        <v>2873.8307143428765</v>
      </c>
      <c r="W184" s="1">
        <v>3230.6429533460728</v>
      </c>
      <c r="X184" s="1">
        <v>3422.9188497031</v>
      </c>
      <c r="Y184" s="1">
        <v>3563.4034289769315</v>
      </c>
      <c r="Z184" s="1">
        <v>3719.4845134569991</v>
      </c>
      <c r="AA184" s="7">
        <f t="shared" si="15"/>
        <v>-45.433889273132991</v>
      </c>
      <c r="AB184" s="7">
        <f t="shared" si="16"/>
        <v>-53.294183068732309</v>
      </c>
      <c r="AC184" s="7">
        <f t="shared" si="17"/>
        <v>-59.911140947181138</v>
      </c>
      <c r="AD184" s="7">
        <f t="shared" si="18"/>
        <v>-63.476830035620878</v>
      </c>
      <c r="AE184" s="7">
        <f t="shared" si="19"/>
        <v>-66.082067306134377</v>
      </c>
      <c r="AF184" s="7">
        <f t="shared" si="20"/>
        <v>-68.976536297760049</v>
      </c>
    </row>
    <row r="185" spans="2:32" x14ac:dyDescent="0.25">
      <c r="B185" s="17">
        <v>6250000009</v>
      </c>
      <c r="C185" s="193" t="s">
        <v>176</v>
      </c>
      <c r="D185" s="193" t="s">
        <v>14</v>
      </c>
      <c r="E185" s="193" t="s">
        <v>29</v>
      </c>
      <c r="F185" s="163" t="s">
        <v>190</v>
      </c>
      <c r="G185" s="3">
        <f>+IF(F185="Pasajero",'2.2 OPEX LAP 2023'!I186*'2.1 OPEX TUUA'!$G$7,'2.2 OPEX LAP 2023'!I186*'2.1 OPEX TUUA'!$G$8)</f>
        <v>0</v>
      </c>
      <c r="H185" s="3">
        <f>+IF(F185="Pasajero",'2.2 OPEX LAP 2023'!J186*'2.1 OPEX TUUA'!$H$7,'2.2 OPEX LAP 2023'!J186*'2.1 OPEX TUUA'!$H$8)</f>
        <v>0</v>
      </c>
      <c r="I185" s="3">
        <f>+IF(F185="Pasajero",'2.2 OPEX LAP 2023'!K186*'2.1 OPEX TUUA'!$I$7,'2.2 OPEX LAP 2023'!K186*'2.1 OPEX TUUA'!$I$8)</f>
        <v>0</v>
      </c>
      <c r="J185" s="3">
        <f>+IF(F185="Pasajero",'2.2 OPEX LAP 2023'!L186*'2.1 OPEX TUUA'!$J$7,'2.2 OPEX LAP 2023'!L186*'2.1 OPEX TUUA'!$J$8)</f>
        <v>0</v>
      </c>
      <c r="K185" s="3">
        <f>+IF(F185="Pasajero",'2.2 OPEX LAP 2023'!M186*'2.1 OPEX TUUA'!$K$7,'2.2 OPEX LAP 2023'!M186*'2.1 OPEX TUUA'!$K$8)</f>
        <v>0</v>
      </c>
      <c r="L185" s="3">
        <f>+IF(F185="Pasajero",'2.2 OPEX LAP 2023'!N186*'2.1 OPEX TUUA'!$L$7,'2.2 OPEX LAP 2023'!N186*'2.1 OPEX TUUA'!$L$8)</f>
        <v>0</v>
      </c>
      <c r="M185" s="3"/>
      <c r="N185" s="3">
        <f>+IF(F185="Pasajero",'2.2 OPEX LAP 2023'!I186*'2.1 OPEX TUUA'!$N$7,'2.2 OPEX LAP 2023'!I186*'2.1 OPEX TUUA'!$N$8)</f>
        <v>0</v>
      </c>
      <c r="O185" s="3">
        <f>+IF(F185="Pasajero",'2.2 OPEX LAP 2023'!J186*'2.1 OPEX TUUA'!$O$7,'2.2 OPEX LAP 2023'!J186*'2.1 OPEX TUUA'!$O$8)</f>
        <v>0</v>
      </c>
      <c r="P185" s="3">
        <f>+IF(F185="Pasajero",'2.2 OPEX LAP 2023'!K186*'2.1 OPEX TUUA'!$P$7,'2.2 OPEX LAP 2023'!K186*'2.1 OPEX TUUA'!$P$8)</f>
        <v>0</v>
      </c>
      <c r="Q185" s="3">
        <f>+IF(F185="Pasajero",'2.2 OPEX LAP 2023'!L186*'2.1 OPEX TUUA'!$Q$7,'2.2 OPEX LAP 2023'!L186*'2.1 OPEX TUUA'!$Q$8)</f>
        <v>0</v>
      </c>
      <c r="R185" s="3">
        <f>+IF(F185="Pasajero",'2.2 OPEX LAP 2023'!M186*'2.1 OPEX TUUA'!$R$7,'2.2 OPEX LAP 2023'!M186*'2.1 OPEX TUUA'!$R$8)</f>
        <v>0</v>
      </c>
      <c r="S185" s="3">
        <f>+IF(F185="Pasajero",'2.2 OPEX LAP 2023'!N186*'2.1 OPEX TUUA'!$S$7,'2.2 OPEX LAP 2023'!N186*'2.1 OPEX TUUA'!$S$8)</f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7">
        <f t="shared" si="15"/>
        <v>0</v>
      </c>
      <c r="AB185" s="7">
        <f t="shared" si="16"/>
        <v>0</v>
      </c>
      <c r="AC185" s="7">
        <f t="shared" si="17"/>
        <v>0</v>
      </c>
      <c r="AD185" s="7">
        <f t="shared" si="18"/>
        <v>0</v>
      </c>
      <c r="AE185" s="7">
        <f t="shared" si="19"/>
        <v>0</v>
      </c>
      <c r="AF185" s="7">
        <f t="shared" si="20"/>
        <v>0</v>
      </c>
    </row>
    <row r="186" spans="2:32" x14ac:dyDescent="0.25">
      <c r="B186" s="17">
        <v>6270000001</v>
      </c>
      <c r="C186" s="193" t="s">
        <v>176</v>
      </c>
      <c r="D186" s="193" t="s">
        <v>14</v>
      </c>
      <c r="E186" s="193" t="s">
        <v>30</v>
      </c>
      <c r="F186" s="163" t="s">
        <v>190</v>
      </c>
      <c r="G186" s="3">
        <f>+IF(F186="Pasajero",'2.2 OPEX LAP 2023'!I187*'2.1 OPEX TUUA'!$G$7,'2.2 OPEX LAP 2023'!I187*'2.1 OPEX TUUA'!$G$8)</f>
        <v>21513.469453276313</v>
      </c>
      <c r="H186" s="3">
        <f>+IF(F186="Pasajero",'2.2 OPEX LAP 2023'!J187*'2.1 OPEX TUUA'!$H$7,'2.2 OPEX LAP 2023'!J187*'2.1 OPEX TUUA'!$H$8)</f>
        <v>25235.409026814119</v>
      </c>
      <c r="I186" s="3">
        <f>+IF(F186="Pasajero",'2.2 OPEX LAP 2023'!K187*'2.1 OPEX TUUA'!$I$7,'2.2 OPEX LAP 2023'!K187*'2.1 OPEX TUUA'!$I$8)</f>
        <v>28368.614734471088</v>
      </c>
      <c r="J186" s="3">
        <f>+IF(F186="Pasajero",'2.2 OPEX LAP 2023'!L187*'2.1 OPEX TUUA'!$J$7,'2.2 OPEX LAP 2023'!L187*'2.1 OPEX TUUA'!$J$8)</f>
        <v>30057.009554093023</v>
      </c>
      <c r="K186" s="3">
        <f>+IF(F186="Pasajero",'2.2 OPEX LAP 2023'!M187*'2.1 OPEX TUUA'!$K$7,'2.2 OPEX LAP 2023'!M187*'2.1 OPEX TUUA'!$K$8)</f>
        <v>31290.619384429068</v>
      </c>
      <c r="L186" s="3">
        <f>+IF(F186="Pasajero",'2.2 OPEX LAP 2023'!N187*'2.1 OPEX TUUA'!$L$7,'2.2 OPEX LAP 2023'!N187*'2.1 OPEX TUUA'!$L$8)</f>
        <v>32661.183763376444</v>
      </c>
      <c r="M186" s="3"/>
      <c r="N186" s="3">
        <f>+IF(F186="Pasajero",'2.2 OPEX LAP 2023'!I187*'2.1 OPEX TUUA'!$N$7,'2.2 OPEX LAP 2023'!I187*'2.1 OPEX TUUA'!$N$8)</f>
        <v>10610.813680809373</v>
      </c>
      <c r="O186" s="3">
        <f>+IF(F186="Pasajero",'2.2 OPEX LAP 2023'!J187*'2.1 OPEX TUUA'!$O$7,'2.2 OPEX LAP 2023'!J187*'2.1 OPEX TUUA'!$O$8)</f>
        <v>10451.578407557081</v>
      </c>
      <c r="P186" s="3">
        <f>+IF(F186="Pasajero",'2.2 OPEX LAP 2023'!K187*'2.1 OPEX TUUA'!$P$7,'2.2 OPEX LAP 2023'!K187*'2.1 OPEX TUUA'!$P$8)</f>
        <v>10386.563361681458</v>
      </c>
      <c r="Q186" s="3">
        <f>+IF(F186="Pasajero",'2.2 OPEX LAP 2023'!L187*'2.1 OPEX TUUA'!$Q$7,'2.2 OPEX LAP 2023'!L187*'2.1 OPEX TUUA'!$Q$8)</f>
        <v>10318.899018579888</v>
      </c>
      <c r="R186" s="3">
        <f>+IF(F186="Pasajero",'2.2 OPEX LAP 2023'!M187*'2.1 OPEX TUUA'!$R$7,'2.2 OPEX LAP 2023'!M187*'2.1 OPEX TUUA'!$R$8)</f>
        <v>10374.266190810509</v>
      </c>
      <c r="S186" s="3">
        <f>+IF(F186="Pasajero",'2.2 OPEX LAP 2023'!N187*'2.1 OPEX TUUA'!$S$7,'2.2 OPEX LAP 2023'!N187*'2.1 OPEX TUUA'!$S$8)</f>
        <v>10380.888255006204</v>
      </c>
      <c r="U186" s="1">
        <v>21919.967566941428</v>
      </c>
      <c r="V186" s="1">
        <v>25712.233380470632</v>
      </c>
      <c r="W186" s="1">
        <v>28904.641171392392</v>
      </c>
      <c r="X186" s="1">
        <v>30624.938298114947</v>
      </c>
      <c r="Y186" s="1">
        <v>31881.857249749137</v>
      </c>
      <c r="Z186" s="1">
        <v>33278.318513246384</v>
      </c>
      <c r="AA186" s="7">
        <f t="shared" si="15"/>
        <v>-406.49811366511494</v>
      </c>
      <c r="AB186" s="7">
        <f t="shared" si="16"/>
        <v>-476.82435365651327</v>
      </c>
      <c r="AC186" s="7">
        <f t="shared" si="17"/>
        <v>-536.02643692130368</v>
      </c>
      <c r="AD186" s="7">
        <f t="shared" si="18"/>
        <v>-567.92874402192319</v>
      </c>
      <c r="AE186" s="7">
        <f t="shared" si="19"/>
        <v>-591.23786532006852</v>
      </c>
      <c r="AF186" s="7">
        <f t="shared" si="20"/>
        <v>-617.1347498699397</v>
      </c>
    </row>
    <row r="187" spans="2:32" x14ac:dyDescent="0.25">
      <c r="B187" s="17">
        <v>6270000002</v>
      </c>
      <c r="C187" s="193" t="s">
        <v>176</v>
      </c>
      <c r="D187" s="193" t="s">
        <v>14</v>
      </c>
      <c r="E187" s="193" t="s">
        <v>31</v>
      </c>
      <c r="F187" s="163" t="s">
        <v>190</v>
      </c>
      <c r="G187" s="3">
        <f>+IF(F187="Pasajero",'2.2 OPEX LAP 2023'!I188*'2.1 OPEX TUUA'!$G$7,'2.2 OPEX LAP 2023'!I188*'2.1 OPEX TUUA'!$G$8)</f>
        <v>43737.222837515685</v>
      </c>
      <c r="H187" s="3">
        <f>+IF(F187="Pasajero",'2.2 OPEX LAP 2023'!J188*'2.1 OPEX TUUA'!$H$7,'2.2 OPEX LAP 2023'!J188*'2.1 OPEX TUUA'!$H$8)</f>
        <v>51303.984715191342</v>
      </c>
      <c r="I187" s="3">
        <f>+IF(F187="Pasajero",'2.2 OPEX LAP 2023'!K188*'2.1 OPEX TUUA'!$I$7,'2.2 OPEX LAP 2023'!K188*'2.1 OPEX TUUA'!$I$8)</f>
        <v>57673.841354502452</v>
      </c>
      <c r="J187" s="3">
        <f>+IF(F187="Pasajero",'2.2 OPEX LAP 2023'!L188*'2.1 OPEX TUUA'!$J$7,'2.2 OPEX LAP 2023'!L188*'2.1 OPEX TUUA'!$J$8)</f>
        <v>61106.374662246795</v>
      </c>
      <c r="K187" s="3">
        <f>+IF(F187="Pasajero",'2.2 OPEX LAP 2023'!M188*'2.1 OPEX TUUA'!$K$7,'2.2 OPEX LAP 2023'!M188*'2.1 OPEX TUUA'!$K$8)</f>
        <v>63614.322911186289</v>
      </c>
      <c r="L187" s="3">
        <f>+IF(F187="Pasajero",'2.2 OPEX LAP 2023'!N188*'2.1 OPEX TUUA'!$L$7,'2.2 OPEX LAP 2023'!N188*'2.1 OPEX TUUA'!$L$8)</f>
        <v>66400.701918318198</v>
      </c>
      <c r="M187" s="3"/>
      <c r="N187" s="3">
        <f>+IF(F187="Pasajero",'2.2 OPEX LAP 2023'!I188*'2.1 OPEX TUUA'!$N$7,'2.2 OPEX LAP 2023'!I188*'2.1 OPEX TUUA'!$N$8)</f>
        <v>21571.951630249161</v>
      </c>
      <c r="O187" s="3">
        <f>+IF(F187="Pasajero",'2.2 OPEX LAP 2023'!J188*'2.1 OPEX TUUA'!$O$7,'2.2 OPEX LAP 2023'!J188*'2.1 OPEX TUUA'!$O$8)</f>
        <v>21248.223807316932</v>
      </c>
      <c r="P187" s="3">
        <f>+IF(F187="Pasajero",'2.2 OPEX LAP 2023'!K188*'2.1 OPEX TUUA'!$P$7,'2.2 OPEX LAP 2023'!K188*'2.1 OPEX TUUA'!$P$8)</f>
        <v>21116.047193245955</v>
      </c>
      <c r="Q187" s="3">
        <f>+IF(F187="Pasajero",'2.2 OPEX LAP 2023'!L188*'2.1 OPEX TUUA'!$Q$7,'2.2 OPEX LAP 2023'!L188*'2.1 OPEX TUUA'!$Q$8)</f>
        <v>20978.48451611408</v>
      </c>
      <c r="R187" s="3">
        <f>+IF(F187="Pasajero",'2.2 OPEX LAP 2023'!M188*'2.1 OPEX TUUA'!$R$7,'2.2 OPEX LAP 2023'!M188*'2.1 OPEX TUUA'!$R$8)</f>
        <v>21091.046850840848</v>
      </c>
      <c r="S187" s="3">
        <f>+IF(F187="Pasajero",'2.2 OPEX LAP 2023'!N188*'2.1 OPEX TUUA'!$S$7,'2.2 OPEX LAP 2023'!N188*'2.1 OPEX TUUA'!$S$8)</f>
        <v>21104.509611833462</v>
      </c>
      <c r="U187" s="1">
        <v>44563.639916314343</v>
      </c>
      <c r="V187" s="1">
        <v>52273.376149498239</v>
      </c>
      <c r="W187" s="1">
        <v>58763.591558175714</v>
      </c>
      <c r="X187" s="1">
        <v>62260.982759609469</v>
      </c>
      <c r="Y187" s="1">
        <v>64816.318819918837</v>
      </c>
      <c r="Z187" s="1">
        <v>67655.346601941055</v>
      </c>
      <c r="AA187" s="7">
        <f t="shared" si="15"/>
        <v>-826.41707879865862</v>
      </c>
      <c r="AB187" s="7">
        <f t="shared" si="16"/>
        <v>-969.39143430689728</v>
      </c>
      <c r="AC187" s="7">
        <f t="shared" si="17"/>
        <v>-1089.7502036732621</v>
      </c>
      <c r="AD187" s="7">
        <f t="shared" si="18"/>
        <v>-1154.608097362674</v>
      </c>
      <c r="AE187" s="7">
        <f t="shared" si="19"/>
        <v>-1201.9959087325478</v>
      </c>
      <c r="AF187" s="7">
        <f t="shared" si="20"/>
        <v>-1254.644683622857</v>
      </c>
    </row>
    <row r="188" spans="2:32" x14ac:dyDescent="0.25">
      <c r="B188" s="17">
        <v>6270000003</v>
      </c>
      <c r="C188" s="193" t="s">
        <v>176</v>
      </c>
      <c r="D188" s="193" t="s">
        <v>14</v>
      </c>
      <c r="E188" s="193" t="s">
        <v>32</v>
      </c>
      <c r="F188" s="163" t="s">
        <v>190</v>
      </c>
      <c r="G188" s="3">
        <f>+IF(F188="Pasajero",'2.2 OPEX LAP 2023'!I189*'2.1 OPEX TUUA'!$G$7,'2.2 OPEX LAP 2023'!I189*'2.1 OPEX TUUA'!$G$8)</f>
        <v>1107.7051195082629</v>
      </c>
      <c r="H188" s="3">
        <f>+IF(F188="Pasajero",'2.2 OPEX LAP 2023'!J189*'2.1 OPEX TUUA'!$H$7,'2.2 OPEX LAP 2023'!J189*'2.1 OPEX TUUA'!$H$8)</f>
        <v>1299.3437359137797</v>
      </c>
      <c r="I188" s="3">
        <f>+IF(F188="Pasajero",'2.2 OPEX LAP 2023'!K189*'2.1 OPEX TUUA'!$I$7,'2.2 OPEX LAP 2023'!K189*'2.1 OPEX TUUA'!$I$8)</f>
        <v>1460.6690865450137</v>
      </c>
      <c r="J188" s="3">
        <f>+IF(F188="Pasajero",'2.2 OPEX LAP 2023'!L189*'2.1 OPEX TUUA'!$J$7,'2.2 OPEX LAP 2023'!L189*'2.1 OPEX TUUA'!$J$8)</f>
        <v>1547.6026975791754</v>
      </c>
      <c r="K188" s="3">
        <f>+IF(F188="Pasajero",'2.2 OPEX LAP 2023'!M189*'2.1 OPEX TUUA'!$K$7,'2.2 OPEX LAP 2023'!M189*'2.1 OPEX TUUA'!$K$8)</f>
        <v>1611.1199246590156</v>
      </c>
      <c r="L188" s="3">
        <f>+IF(F188="Pasajero",'2.2 OPEX LAP 2023'!N189*'2.1 OPEX TUUA'!$L$7,'2.2 OPEX LAP 2023'!N189*'2.1 OPEX TUUA'!$L$8)</f>
        <v>1681.6887923385366</v>
      </c>
      <c r="M188" s="3"/>
      <c r="N188" s="3">
        <f>+IF(F188="Pasajero",'2.2 OPEX LAP 2023'!I189*'2.1 OPEX TUUA'!$N$7,'2.2 OPEX LAP 2023'!I189*'2.1 OPEX TUUA'!$N$8)</f>
        <v>546.33924397493581</v>
      </c>
      <c r="O188" s="3">
        <f>+IF(F188="Pasajero",'2.2 OPEX LAP 2023'!J189*'2.1 OPEX TUUA'!$O$7,'2.2 OPEX LAP 2023'!J189*'2.1 OPEX TUUA'!$O$8)</f>
        <v>538.14039312147668</v>
      </c>
      <c r="P188" s="3">
        <f>+IF(F188="Pasajero",'2.2 OPEX LAP 2023'!K189*'2.1 OPEX TUUA'!$P$7,'2.2 OPEX LAP 2023'!K189*'2.1 OPEX TUUA'!$P$8)</f>
        <v>534.79283919402201</v>
      </c>
      <c r="Q188" s="3">
        <f>+IF(F188="Pasajero",'2.2 OPEX LAP 2023'!L189*'2.1 OPEX TUUA'!$Q$7,'2.2 OPEX LAP 2023'!L189*'2.1 OPEX TUUA'!$Q$8)</f>
        <v>531.30887583680726</v>
      </c>
      <c r="R188" s="3">
        <f>+IF(F188="Pasajero",'2.2 OPEX LAP 2023'!M189*'2.1 OPEX TUUA'!$R$7,'2.2 OPEX LAP 2023'!M189*'2.1 OPEX TUUA'!$R$8)</f>
        <v>534.15967125433656</v>
      </c>
      <c r="S188" s="3">
        <f>+IF(F188="Pasajero",'2.2 OPEX LAP 2023'!N189*'2.1 OPEX TUUA'!$S$7,'2.2 OPEX LAP 2023'!N189*'2.1 OPEX TUUA'!$S$8)</f>
        <v>534.50063413004625</v>
      </c>
      <c r="U188" s="1">
        <v>1128.6352648088725</v>
      </c>
      <c r="V188" s="1">
        <v>1323.8949027443396</v>
      </c>
      <c r="W188" s="1">
        <v>1488.2685041870191</v>
      </c>
      <c r="X188" s="1">
        <v>1576.8447302803759</v>
      </c>
      <c r="Y188" s="1">
        <v>1641.5621186382132</v>
      </c>
      <c r="Z188" s="1">
        <v>1713.4643887081531</v>
      </c>
      <c r="AA188" s="7">
        <f t="shared" si="15"/>
        <v>-20.930145300609638</v>
      </c>
      <c r="AB188" s="7">
        <f t="shared" si="16"/>
        <v>-24.55116683055985</v>
      </c>
      <c r="AC188" s="7">
        <f t="shared" si="17"/>
        <v>-27.599417642005392</v>
      </c>
      <c r="AD188" s="7">
        <f t="shared" si="18"/>
        <v>-29.242032701200515</v>
      </c>
      <c r="AE188" s="7">
        <f t="shared" si="19"/>
        <v>-30.442193979197555</v>
      </c>
      <c r="AF188" s="7">
        <f t="shared" si="20"/>
        <v>-31.775596369616551</v>
      </c>
    </row>
    <row r="189" spans="2:32" x14ac:dyDescent="0.25">
      <c r="B189" s="17">
        <v>6270000004</v>
      </c>
      <c r="C189" s="193" t="s">
        <v>176</v>
      </c>
      <c r="D189" s="193" t="s">
        <v>14</v>
      </c>
      <c r="E189" s="193" t="s">
        <v>33</v>
      </c>
      <c r="F189" s="163" t="s">
        <v>190</v>
      </c>
      <c r="G189" s="3">
        <f>+IF(F189="Pasajero",'2.2 OPEX LAP 2023'!I190*'2.1 OPEX TUUA'!$G$7,'2.2 OPEX LAP 2023'!I190*'2.1 OPEX TUUA'!$G$8)</f>
        <v>1358.9615383395549</v>
      </c>
      <c r="H189" s="3">
        <f>+IF(F189="Pasajero",'2.2 OPEX LAP 2023'!J190*'2.1 OPEX TUUA'!$H$7,'2.2 OPEX LAP 2023'!J190*'2.1 OPEX TUUA'!$H$8)</f>
        <v>1594.0687923994769</v>
      </c>
      <c r="I189" s="3">
        <f>+IF(F189="Pasajero",'2.2 OPEX LAP 2023'!K190*'2.1 OPEX TUUA'!$I$7,'2.2 OPEX LAP 2023'!K190*'2.1 OPEX TUUA'!$I$8)</f>
        <v>1791.9869411973386</v>
      </c>
      <c r="J189" s="3">
        <f>+IF(F189="Pasajero",'2.2 OPEX LAP 2023'!L190*'2.1 OPEX TUUA'!$J$7,'2.2 OPEX LAP 2023'!L190*'2.1 OPEX TUUA'!$J$8)</f>
        <v>1898.6393631314738</v>
      </c>
      <c r="K189" s="3">
        <f>+IF(F189="Pasajero",'2.2 OPEX LAP 2023'!M190*'2.1 OPEX TUUA'!$K$7,'2.2 OPEX LAP 2023'!M190*'2.1 OPEX TUUA'!$K$8)</f>
        <v>1976.5639543456059</v>
      </c>
      <c r="L189" s="3">
        <f>+IF(F189="Pasajero",'2.2 OPEX LAP 2023'!N190*'2.1 OPEX TUUA'!$L$7,'2.2 OPEX LAP 2023'!N190*'2.1 OPEX TUUA'!$L$8)</f>
        <v>2063.1396822100892</v>
      </c>
      <c r="M189" s="3"/>
      <c r="N189" s="3">
        <f>+IF(F189="Pasajero",'2.2 OPEX LAP 2023'!I190*'2.1 OPEX TUUA'!$N$7,'2.2 OPEX LAP 2023'!I190*'2.1 OPEX TUUA'!$N$8)</f>
        <v>670.26323736505026</v>
      </c>
      <c r="O189" s="3">
        <f>+IF(F189="Pasajero",'2.2 OPEX LAP 2023'!J190*'2.1 OPEX TUUA'!$O$7,'2.2 OPEX LAP 2023'!J190*'2.1 OPEX TUUA'!$O$8)</f>
        <v>660.20467324702986</v>
      </c>
      <c r="P189" s="3">
        <f>+IF(F189="Pasajero",'2.2 OPEX LAP 2023'!K190*'2.1 OPEX TUUA'!$P$7,'2.2 OPEX LAP 2023'!K190*'2.1 OPEX TUUA'!$P$8)</f>
        <v>656.09780675809657</v>
      </c>
      <c r="Q189" s="3">
        <f>+IF(F189="Pasajero",'2.2 OPEX LAP 2023'!L190*'2.1 OPEX TUUA'!$Q$7,'2.2 OPEX LAP 2023'!L190*'2.1 OPEX TUUA'!$Q$8)</f>
        <v>651.82358962209469</v>
      </c>
      <c r="R189" s="3">
        <f>+IF(F189="Pasajero",'2.2 OPEX LAP 2023'!M190*'2.1 OPEX TUUA'!$R$7,'2.2 OPEX LAP 2023'!M190*'2.1 OPEX TUUA'!$R$8)</f>
        <v>655.3210198116534</v>
      </c>
      <c r="S189" s="3">
        <f>+IF(F189="Pasajero",'2.2 OPEX LAP 2023'!N190*'2.1 OPEX TUUA'!$S$7,'2.2 OPEX LAP 2023'!N190*'2.1 OPEX TUUA'!$S$8)</f>
        <v>655.73932196258761</v>
      </c>
      <c r="U189" s="1">
        <v>1384.6391866183799</v>
      </c>
      <c r="V189" s="1">
        <v>1624.1888043561783</v>
      </c>
      <c r="W189" s="1">
        <v>1825.8466267720564</v>
      </c>
      <c r="X189" s="1">
        <v>1934.5142517132288</v>
      </c>
      <c r="Y189" s="1">
        <v>2013.9112320929235</v>
      </c>
      <c r="Z189" s="1">
        <v>2102.1228127956729</v>
      </c>
      <c r="AA189" s="7">
        <f t="shared" si="15"/>
        <v>-25.677648278825018</v>
      </c>
      <c r="AB189" s="7">
        <f t="shared" si="16"/>
        <v>-30.120011956701319</v>
      </c>
      <c r="AC189" s="7">
        <f t="shared" si="17"/>
        <v>-33.859685574717787</v>
      </c>
      <c r="AD189" s="7">
        <f t="shared" si="18"/>
        <v>-35.874888581754931</v>
      </c>
      <c r="AE189" s="7">
        <f t="shared" si="19"/>
        <v>-37.347277747317548</v>
      </c>
      <c r="AF189" s="7">
        <f t="shared" si="20"/>
        <v>-38.983130585583694</v>
      </c>
    </row>
    <row r="190" spans="2:32" x14ac:dyDescent="0.25">
      <c r="B190" s="17">
        <v>6270000005</v>
      </c>
      <c r="C190" s="193" t="s">
        <v>176</v>
      </c>
      <c r="D190" s="193" t="s">
        <v>14</v>
      </c>
      <c r="E190" s="193" t="s">
        <v>34</v>
      </c>
      <c r="F190" s="163" t="s">
        <v>190</v>
      </c>
      <c r="G190" s="3">
        <f>+IF(F190="Pasajero",'2.2 OPEX LAP 2023'!I191*'2.1 OPEX TUUA'!$G$7,'2.2 OPEX LAP 2023'!I191*'2.1 OPEX TUUA'!$G$8)</f>
        <v>2505.6362147358095</v>
      </c>
      <c r="H190" s="3">
        <f>+IF(F190="Pasajero",'2.2 OPEX LAP 2023'!J191*'2.1 OPEX TUUA'!$H$7,'2.2 OPEX LAP 2023'!J191*'2.1 OPEX TUUA'!$H$8)</f>
        <v>2939.1240166344683</v>
      </c>
      <c r="I190" s="3">
        <f>+IF(F190="Pasajero",'2.2 OPEX LAP 2023'!K191*'2.1 OPEX TUUA'!$I$7,'2.2 OPEX LAP 2023'!K191*'2.1 OPEX TUUA'!$I$8)</f>
        <v>3304.0430133761424</v>
      </c>
      <c r="J190" s="3">
        <f>+IF(F190="Pasajero",'2.2 OPEX LAP 2023'!L191*'2.1 OPEX TUUA'!$J$7,'2.2 OPEX LAP 2023'!L191*'2.1 OPEX TUUA'!$J$8)</f>
        <v>3500.68740929773</v>
      </c>
      <c r="K190" s="3">
        <f>+IF(F190="Pasajero",'2.2 OPEX LAP 2023'!M191*'2.1 OPEX TUUA'!$K$7,'2.2 OPEX LAP 2023'!M191*'2.1 OPEX TUUA'!$K$8)</f>
        <v>3644.3637917825354</v>
      </c>
      <c r="L190" s="3">
        <f>+IF(F190="Pasajero",'2.2 OPEX LAP 2023'!N191*'2.1 OPEX TUUA'!$L$7,'2.2 OPEX LAP 2023'!N191*'2.1 OPEX TUUA'!$L$8)</f>
        <v>3803.9910313579931</v>
      </c>
      <c r="M190" s="3"/>
      <c r="N190" s="3">
        <f>+IF(F190="Pasajero",'2.2 OPEX LAP 2023'!I191*'2.1 OPEX TUUA'!$N$7,'2.2 OPEX LAP 2023'!I191*'2.1 OPEX TUUA'!$N$8)</f>
        <v>1235.822938005994</v>
      </c>
      <c r="O190" s="3">
        <f>+IF(F190="Pasajero",'2.2 OPEX LAP 2023'!J191*'2.1 OPEX TUUA'!$O$7,'2.2 OPEX LAP 2023'!J191*'2.1 OPEX TUUA'!$O$8)</f>
        <v>1217.2770838288786</v>
      </c>
      <c r="P190" s="3">
        <f>+IF(F190="Pasajero",'2.2 OPEX LAP 2023'!K191*'2.1 OPEX TUUA'!$P$7,'2.2 OPEX LAP 2023'!K191*'2.1 OPEX TUUA'!$P$8)</f>
        <v>1209.7048949821437</v>
      </c>
      <c r="Q190" s="3">
        <f>+IF(F190="Pasajero",'2.2 OPEX LAP 2023'!L191*'2.1 OPEX TUUA'!$Q$7,'2.2 OPEX LAP 2023'!L191*'2.1 OPEX TUUA'!$Q$8)</f>
        <v>1201.8241471144033</v>
      </c>
      <c r="R190" s="3">
        <f>+IF(F190="Pasajero",'2.2 OPEX LAP 2023'!M191*'2.1 OPEX TUUA'!$R$7,'2.2 OPEX LAP 2023'!M191*'2.1 OPEX TUUA'!$R$8)</f>
        <v>1208.2726649673634</v>
      </c>
      <c r="S190" s="3">
        <f>+IF(F190="Pasajero",'2.2 OPEX LAP 2023'!N191*'2.1 OPEX TUUA'!$S$7,'2.2 OPEX LAP 2023'!N191*'2.1 OPEX TUUA'!$S$8)</f>
        <v>1209.0439252190429</v>
      </c>
      <c r="U190" s="1">
        <v>2552.9803401003028</v>
      </c>
      <c r="V190" s="1">
        <v>2994.6589163485537</v>
      </c>
      <c r="W190" s="1">
        <v>3366.4730763338057</v>
      </c>
      <c r="X190" s="1">
        <v>3566.8330782471908</v>
      </c>
      <c r="Y190" s="1">
        <v>3713.2242333810627</v>
      </c>
      <c r="Z190" s="1">
        <v>3875.8676378720829</v>
      </c>
      <c r="AA190" s="7">
        <f t="shared" si="15"/>
        <v>-47.344125364493266</v>
      </c>
      <c r="AB190" s="7">
        <f t="shared" si="16"/>
        <v>-55.534899714085441</v>
      </c>
      <c r="AC190" s="7">
        <f t="shared" si="17"/>
        <v>-62.430062957663267</v>
      </c>
      <c r="AD190" s="7">
        <f t="shared" si="18"/>
        <v>-66.145668949460742</v>
      </c>
      <c r="AE190" s="7">
        <f t="shared" si="19"/>
        <v>-68.860441598527359</v>
      </c>
      <c r="AF190" s="7">
        <f t="shared" si="20"/>
        <v>-71.876606514089872</v>
      </c>
    </row>
    <row r="191" spans="2:32" x14ac:dyDescent="0.25">
      <c r="B191" s="17">
        <v>6270000006</v>
      </c>
      <c r="C191" s="193" t="s">
        <v>176</v>
      </c>
      <c r="D191" s="193" t="s">
        <v>14</v>
      </c>
      <c r="E191" s="193" t="s">
        <v>35</v>
      </c>
      <c r="F191" s="163" t="s">
        <v>190</v>
      </c>
      <c r="G191" s="3">
        <f>+IF(F191="Pasajero",'2.2 OPEX LAP 2023'!I192*'2.1 OPEX TUUA'!$G$7,'2.2 OPEX LAP 2023'!I192*'2.1 OPEX TUUA'!$G$8)</f>
        <v>12406.85789152329</v>
      </c>
      <c r="H191" s="3">
        <f>+IF(F191="Pasajero",'2.2 OPEX LAP 2023'!J192*'2.1 OPEX TUUA'!$H$7,'2.2 OPEX LAP 2023'!J192*'2.1 OPEX TUUA'!$H$8)</f>
        <v>14553.307373788824</v>
      </c>
      <c r="I191" s="3">
        <f>+IF(F191="Pasajero",'2.2 OPEX LAP 2023'!K192*'2.1 OPEX TUUA'!$I$7,'2.2 OPEX LAP 2023'!K192*'2.1 OPEX TUUA'!$I$8)</f>
        <v>16360.232939385574</v>
      </c>
      <c r="J191" s="3">
        <f>+IF(F191="Pasajero",'2.2 OPEX LAP 2023'!L192*'2.1 OPEX TUUA'!$J$7,'2.2 OPEX LAP 2023'!L192*'2.1 OPEX TUUA'!$J$8)</f>
        <v>17333.93337563219</v>
      </c>
      <c r="K191" s="3">
        <f>+IF(F191="Pasajero",'2.2 OPEX LAP 2023'!M192*'2.1 OPEX TUUA'!$K$7,'2.2 OPEX LAP 2023'!M192*'2.1 OPEX TUUA'!$K$8)</f>
        <v>18045.358461753513</v>
      </c>
      <c r="L191" s="3">
        <f>+IF(F191="Pasajero",'2.2 OPEX LAP 2023'!N192*'2.1 OPEX TUUA'!$L$7,'2.2 OPEX LAP 2023'!N192*'2.1 OPEX TUUA'!$L$8)</f>
        <v>18835.76549106669</v>
      </c>
      <c r="M191" s="3"/>
      <c r="N191" s="3">
        <f>+IF(F191="Pasajero",'2.2 OPEX LAP 2023'!I192*'2.1 OPEX TUUA'!$N$7,'2.2 OPEX LAP 2023'!I192*'2.1 OPEX TUUA'!$N$8)</f>
        <v>6119.2760069289707</v>
      </c>
      <c r="O191" s="3">
        <f>+IF(F191="Pasajero",'2.2 OPEX LAP 2023'!J192*'2.1 OPEX TUUA'!$O$7,'2.2 OPEX LAP 2023'!J192*'2.1 OPEX TUUA'!$O$8)</f>
        <v>6027.4447283502286</v>
      </c>
      <c r="P191" s="3">
        <f>+IF(F191="Pasajero",'2.2 OPEX LAP 2023'!K192*'2.1 OPEX TUUA'!$P$7,'2.2 OPEX LAP 2023'!K192*'2.1 OPEX TUUA'!$P$8)</f>
        <v>5989.9504303365311</v>
      </c>
      <c r="Q191" s="3">
        <f>+IF(F191="Pasajero",'2.2 OPEX LAP 2023'!L192*'2.1 OPEX TUUA'!$Q$7,'2.2 OPEX LAP 2023'!L192*'2.1 OPEX TUUA'!$Q$8)</f>
        <v>5950.9282776796699</v>
      </c>
      <c r="R191" s="3">
        <f>+IF(F191="Pasajero",'2.2 OPEX LAP 2023'!M192*'2.1 OPEX TUUA'!$R$7,'2.2 OPEX LAP 2023'!M192*'2.1 OPEX TUUA'!$R$8)</f>
        <v>5982.8586289980722</v>
      </c>
      <c r="S191" s="3">
        <f>+IF(F191="Pasajero",'2.2 OPEX LAP 2023'!N192*'2.1 OPEX TUUA'!$S$7,'2.2 OPEX LAP 2023'!N192*'2.1 OPEX TUUA'!$S$8)</f>
        <v>5986.6775857499315</v>
      </c>
      <c r="U191" s="1">
        <v>12641.286110568513</v>
      </c>
      <c r="V191" s="1">
        <v>14828.29286638369</v>
      </c>
      <c r="W191" s="1">
        <v>16669.360383632804</v>
      </c>
      <c r="X191" s="1">
        <v>17661.458939786058</v>
      </c>
      <c r="Y191" s="1">
        <v>18386.326439561319</v>
      </c>
      <c r="Z191" s="1">
        <v>19191.668250414095</v>
      </c>
      <c r="AA191" s="7">
        <f t="shared" si="15"/>
        <v>-234.42821904522316</v>
      </c>
      <c r="AB191" s="7">
        <f t="shared" si="16"/>
        <v>-274.98549259486572</v>
      </c>
      <c r="AC191" s="7">
        <f t="shared" si="17"/>
        <v>-309.1274442472295</v>
      </c>
      <c r="AD191" s="7">
        <f t="shared" si="18"/>
        <v>-327.52556415386789</v>
      </c>
      <c r="AE191" s="7">
        <f t="shared" si="19"/>
        <v>-340.96797780780616</v>
      </c>
      <c r="AF191" s="7">
        <f t="shared" si="20"/>
        <v>-355.90275934740566</v>
      </c>
    </row>
    <row r="192" spans="2:32" x14ac:dyDescent="0.25">
      <c r="B192" s="17">
        <v>6270000007</v>
      </c>
      <c r="C192" s="193" t="s">
        <v>176</v>
      </c>
      <c r="D192" s="193" t="s">
        <v>14</v>
      </c>
      <c r="E192" s="193" t="s">
        <v>36</v>
      </c>
      <c r="F192" s="163" t="s">
        <v>190</v>
      </c>
      <c r="G192" s="3">
        <f>+IF(F192="Pasajero",'2.2 OPEX LAP 2023'!I193*'2.1 OPEX TUUA'!$G$7,'2.2 OPEX LAP 2023'!I193*'2.1 OPEX TUUA'!$G$8)</f>
        <v>1095.9219015744404</v>
      </c>
      <c r="H192" s="3">
        <f>+IF(F192="Pasajero",'2.2 OPEX LAP 2023'!J193*'2.1 OPEX TUUA'!$H$7,'2.2 OPEX LAP 2023'!J193*'2.1 OPEX TUUA'!$H$8)</f>
        <v>1285.5219613804854</v>
      </c>
      <c r="I192" s="3">
        <f>+IF(F192="Pasajero",'2.2 OPEX LAP 2023'!K193*'2.1 OPEX TUUA'!$I$7,'2.2 OPEX LAP 2023'!K193*'2.1 OPEX TUUA'!$I$8)</f>
        <v>1445.131212906226</v>
      </c>
      <c r="J192" s="3">
        <f>+IF(F192="Pasajero",'2.2 OPEX LAP 2023'!L193*'2.1 OPEX TUUA'!$J$7,'2.2 OPEX LAP 2023'!L193*'2.1 OPEX TUUA'!$J$8)</f>
        <v>1531.1400672821858</v>
      </c>
      <c r="K192" s="3">
        <f>+IF(F192="Pasajero",'2.2 OPEX LAP 2023'!M193*'2.1 OPEX TUUA'!$K$7,'2.2 OPEX LAP 2023'!M193*'2.1 OPEX TUUA'!$K$8)</f>
        <v>1593.9816295880235</v>
      </c>
      <c r="L192" s="3">
        <f>+IF(F192="Pasajero",'2.2 OPEX LAP 2023'!N193*'2.1 OPEX TUUA'!$L$7,'2.2 OPEX LAP 2023'!N193*'2.1 OPEX TUUA'!$L$8)</f>
        <v>1663.799820636583</v>
      </c>
      <c r="M192" s="3"/>
      <c r="N192" s="3">
        <f>+IF(F192="Pasajero",'2.2 OPEX LAP 2023'!I193*'2.1 OPEX TUUA'!$N$7,'2.2 OPEX LAP 2023'!I193*'2.1 OPEX TUUA'!$N$8)</f>
        <v>540.52755793667473</v>
      </c>
      <c r="O192" s="3">
        <f>+IF(F192="Pasajero",'2.2 OPEX LAP 2023'!J193*'2.1 OPEX TUUA'!$O$7,'2.2 OPEX LAP 2023'!J193*'2.1 OPEX TUUA'!$O$8)</f>
        <v>532.41592239414251</v>
      </c>
      <c r="P192" s="3">
        <f>+IF(F192="Pasajero",'2.2 OPEX LAP 2023'!K193*'2.1 OPEX TUUA'!$P$7,'2.2 OPEX LAP 2023'!K193*'2.1 OPEX TUUA'!$P$8)</f>
        <v>529.10397808587049</v>
      </c>
      <c r="Q192" s="3">
        <f>+IF(F192="Pasajero",'2.2 OPEX LAP 2023'!L193*'2.1 OPEX TUUA'!$Q$7,'2.2 OPEX LAP 2023'!L193*'2.1 OPEX TUUA'!$Q$8)</f>
        <v>525.65707540372932</v>
      </c>
      <c r="R192" s="3">
        <f>+IF(F192="Pasajero",'2.2 OPEX LAP 2023'!M193*'2.1 OPEX TUUA'!$R$7,'2.2 OPEX LAP 2023'!M193*'2.1 OPEX TUUA'!$R$8)</f>
        <v>528.47754547284421</v>
      </c>
      <c r="S192" s="3">
        <f>+IF(F192="Pasajero",'2.2 OPEX LAP 2023'!N193*'2.1 OPEX TUUA'!$S$7,'2.2 OPEX LAP 2023'!N193*'2.1 OPEX TUUA'!$S$8)</f>
        <v>528.814881354509</v>
      </c>
      <c r="U192" s="1">
        <v>1116.6294023651349</v>
      </c>
      <c r="V192" s="1">
        <v>1309.8119650691592</v>
      </c>
      <c r="W192" s="1">
        <v>1472.4370416253362</v>
      </c>
      <c r="X192" s="1">
        <v>1560.0710377357918</v>
      </c>
      <c r="Y192" s="1">
        <v>1624.0999945989124</v>
      </c>
      <c r="Z192" s="1">
        <v>1695.2374039642757</v>
      </c>
      <c r="AA192" s="7">
        <f t="shared" si="15"/>
        <v>-20.707500790694439</v>
      </c>
      <c r="AB192" s="7">
        <f t="shared" si="16"/>
        <v>-24.290003688673778</v>
      </c>
      <c r="AC192" s="7">
        <f t="shared" si="17"/>
        <v>-27.305828719110195</v>
      </c>
      <c r="AD192" s="7">
        <f t="shared" si="18"/>
        <v>-28.930970453606051</v>
      </c>
      <c r="AE192" s="7">
        <f t="shared" si="19"/>
        <v>-30.118365010888965</v>
      </c>
      <c r="AF192" s="7">
        <f t="shared" si="20"/>
        <v>-31.437583327692664</v>
      </c>
    </row>
    <row r="193" spans="2:32" x14ac:dyDescent="0.25">
      <c r="B193" s="17">
        <v>6290000001</v>
      </c>
      <c r="C193" s="193" t="s">
        <v>176</v>
      </c>
      <c r="D193" s="193" t="s">
        <v>14</v>
      </c>
      <c r="E193" s="193" t="s">
        <v>37</v>
      </c>
      <c r="F193" s="163" t="s">
        <v>190</v>
      </c>
      <c r="G193" s="3">
        <f>+IF(F193="Pasajero",'2.2 OPEX LAP 2023'!I194*'2.1 OPEX TUUA'!$G$7,'2.2 OPEX LAP 2023'!I194*'2.1 OPEX TUUA'!$G$8)</f>
        <v>49977.655500046872</v>
      </c>
      <c r="H193" s="3">
        <f>+IF(F193="Pasajero",'2.2 OPEX LAP 2023'!J194*'2.1 OPEX TUUA'!$H$7,'2.2 OPEX LAP 2023'!J194*'2.1 OPEX TUUA'!$H$8)</f>
        <v>58624.043949955187</v>
      </c>
      <c r="I193" s="3">
        <f>+IF(F193="Pasajero",'2.2 OPEX LAP 2023'!K194*'2.1 OPEX TUUA'!$I$7,'2.2 OPEX LAP 2023'!K194*'2.1 OPEX TUUA'!$I$8)</f>
        <v>65902.752565882925</v>
      </c>
      <c r="J193" s="3">
        <f>+IF(F193="Pasajero",'2.2 OPEX LAP 2023'!L194*'2.1 OPEX TUUA'!$J$7,'2.2 OPEX LAP 2023'!L194*'2.1 OPEX TUUA'!$J$8)</f>
        <v>69825.040173950634</v>
      </c>
      <c r="K193" s="3">
        <f>+IF(F193="Pasajero",'2.2 OPEX LAP 2023'!M194*'2.1 OPEX TUUA'!$K$7,'2.2 OPEX LAP 2023'!M194*'2.1 OPEX TUUA'!$K$8)</f>
        <v>72690.822806357086</v>
      </c>
      <c r="L193" s="3">
        <f>+IF(F193="Pasajero",'2.2 OPEX LAP 2023'!N194*'2.1 OPEX TUUA'!$L$7,'2.2 OPEX LAP 2023'!N194*'2.1 OPEX TUUA'!$L$8)</f>
        <v>75874.762733872412</v>
      </c>
      <c r="M193" s="3"/>
      <c r="N193" s="3">
        <f>+IF(F193="Pasajero",'2.2 OPEX LAP 2023'!I194*'2.1 OPEX TUUA'!$N$7,'2.2 OPEX LAP 2023'!I194*'2.1 OPEX TUUA'!$N$8)</f>
        <v>24649.840504173746</v>
      </c>
      <c r="O193" s="3">
        <f>+IF(F193="Pasajero",'2.2 OPEX LAP 2023'!J194*'2.1 OPEX TUUA'!$O$7,'2.2 OPEX LAP 2023'!J194*'2.1 OPEX TUUA'!$O$8)</f>
        <v>24279.92315321635</v>
      </c>
      <c r="P193" s="3">
        <f>+IF(F193="Pasajero",'2.2 OPEX LAP 2023'!K194*'2.1 OPEX TUUA'!$P$7,'2.2 OPEX LAP 2023'!K194*'2.1 OPEX TUUA'!$P$8)</f>
        <v>24128.887562599572</v>
      </c>
      <c r="Q193" s="3">
        <f>+IF(F193="Pasajero",'2.2 OPEX LAP 2023'!L194*'2.1 OPEX TUUA'!$Q$7,'2.2 OPEX LAP 2023'!L194*'2.1 OPEX TUUA'!$Q$8)</f>
        <v>23971.697424741436</v>
      </c>
      <c r="R193" s="3">
        <f>+IF(F193="Pasajero",'2.2 OPEX LAP 2023'!M194*'2.1 OPEX TUUA'!$R$7,'2.2 OPEX LAP 2023'!M194*'2.1 OPEX TUUA'!$R$8)</f>
        <v>24100.320168077349</v>
      </c>
      <c r="S193" s="3">
        <f>+IF(F193="Pasajero",'2.2 OPEX LAP 2023'!N194*'2.1 OPEX TUUA'!$S$7,'2.2 OPEX LAP 2023'!N194*'2.1 OPEX TUUA'!$S$8)</f>
        <v>24115.703797565391</v>
      </c>
      <c r="U193" s="1">
        <v>50921.985875502891</v>
      </c>
      <c r="V193" s="1">
        <v>59731.748280622713</v>
      </c>
      <c r="W193" s="1">
        <v>67147.988470837838</v>
      </c>
      <c r="X193" s="1">
        <v>71144.387905331052</v>
      </c>
      <c r="Y193" s="1">
        <v>74064.319648218152</v>
      </c>
      <c r="Z193" s="1">
        <v>77308.420284696243</v>
      </c>
      <c r="AA193" s="7">
        <f t="shared" si="15"/>
        <v>-944.33037545601837</v>
      </c>
      <c r="AB193" s="7">
        <f t="shared" si="16"/>
        <v>-1107.7043306675259</v>
      </c>
      <c r="AC193" s="7">
        <f t="shared" si="17"/>
        <v>-1245.2359049549123</v>
      </c>
      <c r="AD193" s="7">
        <f t="shared" si="18"/>
        <v>-1319.3477313804178</v>
      </c>
      <c r="AE193" s="7">
        <f t="shared" si="19"/>
        <v>-1373.4968418610661</v>
      </c>
      <c r="AF193" s="7">
        <f t="shared" si="20"/>
        <v>-1433.6575508238311</v>
      </c>
    </row>
    <row r="194" spans="2:32" x14ac:dyDescent="0.25">
      <c r="B194" s="17">
        <v>6310000001</v>
      </c>
      <c r="C194" s="193" t="s">
        <v>176</v>
      </c>
      <c r="D194" s="193" t="s">
        <v>38</v>
      </c>
      <c r="E194" s="193" t="s">
        <v>39</v>
      </c>
      <c r="F194" s="163" t="s">
        <v>190</v>
      </c>
      <c r="G194" s="3">
        <f>+IF(F194="Pasajero",'2.2 OPEX LAP 2023'!I195*'2.1 OPEX TUUA'!$G$7,'2.2 OPEX LAP 2023'!I195*'2.1 OPEX TUUA'!$G$8)</f>
        <v>3810.2349577870964</v>
      </c>
      <c r="H194" s="3">
        <f>+IF(F194="Pasajero",'2.2 OPEX LAP 2023'!J195*'2.1 OPEX TUUA'!$H$7,'2.2 OPEX LAP 2023'!J195*'2.1 OPEX TUUA'!$H$8)</f>
        <v>4469.4249738216895</v>
      </c>
      <c r="I194" s="3">
        <f>+IF(F194="Pasajero",'2.2 OPEX LAP 2023'!K195*'2.1 OPEX TUUA'!$I$7,'2.2 OPEX LAP 2023'!K195*'2.1 OPEX TUUA'!$I$8)</f>
        <v>5024.3447622444983</v>
      </c>
      <c r="J194" s="3">
        <f>+IF(F194="Pasajero",'2.2 OPEX LAP 2023'!L195*'2.1 OPEX TUUA'!$J$7,'2.2 OPEX LAP 2023'!L195*'2.1 OPEX TUUA'!$J$8)</f>
        <v>5323.3751431062146</v>
      </c>
      <c r="K194" s="3">
        <f>+IF(F194="Pasajero",'2.2 OPEX LAP 2023'!M195*'2.1 OPEX TUUA'!$K$7,'2.2 OPEX LAP 2023'!M195*'2.1 OPEX TUUA'!$K$8)</f>
        <v>5541.8588846535549</v>
      </c>
      <c r="L194" s="3">
        <f>+IF(F194="Pasajero",'2.2 OPEX LAP 2023'!N195*'2.1 OPEX TUUA'!$L$7,'2.2 OPEX LAP 2023'!N195*'2.1 OPEX TUUA'!$L$8)</f>
        <v>5784.5985468872414</v>
      </c>
      <c r="M194" s="3"/>
      <c r="N194" s="3">
        <f>+IF(F194="Pasajero",'2.2 OPEX LAP 2023'!I195*'2.1 OPEX TUUA'!$N$7,'2.2 OPEX LAP 2023'!I195*'2.1 OPEX TUUA'!$N$8)</f>
        <v>1879.273508393987</v>
      </c>
      <c r="O194" s="3">
        <f>+IF(F194="Pasajero",'2.2 OPEX LAP 2023'!J195*'2.1 OPEX TUUA'!$O$7,'2.2 OPEX LAP 2023'!J195*'2.1 OPEX TUUA'!$O$8)</f>
        <v>1851.0714647405275</v>
      </c>
      <c r="P194" s="3">
        <f>+IF(F194="Pasajero",'2.2 OPEX LAP 2023'!K195*'2.1 OPEX TUUA'!$P$7,'2.2 OPEX LAP 2023'!K195*'2.1 OPEX TUUA'!$P$8)</f>
        <v>1839.5566971612934</v>
      </c>
      <c r="Q194" s="3">
        <f>+IF(F194="Pasajero",'2.2 OPEX LAP 2023'!L195*'2.1 OPEX TUUA'!$Q$7,'2.2 OPEX LAP 2023'!L195*'2.1 OPEX TUUA'!$Q$8)</f>
        <v>1827.5727144735527</v>
      </c>
      <c r="R194" s="3">
        <f>+IF(F194="Pasajero",'2.2 OPEX LAP 2023'!M195*'2.1 OPEX TUUA'!$R$7,'2.2 OPEX LAP 2023'!M195*'2.1 OPEX TUUA'!$R$8)</f>
        <v>1837.3787541551162</v>
      </c>
      <c r="S194" s="3">
        <f>+IF(F194="Pasajero",'2.2 OPEX LAP 2023'!N195*'2.1 OPEX TUUA'!$S$7,'2.2 OPEX LAP 2023'!N195*'2.1 OPEX TUUA'!$S$8)</f>
        <v>1838.5515831377188</v>
      </c>
      <c r="U194" s="1">
        <v>3882.2295436127429</v>
      </c>
      <c r="V194" s="1">
        <v>4553.8749889609071</v>
      </c>
      <c r="W194" s="1">
        <v>5119.2800153746975</v>
      </c>
      <c r="X194" s="1">
        <v>5423.9605906884453</v>
      </c>
      <c r="Y194" s="1">
        <v>5646.5725937883153</v>
      </c>
      <c r="Z194" s="1">
        <v>5893.8988344455347</v>
      </c>
      <c r="AA194" s="7">
        <f t="shared" si="15"/>
        <v>-71.994585825646482</v>
      </c>
      <c r="AB194" s="7">
        <f t="shared" si="16"/>
        <v>-84.450015139217612</v>
      </c>
      <c r="AC194" s="7">
        <f t="shared" si="17"/>
        <v>-94.935253130199271</v>
      </c>
      <c r="AD194" s="7">
        <f t="shared" si="18"/>
        <v>-100.5854475822307</v>
      </c>
      <c r="AE194" s="7">
        <f t="shared" si="19"/>
        <v>-104.71370913476039</v>
      </c>
      <c r="AF194" s="7">
        <f t="shared" si="20"/>
        <v>-109.30028755829335</v>
      </c>
    </row>
    <row r="195" spans="2:32" x14ac:dyDescent="0.25">
      <c r="B195" s="17">
        <v>6311300001</v>
      </c>
      <c r="C195" s="193" t="s">
        <v>176</v>
      </c>
      <c r="D195" s="193" t="s">
        <v>40</v>
      </c>
      <c r="E195" s="193" t="s">
        <v>41</v>
      </c>
      <c r="F195" s="163" t="s">
        <v>190</v>
      </c>
      <c r="G195" s="3">
        <f>+IF(F195="Pasajero",'2.2 OPEX LAP 2023'!I196*'2.1 OPEX TUUA'!$G$7,'2.2 OPEX LAP 2023'!I196*'2.1 OPEX TUUA'!$G$8)</f>
        <v>0</v>
      </c>
      <c r="H195" s="3">
        <f>+IF(F195="Pasajero",'2.2 OPEX LAP 2023'!J196*'2.1 OPEX TUUA'!$H$7,'2.2 OPEX LAP 2023'!J196*'2.1 OPEX TUUA'!$H$8)</f>
        <v>0</v>
      </c>
      <c r="I195" s="3">
        <f>+IF(F195="Pasajero",'2.2 OPEX LAP 2023'!K196*'2.1 OPEX TUUA'!$I$7,'2.2 OPEX LAP 2023'!K196*'2.1 OPEX TUUA'!$I$8)</f>
        <v>0</v>
      </c>
      <c r="J195" s="3">
        <f>+IF(F195="Pasajero",'2.2 OPEX LAP 2023'!L196*'2.1 OPEX TUUA'!$J$7,'2.2 OPEX LAP 2023'!L196*'2.1 OPEX TUUA'!$J$8)</f>
        <v>0</v>
      </c>
      <c r="K195" s="3">
        <f>+IF(F195="Pasajero",'2.2 OPEX LAP 2023'!M196*'2.1 OPEX TUUA'!$K$7,'2.2 OPEX LAP 2023'!M196*'2.1 OPEX TUUA'!$K$8)</f>
        <v>0</v>
      </c>
      <c r="L195" s="3">
        <f>+IF(F195="Pasajero",'2.2 OPEX LAP 2023'!N196*'2.1 OPEX TUUA'!$L$7,'2.2 OPEX LAP 2023'!N196*'2.1 OPEX TUUA'!$L$8)</f>
        <v>0</v>
      </c>
      <c r="M195" s="3"/>
      <c r="N195" s="3">
        <f>+IF(F195="Pasajero",'2.2 OPEX LAP 2023'!I196*'2.1 OPEX TUUA'!$N$7,'2.2 OPEX LAP 2023'!I196*'2.1 OPEX TUUA'!$N$8)</f>
        <v>0</v>
      </c>
      <c r="O195" s="3">
        <f>+IF(F195="Pasajero",'2.2 OPEX LAP 2023'!J196*'2.1 OPEX TUUA'!$O$7,'2.2 OPEX LAP 2023'!J196*'2.1 OPEX TUUA'!$O$8)</f>
        <v>0</v>
      </c>
      <c r="P195" s="3">
        <f>+IF(F195="Pasajero",'2.2 OPEX LAP 2023'!K196*'2.1 OPEX TUUA'!$P$7,'2.2 OPEX LAP 2023'!K196*'2.1 OPEX TUUA'!$P$8)</f>
        <v>0</v>
      </c>
      <c r="Q195" s="3">
        <f>+IF(F195="Pasajero",'2.2 OPEX LAP 2023'!L196*'2.1 OPEX TUUA'!$Q$7,'2.2 OPEX LAP 2023'!L196*'2.1 OPEX TUUA'!$Q$8)</f>
        <v>0</v>
      </c>
      <c r="R195" s="3">
        <f>+IF(F195="Pasajero",'2.2 OPEX LAP 2023'!M196*'2.1 OPEX TUUA'!$R$7,'2.2 OPEX LAP 2023'!M196*'2.1 OPEX TUUA'!$R$8)</f>
        <v>0</v>
      </c>
      <c r="S195" s="3">
        <f>+IF(F195="Pasajero",'2.2 OPEX LAP 2023'!N196*'2.1 OPEX TUUA'!$S$7,'2.2 OPEX LAP 2023'!N196*'2.1 OPEX TUUA'!$S$8)</f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7">
        <f t="shared" si="15"/>
        <v>0</v>
      </c>
      <c r="AB195" s="7">
        <f t="shared" si="16"/>
        <v>0</v>
      </c>
      <c r="AC195" s="7">
        <f t="shared" si="17"/>
        <v>0</v>
      </c>
      <c r="AD195" s="7">
        <f t="shared" si="18"/>
        <v>0</v>
      </c>
      <c r="AE195" s="7">
        <f t="shared" si="19"/>
        <v>0</v>
      </c>
      <c r="AF195" s="7">
        <f t="shared" si="20"/>
        <v>0</v>
      </c>
    </row>
    <row r="196" spans="2:32" x14ac:dyDescent="0.25">
      <c r="B196" s="17">
        <v>6311300002</v>
      </c>
      <c r="C196" s="193" t="s">
        <v>176</v>
      </c>
      <c r="D196" s="193" t="s">
        <v>40</v>
      </c>
      <c r="E196" s="193" t="s">
        <v>42</v>
      </c>
      <c r="F196" s="163" t="s">
        <v>190</v>
      </c>
      <c r="G196" s="3">
        <f>+IF(F196="Pasajero",'2.2 OPEX LAP 2023'!I197*'2.1 OPEX TUUA'!$G$7,'2.2 OPEX LAP 2023'!I197*'2.1 OPEX TUUA'!$G$8)</f>
        <v>12.627860856014436</v>
      </c>
      <c r="H196" s="3">
        <f>+IF(F196="Pasajero",'2.2 OPEX LAP 2023'!J197*'2.1 OPEX TUUA'!$H$7,'2.2 OPEX LAP 2023'!J197*'2.1 OPEX TUUA'!$H$8)</f>
        <v>14.812544974547972</v>
      </c>
      <c r="I196" s="3">
        <f>+IF(F196="Pasajero",'2.2 OPEX LAP 2023'!K197*'2.1 OPEX TUUA'!$I$7,'2.2 OPEX LAP 2023'!K197*'2.1 OPEX TUUA'!$I$8)</f>
        <v>16.651657247698179</v>
      </c>
      <c r="J196" s="3">
        <f>+IF(F196="Pasajero",'2.2 OPEX LAP 2023'!L197*'2.1 OPEX TUUA'!$J$7,'2.2 OPEX LAP 2023'!L197*'2.1 OPEX TUUA'!$J$8)</f>
        <v>17.642702178805482</v>
      </c>
      <c r="K196" s="3">
        <f>+IF(F196="Pasajero",'2.2 OPEX LAP 2023'!M197*'2.1 OPEX TUUA'!$K$7,'2.2 OPEX LAP 2023'!M197*'2.1 OPEX TUUA'!$K$8)</f>
        <v>18.366799857328591</v>
      </c>
      <c r="L196" s="3">
        <f>+IF(F196="Pasajero",'2.2 OPEX LAP 2023'!N197*'2.1 OPEX TUUA'!$L$7,'2.2 OPEX LAP 2023'!N197*'2.1 OPEX TUUA'!$L$8)</f>
        <v>19.171286381882236</v>
      </c>
      <c r="M196" s="3"/>
      <c r="N196" s="3">
        <f>+IF(F196="Pasajero",'2.2 OPEX LAP 2023'!I197*'2.1 OPEX TUUA'!$N$7,'2.2 OPEX LAP 2023'!I197*'2.1 OPEX TUUA'!$N$8)</f>
        <v>6.2282784755551992</v>
      </c>
      <c r="O196" s="3">
        <f>+IF(F196="Pasajero",'2.2 OPEX LAP 2023'!J197*'2.1 OPEX TUUA'!$O$7,'2.2 OPEX LAP 2023'!J197*'2.1 OPEX TUUA'!$O$8)</f>
        <v>6.1348114093357546</v>
      </c>
      <c r="P196" s="3">
        <f>+IF(F196="Pasajero",'2.2 OPEX LAP 2023'!K197*'2.1 OPEX TUUA'!$P$7,'2.2 OPEX LAP 2023'!K197*'2.1 OPEX TUUA'!$P$8)</f>
        <v>6.0966492265856482</v>
      </c>
      <c r="Q196" s="3">
        <f>+IF(F196="Pasajero",'2.2 OPEX LAP 2023'!L197*'2.1 OPEX TUUA'!$Q$7,'2.2 OPEX LAP 2023'!L197*'2.1 OPEX TUUA'!$Q$8)</f>
        <v>6.0569319735662788</v>
      </c>
      <c r="R196" s="3">
        <f>+IF(F196="Pasajero",'2.2 OPEX LAP 2023'!M197*'2.1 OPEX TUUA'!$R$7,'2.2 OPEX LAP 2023'!M197*'2.1 OPEX TUUA'!$R$8)</f>
        <v>6.0894310992158056</v>
      </c>
      <c r="S196" s="3">
        <f>+IF(F196="Pasajero",'2.2 OPEX LAP 2023'!N197*'2.1 OPEX TUUA'!$S$7,'2.2 OPEX LAP 2023'!N197*'2.1 OPEX TUUA'!$S$8)</f>
        <v>6.0933180829226608</v>
      </c>
      <c r="U196" s="1">
        <v>12.866464937459499</v>
      </c>
      <c r="V196" s="1">
        <v>15.092428774964759</v>
      </c>
      <c r="W196" s="1">
        <v>16.966291169264764</v>
      </c>
      <c r="X196" s="1">
        <v>17.976061945402666</v>
      </c>
      <c r="Y196" s="1">
        <v>18.71384148686602</v>
      </c>
      <c r="Z196" s="1">
        <v>19.53352882574719</v>
      </c>
      <c r="AA196" s="7">
        <f t="shared" si="15"/>
        <v>-0.23860408144506273</v>
      </c>
      <c r="AB196" s="7">
        <f t="shared" si="16"/>
        <v>-0.27988380041678695</v>
      </c>
      <c r="AC196" s="7">
        <f t="shared" si="17"/>
        <v>-0.31463392156658543</v>
      </c>
      <c r="AD196" s="7">
        <f t="shared" si="18"/>
        <v>-0.33335976659718369</v>
      </c>
      <c r="AE196" s="7">
        <f t="shared" si="19"/>
        <v>-0.34704162953742923</v>
      </c>
      <c r="AF196" s="7">
        <f t="shared" si="20"/>
        <v>-0.36224244386495386</v>
      </c>
    </row>
    <row r="197" spans="2:32" x14ac:dyDescent="0.25">
      <c r="B197" s="17">
        <v>6320000001</v>
      </c>
      <c r="C197" s="193" t="s">
        <v>176</v>
      </c>
      <c r="D197" s="193" t="s">
        <v>40</v>
      </c>
      <c r="E197" s="193" t="s">
        <v>43</v>
      </c>
      <c r="F197" s="163" t="s">
        <v>190</v>
      </c>
      <c r="G197" s="3">
        <f>+IF(F197="Pasajero",'2.2 OPEX LAP 2023'!I198*'2.1 OPEX TUUA'!$G$7,'2.2 OPEX LAP 2023'!I198*'2.1 OPEX TUUA'!$G$8)</f>
        <v>13080.51390237391</v>
      </c>
      <c r="H197" s="3">
        <f>+IF(F197="Pasajero",'2.2 OPEX LAP 2023'!J198*'2.1 OPEX TUUA'!$H$7,'2.2 OPEX LAP 2023'!J198*'2.1 OPEX TUUA'!$H$8)</f>
        <v>15343.50929887155</v>
      </c>
      <c r="I197" s="3">
        <f>+IF(F197="Pasajero",'2.2 OPEX LAP 2023'!K198*'2.1 OPEX TUUA'!$I$7,'2.2 OPEX LAP 2023'!K198*'2.1 OPEX TUUA'!$I$8)</f>
        <v>17248.545625393155</v>
      </c>
      <c r="J197" s="3">
        <f>+IF(F197="Pasajero",'2.2 OPEX LAP 2023'!L198*'2.1 OPEX TUUA'!$J$7,'2.2 OPEX LAP 2023'!L198*'2.1 OPEX TUUA'!$J$8)</f>
        <v>18275.11514077169</v>
      </c>
      <c r="K197" s="3">
        <f>+IF(F197="Pasajero",'2.2 OPEX LAP 2023'!M198*'2.1 OPEX TUUA'!$K$7,'2.2 OPEX LAP 2023'!M198*'2.1 OPEX TUUA'!$K$8)</f>
        <v>19025.168523414646</v>
      </c>
      <c r="L197" s="3">
        <f>+IF(F197="Pasajero",'2.2 OPEX LAP 2023'!N198*'2.1 OPEX TUUA'!$L$7,'2.2 OPEX LAP 2023'!N198*'2.1 OPEX TUUA'!$L$8)</f>
        <v>19858.492337216765</v>
      </c>
      <c r="M197" s="3"/>
      <c r="N197" s="3">
        <f>+IF(F197="Pasajero",'2.2 OPEX LAP 2023'!I198*'2.1 OPEX TUUA'!$N$7,'2.2 OPEX LAP 2023'!I198*'2.1 OPEX TUUA'!$N$8)</f>
        <v>6451.5347544832675</v>
      </c>
      <c r="O197" s="3">
        <f>+IF(F197="Pasajero",'2.2 OPEX LAP 2023'!J198*'2.1 OPEX TUUA'!$O$7,'2.2 OPEX LAP 2023'!J198*'2.1 OPEX TUUA'!$O$8)</f>
        <v>6354.7173066955656</v>
      </c>
      <c r="P197" s="3">
        <f>+IF(F197="Pasajero",'2.2 OPEX LAP 2023'!K198*'2.1 OPEX TUUA'!$P$7,'2.2 OPEX LAP 2023'!K198*'2.1 OPEX TUUA'!$P$8)</f>
        <v>6315.1871782201679</v>
      </c>
      <c r="Q197" s="3">
        <f>+IF(F197="Pasajero",'2.2 OPEX LAP 2023'!L198*'2.1 OPEX TUUA'!$Q$7,'2.2 OPEX LAP 2023'!L198*'2.1 OPEX TUUA'!$Q$8)</f>
        <v>6274.0462370736286</v>
      </c>
      <c r="R197" s="3">
        <f>+IF(F197="Pasajero",'2.2 OPEX LAP 2023'!M198*'2.1 OPEX TUUA'!$R$7,'2.2 OPEX LAP 2023'!M198*'2.1 OPEX TUUA'!$R$8)</f>
        <v>6307.7103128597637</v>
      </c>
      <c r="S197" s="3">
        <f>+IF(F197="Pasajero",'2.2 OPEX LAP 2023'!N198*'2.1 OPEX TUUA'!$S$7,'2.2 OPEX LAP 2023'!N198*'2.1 OPEX TUUA'!$S$8)</f>
        <v>6311.7366277673755</v>
      </c>
      <c r="U197" s="1">
        <v>13327.670886450021</v>
      </c>
      <c r="V197" s="1">
        <v>15633.425697551011</v>
      </c>
      <c r="W197" s="1">
        <v>17574.457783607191</v>
      </c>
      <c r="X197" s="1">
        <v>18620.424382866306</v>
      </c>
      <c r="Y197" s="1">
        <v>19384.650062816057</v>
      </c>
      <c r="Z197" s="1">
        <v>20233.719573011706</v>
      </c>
      <c r="AA197" s="7">
        <f t="shared" si="15"/>
        <v>-247.15698407611126</v>
      </c>
      <c r="AB197" s="7">
        <f t="shared" si="16"/>
        <v>-289.91639867946105</v>
      </c>
      <c r="AC197" s="7">
        <f t="shared" si="17"/>
        <v>-325.91215821403603</v>
      </c>
      <c r="AD197" s="7">
        <f t="shared" si="18"/>
        <v>-345.30924209461591</v>
      </c>
      <c r="AE197" s="7">
        <f t="shared" si="19"/>
        <v>-359.48153940141128</v>
      </c>
      <c r="AF197" s="7">
        <f t="shared" si="20"/>
        <v>-375.2272357949405</v>
      </c>
    </row>
    <row r="198" spans="2:32" x14ac:dyDescent="0.25">
      <c r="B198" s="17">
        <v>6320000002</v>
      </c>
      <c r="C198" s="193" t="s">
        <v>176</v>
      </c>
      <c r="D198" s="193" t="s">
        <v>40</v>
      </c>
      <c r="E198" s="193" t="s">
        <v>44</v>
      </c>
      <c r="F198" s="163" t="s">
        <v>190</v>
      </c>
      <c r="G198" s="3">
        <f>+IF(F198="Pasajero",'2.2 OPEX LAP 2023'!I199*'2.1 OPEX TUUA'!$G$7,'2.2 OPEX LAP 2023'!I199*'2.1 OPEX TUUA'!$G$8)</f>
        <v>1367.2400883143664</v>
      </c>
      <c r="H198" s="3">
        <f>+IF(F198="Pasajero",'2.2 OPEX LAP 2023'!J199*'2.1 OPEX TUUA'!$H$7,'2.2 OPEX LAP 2023'!J199*'2.1 OPEX TUUA'!$H$8)</f>
        <v>1603.779573601784</v>
      </c>
      <c r="I198" s="3">
        <f>+IF(F198="Pasajero",'2.2 OPEX LAP 2023'!K199*'2.1 OPEX TUUA'!$I$7,'2.2 OPEX LAP 2023'!K199*'2.1 OPEX TUUA'!$I$8)</f>
        <v>1802.9034042673954</v>
      </c>
      <c r="J198" s="3">
        <f>+IF(F198="Pasajero",'2.2 OPEX LAP 2023'!L199*'2.1 OPEX TUUA'!$J$7,'2.2 OPEX LAP 2023'!L199*'2.1 OPEX TUUA'!$J$8)</f>
        <v>1910.2055336288615</v>
      </c>
      <c r="K198" s="3">
        <f>+IF(F198="Pasajero",'2.2 OPEX LAP 2023'!M199*'2.1 OPEX TUUA'!$K$7,'2.2 OPEX LAP 2023'!M199*'2.1 OPEX TUUA'!$K$8)</f>
        <v>1988.6048274776399</v>
      </c>
      <c r="L198" s="3">
        <f>+IF(F198="Pasajero",'2.2 OPEX LAP 2023'!N199*'2.1 OPEX TUUA'!$L$7,'2.2 OPEX LAP 2023'!N199*'2.1 OPEX TUUA'!$L$8)</f>
        <v>2075.707959149745</v>
      </c>
      <c r="M198" s="3"/>
      <c r="N198" s="3">
        <f>+IF(F198="Pasajero",'2.2 OPEX LAP 2023'!I199*'2.1 OPEX TUUA'!$N$7,'2.2 OPEX LAP 2023'!I199*'2.1 OPEX TUUA'!$N$8)</f>
        <v>674.34636080177779</v>
      </c>
      <c r="O198" s="3">
        <f>+IF(F198="Pasajero",'2.2 OPEX LAP 2023'!J199*'2.1 OPEX TUUA'!$O$7,'2.2 OPEX LAP 2023'!J199*'2.1 OPEX TUUA'!$O$8)</f>
        <v>664.22652171505763</v>
      </c>
      <c r="P198" s="3">
        <f>+IF(F198="Pasajero",'2.2 OPEX LAP 2023'!K199*'2.1 OPEX TUUA'!$P$7,'2.2 OPEX LAP 2023'!K199*'2.1 OPEX TUUA'!$P$8)</f>
        <v>660.09463693200087</v>
      </c>
      <c r="Q198" s="3">
        <f>+IF(F198="Pasajero",'2.2 OPEX LAP 2023'!L199*'2.1 OPEX TUUA'!$Q$7,'2.2 OPEX LAP 2023'!L199*'2.1 OPEX TUUA'!$Q$8)</f>
        <v>655.79438203174641</v>
      </c>
      <c r="R198" s="3">
        <f>+IF(F198="Pasajero",'2.2 OPEX LAP 2023'!M199*'2.1 OPEX TUUA'!$R$7,'2.2 OPEX LAP 2023'!M199*'2.1 OPEX TUUA'!$R$8)</f>
        <v>659.31311793878922</v>
      </c>
      <c r="S198" s="3">
        <f>+IF(F198="Pasajero",'2.2 OPEX LAP 2023'!N199*'2.1 OPEX TUUA'!$S$7,'2.2 OPEX LAP 2023'!N199*'2.1 OPEX TUUA'!$S$8)</f>
        <v>659.73396831140849</v>
      </c>
      <c r="U198" s="1">
        <v>1393.0741602214653</v>
      </c>
      <c r="V198" s="1">
        <v>1634.0830712695897</v>
      </c>
      <c r="W198" s="1">
        <v>1836.969356974224</v>
      </c>
      <c r="X198" s="1">
        <v>1946.2989655980386</v>
      </c>
      <c r="Y198" s="1">
        <v>2026.1796181431175</v>
      </c>
      <c r="Z198" s="1">
        <v>2114.9285679756049</v>
      </c>
      <c r="AA198" s="7">
        <f t="shared" si="15"/>
        <v>-25.83407190709886</v>
      </c>
      <c r="AB198" s="7">
        <f t="shared" si="16"/>
        <v>-30.303497667805686</v>
      </c>
      <c r="AC198" s="7">
        <f t="shared" si="17"/>
        <v>-34.065952706828512</v>
      </c>
      <c r="AD198" s="7">
        <f t="shared" si="18"/>
        <v>-36.093431969177118</v>
      </c>
      <c r="AE198" s="7">
        <f t="shared" si="19"/>
        <v>-37.574790665477622</v>
      </c>
      <c r="AF198" s="7">
        <f t="shared" si="20"/>
        <v>-39.220608825859927</v>
      </c>
    </row>
    <row r="199" spans="2:32" x14ac:dyDescent="0.25">
      <c r="B199" s="17">
        <v>6320000003</v>
      </c>
      <c r="C199" s="193" t="s">
        <v>176</v>
      </c>
      <c r="D199" s="193" t="s">
        <v>40</v>
      </c>
      <c r="E199" s="193" t="s">
        <v>45</v>
      </c>
      <c r="F199" s="163" t="s">
        <v>190</v>
      </c>
      <c r="G199" s="3">
        <f>+IF(F199="Pasajero",'2.2 OPEX LAP 2023'!I200*'2.1 OPEX TUUA'!$G$7,'2.2 OPEX LAP 2023'!I200*'2.1 OPEX TUUA'!$G$8)</f>
        <v>0</v>
      </c>
      <c r="H199" s="3">
        <f>+IF(F199="Pasajero",'2.2 OPEX LAP 2023'!J200*'2.1 OPEX TUUA'!$H$7,'2.2 OPEX LAP 2023'!J200*'2.1 OPEX TUUA'!$H$8)</f>
        <v>0</v>
      </c>
      <c r="I199" s="3">
        <f>+IF(F199="Pasajero",'2.2 OPEX LAP 2023'!K200*'2.1 OPEX TUUA'!$I$7,'2.2 OPEX LAP 2023'!K200*'2.1 OPEX TUUA'!$I$8)</f>
        <v>0</v>
      </c>
      <c r="J199" s="3">
        <f>+IF(F199="Pasajero",'2.2 OPEX LAP 2023'!L200*'2.1 OPEX TUUA'!$J$7,'2.2 OPEX LAP 2023'!L200*'2.1 OPEX TUUA'!$J$8)</f>
        <v>0</v>
      </c>
      <c r="K199" s="3">
        <f>+IF(F199="Pasajero",'2.2 OPEX LAP 2023'!M200*'2.1 OPEX TUUA'!$K$7,'2.2 OPEX LAP 2023'!M200*'2.1 OPEX TUUA'!$K$8)</f>
        <v>0</v>
      </c>
      <c r="L199" s="3">
        <f>+IF(F199="Pasajero",'2.2 OPEX LAP 2023'!N200*'2.1 OPEX TUUA'!$L$7,'2.2 OPEX LAP 2023'!N200*'2.1 OPEX TUUA'!$L$8)</f>
        <v>0</v>
      </c>
      <c r="M199" s="3"/>
      <c r="N199" s="3">
        <f>+IF(F199="Pasajero",'2.2 OPEX LAP 2023'!I200*'2.1 OPEX TUUA'!$N$7,'2.2 OPEX LAP 2023'!I200*'2.1 OPEX TUUA'!$N$8)</f>
        <v>0</v>
      </c>
      <c r="O199" s="3">
        <f>+IF(F199="Pasajero",'2.2 OPEX LAP 2023'!J200*'2.1 OPEX TUUA'!$O$7,'2.2 OPEX LAP 2023'!J200*'2.1 OPEX TUUA'!$O$8)</f>
        <v>0</v>
      </c>
      <c r="P199" s="3">
        <f>+IF(F199="Pasajero",'2.2 OPEX LAP 2023'!K200*'2.1 OPEX TUUA'!$P$7,'2.2 OPEX LAP 2023'!K200*'2.1 OPEX TUUA'!$P$8)</f>
        <v>0</v>
      </c>
      <c r="Q199" s="3">
        <f>+IF(F199="Pasajero",'2.2 OPEX LAP 2023'!L200*'2.1 OPEX TUUA'!$Q$7,'2.2 OPEX LAP 2023'!L200*'2.1 OPEX TUUA'!$Q$8)</f>
        <v>0</v>
      </c>
      <c r="R199" s="3">
        <f>+IF(F199="Pasajero",'2.2 OPEX LAP 2023'!M200*'2.1 OPEX TUUA'!$R$7,'2.2 OPEX LAP 2023'!M200*'2.1 OPEX TUUA'!$R$8)</f>
        <v>0</v>
      </c>
      <c r="S199" s="3">
        <f>+IF(F199="Pasajero",'2.2 OPEX LAP 2023'!N200*'2.1 OPEX TUUA'!$S$7,'2.2 OPEX LAP 2023'!N200*'2.1 OPEX TUUA'!$S$8)</f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7">
        <f t="shared" si="15"/>
        <v>0</v>
      </c>
      <c r="AB199" s="7">
        <f t="shared" si="16"/>
        <v>0</v>
      </c>
      <c r="AC199" s="7">
        <f t="shared" si="17"/>
        <v>0</v>
      </c>
      <c r="AD199" s="7">
        <f t="shared" si="18"/>
        <v>0</v>
      </c>
      <c r="AE199" s="7">
        <f t="shared" si="19"/>
        <v>0</v>
      </c>
      <c r="AF199" s="7">
        <f t="shared" si="20"/>
        <v>0</v>
      </c>
    </row>
    <row r="200" spans="2:32" x14ac:dyDescent="0.25">
      <c r="B200" s="17">
        <v>6320000004</v>
      </c>
      <c r="C200" s="193" t="s">
        <v>176</v>
      </c>
      <c r="D200" s="193" t="s">
        <v>40</v>
      </c>
      <c r="E200" s="193" t="s">
        <v>46</v>
      </c>
      <c r="F200" s="163" t="s">
        <v>190</v>
      </c>
      <c r="G200" s="3">
        <f>+IF(F200="Pasajero",'2.2 OPEX LAP 2023'!I201*'2.1 OPEX TUUA'!$G$7,'2.2 OPEX LAP 2023'!I201*'2.1 OPEX TUUA'!$G$8)</f>
        <v>37676.933131586899</v>
      </c>
      <c r="H200" s="3">
        <f>+IF(F200="Pasajero",'2.2 OPEX LAP 2023'!J201*'2.1 OPEX TUUA'!$H$7,'2.2 OPEX LAP 2023'!J201*'2.1 OPEX TUUA'!$H$8)</f>
        <v>44195.234084231932</v>
      </c>
      <c r="I200" s="3">
        <f>+IF(F200="Pasajero",'2.2 OPEX LAP 2023'!K201*'2.1 OPEX TUUA'!$I$7,'2.2 OPEX LAP 2023'!K201*'2.1 OPEX TUUA'!$I$8)</f>
        <v>49682.474633288053</v>
      </c>
      <c r="J200" s="3">
        <f>+IF(F200="Pasajero",'2.2 OPEX LAP 2023'!L201*'2.1 OPEX TUUA'!$J$7,'2.2 OPEX LAP 2023'!L201*'2.1 OPEX TUUA'!$J$8)</f>
        <v>52639.391408463307</v>
      </c>
      <c r="K200" s="3">
        <f>+IF(F200="Pasajero",'2.2 OPEX LAP 2023'!M201*'2.1 OPEX TUUA'!$K$7,'2.2 OPEX LAP 2023'!M201*'2.1 OPEX TUUA'!$K$8)</f>
        <v>54799.834901270609</v>
      </c>
      <c r="L200" s="3">
        <f>+IF(F200="Pasajero",'2.2 OPEX LAP 2023'!N201*'2.1 OPEX TUUA'!$L$7,'2.2 OPEX LAP 2023'!N201*'2.1 OPEX TUUA'!$L$8)</f>
        <v>57200.129403758263</v>
      </c>
      <c r="M200" s="3"/>
      <c r="N200" s="3">
        <f>+IF(F200="Pasajero",'2.2 OPEX LAP 2023'!I201*'2.1 OPEX TUUA'!$N$7,'2.2 OPEX LAP 2023'!I201*'2.1 OPEX TUUA'!$N$8)</f>
        <v>18582.912365290234</v>
      </c>
      <c r="O200" s="3">
        <f>+IF(F200="Pasajero",'2.2 OPEX LAP 2023'!J201*'2.1 OPEX TUUA'!$O$7,'2.2 OPEX LAP 2023'!J201*'2.1 OPEX TUUA'!$O$8)</f>
        <v>18304.040714413724</v>
      </c>
      <c r="P200" s="3">
        <f>+IF(F200="Pasajero",'2.2 OPEX LAP 2023'!K201*'2.1 OPEX TUUA'!$P$7,'2.2 OPEX LAP 2023'!K201*'2.1 OPEX TUUA'!$P$8)</f>
        <v>18190.178673643266</v>
      </c>
      <c r="Q200" s="3">
        <f>+IF(F200="Pasajero",'2.2 OPEX LAP 2023'!L201*'2.1 OPEX TUUA'!$Q$7,'2.2 OPEX LAP 2023'!L201*'2.1 OPEX TUUA'!$Q$8)</f>
        <v>18071.676870111878</v>
      </c>
      <c r="R200" s="3">
        <f>+IF(F200="Pasajero",'2.2 OPEX LAP 2023'!M201*'2.1 OPEX TUUA'!$R$7,'2.2 OPEX LAP 2023'!M201*'2.1 OPEX TUUA'!$R$8)</f>
        <v>18168.642413040638</v>
      </c>
      <c r="S200" s="3">
        <f>+IF(F200="Pasajero",'2.2 OPEX LAP 2023'!N201*'2.1 OPEX TUUA'!$S$7,'2.2 OPEX LAP 2023'!N201*'2.1 OPEX TUUA'!$S$8)</f>
        <v>18180.23975536778</v>
      </c>
      <c r="U200" s="1">
        <v>38388.840724173933</v>
      </c>
      <c r="V200" s="1">
        <v>45030.305309133437</v>
      </c>
      <c r="W200" s="1">
        <v>50621.227551059354</v>
      </c>
      <c r="X200" s="1">
        <v>53634.015421037984</v>
      </c>
      <c r="Y200" s="1">
        <v>55835.280604945066</v>
      </c>
      <c r="Z200" s="1">
        <v>58280.92879571722</v>
      </c>
      <c r="AA200" s="7">
        <f t="shared" si="15"/>
        <v>-711.90759258703474</v>
      </c>
      <c r="AB200" s="7">
        <f t="shared" si="16"/>
        <v>-835.07122490150505</v>
      </c>
      <c r="AC200" s="7">
        <f t="shared" si="17"/>
        <v>-938.75291777130042</v>
      </c>
      <c r="AD200" s="7">
        <f t="shared" si="18"/>
        <v>-994.62401257467718</v>
      </c>
      <c r="AE200" s="7">
        <f t="shared" si="19"/>
        <v>-1035.445703674457</v>
      </c>
      <c r="AF200" s="7">
        <f t="shared" si="20"/>
        <v>-1080.7993919589571</v>
      </c>
    </row>
    <row r="201" spans="2:32" x14ac:dyDescent="0.25">
      <c r="B201" s="17">
        <v>6320000005</v>
      </c>
      <c r="C201" s="193" t="s">
        <v>176</v>
      </c>
      <c r="D201" s="193" t="s">
        <v>40</v>
      </c>
      <c r="E201" s="193" t="s">
        <v>47</v>
      </c>
      <c r="F201" s="163" t="s">
        <v>190</v>
      </c>
      <c r="G201" s="3">
        <f>+IF(F201="Pasajero",'2.2 OPEX LAP 2023'!I202*'2.1 OPEX TUUA'!$G$7,'2.2 OPEX LAP 2023'!I202*'2.1 OPEX TUUA'!$G$8)</f>
        <v>0</v>
      </c>
      <c r="H201" s="3">
        <f>+IF(F201="Pasajero",'2.2 OPEX LAP 2023'!J202*'2.1 OPEX TUUA'!$H$7,'2.2 OPEX LAP 2023'!J202*'2.1 OPEX TUUA'!$H$8)</f>
        <v>0</v>
      </c>
      <c r="I201" s="3">
        <f>+IF(F201="Pasajero",'2.2 OPEX LAP 2023'!K202*'2.1 OPEX TUUA'!$I$7,'2.2 OPEX LAP 2023'!K202*'2.1 OPEX TUUA'!$I$8)</f>
        <v>0</v>
      </c>
      <c r="J201" s="3">
        <f>+IF(F201="Pasajero",'2.2 OPEX LAP 2023'!L202*'2.1 OPEX TUUA'!$J$7,'2.2 OPEX LAP 2023'!L202*'2.1 OPEX TUUA'!$J$8)</f>
        <v>0</v>
      </c>
      <c r="K201" s="3">
        <f>+IF(F201="Pasajero",'2.2 OPEX LAP 2023'!M202*'2.1 OPEX TUUA'!$K$7,'2.2 OPEX LAP 2023'!M202*'2.1 OPEX TUUA'!$K$8)</f>
        <v>0</v>
      </c>
      <c r="L201" s="3">
        <f>+IF(F201="Pasajero",'2.2 OPEX LAP 2023'!N202*'2.1 OPEX TUUA'!$L$7,'2.2 OPEX LAP 2023'!N202*'2.1 OPEX TUUA'!$L$8)</f>
        <v>0</v>
      </c>
      <c r="M201" s="3"/>
      <c r="N201" s="3">
        <f>+IF(F201="Pasajero",'2.2 OPEX LAP 2023'!I202*'2.1 OPEX TUUA'!$N$7,'2.2 OPEX LAP 2023'!I202*'2.1 OPEX TUUA'!$N$8)</f>
        <v>0</v>
      </c>
      <c r="O201" s="3">
        <f>+IF(F201="Pasajero",'2.2 OPEX LAP 2023'!J202*'2.1 OPEX TUUA'!$O$7,'2.2 OPEX LAP 2023'!J202*'2.1 OPEX TUUA'!$O$8)</f>
        <v>0</v>
      </c>
      <c r="P201" s="3">
        <f>+IF(F201="Pasajero",'2.2 OPEX LAP 2023'!K202*'2.1 OPEX TUUA'!$P$7,'2.2 OPEX LAP 2023'!K202*'2.1 OPEX TUUA'!$P$8)</f>
        <v>0</v>
      </c>
      <c r="Q201" s="3">
        <f>+IF(F201="Pasajero",'2.2 OPEX LAP 2023'!L202*'2.1 OPEX TUUA'!$Q$7,'2.2 OPEX LAP 2023'!L202*'2.1 OPEX TUUA'!$Q$8)</f>
        <v>0</v>
      </c>
      <c r="R201" s="3">
        <f>+IF(F201="Pasajero",'2.2 OPEX LAP 2023'!M202*'2.1 OPEX TUUA'!$R$7,'2.2 OPEX LAP 2023'!M202*'2.1 OPEX TUUA'!$R$8)</f>
        <v>0</v>
      </c>
      <c r="S201" s="3">
        <f>+IF(F201="Pasajero",'2.2 OPEX LAP 2023'!N202*'2.1 OPEX TUUA'!$S$7,'2.2 OPEX LAP 2023'!N202*'2.1 OPEX TUUA'!$S$8)</f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7">
        <f t="shared" si="15"/>
        <v>0</v>
      </c>
      <c r="AB201" s="7">
        <f t="shared" si="16"/>
        <v>0</v>
      </c>
      <c r="AC201" s="7">
        <f t="shared" si="17"/>
        <v>0</v>
      </c>
      <c r="AD201" s="7">
        <f t="shared" si="18"/>
        <v>0</v>
      </c>
      <c r="AE201" s="7">
        <f t="shared" si="19"/>
        <v>0</v>
      </c>
      <c r="AF201" s="7">
        <f t="shared" si="20"/>
        <v>0</v>
      </c>
    </row>
    <row r="202" spans="2:32" x14ac:dyDescent="0.25">
      <c r="B202" s="17">
        <v>6320000006</v>
      </c>
      <c r="C202" s="193" t="s">
        <v>176</v>
      </c>
      <c r="D202" s="193" t="s">
        <v>40</v>
      </c>
      <c r="E202" s="193" t="s">
        <v>48</v>
      </c>
      <c r="F202" s="163" t="s">
        <v>190</v>
      </c>
      <c r="G202" s="3">
        <f>+IF(F202="Pasajero",'2.2 OPEX LAP 2023'!I203*'2.1 OPEX TUUA'!$G$7,'2.2 OPEX LAP 2023'!I203*'2.1 OPEX TUUA'!$G$8)</f>
        <v>0</v>
      </c>
      <c r="H202" s="3">
        <f>+IF(F202="Pasajero",'2.2 OPEX LAP 2023'!J203*'2.1 OPEX TUUA'!$H$7,'2.2 OPEX LAP 2023'!J203*'2.1 OPEX TUUA'!$H$8)</f>
        <v>0</v>
      </c>
      <c r="I202" s="3">
        <f>+IF(F202="Pasajero",'2.2 OPEX LAP 2023'!K203*'2.1 OPEX TUUA'!$I$7,'2.2 OPEX LAP 2023'!K203*'2.1 OPEX TUUA'!$I$8)</f>
        <v>0</v>
      </c>
      <c r="J202" s="3">
        <f>+IF(F202="Pasajero",'2.2 OPEX LAP 2023'!L203*'2.1 OPEX TUUA'!$J$7,'2.2 OPEX LAP 2023'!L203*'2.1 OPEX TUUA'!$J$8)</f>
        <v>0</v>
      </c>
      <c r="K202" s="3">
        <f>+IF(F202="Pasajero",'2.2 OPEX LAP 2023'!M203*'2.1 OPEX TUUA'!$K$7,'2.2 OPEX LAP 2023'!M203*'2.1 OPEX TUUA'!$K$8)</f>
        <v>0</v>
      </c>
      <c r="L202" s="3">
        <f>+IF(F202="Pasajero",'2.2 OPEX LAP 2023'!N203*'2.1 OPEX TUUA'!$L$7,'2.2 OPEX LAP 2023'!N203*'2.1 OPEX TUUA'!$L$8)</f>
        <v>0</v>
      </c>
      <c r="M202" s="3"/>
      <c r="N202" s="3">
        <f>+IF(F202="Pasajero",'2.2 OPEX LAP 2023'!I203*'2.1 OPEX TUUA'!$N$7,'2.2 OPEX LAP 2023'!I203*'2.1 OPEX TUUA'!$N$8)</f>
        <v>0</v>
      </c>
      <c r="O202" s="3">
        <f>+IF(F202="Pasajero",'2.2 OPEX LAP 2023'!J203*'2.1 OPEX TUUA'!$O$7,'2.2 OPEX LAP 2023'!J203*'2.1 OPEX TUUA'!$O$8)</f>
        <v>0</v>
      </c>
      <c r="P202" s="3">
        <f>+IF(F202="Pasajero",'2.2 OPEX LAP 2023'!K203*'2.1 OPEX TUUA'!$P$7,'2.2 OPEX LAP 2023'!K203*'2.1 OPEX TUUA'!$P$8)</f>
        <v>0</v>
      </c>
      <c r="Q202" s="3">
        <f>+IF(F202="Pasajero",'2.2 OPEX LAP 2023'!L203*'2.1 OPEX TUUA'!$Q$7,'2.2 OPEX LAP 2023'!L203*'2.1 OPEX TUUA'!$Q$8)</f>
        <v>0</v>
      </c>
      <c r="R202" s="3">
        <f>+IF(F202="Pasajero",'2.2 OPEX LAP 2023'!M203*'2.1 OPEX TUUA'!$R$7,'2.2 OPEX LAP 2023'!M203*'2.1 OPEX TUUA'!$R$8)</f>
        <v>0</v>
      </c>
      <c r="S202" s="3">
        <f>+IF(F202="Pasajero",'2.2 OPEX LAP 2023'!N203*'2.1 OPEX TUUA'!$S$7,'2.2 OPEX LAP 2023'!N203*'2.1 OPEX TUUA'!$S$8)</f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7">
        <f t="shared" si="15"/>
        <v>0</v>
      </c>
      <c r="AB202" s="7">
        <f t="shared" si="16"/>
        <v>0</v>
      </c>
      <c r="AC202" s="7">
        <f t="shared" si="17"/>
        <v>0</v>
      </c>
      <c r="AD202" s="7">
        <f t="shared" si="18"/>
        <v>0</v>
      </c>
      <c r="AE202" s="7">
        <f t="shared" si="19"/>
        <v>0</v>
      </c>
      <c r="AF202" s="7">
        <f t="shared" si="20"/>
        <v>0</v>
      </c>
    </row>
    <row r="203" spans="2:32" x14ac:dyDescent="0.25">
      <c r="B203" s="17">
        <v>6320000007</v>
      </c>
      <c r="C203" s="193" t="s">
        <v>176</v>
      </c>
      <c r="D203" s="193" t="s">
        <v>49</v>
      </c>
      <c r="E203" s="193" t="s">
        <v>50</v>
      </c>
      <c r="F203" s="163" t="s">
        <v>190</v>
      </c>
      <c r="G203" s="3">
        <f>+IF(F203="Pasajero",'2.2 OPEX LAP 2023'!I204*'2.1 OPEX TUUA'!$G$7,'2.2 OPEX LAP 2023'!I204*'2.1 OPEX TUUA'!$G$8)</f>
        <v>0</v>
      </c>
      <c r="H203" s="3">
        <f>+IF(F203="Pasajero",'2.2 OPEX LAP 2023'!J204*'2.1 OPEX TUUA'!$H$7,'2.2 OPEX LAP 2023'!J204*'2.1 OPEX TUUA'!$H$8)</f>
        <v>0</v>
      </c>
      <c r="I203" s="3">
        <f>+IF(F203="Pasajero",'2.2 OPEX LAP 2023'!K204*'2.1 OPEX TUUA'!$I$7,'2.2 OPEX LAP 2023'!K204*'2.1 OPEX TUUA'!$I$8)</f>
        <v>0</v>
      </c>
      <c r="J203" s="3">
        <f>+IF(F203="Pasajero",'2.2 OPEX LAP 2023'!L204*'2.1 OPEX TUUA'!$J$7,'2.2 OPEX LAP 2023'!L204*'2.1 OPEX TUUA'!$J$8)</f>
        <v>0</v>
      </c>
      <c r="K203" s="3">
        <f>+IF(F203="Pasajero",'2.2 OPEX LAP 2023'!M204*'2.1 OPEX TUUA'!$K$7,'2.2 OPEX LAP 2023'!M204*'2.1 OPEX TUUA'!$K$8)</f>
        <v>0</v>
      </c>
      <c r="L203" s="3">
        <f>+IF(F203="Pasajero",'2.2 OPEX LAP 2023'!N204*'2.1 OPEX TUUA'!$L$7,'2.2 OPEX LAP 2023'!N204*'2.1 OPEX TUUA'!$L$8)</f>
        <v>0</v>
      </c>
      <c r="M203" s="3"/>
      <c r="N203" s="3">
        <f>+IF(F203="Pasajero",'2.2 OPEX LAP 2023'!I204*'2.1 OPEX TUUA'!$N$7,'2.2 OPEX LAP 2023'!I204*'2.1 OPEX TUUA'!$N$8)</f>
        <v>0</v>
      </c>
      <c r="O203" s="3">
        <f>+IF(F203="Pasajero",'2.2 OPEX LAP 2023'!J204*'2.1 OPEX TUUA'!$O$7,'2.2 OPEX LAP 2023'!J204*'2.1 OPEX TUUA'!$O$8)</f>
        <v>0</v>
      </c>
      <c r="P203" s="3">
        <f>+IF(F203="Pasajero",'2.2 OPEX LAP 2023'!K204*'2.1 OPEX TUUA'!$P$7,'2.2 OPEX LAP 2023'!K204*'2.1 OPEX TUUA'!$P$8)</f>
        <v>0</v>
      </c>
      <c r="Q203" s="3">
        <f>+IF(F203="Pasajero",'2.2 OPEX LAP 2023'!L204*'2.1 OPEX TUUA'!$Q$7,'2.2 OPEX LAP 2023'!L204*'2.1 OPEX TUUA'!$Q$8)</f>
        <v>0</v>
      </c>
      <c r="R203" s="3">
        <f>+IF(F203="Pasajero",'2.2 OPEX LAP 2023'!M204*'2.1 OPEX TUUA'!$R$7,'2.2 OPEX LAP 2023'!M204*'2.1 OPEX TUUA'!$R$8)</f>
        <v>0</v>
      </c>
      <c r="S203" s="3">
        <f>+IF(F203="Pasajero",'2.2 OPEX LAP 2023'!N204*'2.1 OPEX TUUA'!$S$7,'2.2 OPEX LAP 2023'!N204*'2.1 OPEX TUUA'!$S$8)</f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7">
        <f t="shared" si="15"/>
        <v>0</v>
      </c>
      <c r="AB203" s="7">
        <f t="shared" si="16"/>
        <v>0</v>
      </c>
      <c r="AC203" s="7">
        <f t="shared" si="17"/>
        <v>0</v>
      </c>
      <c r="AD203" s="7">
        <f t="shared" si="18"/>
        <v>0</v>
      </c>
      <c r="AE203" s="7">
        <f t="shared" si="19"/>
        <v>0</v>
      </c>
      <c r="AF203" s="7">
        <f t="shared" si="20"/>
        <v>0</v>
      </c>
    </row>
    <row r="204" spans="2:32" x14ac:dyDescent="0.25">
      <c r="B204" s="17">
        <v>6329000003</v>
      </c>
      <c r="C204" s="193" t="s">
        <v>176</v>
      </c>
      <c r="D204" s="193" t="s">
        <v>40</v>
      </c>
      <c r="E204" s="193" t="s">
        <v>51</v>
      </c>
      <c r="F204" s="163" t="s">
        <v>190</v>
      </c>
      <c r="G204" s="3">
        <f>+IF(F204="Pasajero",'2.2 OPEX LAP 2023'!I205*'2.1 OPEX TUUA'!$G$7,'2.2 OPEX LAP 2023'!I205*'2.1 OPEX TUUA'!$G$8)</f>
        <v>0</v>
      </c>
      <c r="H204" s="3">
        <f>+IF(F204="Pasajero",'2.2 OPEX LAP 2023'!J205*'2.1 OPEX TUUA'!$H$7,'2.2 OPEX LAP 2023'!J205*'2.1 OPEX TUUA'!$H$8)</f>
        <v>0</v>
      </c>
      <c r="I204" s="3">
        <f>+IF(F204="Pasajero",'2.2 OPEX LAP 2023'!K205*'2.1 OPEX TUUA'!$I$7,'2.2 OPEX LAP 2023'!K205*'2.1 OPEX TUUA'!$I$8)</f>
        <v>0</v>
      </c>
      <c r="J204" s="3">
        <f>+IF(F204="Pasajero",'2.2 OPEX LAP 2023'!L205*'2.1 OPEX TUUA'!$J$7,'2.2 OPEX LAP 2023'!L205*'2.1 OPEX TUUA'!$J$8)</f>
        <v>0</v>
      </c>
      <c r="K204" s="3">
        <f>+IF(F204="Pasajero",'2.2 OPEX LAP 2023'!M205*'2.1 OPEX TUUA'!$K$7,'2.2 OPEX LAP 2023'!M205*'2.1 OPEX TUUA'!$K$8)</f>
        <v>0</v>
      </c>
      <c r="L204" s="3">
        <f>+IF(F204="Pasajero",'2.2 OPEX LAP 2023'!N205*'2.1 OPEX TUUA'!$L$7,'2.2 OPEX LAP 2023'!N205*'2.1 OPEX TUUA'!$L$8)</f>
        <v>0</v>
      </c>
      <c r="M204" s="3"/>
      <c r="N204" s="3">
        <f>+IF(F204="Pasajero",'2.2 OPEX LAP 2023'!I205*'2.1 OPEX TUUA'!$N$7,'2.2 OPEX LAP 2023'!I205*'2.1 OPEX TUUA'!$N$8)</f>
        <v>0</v>
      </c>
      <c r="O204" s="3">
        <f>+IF(F204="Pasajero",'2.2 OPEX LAP 2023'!J205*'2.1 OPEX TUUA'!$O$7,'2.2 OPEX LAP 2023'!J205*'2.1 OPEX TUUA'!$O$8)</f>
        <v>0</v>
      </c>
      <c r="P204" s="3">
        <f>+IF(F204="Pasajero",'2.2 OPEX LAP 2023'!K205*'2.1 OPEX TUUA'!$P$7,'2.2 OPEX LAP 2023'!K205*'2.1 OPEX TUUA'!$P$8)</f>
        <v>0</v>
      </c>
      <c r="Q204" s="3">
        <f>+IF(F204="Pasajero",'2.2 OPEX LAP 2023'!L205*'2.1 OPEX TUUA'!$Q$7,'2.2 OPEX LAP 2023'!L205*'2.1 OPEX TUUA'!$Q$8)</f>
        <v>0</v>
      </c>
      <c r="R204" s="3">
        <f>+IF(F204="Pasajero",'2.2 OPEX LAP 2023'!M205*'2.1 OPEX TUUA'!$R$7,'2.2 OPEX LAP 2023'!M205*'2.1 OPEX TUUA'!$R$8)</f>
        <v>0</v>
      </c>
      <c r="S204" s="3">
        <f>+IF(F204="Pasajero",'2.2 OPEX LAP 2023'!N205*'2.1 OPEX TUUA'!$S$7,'2.2 OPEX LAP 2023'!N205*'2.1 OPEX TUUA'!$S$8)</f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7">
        <f t="shared" si="15"/>
        <v>0</v>
      </c>
      <c r="AB204" s="7">
        <f t="shared" si="16"/>
        <v>0</v>
      </c>
      <c r="AC204" s="7">
        <f t="shared" si="17"/>
        <v>0</v>
      </c>
      <c r="AD204" s="7">
        <f t="shared" si="18"/>
        <v>0</v>
      </c>
      <c r="AE204" s="7">
        <f t="shared" si="19"/>
        <v>0</v>
      </c>
      <c r="AF204" s="7">
        <f t="shared" si="20"/>
        <v>0</v>
      </c>
    </row>
    <row r="205" spans="2:32" x14ac:dyDescent="0.25">
      <c r="B205" s="17">
        <v>6341100001</v>
      </c>
      <c r="C205" s="193" t="s">
        <v>176</v>
      </c>
      <c r="D205" s="193" t="s">
        <v>52</v>
      </c>
      <c r="E205" s="193" t="s">
        <v>53</v>
      </c>
      <c r="F205" s="163" t="s">
        <v>190</v>
      </c>
      <c r="G205" s="3">
        <f>+IF(F205="Pasajero",'2.2 OPEX LAP 2023'!I206*'2.1 OPEX TUUA'!$G$7,'2.2 OPEX LAP 2023'!I206*'2.1 OPEX TUUA'!$G$8)</f>
        <v>2023.5009859193281</v>
      </c>
      <c r="H205" s="3">
        <f>+IF(F205="Pasajero",'2.2 OPEX LAP 2023'!J206*'2.1 OPEX TUUA'!$H$7,'2.2 OPEX LAP 2023'!J206*'2.1 OPEX TUUA'!$H$8)</f>
        <v>2373.5769424238219</v>
      </c>
      <c r="I205" s="3">
        <f>+IF(F205="Pasajero",'2.2 OPEX LAP 2023'!K206*'2.1 OPEX TUUA'!$I$7,'2.2 OPEX LAP 2023'!K206*'2.1 OPEX TUUA'!$I$8)</f>
        <v>2668.2781226449606</v>
      </c>
      <c r="J205" s="3">
        <f>+IF(F205="Pasajero",'2.2 OPEX LAP 2023'!L206*'2.1 OPEX TUUA'!$J$7,'2.2 OPEX LAP 2023'!L206*'2.1 OPEX TUUA'!$J$8)</f>
        <v>2827.0841483093041</v>
      </c>
      <c r="K205" s="3">
        <f>+IF(F205="Pasajero",'2.2 OPEX LAP 2023'!M206*'2.1 OPEX TUUA'!$K$7,'2.2 OPEX LAP 2023'!M206*'2.1 OPEX TUUA'!$K$8)</f>
        <v>2943.1142806571393</v>
      </c>
      <c r="L205" s="3">
        <f>+IF(F205="Pasajero",'2.2 OPEX LAP 2023'!N206*'2.1 OPEX TUUA'!$L$7,'2.2 OPEX LAP 2023'!N206*'2.1 OPEX TUUA'!$L$8)</f>
        <v>3072.0260016647226</v>
      </c>
      <c r="M205" s="3"/>
      <c r="N205" s="3">
        <f>+IF(F205="Pasajero",'2.2 OPEX LAP 2023'!I206*'2.1 OPEX TUUA'!$N$7,'2.2 OPEX LAP 2023'!I206*'2.1 OPEX TUUA'!$N$8)</f>
        <v>998.02553889113483</v>
      </c>
      <c r="O205" s="3">
        <f>+IF(F205="Pasajero",'2.2 OPEX LAP 2023'!J206*'2.1 OPEX TUUA'!$O$7,'2.2 OPEX LAP 2023'!J206*'2.1 OPEX TUUA'!$O$8)</f>
        <v>983.04828321794196</v>
      </c>
      <c r="P205" s="3">
        <f>+IF(F205="Pasajero",'2.2 OPEX LAP 2023'!K206*'2.1 OPEX TUUA'!$P$7,'2.2 OPEX LAP 2023'!K206*'2.1 OPEX TUUA'!$P$8)</f>
        <v>976.93313708985534</v>
      </c>
      <c r="Q205" s="3">
        <f>+IF(F205="Pasajero",'2.2 OPEX LAP 2023'!L206*'2.1 OPEX TUUA'!$Q$7,'2.2 OPEX LAP 2023'!L206*'2.1 OPEX TUUA'!$Q$8)</f>
        <v>970.56880495481892</v>
      </c>
      <c r="R205" s="3">
        <f>+IF(F205="Pasajero",'2.2 OPEX LAP 2023'!M206*'2.1 OPEX TUUA'!$R$7,'2.2 OPEX LAP 2023'!M206*'2.1 OPEX TUUA'!$R$8)</f>
        <v>975.77649717942961</v>
      </c>
      <c r="S205" s="3">
        <f>+IF(F205="Pasajero",'2.2 OPEX LAP 2023'!N206*'2.1 OPEX TUUA'!$S$7,'2.2 OPEX LAP 2023'!N206*'2.1 OPEX TUUA'!$S$8)</f>
        <v>976.3993513154353</v>
      </c>
      <c r="U205" s="1">
        <v>2061.7351412963653</v>
      </c>
      <c r="V205" s="1">
        <v>2418.4258010344606</v>
      </c>
      <c r="W205" s="1">
        <v>2718.6953752384929</v>
      </c>
      <c r="X205" s="1">
        <v>2880.5020489392396</v>
      </c>
      <c r="Y205" s="1">
        <v>2998.7245766155065</v>
      </c>
      <c r="Z205" s="1">
        <v>3130.0720912328898</v>
      </c>
      <c r="AA205" s="7">
        <f t="shared" si="15"/>
        <v>-38.234155377037268</v>
      </c>
      <c r="AB205" s="7">
        <f t="shared" si="16"/>
        <v>-44.848858610638672</v>
      </c>
      <c r="AC205" s="7">
        <f t="shared" si="17"/>
        <v>-50.417252593532339</v>
      </c>
      <c r="AD205" s="7">
        <f t="shared" si="18"/>
        <v>-53.417900629935502</v>
      </c>
      <c r="AE205" s="7">
        <f t="shared" si="19"/>
        <v>-55.61029595836726</v>
      </c>
      <c r="AF205" s="7">
        <f t="shared" si="20"/>
        <v>-58.04608956816719</v>
      </c>
    </row>
    <row r="206" spans="2:32" x14ac:dyDescent="0.25">
      <c r="B206" s="17">
        <v>6341100002</v>
      </c>
      <c r="C206" s="193" t="s">
        <v>176</v>
      </c>
      <c r="D206" s="193" t="s">
        <v>52</v>
      </c>
      <c r="E206" s="193" t="s">
        <v>54</v>
      </c>
      <c r="F206" s="163" t="s">
        <v>190</v>
      </c>
      <c r="G206" s="3">
        <f>+IF(F206="Pasajero",'2.2 OPEX LAP 2023'!I207*'2.1 OPEX TUUA'!$G$7,'2.2 OPEX LAP 2023'!I207*'2.1 OPEX TUUA'!$G$8)</f>
        <v>4618.4564617423539</v>
      </c>
      <c r="H206" s="3">
        <f>+IF(F206="Pasajero",'2.2 OPEX LAP 2023'!J207*'2.1 OPEX TUUA'!$H$7,'2.2 OPEX LAP 2023'!J207*'2.1 OPEX TUUA'!$H$8)</f>
        <v>5417.4729063448049</v>
      </c>
      <c r="I206" s="3">
        <f>+IF(F206="Pasajero",'2.2 OPEX LAP 2023'!K207*'2.1 OPEX TUUA'!$I$7,'2.2 OPEX LAP 2023'!K207*'2.1 OPEX TUUA'!$I$8)</f>
        <v>6090.101474132257</v>
      </c>
      <c r="J206" s="3">
        <f>+IF(F206="Pasajero",'2.2 OPEX LAP 2023'!L207*'2.1 OPEX TUUA'!$J$7,'2.2 OPEX LAP 2023'!L207*'2.1 OPEX TUUA'!$J$8)</f>
        <v>6452.5617449681968</v>
      </c>
      <c r="K206" s="3">
        <f>+IF(F206="Pasajero",'2.2 OPEX LAP 2023'!M207*'2.1 OPEX TUUA'!$K$7,'2.2 OPEX LAP 2023'!M207*'2.1 OPEX TUUA'!$K$8)</f>
        <v>6717.3899403719251</v>
      </c>
      <c r="L206" s="3">
        <f>+IF(F206="Pasajero",'2.2 OPEX LAP 2023'!N207*'2.1 OPEX TUUA'!$L$7,'2.2 OPEX LAP 2023'!N207*'2.1 OPEX TUUA'!$L$8)</f>
        <v>7011.6191871203819</v>
      </c>
      <c r="M206" s="3"/>
      <c r="N206" s="3">
        <f>+IF(F206="Pasajero",'2.2 OPEX LAP 2023'!I207*'2.1 OPEX TUUA'!$N$7,'2.2 OPEX LAP 2023'!I207*'2.1 OPEX TUUA'!$N$8)</f>
        <v>2277.9022748938851</v>
      </c>
      <c r="O206" s="3">
        <f>+IF(F206="Pasajero",'2.2 OPEX LAP 2023'!J207*'2.1 OPEX TUUA'!$O$7,'2.2 OPEX LAP 2023'!J207*'2.1 OPEX TUUA'!$O$8)</f>
        <v>2243.7180547109638</v>
      </c>
      <c r="P206" s="3">
        <f>+IF(F206="Pasajero",'2.2 OPEX LAP 2023'!K207*'2.1 OPEX TUUA'!$P$7,'2.2 OPEX LAP 2023'!K207*'2.1 OPEX TUUA'!$P$8)</f>
        <v>2229.7607913608153</v>
      </c>
      <c r="Q206" s="3">
        <f>+IF(F206="Pasajero",'2.2 OPEX LAP 2023'!L207*'2.1 OPEX TUUA'!$Q$7,'2.2 OPEX LAP 2023'!L207*'2.1 OPEX TUUA'!$Q$8)</f>
        <v>2215.2347836749927</v>
      </c>
      <c r="R206" s="3">
        <f>+IF(F206="Pasajero",'2.2 OPEX LAP 2023'!M207*'2.1 OPEX TUUA'!$R$7,'2.2 OPEX LAP 2023'!M207*'2.1 OPEX TUUA'!$R$8)</f>
        <v>2227.1208662481586</v>
      </c>
      <c r="S206" s="3">
        <f>+IF(F206="Pasajero",'2.2 OPEX LAP 2023'!N207*'2.1 OPEX TUUA'!$S$7,'2.2 OPEX LAP 2023'!N207*'2.1 OPEX TUUA'!$S$8)</f>
        <v>2228.5424740107328</v>
      </c>
      <c r="U206" s="1">
        <v>4705.7224345237373</v>
      </c>
      <c r="V206" s="1">
        <v>5519.8363360112207</v>
      </c>
      <c r="W206" s="1">
        <v>6205.174255239951</v>
      </c>
      <c r="X206" s="1">
        <v>6574.4832315668073</v>
      </c>
      <c r="Y206" s="1">
        <v>6844.3153693662871</v>
      </c>
      <c r="Z206" s="1">
        <v>7144.1040928903567</v>
      </c>
      <c r="AA206" s="7">
        <f t="shared" si="15"/>
        <v>-87.265972781383425</v>
      </c>
      <c r="AB206" s="7">
        <f t="shared" si="16"/>
        <v>-102.36342966641587</v>
      </c>
      <c r="AC206" s="7">
        <f t="shared" si="17"/>
        <v>-115.07278110769403</v>
      </c>
      <c r="AD206" s="7">
        <f t="shared" si="18"/>
        <v>-121.9214865986105</v>
      </c>
      <c r="AE206" s="7">
        <f t="shared" si="19"/>
        <v>-126.92542899436194</v>
      </c>
      <c r="AF206" s="7">
        <f t="shared" si="20"/>
        <v>-132.48490576997483</v>
      </c>
    </row>
    <row r="207" spans="2:32" x14ac:dyDescent="0.25">
      <c r="B207" s="17">
        <v>6341100003</v>
      </c>
      <c r="C207" s="193" t="s">
        <v>176</v>
      </c>
      <c r="D207" s="193" t="s">
        <v>52</v>
      </c>
      <c r="E207" s="193" t="s">
        <v>55</v>
      </c>
      <c r="F207" s="163" t="s">
        <v>190</v>
      </c>
      <c r="G207" s="3">
        <f>+IF(F207="Pasajero",'2.2 OPEX LAP 2023'!I208*'2.1 OPEX TUUA'!$G$7,'2.2 OPEX LAP 2023'!I208*'2.1 OPEX TUUA'!$G$8)</f>
        <v>2445.2664542193329</v>
      </c>
      <c r="H207" s="3">
        <f>+IF(F207="Pasajero",'2.2 OPEX LAP 2023'!J208*'2.1 OPEX TUUA'!$H$7,'2.2 OPEX LAP 2023'!J208*'2.1 OPEX TUUA'!$H$8)</f>
        <v>2868.30998067468</v>
      </c>
      <c r="I207" s="3">
        <f>+IF(F207="Pasajero",'2.2 OPEX LAP 2023'!K208*'2.1 OPEX TUUA'!$I$7,'2.2 OPEX LAP 2023'!K208*'2.1 OPEX TUUA'!$I$8)</f>
        <v>3224.4367703466896</v>
      </c>
      <c r="J207" s="3">
        <f>+IF(F207="Pasajero",'2.2 OPEX LAP 2023'!L208*'2.1 OPEX TUUA'!$J$7,'2.2 OPEX LAP 2023'!L208*'2.1 OPEX TUUA'!$J$8)</f>
        <v>3416.3432976906774</v>
      </c>
      <c r="K207" s="3">
        <f>+IF(F207="Pasajero",'2.2 OPEX LAP 2023'!M208*'2.1 OPEX TUUA'!$K$7,'2.2 OPEX LAP 2023'!M208*'2.1 OPEX TUUA'!$K$8)</f>
        <v>3556.5580009614487</v>
      </c>
      <c r="L207" s="3">
        <f>+IF(F207="Pasajero",'2.2 OPEX LAP 2023'!N208*'2.1 OPEX TUUA'!$L$7,'2.2 OPEX LAP 2023'!N208*'2.1 OPEX TUUA'!$L$8)</f>
        <v>3712.339247982839</v>
      </c>
      <c r="M207" s="3"/>
      <c r="N207" s="3">
        <f>+IF(F207="Pasajero",'2.2 OPEX LAP 2023'!I208*'2.1 OPEX TUUA'!$N$7,'2.2 OPEX LAP 2023'!I208*'2.1 OPEX TUUA'!$N$8)</f>
        <v>1206.0475323148462</v>
      </c>
      <c r="O207" s="3">
        <f>+IF(F207="Pasajero",'2.2 OPEX LAP 2023'!J208*'2.1 OPEX TUUA'!$O$7,'2.2 OPEX LAP 2023'!J208*'2.1 OPEX TUUA'!$O$8)</f>
        <v>1187.9485142620895</v>
      </c>
      <c r="P207" s="3">
        <f>+IF(F207="Pasajero",'2.2 OPEX LAP 2023'!K208*'2.1 OPEX TUUA'!$P$7,'2.2 OPEX LAP 2023'!K208*'2.1 OPEX TUUA'!$P$8)</f>
        <v>1180.5587665951932</v>
      </c>
      <c r="Q207" s="3">
        <f>+IF(F207="Pasajero",'2.2 OPEX LAP 2023'!L208*'2.1 OPEX TUUA'!$Q$7,'2.2 OPEX LAP 2023'!L208*'2.1 OPEX TUUA'!$Q$8)</f>
        <v>1172.867894200464</v>
      </c>
      <c r="R207" s="3">
        <f>+IF(F207="Pasajero",'2.2 OPEX LAP 2023'!M208*'2.1 OPEX TUUA'!$R$7,'2.2 OPEX LAP 2023'!M208*'2.1 OPEX TUUA'!$R$8)</f>
        <v>1179.1610441368125</v>
      </c>
      <c r="S207" s="3">
        <f>+IF(F207="Pasajero",'2.2 OPEX LAP 2023'!N208*'2.1 OPEX TUUA'!$S$7,'2.2 OPEX LAP 2023'!N208*'2.1 OPEX TUUA'!$S$8)</f>
        <v>1179.9137219636309</v>
      </c>
      <c r="U207" s="1">
        <v>2491.4698898486972</v>
      </c>
      <c r="V207" s="1">
        <v>2922.5068455310602</v>
      </c>
      <c r="W207" s="1">
        <v>3285.3626692411035</v>
      </c>
      <c r="X207" s="1">
        <v>3480.8952803060256</v>
      </c>
      <c r="Y207" s="1">
        <v>3623.7593476187735</v>
      </c>
      <c r="Z207" s="1">
        <v>3782.4840893282767</v>
      </c>
      <c r="AA207" s="7">
        <f t="shared" ref="AA207:AA270" si="21">+G207-U207</f>
        <v>-46.203435629364321</v>
      </c>
      <c r="AB207" s="7">
        <f t="shared" ref="AB207:AB270" si="22">+H207-V207</f>
        <v>-54.196864856380216</v>
      </c>
      <c r="AC207" s="7">
        <f t="shared" ref="AC207:AC270" si="23">+I207-W207</f>
        <v>-60.925898894413876</v>
      </c>
      <c r="AD207" s="7">
        <f t="shared" ref="AD207:AD270" si="24">+J207-X207</f>
        <v>-64.551982615348152</v>
      </c>
      <c r="AE207" s="7">
        <f t="shared" ref="AE207:AE270" si="25">+K207-Y207</f>
        <v>-67.201346657324848</v>
      </c>
      <c r="AF207" s="7">
        <f t="shared" ref="AF207:AF270" si="26">+L207-Z207</f>
        <v>-70.144841345437726</v>
      </c>
    </row>
    <row r="208" spans="2:32" x14ac:dyDescent="0.25">
      <c r="B208" s="17">
        <v>6341100004</v>
      </c>
      <c r="C208" s="193" t="s">
        <v>176</v>
      </c>
      <c r="D208" s="193" t="s">
        <v>52</v>
      </c>
      <c r="E208" s="193" t="s">
        <v>56</v>
      </c>
      <c r="F208" s="163" t="s">
        <v>190</v>
      </c>
      <c r="G208" s="3">
        <f>+IF(F208="Pasajero",'2.2 OPEX LAP 2023'!I209*'2.1 OPEX TUUA'!$G$7,'2.2 OPEX LAP 2023'!I209*'2.1 OPEX TUUA'!$G$8)</f>
        <v>1290.4463171719649</v>
      </c>
      <c r="H208" s="3">
        <f>+IF(F208="Pasajero",'2.2 OPEX LAP 2023'!J209*'2.1 OPEX TUUA'!$H$7,'2.2 OPEX LAP 2023'!J209*'2.1 OPEX TUUA'!$H$8)</f>
        <v>1513.7000896906047</v>
      </c>
      <c r="I208" s="3">
        <f>+IF(F208="Pasajero",'2.2 OPEX LAP 2023'!K209*'2.1 OPEX TUUA'!$I$7,'2.2 OPEX LAP 2023'!K209*'2.1 OPEX TUUA'!$I$8)</f>
        <v>1701.6397325812761</v>
      </c>
      <c r="J208" s="3">
        <f>+IF(F208="Pasajero",'2.2 OPEX LAP 2023'!L209*'2.1 OPEX TUUA'!$J$7,'2.2 OPEX LAP 2023'!L209*'2.1 OPEX TUUA'!$J$8)</f>
        <v>1802.9150234703307</v>
      </c>
      <c r="K208" s="3">
        <f>+IF(F208="Pasajero",'2.2 OPEX LAP 2023'!M209*'2.1 OPEX TUUA'!$K$7,'2.2 OPEX LAP 2023'!M209*'2.1 OPEX TUUA'!$K$8)</f>
        <v>1876.9108643476768</v>
      </c>
      <c r="L208" s="3">
        <f>+IF(F208="Pasajero",'2.2 OPEX LAP 2023'!N209*'2.1 OPEX TUUA'!$L$7,'2.2 OPEX LAP 2023'!N209*'2.1 OPEX TUUA'!$L$8)</f>
        <v>1959.1216746077753</v>
      </c>
      <c r="M208" s="3"/>
      <c r="N208" s="3">
        <f>+IF(F208="Pasajero",'2.2 OPEX LAP 2023'!I209*'2.1 OPEX TUUA'!$N$7,'2.2 OPEX LAP 2023'!I209*'2.1 OPEX TUUA'!$N$8)</f>
        <v>636.47035018394399</v>
      </c>
      <c r="O208" s="3">
        <f>+IF(F208="Pasajero",'2.2 OPEX LAP 2023'!J209*'2.1 OPEX TUUA'!$O$7,'2.2 OPEX LAP 2023'!J209*'2.1 OPEX TUUA'!$O$8)</f>
        <v>626.91891207775802</v>
      </c>
      <c r="P208" s="3">
        <f>+IF(F208="Pasajero",'2.2 OPEX LAP 2023'!K209*'2.1 OPEX TUUA'!$P$7,'2.2 OPEX LAP 2023'!K209*'2.1 OPEX TUUA'!$P$8)</f>
        <v>623.01910285855342</v>
      </c>
      <c r="Q208" s="3">
        <f>+IF(F208="Pasajero",'2.2 OPEX LAP 2023'!L209*'2.1 OPEX TUUA'!$Q$7,'2.2 OPEX LAP 2023'!L209*'2.1 OPEX TUUA'!$Q$8)</f>
        <v>618.96038036616687</v>
      </c>
      <c r="R208" s="3">
        <f>+IF(F208="Pasajero",'2.2 OPEX LAP 2023'!M209*'2.1 OPEX TUUA'!$R$7,'2.2 OPEX LAP 2023'!M209*'2.1 OPEX TUUA'!$R$8)</f>
        <v>622.28147944097702</v>
      </c>
      <c r="S208" s="3">
        <f>+IF(F208="Pasajero",'2.2 OPEX LAP 2023'!N209*'2.1 OPEX TUUA'!$S$7,'2.2 OPEX LAP 2023'!N209*'2.1 OPEX TUUA'!$S$8)</f>
        <v>622.67869191160935</v>
      </c>
      <c r="U208" s="1">
        <v>1314.8293668170147</v>
      </c>
      <c r="V208" s="1">
        <v>1542.3015308691331</v>
      </c>
      <c r="W208" s="1">
        <v>1733.7923029946253</v>
      </c>
      <c r="X208" s="1">
        <v>1836.9811957225972</v>
      </c>
      <c r="Y208" s="1">
        <v>1912.3751918254886</v>
      </c>
      <c r="Z208" s="1">
        <v>1996.139379580844</v>
      </c>
      <c r="AA208" s="7">
        <f t="shared" si="21"/>
        <v>-24.383049645049823</v>
      </c>
      <c r="AB208" s="7">
        <f t="shared" si="22"/>
        <v>-28.601441178528376</v>
      </c>
      <c r="AC208" s="7">
        <f t="shared" si="23"/>
        <v>-32.152570413349167</v>
      </c>
      <c r="AD208" s="7">
        <f t="shared" si="24"/>
        <v>-34.066172252266597</v>
      </c>
      <c r="AE208" s="7">
        <f t="shared" si="25"/>
        <v>-35.464327477811821</v>
      </c>
      <c r="AF208" s="7">
        <f t="shared" si="26"/>
        <v>-37.017704973068703</v>
      </c>
    </row>
    <row r="209" spans="2:32" x14ac:dyDescent="0.25">
      <c r="B209" s="17">
        <v>6341100005</v>
      </c>
      <c r="C209" s="193" t="s">
        <v>176</v>
      </c>
      <c r="D209" s="193" t="s">
        <v>52</v>
      </c>
      <c r="E209" s="193" t="s">
        <v>57</v>
      </c>
      <c r="F209" s="163" t="s">
        <v>190</v>
      </c>
      <c r="G209" s="3">
        <f>+IF(F209="Pasajero",'2.2 OPEX LAP 2023'!I210*'2.1 OPEX TUUA'!$G$7,'2.2 OPEX LAP 2023'!I210*'2.1 OPEX TUUA'!$G$8)</f>
        <v>2009.4109634700742</v>
      </c>
      <c r="H209" s="3">
        <f>+IF(F209="Pasajero",'2.2 OPEX LAP 2023'!J210*'2.1 OPEX TUUA'!$H$7,'2.2 OPEX LAP 2023'!J210*'2.1 OPEX TUUA'!$H$8)</f>
        <v>2357.0492744678859</v>
      </c>
      <c r="I209" s="3">
        <f>+IF(F209="Pasajero",'2.2 OPEX LAP 2023'!K210*'2.1 OPEX TUUA'!$I$7,'2.2 OPEX LAP 2023'!K210*'2.1 OPEX TUUA'!$I$8)</f>
        <v>2649.6983942877541</v>
      </c>
      <c r="J209" s="3">
        <f>+IF(F209="Pasajero",'2.2 OPEX LAP 2023'!L210*'2.1 OPEX TUUA'!$J$7,'2.2 OPEX LAP 2023'!L210*'2.1 OPEX TUUA'!$J$8)</f>
        <v>2807.3986233736632</v>
      </c>
      <c r="K209" s="3">
        <f>+IF(F209="Pasajero",'2.2 OPEX LAP 2023'!M210*'2.1 OPEX TUUA'!$K$7,'2.2 OPEX LAP 2023'!M210*'2.1 OPEX TUUA'!$K$8)</f>
        <v>2922.6208158287345</v>
      </c>
      <c r="L209" s="3">
        <f>+IF(F209="Pasajero",'2.2 OPEX LAP 2023'!N210*'2.1 OPEX TUUA'!$L$7,'2.2 OPEX LAP 2023'!N210*'2.1 OPEX TUUA'!$L$8)</f>
        <v>3050.6348999902739</v>
      </c>
      <c r="M209" s="3"/>
      <c r="N209" s="3">
        <f>+IF(F209="Pasajero",'2.2 OPEX LAP 2023'!I210*'2.1 OPEX TUUA'!$N$7,'2.2 OPEX LAP 2023'!I210*'2.1 OPEX TUUA'!$N$8)</f>
        <v>991.07609713362751</v>
      </c>
      <c r="O209" s="3">
        <f>+IF(F209="Pasajero",'2.2 OPEX LAP 2023'!J210*'2.1 OPEX TUUA'!$O$7,'2.2 OPEX LAP 2023'!J210*'2.1 OPEX TUUA'!$O$8)</f>
        <v>976.20313094194807</v>
      </c>
      <c r="P209" s="3">
        <f>+IF(F209="Pasajero",'2.2 OPEX LAP 2023'!K210*'2.1 OPEX TUUA'!$P$7,'2.2 OPEX LAP 2023'!K210*'2.1 OPEX TUUA'!$P$8)</f>
        <v>970.13056574010011</v>
      </c>
      <c r="Q209" s="3">
        <f>+IF(F209="Pasajero",'2.2 OPEX LAP 2023'!L210*'2.1 OPEX TUUA'!$Q$7,'2.2 OPEX LAP 2023'!L210*'2.1 OPEX TUUA'!$Q$8)</f>
        <v>963.81054966089005</v>
      </c>
      <c r="R209" s="3">
        <f>+IF(F209="Pasajero",'2.2 OPEX LAP 2023'!M210*'2.1 OPEX TUUA'!$R$7,'2.2 OPEX LAP 2023'!M210*'2.1 OPEX TUUA'!$R$8)</f>
        <v>968.98197973348601</v>
      </c>
      <c r="S209" s="3">
        <f>+IF(F209="Pasajero",'2.2 OPEX LAP 2023'!N210*'2.1 OPEX TUUA'!$S$7,'2.2 OPEX LAP 2023'!N210*'2.1 OPEX TUUA'!$S$8)</f>
        <v>969.60049681760995</v>
      </c>
      <c r="U209" s="1">
        <v>2047.3788871470331</v>
      </c>
      <c r="V209" s="1">
        <v>2401.5858419410142</v>
      </c>
      <c r="W209" s="1">
        <v>2699.7645819567742</v>
      </c>
      <c r="X209" s="1">
        <v>2860.4445649957688</v>
      </c>
      <c r="Y209" s="1">
        <v>2977.8438867133736</v>
      </c>
      <c r="Z209" s="1">
        <v>3108.2768035902609</v>
      </c>
      <c r="AA209" s="7">
        <f t="shared" si="21"/>
        <v>-37.96792367695889</v>
      </c>
      <c r="AB209" s="7">
        <f t="shared" si="22"/>
        <v>-44.536567473128343</v>
      </c>
      <c r="AC209" s="7">
        <f t="shared" si="23"/>
        <v>-50.06618766902011</v>
      </c>
      <c r="AD209" s="7">
        <f t="shared" si="24"/>
        <v>-53.045941622105602</v>
      </c>
      <c r="AE209" s="7">
        <f t="shared" si="25"/>
        <v>-55.223070884639128</v>
      </c>
      <c r="AF209" s="7">
        <f t="shared" si="26"/>
        <v>-57.641903599987018</v>
      </c>
    </row>
    <row r="210" spans="2:32" x14ac:dyDescent="0.25">
      <c r="B210" s="17">
        <v>6341100007</v>
      </c>
      <c r="C210" s="193" t="s">
        <v>176</v>
      </c>
      <c r="D210" s="193" t="s">
        <v>52</v>
      </c>
      <c r="E210" s="193" t="s">
        <v>58</v>
      </c>
      <c r="F210" s="163" t="s">
        <v>190</v>
      </c>
      <c r="G210" s="3">
        <f>+IF(F210="Pasajero",'2.2 OPEX LAP 2023'!I211*'2.1 OPEX TUUA'!$G$7,'2.2 OPEX LAP 2023'!I211*'2.1 OPEX TUUA'!$G$8)</f>
        <v>1297.2574367913146</v>
      </c>
      <c r="H210" s="3">
        <f>+IF(F210="Pasajero",'2.2 OPEX LAP 2023'!J211*'2.1 OPEX TUUA'!$H$7,'2.2 OPEX LAP 2023'!J211*'2.1 OPEX TUUA'!$H$8)</f>
        <v>1521.6895676266552</v>
      </c>
      <c r="I210" s="3">
        <f>+IF(F210="Pasajero",'2.2 OPEX LAP 2023'!K211*'2.1 OPEX TUUA'!$I$7,'2.2 OPEX LAP 2023'!K211*'2.1 OPEX TUUA'!$I$8)</f>
        <v>1710.6211769183401</v>
      </c>
      <c r="J210" s="3">
        <f>+IF(F210="Pasajero",'2.2 OPEX LAP 2023'!L211*'2.1 OPEX TUUA'!$J$7,'2.2 OPEX LAP 2023'!L211*'2.1 OPEX TUUA'!$J$8)</f>
        <v>1812.4310100905959</v>
      </c>
      <c r="K210" s="3">
        <f>+IF(F210="Pasajero",'2.2 OPEX LAP 2023'!M211*'2.1 OPEX TUUA'!$K$7,'2.2 OPEX LAP 2023'!M211*'2.1 OPEX TUUA'!$K$8)</f>
        <v>1886.8174092707893</v>
      </c>
      <c r="L210" s="3">
        <f>+IF(F210="Pasajero",'2.2 OPEX LAP 2023'!N211*'2.1 OPEX TUUA'!$L$7,'2.2 OPEX LAP 2023'!N211*'2.1 OPEX TUUA'!$L$8)</f>
        <v>1969.462137358568</v>
      </c>
      <c r="M210" s="3"/>
      <c r="N210" s="3">
        <f>+IF(F210="Pasajero",'2.2 OPEX LAP 2023'!I211*'2.1 OPEX TUUA'!$N$7,'2.2 OPEX LAP 2023'!I211*'2.1 OPEX TUUA'!$N$8)</f>
        <v>639.82971169444261</v>
      </c>
      <c r="O210" s="3">
        <f>+IF(F210="Pasajero",'2.2 OPEX LAP 2023'!J211*'2.1 OPEX TUUA'!$O$7,'2.2 OPEX LAP 2023'!J211*'2.1 OPEX TUUA'!$O$8)</f>
        <v>630.22786003240981</v>
      </c>
      <c r="P210" s="3">
        <f>+IF(F210="Pasajero",'2.2 OPEX LAP 2023'!K211*'2.1 OPEX TUUA'!$P$7,'2.2 OPEX LAP 2023'!K211*'2.1 OPEX TUUA'!$P$8)</f>
        <v>626.30746718509829</v>
      </c>
      <c r="Q210" s="3">
        <f>+IF(F210="Pasajero",'2.2 OPEX LAP 2023'!L211*'2.1 OPEX TUUA'!$Q$7,'2.2 OPEX LAP 2023'!L211*'2.1 OPEX TUUA'!$Q$8)</f>
        <v>622.22732230262125</v>
      </c>
      <c r="R210" s="3">
        <f>+IF(F210="Pasajero",'2.2 OPEX LAP 2023'!M211*'2.1 OPEX TUUA'!$R$7,'2.2 OPEX LAP 2023'!M211*'2.1 OPEX TUUA'!$R$8)</f>
        <v>625.56595050883755</v>
      </c>
      <c r="S210" s="3">
        <f>+IF(F210="Pasajero",'2.2 OPEX LAP 2023'!N211*'2.1 OPEX TUUA'!$S$7,'2.2 OPEX LAP 2023'!N211*'2.1 OPEX TUUA'!$S$8)</f>
        <v>625.96525951120134</v>
      </c>
      <c r="U210" s="1">
        <v>1321.7691828924719</v>
      </c>
      <c r="V210" s="1">
        <v>1550.4419704023924</v>
      </c>
      <c r="W210" s="1">
        <v>1742.9434521851499</v>
      </c>
      <c r="X210" s="1">
        <v>1846.6769874003032</v>
      </c>
      <c r="Y210" s="1">
        <v>1922.4689214252951</v>
      </c>
      <c r="Z210" s="1">
        <v>2006.675225908039</v>
      </c>
      <c r="AA210" s="7">
        <f t="shared" si="21"/>
        <v>-24.511746101157314</v>
      </c>
      <c r="AB210" s="7">
        <f t="shared" si="22"/>
        <v>-28.75240277573721</v>
      </c>
      <c r="AC210" s="7">
        <f t="shared" si="23"/>
        <v>-32.322275266809811</v>
      </c>
      <c r="AD210" s="7">
        <f t="shared" si="24"/>
        <v>-34.245977309707314</v>
      </c>
      <c r="AE210" s="7">
        <f t="shared" si="25"/>
        <v>-35.651512154505781</v>
      </c>
      <c r="AF210" s="7">
        <f t="shared" si="26"/>
        <v>-37.213088549470967</v>
      </c>
    </row>
    <row r="211" spans="2:32" x14ac:dyDescent="0.25">
      <c r="B211" s="17">
        <v>6341100008</v>
      </c>
      <c r="C211" s="193" t="s">
        <v>176</v>
      </c>
      <c r="D211" s="193" t="s">
        <v>52</v>
      </c>
      <c r="E211" s="193" t="s">
        <v>59</v>
      </c>
      <c r="F211" s="163" t="s">
        <v>190</v>
      </c>
      <c r="G211" s="3">
        <f>+IF(F211="Pasajero",'2.2 OPEX LAP 2023'!I212*'2.1 OPEX TUUA'!$G$7,'2.2 OPEX LAP 2023'!I212*'2.1 OPEX TUUA'!$G$8)</f>
        <v>6917.1790738299605</v>
      </c>
      <c r="H211" s="3">
        <f>+IF(F211="Pasajero",'2.2 OPEX LAP 2023'!J212*'2.1 OPEX TUUA'!$H$7,'2.2 OPEX LAP 2023'!J212*'2.1 OPEX TUUA'!$H$8)</f>
        <v>8113.8862152815</v>
      </c>
      <c r="I211" s="3">
        <f>+IF(F211="Pasajero",'2.2 OPEX LAP 2023'!K212*'2.1 OPEX TUUA'!$I$7,'2.2 OPEX LAP 2023'!K212*'2.1 OPEX TUUA'!$I$8)</f>
        <v>9121.2990364482321</v>
      </c>
      <c r="J211" s="3">
        <f>+IF(F211="Pasajero",'2.2 OPEX LAP 2023'!L212*'2.1 OPEX TUUA'!$J$7,'2.2 OPEX LAP 2023'!L212*'2.1 OPEX TUUA'!$J$8)</f>
        <v>9664.1649530785744</v>
      </c>
      <c r="K211" s="3">
        <f>+IF(F211="Pasajero",'2.2 OPEX LAP 2023'!M212*'2.1 OPEX TUUA'!$K$7,'2.2 OPEX LAP 2023'!M212*'2.1 OPEX TUUA'!$K$8)</f>
        <v>10060.804840578074</v>
      </c>
      <c r="L211" s="3">
        <f>+IF(F211="Pasajero",'2.2 OPEX LAP 2023'!N212*'2.1 OPEX TUUA'!$L$7,'2.2 OPEX LAP 2023'!N212*'2.1 OPEX TUUA'!$L$8)</f>
        <v>10501.47942642214</v>
      </c>
      <c r="M211" s="3"/>
      <c r="N211" s="3">
        <f>+IF(F211="Pasajero",'2.2 OPEX LAP 2023'!I212*'2.1 OPEX TUUA'!$N$7,'2.2 OPEX LAP 2023'!I212*'2.1 OPEX TUUA'!$N$8)</f>
        <v>3411.6718602087471</v>
      </c>
      <c r="O211" s="3">
        <f>+IF(F211="Pasajero",'2.2 OPEX LAP 2023'!J212*'2.1 OPEX TUUA'!$O$7,'2.2 OPEX LAP 2023'!J212*'2.1 OPEX TUUA'!$O$8)</f>
        <v>3360.4732888974791</v>
      </c>
      <c r="P211" s="3">
        <f>+IF(F211="Pasajero",'2.2 OPEX LAP 2023'!K212*'2.1 OPEX TUUA'!$P$7,'2.2 OPEX LAP 2023'!K212*'2.1 OPEX TUUA'!$P$8)</f>
        <v>3339.5691425071595</v>
      </c>
      <c r="Q211" s="3">
        <f>+IF(F211="Pasajero",'2.2 OPEX LAP 2023'!L212*'2.1 OPEX TUUA'!$Q$7,'2.2 OPEX LAP 2023'!L212*'2.1 OPEX TUUA'!$Q$8)</f>
        <v>3317.8131733380228</v>
      </c>
      <c r="R211" s="3">
        <f>+IF(F211="Pasajero",'2.2 OPEX LAP 2023'!M212*'2.1 OPEX TUUA'!$R$7,'2.2 OPEX LAP 2023'!M212*'2.1 OPEX TUUA'!$R$8)</f>
        <v>3335.6152598848989</v>
      </c>
      <c r="S211" s="3">
        <f>+IF(F211="Pasajero",'2.2 OPEX LAP 2023'!N212*'2.1 OPEX TUUA'!$S$7,'2.2 OPEX LAP 2023'!N212*'2.1 OPEX TUUA'!$S$8)</f>
        <v>3337.7444377926972</v>
      </c>
      <c r="U211" s="1">
        <v>7047.8795287938847</v>
      </c>
      <c r="V211" s="1">
        <v>8267.1985133359194</v>
      </c>
      <c r="W211" s="1">
        <v>9293.6464516591714</v>
      </c>
      <c r="X211" s="1">
        <v>9846.7698477519771</v>
      </c>
      <c r="Y211" s="1">
        <v>10250.904266360141</v>
      </c>
      <c r="Z211" s="1">
        <v>10699.905421206704</v>
      </c>
      <c r="AA211" s="7">
        <f t="shared" si="21"/>
        <v>-130.70045496392413</v>
      </c>
      <c r="AB211" s="7">
        <f t="shared" si="22"/>
        <v>-153.31229805441944</v>
      </c>
      <c r="AC211" s="7">
        <f t="shared" si="23"/>
        <v>-172.34741521093929</v>
      </c>
      <c r="AD211" s="7">
        <f t="shared" si="24"/>
        <v>-182.60489467340267</v>
      </c>
      <c r="AE211" s="7">
        <f t="shared" si="25"/>
        <v>-190.09942578206756</v>
      </c>
      <c r="AF211" s="7">
        <f t="shared" si="26"/>
        <v>-198.42599478456395</v>
      </c>
    </row>
    <row r="212" spans="2:32" x14ac:dyDescent="0.25">
      <c r="B212" s="17">
        <v>6341100009</v>
      </c>
      <c r="C212" s="193" t="s">
        <v>176</v>
      </c>
      <c r="D212" s="193" t="s">
        <v>52</v>
      </c>
      <c r="E212" s="193" t="s">
        <v>60</v>
      </c>
      <c r="F212" s="163" t="s">
        <v>190</v>
      </c>
      <c r="G212" s="3">
        <f>+IF(F212="Pasajero",'2.2 OPEX LAP 2023'!I213*'2.1 OPEX TUUA'!$G$7,'2.2 OPEX LAP 2023'!I213*'2.1 OPEX TUUA'!$G$8)</f>
        <v>0</v>
      </c>
      <c r="H212" s="3">
        <f>+IF(F212="Pasajero",'2.2 OPEX LAP 2023'!J213*'2.1 OPEX TUUA'!$H$7,'2.2 OPEX LAP 2023'!J213*'2.1 OPEX TUUA'!$H$8)</f>
        <v>0</v>
      </c>
      <c r="I212" s="3">
        <f>+IF(F212="Pasajero",'2.2 OPEX LAP 2023'!K213*'2.1 OPEX TUUA'!$I$7,'2.2 OPEX LAP 2023'!K213*'2.1 OPEX TUUA'!$I$8)</f>
        <v>0</v>
      </c>
      <c r="J212" s="3">
        <f>+IF(F212="Pasajero",'2.2 OPEX LAP 2023'!L213*'2.1 OPEX TUUA'!$J$7,'2.2 OPEX LAP 2023'!L213*'2.1 OPEX TUUA'!$J$8)</f>
        <v>0</v>
      </c>
      <c r="K212" s="3">
        <f>+IF(F212="Pasajero",'2.2 OPEX LAP 2023'!M213*'2.1 OPEX TUUA'!$K$7,'2.2 OPEX LAP 2023'!M213*'2.1 OPEX TUUA'!$K$8)</f>
        <v>0</v>
      </c>
      <c r="L212" s="3">
        <f>+IF(F212="Pasajero",'2.2 OPEX LAP 2023'!N213*'2.1 OPEX TUUA'!$L$7,'2.2 OPEX LAP 2023'!N213*'2.1 OPEX TUUA'!$L$8)</f>
        <v>0</v>
      </c>
      <c r="M212" s="3"/>
      <c r="N212" s="3">
        <f>+IF(F212="Pasajero",'2.2 OPEX LAP 2023'!I213*'2.1 OPEX TUUA'!$N$7,'2.2 OPEX LAP 2023'!I213*'2.1 OPEX TUUA'!$N$8)</f>
        <v>0</v>
      </c>
      <c r="O212" s="3">
        <f>+IF(F212="Pasajero",'2.2 OPEX LAP 2023'!J213*'2.1 OPEX TUUA'!$O$7,'2.2 OPEX LAP 2023'!J213*'2.1 OPEX TUUA'!$O$8)</f>
        <v>0</v>
      </c>
      <c r="P212" s="3">
        <f>+IF(F212="Pasajero",'2.2 OPEX LAP 2023'!K213*'2.1 OPEX TUUA'!$P$7,'2.2 OPEX LAP 2023'!K213*'2.1 OPEX TUUA'!$P$8)</f>
        <v>0</v>
      </c>
      <c r="Q212" s="3">
        <f>+IF(F212="Pasajero",'2.2 OPEX LAP 2023'!L213*'2.1 OPEX TUUA'!$Q$7,'2.2 OPEX LAP 2023'!L213*'2.1 OPEX TUUA'!$Q$8)</f>
        <v>0</v>
      </c>
      <c r="R212" s="3">
        <f>+IF(F212="Pasajero",'2.2 OPEX LAP 2023'!M213*'2.1 OPEX TUUA'!$R$7,'2.2 OPEX LAP 2023'!M213*'2.1 OPEX TUUA'!$R$8)</f>
        <v>0</v>
      </c>
      <c r="S212" s="3">
        <f>+IF(F212="Pasajero",'2.2 OPEX LAP 2023'!N213*'2.1 OPEX TUUA'!$S$7,'2.2 OPEX LAP 2023'!N213*'2.1 OPEX TUUA'!$S$8)</f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7">
        <f t="shared" si="21"/>
        <v>0</v>
      </c>
      <c r="AB212" s="7">
        <f t="shared" si="22"/>
        <v>0</v>
      </c>
      <c r="AC212" s="7">
        <f t="shared" si="23"/>
        <v>0</v>
      </c>
      <c r="AD212" s="7">
        <f t="shared" si="24"/>
        <v>0</v>
      </c>
      <c r="AE212" s="7">
        <f t="shared" si="25"/>
        <v>0</v>
      </c>
      <c r="AF212" s="7">
        <f t="shared" si="26"/>
        <v>0</v>
      </c>
    </row>
    <row r="213" spans="2:32" x14ac:dyDescent="0.25">
      <c r="B213" s="17">
        <v>6341100010</v>
      </c>
      <c r="C213" s="193" t="s">
        <v>176</v>
      </c>
      <c r="D213" s="193" t="s">
        <v>52</v>
      </c>
      <c r="E213" s="193" t="s">
        <v>61</v>
      </c>
      <c r="F213" s="163" t="s">
        <v>190</v>
      </c>
      <c r="G213" s="3">
        <f>+IF(F213="Pasajero",'2.2 OPEX LAP 2023'!I214*'2.1 OPEX TUUA'!$G$7,'2.2 OPEX LAP 2023'!I214*'2.1 OPEX TUUA'!$G$8)</f>
        <v>6523.7108357758962</v>
      </c>
      <c r="H213" s="3">
        <f>+IF(F213="Pasajero",'2.2 OPEX LAP 2023'!J214*'2.1 OPEX TUUA'!$H$7,'2.2 OPEX LAP 2023'!J214*'2.1 OPEX TUUA'!$H$8)</f>
        <v>7652.3459719507337</v>
      </c>
      <c r="I213" s="3">
        <f>+IF(F213="Pasajero",'2.2 OPEX LAP 2023'!K214*'2.1 OPEX TUUA'!$I$7,'2.2 OPEX LAP 2023'!K214*'2.1 OPEX TUUA'!$I$8)</f>
        <v>8602.4543712560735</v>
      </c>
      <c r="J213" s="3">
        <f>+IF(F213="Pasajero",'2.2 OPEX LAP 2023'!L214*'2.1 OPEX TUUA'!$J$7,'2.2 OPEX LAP 2023'!L214*'2.1 OPEX TUUA'!$J$8)</f>
        <v>9114.4405761663202</v>
      </c>
      <c r="K213" s="3">
        <f>+IF(F213="Pasajero",'2.2 OPEX LAP 2023'!M214*'2.1 OPEX TUUA'!$K$7,'2.2 OPEX LAP 2023'!M214*'2.1 OPEX TUUA'!$K$8)</f>
        <v>9488.5184920859829</v>
      </c>
      <c r="L213" s="3">
        <f>+IF(F213="Pasajero",'2.2 OPEX LAP 2023'!N214*'2.1 OPEX TUUA'!$L$7,'2.2 OPEX LAP 2023'!N214*'2.1 OPEX TUUA'!$L$8)</f>
        <v>9904.1262911667491</v>
      </c>
      <c r="M213" s="3"/>
      <c r="N213" s="3">
        <f>+IF(F213="Pasajero",'2.2 OPEX LAP 2023'!I214*'2.1 OPEX TUUA'!$N$7,'2.2 OPEX LAP 2023'!I214*'2.1 OPEX TUUA'!$N$8)</f>
        <v>3217.606548131796</v>
      </c>
      <c r="O213" s="3">
        <f>+IF(F213="Pasajero",'2.2 OPEX LAP 2023'!J214*'2.1 OPEX TUUA'!$O$7,'2.2 OPEX LAP 2023'!J214*'2.1 OPEX TUUA'!$O$8)</f>
        <v>3169.3202928715823</v>
      </c>
      <c r="P213" s="3">
        <f>+IF(F213="Pasajero",'2.2 OPEX LAP 2023'!K214*'2.1 OPEX TUUA'!$P$7,'2.2 OPEX LAP 2023'!K214*'2.1 OPEX TUUA'!$P$8)</f>
        <v>3149.6052320261697</v>
      </c>
      <c r="Q213" s="3">
        <f>+IF(F213="Pasajero",'2.2 OPEX LAP 2023'!L214*'2.1 OPEX TUUA'!$Q$7,'2.2 OPEX LAP 2023'!L214*'2.1 OPEX TUUA'!$Q$8)</f>
        <v>3129.0868024327433</v>
      </c>
      <c r="R213" s="3">
        <f>+IF(F213="Pasajero",'2.2 OPEX LAP 2023'!M214*'2.1 OPEX TUUA'!$R$7,'2.2 OPEX LAP 2023'!M214*'2.1 OPEX TUUA'!$R$8)</f>
        <v>3145.8762571607053</v>
      </c>
      <c r="S213" s="3">
        <f>+IF(F213="Pasajero",'2.2 OPEX LAP 2023'!N214*'2.1 OPEX TUUA'!$S$7,'2.2 OPEX LAP 2023'!N214*'2.1 OPEX TUUA'!$S$8)</f>
        <v>3147.8843215522938</v>
      </c>
      <c r="U213" s="1">
        <v>6646.9766881108262</v>
      </c>
      <c r="V213" s="1">
        <v>7796.9374433294743</v>
      </c>
      <c r="W213" s="1">
        <v>8764.9981897880134</v>
      </c>
      <c r="X213" s="1">
        <v>9286.6584004168926</v>
      </c>
      <c r="Y213" s="1">
        <v>9667.8045378298557</v>
      </c>
      <c r="Z213" s="1">
        <v>10091.265267685816</v>
      </c>
      <c r="AA213" s="7">
        <f t="shared" si="21"/>
        <v>-123.26585233493006</v>
      </c>
      <c r="AB213" s="7">
        <f t="shared" si="22"/>
        <v>-144.59147137874061</v>
      </c>
      <c r="AC213" s="7">
        <f t="shared" si="23"/>
        <v>-162.54381853193991</v>
      </c>
      <c r="AD213" s="7">
        <f t="shared" si="24"/>
        <v>-172.21782425057245</v>
      </c>
      <c r="AE213" s="7">
        <f t="shared" si="25"/>
        <v>-179.28604574387282</v>
      </c>
      <c r="AF213" s="7">
        <f t="shared" si="26"/>
        <v>-187.138976519067</v>
      </c>
    </row>
    <row r="214" spans="2:32" x14ac:dyDescent="0.25">
      <c r="B214" s="17">
        <v>6342000001</v>
      </c>
      <c r="C214" s="193" t="s">
        <v>176</v>
      </c>
      <c r="D214" s="193" t="s">
        <v>52</v>
      </c>
      <c r="E214" s="193" t="s">
        <v>62</v>
      </c>
      <c r="F214" s="163" t="s">
        <v>190</v>
      </c>
      <c r="G214" s="3">
        <f>+IF(F214="Pasajero",'2.2 OPEX LAP 2023'!I215*'2.1 OPEX TUUA'!$G$7,'2.2 OPEX LAP 2023'!I215*'2.1 OPEX TUUA'!$G$8)</f>
        <v>144.72931950159807</v>
      </c>
      <c r="H214" s="3">
        <f>+IF(F214="Pasajero",'2.2 OPEX LAP 2023'!J215*'2.1 OPEX TUUA'!$H$7,'2.2 OPEX LAP 2023'!J215*'2.1 OPEX TUUA'!$H$8)</f>
        <v>169.76822746919044</v>
      </c>
      <c r="I214" s="3">
        <f>+IF(F214="Pasajero",'2.2 OPEX LAP 2023'!K215*'2.1 OPEX TUUA'!$I$7,'2.2 OPEX LAP 2023'!K215*'2.1 OPEX TUUA'!$I$8)</f>
        <v>190.84649803417628</v>
      </c>
      <c r="J214" s="3">
        <f>+IF(F214="Pasajero",'2.2 OPEX LAP 2023'!L215*'2.1 OPEX TUUA'!$J$7,'2.2 OPEX LAP 2023'!L215*'2.1 OPEX TUUA'!$J$8)</f>
        <v>202.20497435175096</v>
      </c>
      <c r="K214" s="3">
        <f>+IF(F214="Pasajero",'2.2 OPEX LAP 2023'!M215*'2.1 OPEX TUUA'!$K$7,'2.2 OPEX LAP 2023'!M215*'2.1 OPEX TUUA'!$K$8)</f>
        <v>210.50393848037632</v>
      </c>
      <c r="L214" s="3">
        <f>+IF(F214="Pasajero",'2.2 OPEX LAP 2023'!N215*'2.1 OPEX TUUA'!$L$7,'2.2 OPEX LAP 2023'!N215*'2.1 OPEX TUUA'!$L$8)</f>
        <v>219.72424812541016</v>
      </c>
      <c r="M214" s="3"/>
      <c r="N214" s="3">
        <f>+IF(F214="Pasajero",'2.2 OPEX LAP 2023'!I215*'2.1 OPEX TUUA'!$N$7,'2.2 OPEX LAP 2023'!I215*'2.1 OPEX TUUA'!$N$8)</f>
        <v>71.382993185597712</v>
      </c>
      <c r="O214" s="3">
        <f>+IF(F214="Pasajero",'2.2 OPEX LAP 2023'!J215*'2.1 OPEX TUUA'!$O$7,'2.2 OPEX LAP 2023'!J215*'2.1 OPEX TUUA'!$O$8)</f>
        <v>70.311756731221664</v>
      </c>
      <c r="P214" s="3">
        <f>+IF(F214="Pasajero",'2.2 OPEX LAP 2023'!K215*'2.1 OPEX TUUA'!$P$7,'2.2 OPEX LAP 2023'!K215*'2.1 OPEX TUUA'!$P$8)</f>
        <v>69.874375705005505</v>
      </c>
      <c r="Q214" s="3">
        <f>+IF(F214="Pasajero",'2.2 OPEX LAP 2023'!L215*'2.1 OPEX TUUA'!$Q$7,'2.2 OPEX LAP 2023'!L215*'2.1 OPEX TUUA'!$Q$8)</f>
        <v>69.41917184526163</v>
      </c>
      <c r="R214" s="3">
        <f>+IF(F214="Pasajero",'2.2 OPEX LAP 2023'!M215*'2.1 OPEX TUUA'!$R$7,'2.2 OPEX LAP 2023'!M215*'2.1 OPEX TUUA'!$R$8)</f>
        <v>69.791647943413508</v>
      </c>
      <c r="S214" s="3">
        <f>+IF(F214="Pasajero",'2.2 OPEX LAP 2023'!N215*'2.1 OPEX TUUA'!$S$7,'2.2 OPEX LAP 2023'!N215*'2.1 OPEX TUUA'!$S$8)</f>
        <v>69.836197096529887</v>
      </c>
      <c r="U214" s="1">
        <v>147.46398744984367</v>
      </c>
      <c r="V214" s="1">
        <v>172.97600687345502</v>
      </c>
      <c r="W214" s="1">
        <v>194.4525524466909</v>
      </c>
      <c r="X214" s="1">
        <v>206.02564775945984</v>
      </c>
      <c r="Y214" s="1">
        <v>214.48142124284723</v>
      </c>
      <c r="Z214" s="1">
        <v>223.87594911364212</v>
      </c>
      <c r="AA214" s="7">
        <f t="shared" si="21"/>
        <v>-2.7346679482456011</v>
      </c>
      <c r="AB214" s="7">
        <f t="shared" si="22"/>
        <v>-3.2077794042645849</v>
      </c>
      <c r="AC214" s="7">
        <f t="shared" si="23"/>
        <v>-3.6060544125146237</v>
      </c>
      <c r="AD214" s="7">
        <f t="shared" si="24"/>
        <v>-3.8206734077088811</v>
      </c>
      <c r="AE214" s="7">
        <f t="shared" si="25"/>
        <v>-3.9774827624709133</v>
      </c>
      <c r="AF214" s="7">
        <f t="shared" si="26"/>
        <v>-4.1517009882319655</v>
      </c>
    </row>
    <row r="215" spans="2:32" x14ac:dyDescent="0.25">
      <c r="B215" s="17">
        <v>6342000002</v>
      </c>
      <c r="C215" s="193" t="s">
        <v>176</v>
      </c>
      <c r="D215" s="193" t="s">
        <v>52</v>
      </c>
      <c r="E215" s="193" t="s">
        <v>63</v>
      </c>
      <c r="F215" s="163" t="s">
        <v>190</v>
      </c>
      <c r="G215" s="3">
        <f>+IF(F215="Pasajero",'2.2 OPEX LAP 2023'!I216*'2.1 OPEX TUUA'!$G$7,'2.2 OPEX LAP 2023'!I216*'2.1 OPEX TUUA'!$G$8)</f>
        <v>1228.1394473694772</v>
      </c>
      <c r="H215" s="3">
        <f>+IF(F215="Pasajero",'2.2 OPEX LAP 2023'!J216*'2.1 OPEX TUUA'!$H$7,'2.2 OPEX LAP 2023'!J216*'2.1 OPEX TUUA'!$H$8)</f>
        <v>1440.6138146915353</v>
      </c>
      <c r="I215" s="3">
        <f>+IF(F215="Pasajero",'2.2 OPEX LAP 2023'!K216*'2.1 OPEX TUUA'!$I$7,'2.2 OPEX LAP 2023'!K216*'2.1 OPEX TUUA'!$I$8)</f>
        <v>1619.4791313553108</v>
      </c>
      <c r="J215" s="3">
        <f>+IF(F215="Pasajero",'2.2 OPEX LAP 2023'!L216*'2.1 OPEX TUUA'!$J$7,'2.2 OPEX LAP 2023'!L216*'2.1 OPEX TUUA'!$J$8)</f>
        <v>1715.8645277329358</v>
      </c>
      <c r="K215" s="3">
        <f>+IF(F215="Pasajero",'2.2 OPEX LAP 2023'!M216*'2.1 OPEX TUUA'!$K$7,'2.2 OPEX LAP 2023'!M216*'2.1 OPEX TUUA'!$K$8)</f>
        <v>1786.2876130743723</v>
      </c>
      <c r="L215" s="3">
        <f>+IF(F215="Pasajero",'2.2 OPEX LAP 2023'!N216*'2.1 OPEX TUUA'!$L$7,'2.2 OPEX LAP 2023'!N216*'2.1 OPEX TUUA'!$L$8)</f>
        <v>1864.5290228386341</v>
      </c>
      <c r="M215" s="3"/>
      <c r="N215" s="3">
        <f>+IF(F215="Pasajero",'2.2 OPEX LAP 2023'!I216*'2.1 OPEX TUUA'!$N$7,'2.2 OPEX LAP 2023'!I216*'2.1 OPEX TUUA'!$N$8)</f>
        <v>605.7395288283044</v>
      </c>
      <c r="O215" s="3">
        <f>+IF(F215="Pasajero",'2.2 OPEX LAP 2023'!J216*'2.1 OPEX TUUA'!$O$7,'2.2 OPEX LAP 2023'!J216*'2.1 OPEX TUUA'!$O$8)</f>
        <v>596.64926466061502</v>
      </c>
      <c r="P215" s="3">
        <f>+IF(F215="Pasajero",'2.2 OPEX LAP 2023'!K216*'2.1 OPEX TUUA'!$P$7,'2.2 OPEX LAP 2023'!K216*'2.1 OPEX TUUA'!$P$8)</f>
        <v>592.93775068627428</v>
      </c>
      <c r="Q215" s="3">
        <f>+IF(F215="Pasajero",'2.2 OPEX LAP 2023'!L216*'2.1 OPEX TUUA'!$Q$7,'2.2 OPEX LAP 2023'!L216*'2.1 OPEX TUUA'!$Q$8)</f>
        <v>589.07499627914035</v>
      </c>
      <c r="R215" s="3">
        <f>+IF(F215="Pasajero",'2.2 OPEX LAP 2023'!M216*'2.1 OPEX TUUA'!$R$7,'2.2 OPEX LAP 2023'!M216*'2.1 OPEX TUUA'!$R$8)</f>
        <v>592.23574208322407</v>
      </c>
      <c r="S215" s="3">
        <f>+IF(F215="Pasajero",'2.2 OPEX LAP 2023'!N216*'2.1 OPEX TUUA'!$S$7,'2.2 OPEX LAP 2023'!N216*'2.1 OPEX TUUA'!$S$8)</f>
        <v>592.61377586710103</v>
      </c>
      <c r="U215" s="1">
        <v>1251.3452054996417</v>
      </c>
      <c r="V215" s="1">
        <v>1467.8342869386481</v>
      </c>
      <c r="W215" s="1">
        <v>1650.0792729756899</v>
      </c>
      <c r="X215" s="1">
        <v>1748.2858763835181</v>
      </c>
      <c r="Y215" s="1">
        <v>1820.0396095505851</v>
      </c>
      <c r="Z215" s="1">
        <v>1899.7593947832368</v>
      </c>
      <c r="AA215" s="7">
        <f t="shared" si="21"/>
        <v>-23.20575813016444</v>
      </c>
      <c r="AB215" s="7">
        <f t="shared" si="22"/>
        <v>-27.220472247112866</v>
      </c>
      <c r="AC215" s="7">
        <f t="shared" si="23"/>
        <v>-30.60014162037919</v>
      </c>
      <c r="AD215" s="7">
        <f t="shared" si="24"/>
        <v>-32.421348650582331</v>
      </c>
      <c r="AE215" s="7">
        <f t="shared" si="25"/>
        <v>-33.751996476212753</v>
      </c>
      <c r="AF215" s="7">
        <f t="shared" si="26"/>
        <v>-35.230371944602666</v>
      </c>
    </row>
    <row r="216" spans="2:32" x14ac:dyDescent="0.25">
      <c r="B216" s="17">
        <v>6343000001</v>
      </c>
      <c r="C216" s="193" t="s">
        <v>176</v>
      </c>
      <c r="D216" s="193" t="s">
        <v>52</v>
      </c>
      <c r="E216" s="193" t="s">
        <v>64</v>
      </c>
      <c r="F216" s="163" t="s">
        <v>190</v>
      </c>
      <c r="G216" s="3">
        <f>+IF(F216="Pasajero",'2.2 OPEX LAP 2023'!I217*'2.1 OPEX TUUA'!$G$7,'2.2 OPEX LAP 2023'!I217*'2.1 OPEX TUUA'!$G$8)</f>
        <v>102099.05184565394</v>
      </c>
      <c r="H216" s="3">
        <f>+IF(F216="Pasajero",'2.2 OPEX LAP 2023'!J217*'2.1 OPEX TUUA'!$H$7,'2.2 OPEX LAP 2023'!J217*'2.1 OPEX TUUA'!$H$8)</f>
        <v>119762.70680890098</v>
      </c>
      <c r="I216" s="3">
        <f>+IF(F216="Pasajero",'2.2 OPEX LAP 2023'!K217*'2.1 OPEX TUUA'!$I$7,'2.2 OPEX LAP 2023'!K217*'2.1 OPEX TUUA'!$I$8)</f>
        <v>134632.33686480304</v>
      </c>
      <c r="J216" s="3">
        <f>+IF(F216="Pasajero",'2.2 OPEX LAP 2023'!L217*'2.1 OPEX TUUA'!$J$7,'2.2 OPEX LAP 2023'!L217*'2.1 OPEX TUUA'!$J$8)</f>
        <v>142645.15462991997</v>
      </c>
      <c r="K216" s="3">
        <f>+IF(F216="Pasajero",'2.2 OPEX LAP 2023'!M217*'2.1 OPEX TUUA'!$K$7,'2.2 OPEX LAP 2023'!M217*'2.1 OPEX TUUA'!$K$8)</f>
        <v>148499.64473428606</v>
      </c>
      <c r="L216" s="3">
        <f>+IF(F216="Pasajero",'2.2 OPEX LAP 2023'!N217*'2.1 OPEX TUUA'!$L$7,'2.2 OPEX LAP 2023'!N217*'2.1 OPEX TUUA'!$L$8)</f>
        <v>155004.09646336987</v>
      </c>
      <c r="M216" s="3"/>
      <c r="N216" s="3">
        <f>+IF(F216="Pasajero",'2.2 OPEX LAP 2023'!I217*'2.1 OPEX TUUA'!$N$7,'2.2 OPEX LAP 2023'!I217*'2.1 OPEX TUUA'!$N$8)</f>
        <v>50357.010917016225</v>
      </c>
      <c r="O216" s="3">
        <f>+IF(F216="Pasajero",'2.2 OPEX LAP 2023'!J217*'2.1 OPEX TUUA'!$O$7,'2.2 OPEX LAP 2023'!J217*'2.1 OPEX TUUA'!$O$8)</f>
        <v>49601.308985500633</v>
      </c>
      <c r="P216" s="3">
        <f>+IF(F216="Pasajero",'2.2 OPEX LAP 2023'!K217*'2.1 OPEX TUUA'!$P$7,'2.2 OPEX LAP 2023'!K217*'2.1 OPEX TUUA'!$P$8)</f>
        <v>49292.759285787193</v>
      </c>
      <c r="Q216" s="3">
        <f>+IF(F216="Pasajero",'2.2 OPEX LAP 2023'!L217*'2.1 OPEX TUUA'!$Q$7,'2.2 OPEX LAP 2023'!L217*'2.1 OPEX TUUA'!$Q$8)</f>
        <v>48971.636498529027</v>
      </c>
      <c r="R216" s="3">
        <f>+IF(F216="Pasajero",'2.2 OPEX LAP 2023'!M217*'2.1 OPEX TUUA'!$R$7,'2.2 OPEX LAP 2023'!M217*'2.1 OPEX TUUA'!$R$8)</f>
        <v>49234.399127327641</v>
      </c>
      <c r="S216" s="3">
        <f>+IF(F216="Pasajero",'2.2 OPEX LAP 2023'!N217*'2.1 OPEX TUUA'!$S$7,'2.2 OPEX LAP 2023'!N217*'2.1 OPEX TUUA'!$S$8)</f>
        <v>49265.826251488616</v>
      </c>
      <c r="U216" s="1">
        <v>104028.21869028553</v>
      </c>
      <c r="V216" s="1">
        <v>122025.62932407123</v>
      </c>
      <c r="W216" s="1">
        <v>137176.22180594318</v>
      </c>
      <c r="X216" s="1">
        <v>145340.44217554177</v>
      </c>
      <c r="Y216" s="1">
        <v>151305.55317204542</v>
      </c>
      <c r="Z216" s="1">
        <v>157932.906851651</v>
      </c>
      <c r="AA216" s="7">
        <f t="shared" si="21"/>
        <v>-1929.1668446315889</v>
      </c>
      <c r="AB216" s="7">
        <f t="shared" si="22"/>
        <v>-2262.9225151702412</v>
      </c>
      <c r="AC216" s="7">
        <f t="shared" si="23"/>
        <v>-2543.8849411401316</v>
      </c>
      <c r="AD216" s="7">
        <f t="shared" si="24"/>
        <v>-2695.2875456218026</v>
      </c>
      <c r="AE216" s="7">
        <f t="shared" si="25"/>
        <v>-2805.9084377593535</v>
      </c>
      <c r="AF216" s="7">
        <f t="shared" si="26"/>
        <v>-2928.8103882811265</v>
      </c>
    </row>
    <row r="217" spans="2:32" x14ac:dyDescent="0.25">
      <c r="B217" s="17">
        <v>6343000002</v>
      </c>
      <c r="C217" s="193" t="s">
        <v>176</v>
      </c>
      <c r="D217" s="193" t="s">
        <v>52</v>
      </c>
      <c r="E217" s="193" t="s">
        <v>65</v>
      </c>
      <c r="F217" s="163" t="s">
        <v>190</v>
      </c>
      <c r="G217" s="3">
        <f>+IF(F217="Pasajero",'2.2 OPEX LAP 2023'!I218*'2.1 OPEX TUUA'!$G$7,'2.2 OPEX LAP 2023'!I218*'2.1 OPEX TUUA'!$G$8)</f>
        <v>3730.1556178063042</v>
      </c>
      <c r="H217" s="3">
        <f>+IF(F217="Pasajero",'2.2 OPEX LAP 2023'!J218*'2.1 OPEX TUUA'!$H$7,'2.2 OPEX LAP 2023'!J218*'2.1 OPEX TUUA'!$H$8)</f>
        <v>4375.4915009617444</v>
      </c>
      <c r="I217" s="3">
        <f>+IF(F217="Pasajero",'2.2 OPEX LAP 2023'!K218*'2.1 OPEX TUUA'!$I$7,'2.2 OPEX LAP 2023'!K218*'2.1 OPEX TUUA'!$I$8)</f>
        <v>4918.7485938050168</v>
      </c>
      <c r="J217" s="3">
        <f>+IF(F217="Pasajero",'2.2 OPEX LAP 2023'!L218*'2.1 OPEX TUUA'!$J$7,'2.2 OPEX LAP 2023'!L218*'2.1 OPEX TUUA'!$J$8)</f>
        <v>5211.4942820430742</v>
      </c>
      <c r="K217" s="3">
        <f>+IF(F217="Pasajero",'2.2 OPEX LAP 2023'!M218*'2.1 OPEX TUUA'!$K$7,'2.2 OPEX LAP 2023'!M218*'2.1 OPEX TUUA'!$K$8)</f>
        <v>5425.3861719031875</v>
      </c>
      <c r="L217" s="3">
        <f>+IF(F217="Pasajero",'2.2 OPEX LAP 2023'!N218*'2.1 OPEX TUUA'!$L$7,'2.2 OPEX LAP 2023'!N218*'2.1 OPEX TUUA'!$L$8)</f>
        <v>5663.0241981080762</v>
      </c>
      <c r="M217" s="3"/>
      <c r="N217" s="3">
        <f>+IF(F217="Pasajero",'2.2 OPEX LAP 2023'!I218*'2.1 OPEX TUUA'!$N$7,'2.2 OPEX LAP 2023'!I218*'2.1 OPEX TUUA'!$N$8)</f>
        <v>1839.776998634657</v>
      </c>
      <c r="O217" s="3">
        <f>+IF(F217="Pasajero",'2.2 OPEX LAP 2023'!J218*'2.1 OPEX TUUA'!$O$7,'2.2 OPEX LAP 2023'!J218*'2.1 OPEX TUUA'!$O$8)</f>
        <v>1812.1676746079136</v>
      </c>
      <c r="P217" s="3">
        <f>+IF(F217="Pasajero",'2.2 OPEX LAP 2023'!K218*'2.1 OPEX TUUA'!$P$7,'2.2 OPEX LAP 2023'!K218*'2.1 OPEX TUUA'!$P$8)</f>
        <v>1800.8949117863892</v>
      </c>
      <c r="Q217" s="3">
        <f>+IF(F217="Pasajero",'2.2 OPEX LAP 2023'!L218*'2.1 OPEX TUUA'!$Q$7,'2.2 OPEX LAP 2023'!L218*'2.1 OPEX TUUA'!$Q$8)</f>
        <v>1789.1627953049606</v>
      </c>
      <c r="R217" s="3">
        <f>+IF(F217="Pasajero",'2.2 OPEX LAP 2023'!M218*'2.1 OPEX TUUA'!$R$7,'2.2 OPEX LAP 2023'!M218*'2.1 OPEX TUUA'!$R$8)</f>
        <v>1798.7627423979502</v>
      </c>
      <c r="S217" s="3">
        <f>+IF(F217="Pasajero",'2.2 OPEX LAP 2023'!N218*'2.1 OPEX TUUA'!$S$7,'2.2 OPEX LAP 2023'!N218*'2.1 OPEX TUUA'!$S$8)</f>
        <v>1799.9109221471388</v>
      </c>
      <c r="U217" s="1">
        <v>3800.6371003774329</v>
      </c>
      <c r="V217" s="1">
        <v>4458.1666382919448</v>
      </c>
      <c r="W217" s="1">
        <v>5011.6886018923769</v>
      </c>
      <c r="X217" s="1">
        <v>5309.9657349915624</v>
      </c>
      <c r="Y217" s="1">
        <v>5527.8991231300097</v>
      </c>
      <c r="Z217" s="1">
        <v>5770.0273320828364</v>
      </c>
      <c r="AA217" s="7">
        <f t="shared" si="21"/>
        <v>-70.481482571128709</v>
      </c>
      <c r="AB217" s="7">
        <f t="shared" si="22"/>
        <v>-82.675137330200414</v>
      </c>
      <c r="AC217" s="7">
        <f t="shared" si="23"/>
        <v>-92.940008087360184</v>
      </c>
      <c r="AD217" s="7">
        <f t="shared" si="24"/>
        <v>-98.47145294848815</v>
      </c>
      <c r="AE217" s="7">
        <f t="shared" si="25"/>
        <v>-102.51295122682222</v>
      </c>
      <c r="AF217" s="7">
        <f t="shared" si="26"/>
        <v>-107.0031339747602</v>
      </c>
    </row>
    <row r="218" spans="2:32" x14ac:dyDescent="0.25">
      <c r="B218" s="17">
        <v>6343100001</v>
      </c>
      <c r="C218" s="193" t="s">
        <v>176</v>
      </c>
      <c r="D218" s="193" t="s">
        <v>52</v>
      </c>
      <c r="E218" s="193" t="s">
        <v>66</v>
      </c>
      <c r="F218" s="163" t="s">
        <v>190</v>
      </c>
      <c r="G218" s="3">
        <f>+IF(F218="Pasajero",'2.2 OPEX LAP 2023'!I219*'2.1 OPEX TUUA'!$G$7,'2.2 OPEX LAP 2023'!I219*'2.1 OPEX TUUA'!$G$8)</f>
        <v>344.8927940138654</v>
      </c>
      <c r="H218" s="3">
        <f>+IF(F218="Pasajero",'2.2 OPEX LAP 2023'!J219*'2.1 OPEX TUUA'!$H$7,'2.2 OPEX LAP 2023'!J219*'2.1 OPEX TUUA'!$H$8)</f>
        <v>404.56100055099074</v>
      </c>
      <c r="I218" s="3">
        <f>+IF(F218="Pasajero",'2.2 OPEX LAP 2023'!K219*'2.1 OPEX TUUA'!$I$7,'2.2 OPEX LAP 2023'!K219*'2.1 OPEX TUUA'!$I$8)</f>
        <v>454.79093083168914</v>
      </c>
      <c r="J218" s="3">
        <f>+IF(F218="Pasajero",'2.2 OPEX LAP 2023'!L219*'2.1 OPEX TUUA'!$J$7,'2.2 OPEX LAP 2023'!L219*'2.1 OPEX TUUA'!$J$8)</f>
        <v>481.85840165514861</v>
      </c>
      <c r="K218" s="3">
        <f>+IF(F218="Pasajero",'2.2 OPEX LAP 2023'!M219*'2.1 OPEX TUUA'!$K$7,'2.2 OPEX LAP 2023'!M219*'2.1 OPEX TUUA'!$K$8)</f>
        <v>501.63499519956065</v>
      </c>
      <c r="L218" s="3">
        <f>+IF(F218="Pasajero",'2.2 OPEX LAP 2023'!N219*'2.1 OPEX TUUA'!$L$7,'2.2 OPEX LAP 2023'!N219*'2.1 OPEX TUUA'!$L$8)</f>
        <v>523.60717309758206</v>
      </c>
      <c r="M218" s="3"/>
      <c r="N218" s="3">
        <f>+IF(F218="Pasajero",'2.2 OPEX LAP 2023'!I219*'2.1 OPEX TUUA'!$N$7,'2.2 OPEX LAP 2023'!I219*'2.1 OPEX TUUA'!$N$8)</f>
        <v>170.10706641636401</v>
      </c>
      <c r="O218" s="3">
        <f>+IF(F218="Pasajero",'2.2 OPEX LAP 2023'!J219*'2.1 OPEX TUUA'!$O$7,'2.2 OPEX LAP 2023'!J219*'2.1 OPEX TUUA'!$O$8)</f>
        <v>167.55428903116263</v>
      </c>
      <c r="P218" s="3">
        <f>+IF(F218="Pasajero",'2.2 OPEX LAP 2023'!K219*'2.1 OPEX TUUA'!$P$7,'2.2 OPEX LAP 2023'!K219*'2.1 OPEX TUUA'!$P$8)</f>
        <v>166.51200150642458</v>
      </c>
      <c r="Q218" s="3">
        <f>+IF(F218="Pasajero",'2.2 OPEX LAP 2023'!L219*'2.1 OPEX TUUA'!$Q$7,'2.2 OPEX LAP 2023'!L219*'2.1 OPEX TUUA'!$Q$8)</f>
        <v>165.42724182142362</v>
      </c>
      <c r="R218" s="3">
        <f>+IF(F218="Pasajero",'2.2 OPEX LAP 2023'!M219*'2.1 OPEX TUUA'!$R$7,'2.2 OPEX LAP 2023'!M219*'2.1 OPEX TUUA'!$R$8)</f>
        <v>166.3148596354047</v>
      </c>
      <c r="S218" s="3">
        <f>+IF(F218="Pasajero",'2.2 OPEX LAP 2023'!N219*'2.1 OPEX TUUA'!$S$7,'2.2 OPEX LAP 2023'!N219*'2.1 OPEX TUUA'!$S$8)</f>
        <v>166.42102113704217</v>
      </c>
      <c r="U218" s="1">
        <v>351.40956112517745</v>
      </c>
      <c r="V218" s="1">
        <v>412.20520149884879</v>
      </c>
      <c r="W218" s="1">
        <v>463.38422889998049</v>
      </c>
      <c r="X218" s="1">
        <v>490.96314097912955</v>
      </c>
      <c r="Y218" s="1">
        <v>511.11341427742713</v>
      </c>
      <c r="Z218" s="1">
        <v>533.50075760880929</v>
      </c>
      <c r="AA218" s="7">
        <f t="shared" si="21"/>
        <v>-6.5167671113120491</v>
      </c>
      <c r="AB218" s="7">
        <f t="shared" si="22"/>
        <v>-7.644200947858053</v>
      </c>
      <c r="AC218" s="7">
        <f t="shared" si="23"/>
        <v>-8.5932980682913467</v>
      </c>
      <c r="AD218" s="7">
        <f t="shared" si="24"/>
        <v>-9.1047393239809367</v>
      </c>
      <c r="AE218" s="7">
        <f t="shared" si="25"/>
        <v>-9.4784190778664765</v>
      </c>
      <c r="AF218" s="7">
        <f t="shared" si="26"/>
        <v>-9.8935845112272318</v>
      </c>
    </row>
    <row r="219" spans="2:32" x14ac:dyDescent="0.25">
      <c r="B219" s="17">
        <v>6343100002</v>
      </c>
      <c r="C219" s="193" t="s">
        <v>176</v>
      </c>
      <c r="D219" s="193" t="s">
        <v>52</v>
      </c>
      <c r="E219" s="193" t="s">
        <v>67</v>
      </c>
      <c r="F219" s="163" t="s">
        <v>190</v>
      </c>
      <c r="G219" s="3">
        <f>+IF(F219="Pasajero",'2.2 OPEX LAP 2023'!I220*'2.1 OPEX TUUA'!$G$7,'2.2 OPEX LAP 2023'!I220*'2.1 OPEX TUUA'!$G$8)</f>
        <v>581.23598480375824</v>
      </c>
      <c r="H219" s="3">
        <f>+IF(F219="Pasajero",'2.2 OPEX LAP 2023'!J220*'2.1 OPEX TUUA'!$H$7,'2.2 OPEX LAP 2023'!J220*'2.1 OPEX TUUA'!$H$8)</f>
        <v>681.79276473661423</v>
      </c>
      <c r="I219" s="3">
        <f>+IF(F219="Pasajero",'2.2 OPEX LAP 2023'!K220*'2.1 OPEX TUUA'!$I$7,'2.2 OPEX LAP 2023'!K220*'2.1 OPEX TUUA'!$I$8)</f>
        <v>766.44354173183342</v>
      </c>
      <c r="J219" s="3">
        <f>+IF(F219="Pasajero",'2.2 OPEX LAP 2023'!L220*'2.1 OPEX TUUA'!$J$7,'2.2 OPEX LAP 2023'!L220*'2.1 OPEX TUUA'!$J$8)</f>
        <v>812.05942102326333</v>
      </c>
      <c r="K219" s="3">
        <f>+IF(F219="Pasajero",'2.2 OPEX LAP 2023'!M220*'2.1 OPEX TUUA'!$K$7,'2.2 OPEX LAP 2023'!M220*'2.1 OPEX TUUA'!$K$8)</f>
        <v>845.38823514858211</v>
      </c>
      <c r="L219" s="3">
        <f>+IF(F219="Pasajero",'2.2 OPEX LAP 2023'!N220*'2.1 OPEX TUUA'!$L$7,'2.2 OPEX LAP 2023'!N220*'2.1 OPEX TUUA'!$L$8)</f>
        <v>882.41719220567416</v>
      </c>
      <c r="M219" s="3"/>
      <c r="N219" s="3">
        <f>+IF(F219="Pasajero",'2.2 OPEX LAP 2023'!I220*'2.1 OPEX TUUA'!$N$7,'2.2 OPEX LAP 2023'!I220*'2.1 OPEX TUUA'!$N$8)</f>
        <v>286.67559887209114</v>
      </c>
      <c r="O219" s="3">
        <f>+IF(F219="Pasajero",'2.2 OPEX LAP 2023'!J220*'2.1 OPEX TUUA'!$O$7,'2.2 OPEX LAP 2023'!J220*'2.1 OPEX TUUA'!$O$8)</f>
        <v>282.3734907874188</v>
      </c>
      <c r="P219" s="3">
        <f>+IF(F219="Pasajero",'2.2 OPEX LAP 2023'!K220*'2.1 OPEX TUUA'!$P$7,'2.2 OPEX LAP 2023'!K220*'2.1 OPEX TUUA'!$P$8)</f>
        <v>280.61695940606023</v>
      </c>
      <c r="Q219" s="3">
        <f>+IF(F219="Pasajero",'2.2 OPEX LAP 2023'!L220*'2.1 OPEX TUUA'!$Q$7,'2.2 OPEX LAP 2023'!L220*'2.1 OPEX TUUA'!$Q$8)</f>
        <v>278.78885115117566</v>
      </c>
      <c r="R219" s="3">
        <f>+IF(F219="Pasajero",'2.2 OPEX LAP 2023'!M220*'2.1 OPEX TUUA'!$R$7,'2.2 OPEX LAP 2023'!M220*'2.1 OPEX TUUA'!$R$8)</f>
        <v>280.28472297915567</v>
      </c>
      <c r="S219" s="3">
        <f>+IF(F219="Pasajero",'2.2 OPEX LAP 2023'!N220*'2.1 OPEX TUUA'!$S$7,'2.2 OPEX LAP 2023'!N220*'2.1 OPEX TUUA'!$S$8)</f>
        <v>280.46363331310147</v>
      </c>
      <c r="U219" s="1">
        <v>592.21846868113346</v>
      </c>
      <c r="V219" s="1">
        <v>694.67527415137295</v>
      </c>
      <c r="W219" s="1">
        <v>780.9255319390129</v>
      </c>
      <c r="X219" s="1">
        <v>827.403325619724</v>
      </c>
      <c r="Y219" s="1">
        <v>861.3618894049971</v>
      </c>
      <c r="Z219" s="1">
        <v>899.09051051336576</v>
      </c>
      <c r="AA219" s="7">
        <f t="shared" si="21"/>
        <v>-10.982483877375216</v>
      </c>
      <c r="AB219" s="7">
        <f t="shared" si="22"/>
        <v>-12.882509414758715</v>
      </c>
      <c r="AC219" s="7">
        <f t="shared" si="23"/>
        <v>-14.481990207179479</v>
      </c>
      <c r="AD219" s="7">
        <f t="shared" si="24"/>
        <v>-15.343904596460675</v>
      </c>
      <c r="AE219" s="7">
        <f t="shared" si="25"/>
        <v>-15.973654256414989</v>
      </c>
      <c r="AF219" s="7">
        <f t="shared" si="26"/>
        <v>-16.673318307691602</v>
      </c>
    </row>
    <row r="220" spans="2:32" x14ac:dyDescent="0.25">
      <c r="B220" s="17">
        <v>6343100003</v>
      </c>
      <c r="C220" s="193" t="s">
        <v>176</v>
      </c>
      <c r="D220" s="193" t="s">
        <v>52</v>
      </c>
      <c r="E220" s="193" t="s">
        <v>68</v>
      </c>
      <c r="F220" s="163" t="s">
        <v>190</v>
      </c>
      <c r="G220" s="3">
        <f>+IF(F220="Pasajero",'2.2 OPEX LAP 2023'!I221*'2.1 OPEX TUUA'!$G$7,'2.2 OPEX LAP 2023'!I221*'2.1 OPEX TUUA'!$G$8)</f>
        <v>1309.6072398613594</v>
      </c>
      <c r="H220" s="3">
        <f>+IF(F220="Pasajero",'2.2 OPEX LAP 2023'!J221*'2.1 OPEX TUUA'!$H$7,'2.2 OPEX LAP 2023'!J221*'2.1 OPEX TUUA'!$H$8)</f>
        <v>1536.1759494048263</v>
      </c>
      <c r="I220" s="3">
        <f>+IF(F220="Pasajero",'2.2 OPEX LAP 2023'!K221*'2.1 OPEX TUUA'!$I$7,'2.2 OPEX LAP 2023'!K221*'2.1 OPEX TUUA'!$I$8)</f>
        <v>1726.9061748402971</v>
      </c>
      <c r="J220" s="3">
        <f>+IF(F220="Pasajero",'2.2 OPEX LAP 2023'!L221*'2.1 OPEX TUUA'!$J$7,'2.2 OPEX LAP 2023'!L221*'2.1 OPEX TUUA'!$J$8)</f>
        <v>1829.6852307393704</v>
      </c>
      <c r="K220" s="3">
        <f>+IF(F220="Pasajero",'2.2 OPEX LAP 2023'!M221*'2.1 OPEX TUUA'!$K$7,'2.2 OPEX LAP 2023'!M221*'2.1 OPEX TUUA'!$K$8)</f>
        <v>1904.7797834093114</v>
      </c>
      <c r="L220" s="3">
        <f>+IF(F220="Pasajero",'2.2 OPEX LAP 2023'!N221*'2.1 OPEX TUUA'!$L$7,'2.2 OPEX LAP 2023'!N221*'2.1 OPEX TUUA'!$L$8)</f>
        <v>1988.2112837195612</v>
      </c>
      <c r="M220" s="3"/>
      <c r="N220" s="3">
        <f>+IF(F220="Pasajero",'2.2 OPEX LAP 2023'!I221*'2.1 OPEX TUUA'!$N$7,'2.2 OPEX LAP 2023'!I221*'2.1 OPEX TUUA'!$N$8)</f>
        <v>645.92084728071029</v>
      </c>
      <c r="O220" s="3">
        <f>+IF(F220="Pasajero",'2.2 OPEX LAP 2023'!J221*'2.1 OPEX TUUA'!$O$7,'2.2 OPEX LAP 2023'!J221*'2.1 OPEX TUUA'!$O$8)</f>
        <v>636.22758664018875</v>
      </c>
      <c r="P220" s="3">
        <f>+IF(F220="Pasajero",'2.2 OPEX LAP 2023'!K221*'2.1 OPEX TUUA'!$P$7,'2.2 OPEX LAP 2023'!K221*'2.1 OPEX TUUA'!$P$8)</f>
        <v>632.26987191809098</v>
      </c>
      <c r="Q220" s="3">
        <f>+IF(F220="Pasajero",'2.2 OPEX LAP 2023'!L221*'2.1 OPEX TUUA'!$Q$7,'2.2 OPEX LAP 2023'!L221*'2.1 OPEX TUUA'!$Q$8)</f>
        <v>628.15088433225617</v>
      </c>
      <c r="R220" s="3">
        <f>+IF(F220="Pasajero",'2.2 OPEX LAP 2023'!M221*'2.1 OPEX TUUA'!$R$7,'2.2 OPEX LAP 2023'!M221*'2.1 OPEX TUUA'!$R$8)</f>
        <v>631.52129605321784</v>
      </c>
      <c r="S220" s="3">
        <f>+IF(F220="Pasajero",'2.2 OPEX LAP 2023'!N221*'2.1 OPEX TUUA'!$S$7,'2.2 OPEX LAP 2023'!N221*'2.1 OPEX TUUA'!$S$8)</f>
        <v>631.92440645028046</v>
      </c>
      <c r="U220" s="1">
        <v>1334.3523361277707</v>
      </c>
      <c r="V220" s="1">
        <v>1565.2020731105815</v>
      </c>
      <c r="W220" s="1">
        <v>1759.5361559818241</v>
      </c>
      <c r="X220" s="1">
        <v>1864.2572274371514</v>
      </c>
      <c r="Y220" s="1">
        <v>1940.7706955485633</v>
      </c>
      <c r="Z220" s="1">
        <v>2025.7786383554555</v>
      </c>
      <c r="AA220" s="7">
        <f t="shared" si="21"/>
        <v>-24.745096266411338</v>
      </c>
      <c r="AB220" s="7">
        <f t="shared" si="22"/>
        <v>-29.026123705755253</v>
      </c>
      <c r="AC220" s="7">
        <f t="shared" si="23"/>
        <v>-32.629981141526969</v>
      </c>
      <c r="AD220" s="7">
        <f t="shared" si="24"/>
        <v>-34.57199669778106</v>
      </c>
      <c r="AE220" s="7">
        <f t="shared" si="25"/>
        <v>-35.990912139251805</v>
      </c>
      <c r="AF220" s="7">
        <f t="shared" si="26"/>
        <v>-37.56735463589439</v>
      </c>
    </row>
    <row r="221" spans="2:32" x14ac:dyDescent="0.25">
      <c r="B221" s="17">
        <v>6343100004</v>
      </c>
      <c r="C221" s="193" t="s">
        <v>176</v>
      </c>
      <c r="D221" s="193" t="s">
        <v>52</v>
      </c>
      <c r="E221" s="193" t="s">
        <v>69</v>
      </c>
      <c r="F221" s="163" t="s">
        <v>190</v>
      </c>
      <c r="G221" s="3">
        <f>+IF(F221="Pasajero",'2.2 OPEX LAP 2023'!I222*'2.1 OPEX TUUA'!$G$7,'2.2 OPEX LAP 2023'!I222*'2.1 OPEX TUUA'!$G$8)</f>
        <v>0</v>
      </c>
      <c r="H221" s="3">
        <f>+IF(F221="Pasajero",'2.2 OPEX LAP 2023'!J222*'2.1 OPEX TUUA'!$H$7,'2.2 OPEX LAP 2023'!J222*'2.1 OPEX TUUA'!$H$8)</f>
        <v>0</v>
      </c>
      <c r="I221" s="3">
        <f>+IF(F221="Pasajero",'2.2 OPEX LAP 2023'!K222*'2.1 OPEX TUUA'!$I$7,'2.2 OPEX LAP 2023'!K222*'2.1 OPEX TUUA'!$I$8)</f>
        <v>0</v>
      </c>
      <c r="J221" s="3">
        <f>+IF(F221="Pasajero",'2.2 OPEX LAP 2023'!L222*'2.1 OPEX TUUA'!$J$7,'2.2 OPEX LAP 2023'!L222*'2.1 OPEX TUUA'!$J$8)</f>
        <v>0</v>
      </c>
      <c r="K221" s="3">
        <f>+IF(F221="Pasajero",'2.2 OPEX LAP 2023'!M222*'2.1 OPEX TUUA'!$K$7,'2.2 OPEX LAP 2023'!M222*'2.1 OPEX TUUA'!$K$8)</f>
        <v>0</v>
      </c>
      <c r="L221" s="3">
        <f>+IF(F221="Pasajero",'2.2 OPEX LAP 2023'!N222*'2.1 OPEX TUUA'!$L$7,'2.2 OPEX LAP 2023'!N222*'2.1 OPEX TUUA'!$L$8)</f>
        <v>0</v>
      </c>
      <c r="M221" s="3"/>
      <c r="N221" s="3">
        <f>+IF(F221="Pasajero",'2.2 OPEX LAP 2023'!I222*'2.1 OPEX TUUA'!$N$7,'2.2 OPEX LAP 2023'!I222*'2.1 OPEX TUUA'!$N$8)</f>
        <v>0</v>
      </c>
      <c r="O221" s="3">
        <f>+IF(F221="Pasajero",'2.2 OPEX LAP 2023'!J222*'2.1 OPEX TUUA'!$O$7,'2.2 OPEX LAP 2023'!J222*'2.1 OPEX TUUA'!$O$8)</f>
        <v>0</v>
      </c>
      <c r="P221" s="3">
        <f>+IF(F221="Pasajero",'2.2 OPEX LAP 2023'!K222*'2.1 OPEX TUUA'!$P$7,'2.2 OPEX LAP 2023'!K222*'2.1 OPEX TUUA'!$P$8)</f>
        <v>0</v>
      </c>
      <c r="Q221" s="3">
        <f>+IF(F221="Pasajero",'2.2 OPEX LAP 2023'!L222*'2.1 OPEX TUUA'!$Q$7,'2.2 OPEX LAP 2023'!L222*'2.1 OPEX TUUA'!$Q$8)</f>
        <v>0</v>
      </c>
      <c r="R221" s="3">
        <f>+IF(F221="Pasajero",'2.2 OPEX LAP 2023'!M222*'2.1 OPEX TUUA'!$R$7,'2.2 OPEX LAP 2023'!M222*'2.1 OPEX TUUA'!$R$8)</f>
        <v>0</v>
      </c>
      <c r="S221" s="3">
        <f>+IF(F221="Pasajero",'2.2 OPEX LAP 2023'!N222*'2.1 OPEX TUUA'!$S$7,'2.2 OPEX LAP 2023'!N222*'2.1 OPEX TUUA'!$S$8)</f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7">
        <f t="shared" si="21"/>
        <v>0</v>
      </c>
      <c r="AB221" s="7">
        <f t="shared" si="22"/>
        <v>0</v>
      </c>
      <c r="AC221" s="7">
        <f t="shared" si="23"/>
        <v>0</v>
      </c>
      <c r="AD221" s="7">
        <f t="shared" si="24"/>
        <v>0</v>
      </c>
      <c r="AE221" s="7">
        <f t="shared" si="25"/>
        <v>0</v>
      </c>
      <c r="AF221" s="7">
        <f t="shared" si="26"/>
        <v>0</v>
      </c>
    </row>
    <row r="222" spans="2:32" x14ac:dyDescent="0.25">
      <c r="B222" s="17">
        <v>6343100005</v>
      </c>
      <c r="C222" s="193" t="s">
        <v>176</v>
      </c>
      <c r="D222" s="193" t="s">
        <v>52</v>
      </c>
      <c r="E222" s="193" t="s">
        <v>70</v>
      </c>
      <c r="F222" s="163" t="s">
        <v>190</v>
      </c>
      <c r="G222" s="3">
        <f>+IF(F222="Pasajero",'2.2 OPEX LAP 2023'!I223*'2.1 OPEX TUUA'!$G$7,'2.2 OPEX LAP 2023'!I223*'2.1 OPEX TUUA'!$G$8)</f>
        <v>1652.8353892078546</v>
      </c>
      <c r="H222" s="3">
        <f>+IF(F222="Pasajero",'2.2 OPEX LAP 2023'!J223*'2.1 OPEX TUUA'!$H$7,'2.2 OPEX LAP 2023'!J223*'2.1 OPEX TUUA'!$H$8)</f>
        <v>1938.7843132992041</v>
      </c>
      <c r="I222" s="3">
        <f>+IF(F222="Pasajero",'2.2 OPEX LAP 2023'!K223*'2.1 OPEX TUUA'!$I$7,'2.2 OPEX LAP 2023'!K223*'2.1 OPEX TUUA'!$I$8)</f>
        <v>2179.5020314027715</v>
      </c>
      <c r="J222" s="3">
        <f>+IF(F222="Pasajero",'2.2 OPEX LAP 2023'!L223*'2.1 OPEX TUUA'!$J$7,'2.2 OPEX LAP 2023'!L223*'2.1 OPEX TUUA'!$J$8)</f>
        <v>2309.2179154393816</v>
      </c>
      <c r="K222" s="3">
        <f>+IF(F222="Pasajero",'2.2 OPEX LAP 2023'!M223*'2.1 OPEX TUUA'!$K$7,'2.2 OPEX LAP 2023'!M223*'2.1 OPEX TUUA'!$K$8)</f>
        <v>2403.9936088012719</v>
      </c>
      <c r="L222" s="3">
        <f>+IF(F222="Pasajero",'2.2 OPEX LAP 2023'!N223*'2.1 OPEX TUUA'!$L$7,'2.2 OPEX LAP 2023'!N223*'2.1 OPEX TUUA'!$L$8)</f>
        <v>2509.2912370444428</v>
      </c>
      <c r="M222" s="3"/>
      <c r="N222" s="3">
        <f>+IF(F222="Pasajero",'2.2 OPEX LAP 2023'!I223*'2.1 OPEX TUUA'!$N$7,'2.2 OPEX LAP 2023'!I223*'2.1 OPEX TUUA'!$N$8)</f>
        <v>815.206882275407</v>
      </c>
      <c r="O222" s="3">
        <f>+IF(F222="Pasajero",'2.2 OPEX LAP 2023'!J223*'2.1 OPEX TUUA'!$O$7,'2.2 OPEX LAP 2023'!J223*'2.1 OPEX TUUA'!$O$8)</f>
        <v>802.97316537478457</v>
      </c>
      <c r="P222" s="3">
        <f>+IF(F222="Pasajero",'2.2 OPEX LAP 2023'!K223*'2.1 OPEX TUUA'!$P$7,'2.2 OPEX LAP 2023'!K223*'2.1 OPEX TUUA'!$P$8)</f>
        <v>797.9781937879103</v>
      </c>
      <c r="Q222" s="3">
        <f>+IF(F222="Pasajero",'2.2 OPEX LAP 2023'!L223*'2.1 OPEX TUUA'!$Q$7,'2.2 OPEX LAP 2023'!L223*'2.1 OPEX TUUA'!$Q$8)</f>
        <v>792.77968217133116</v>
      </c>
      <c r="R222" s="3">
        <f>+IF(F222="Pasajero",'2.2 OPEX LAP 2023'!M223*'2.1 OPEX TUUA'!$R$7,'2.2 OPEX LAP 2023'!M223*'2.1 OPEX TUUA'!$R$8)</f>
        <v>797.0334275684595</v>
      </c>
      <c r="S222" s="3">
        <f>+IF(F222="Pasajero",'2.2 OPEX LAP 2023'!N223*'2.1 OPEX TUUA'!$S$7,'2.2 OPEX LAP 2023'!N223*'2.1 OPEX TUUA'!$S$8)</f>
        <v>797.54218707263988</v>
      </c>
      <c r="U222" s="1">
        <v>1684.0657990388277</v>
      </c>
      <c r="V222" s="1">
        <v>1975.417742782593</v>
      </c>
      <c r="W222" s="1">
        <v>2220.6838345711858</v>
      </c>
      <c r="X222" s="1">
        <v>2352.8507069194579</v>
      </c>
      <c r="Y222" s="1">
        <v>2449.4171918901393</v>
      </c>
      <c r="Z222" s="1">
        <v>2556.7044242437596</v>
      </c>
      <c r="AA222" s="7">
        <f t="shared" si="21"/>
        <v>-31.230409830973031</v>
      </c>
      <c r="AB222" s="7">
        <f t="shared" si="22"/>
        <v>-36.633429483388909</v>
      </c>
      <c r="AC222" s="7">
        <f t="shared" si="23"/>
        <v>-41.181803168414262</v>
      </c>
      <c r="AD222" s="7">
        <f t="shared" si="24"/>
        <v>-43.632791480076321</v>
      </c>
      <c r="AE222" s="7">
        <f t="shared" si="25"/>
        <v>-45.423583088867417</v>
      </c>
      <c r="AF222" s="7">
        <f t="shared" si="26"/>
        <v>-47.413187199316781</v>
      </c>
    </row>
    <row r="223" spans="2:32" x14ac:dyDescent="0.25">
      <c r="B223" s="17">
        <v>6343100006</v>
      </c>
      <c r="C223" s="193" t="s">
        <v>176</v>
      </c>
      <c r="D223" s="193" t="s">
        <v>52</v>
      </c>
      <c r="E223" s="193" t="s">
        <v>71</v>
      </c>
      <c r="F223" s="163" t="s">
        <v>190</v>
      </c>
      <c r="G223" s="3">
        <f>+IF(F223="Pasajero",'2.2 OPEX LAP 2023'!I224*'2.1 OPEX TUUA'!$G$7,'2.2 OPEX LAP 2023'!I224*'2.1 OPEX TUUA'!$G$8)</f>
        <v>2388.2389748801756</v>
      </c>
      <c r="H223" s="3">
        <f>+IF(F223="Pasajero",'2.2 OPEX LAP 2023'!J224*'2.1 OPEX TUUA'!$H$7,'2.2 OPEX LAP 2023'!J224*'2.1 OPEX TUUA'!$H$8)</f>
        <v>2801.416457525504</v>
      </c>
      <c r="I223" s="3">
        <f>+IF(F223="Pasajero",'2.2 OPEX LAP 2023'!K224*'2.1 OPEX TUUA'!$I$7,'2.2 OPEX LAP 2023'!K224*'2.1 OPEX TUUA'!$I$8)</f>
        <v>3149.2378074753528</v>
      </c>
      <c r="J223" s="3">
        <f>+IF(F223="Pasajero",'2.2 OPEX LAP 2023'!L224*'2.1 OPEX TUUA'!$J$7,'2.2 OPEX LAP 2023'!L224*'2.1 OPEX TUUA'!$J$8)</f>
        <v>3336.6687712241032</v>
      </c>
      <c r="K223" s="3">
        <f>+IF(F223="Pasajero",'2.2 OPEX LAP 2023'!M224*'2.1 OPEX TUUA'!$K$7,'2.2 OPEX LAP 2023'!M224*'2.1 OPEX TUUA'!$K$8)</f>
        <v>3473.6134459546215</v>
      </c>
      <c r="L223" s="3">
        <f>+IF(F223="Pasajero",'2.2 OPEX LAP 2023'!N224*'2.1 OPEX TUUA'!$L$7,'2.2 OPEX LAP 2023'!N224*'2.1 OPEX TUUA'!$L$8)</f>
        <v>3625.7616280269499</v>
      </c>
      <c r="M223" s="3"/>
      <c r="N223" s="3">
        <f>+IF(F223="Pasajero",'2.2 OPEX LAP 2023'!I224*'2.1 OPEX TUUA'!$N$7,'2.2 OPEX LAP 2023'!I224*'2.1 OPEX TUUA'!$N$8)</f>
        <v>1177.9205972675634</v>
      </c>
      <c r="O223" s="3">
        <f>+IF(F223="Pasajero",'2.2 OPEX LAP 2023'!J224*'2.1 OPEX TUUA'!$O$7,'2.2 OPEX LAP 2023'!J224*'2.1 OPEX TUUA'!$O$8)</f>
        <v>1160.2436769278315</v>
      </c>
      <c r="P223" s="3">
        <f>+IF(F223="Pasajero",'2.2 OPEX LAP 2023'!K224*'2.1 OPEX TUUA'!$P$7,'2.2 OPEX LAP 2023'!K224*'2.1 OPEX TUUA'!$P$8)</f>
        <v>1153.0262698586926</v>
      </c>
      <c r="Q223" s="3">
        <f>+IF(F223="Pasajero",'2.2 OPEX LAP 2023'!L224*'2.1 OPEX TUUA'!$Q$7,'2.2 OPEX LAP 2023'!L224*'2.1 OPEX TUUA'!$Q$8)</f>
        <v>1145.5147607664096</v>
      </c>
      <c r="R223" s="3">
        <f>+IF(F223="Pasajero",'2.2 OPEX LAP 2023'!M224*'2.1 OPEX TUUA'!$R$7,'2.2 OPEX LAP 2023'!M224*'2.1 OPEX TUUA'!$R$8)</f>
        <v>1151.6611444976463</v>
      </c>
      <c r="S223" s="3">
        <f>+IF(F223="Pasajero",'2.2 OPEX LAP 2023'!N224*'2.1 OPEX TUUA'!$S$7,'2.2 OPEX LAP 2023'!N224*'2.1 OPEX TUUA'!$S$8)</f>
        <v>1152.3962686876641</v>
      </c>
      <c r="U223" s="1">
        <v>2433.364873349446</v>
      </c>
      <c r="V223" s="1">
        <v>2854.3493658157145</v>
      </c>
      <c r="W223" s="1">
        <v>3208.7428180921611</v>
      </c>
      <c r="X223" s="1">
        <v>3399.7152995571391</v>
      </c>
      <c r="Y223" s="1">
        <v>3539.2475509718993</v>
      </c>
      <c r="Z223" s="1">
        <v>3694.270580782957</v>
      </c>
      <c r="AA223" s="7">
        <f t="shared" si="21"/>
        <v>-45.125898469270396</v>
      </c>
      <c r="AB223" s="7">
        <f t="shared" si="22"/>
        <v>-52.932908290210435</v>
      </c>
      <c r="AC223" s="7">
        <f t="shared" si="23"/>
        <v>-59.505010616808249</v>
      </c>
      <c r="AD223" s="7">
        <f t="shared" si="24"/>
        <v>-63.046528333035894</v>
      </c>
      <c r="AE223" s="7">
        <f t="shared" si="25"/>
        <v>-65.634105017277761</v>
      </c>
      <c r="AF223" s="7">
        <f t="shared" si="26"/>
        <v>-68.508952756007147</v>
      </c>
    </row>
    <row r="224" spans="2:32" x14ac:dyDescent="0.25">
      <c r="B224" s="17">
        <v>6343100007</v>
      </c>
      <c r="C224" s="193" t="s">
        <v>176</v>
      </c>
      <c r="D224" s="193" t="s">
        <v>52</v>
      </c>
      <c r="E224" s="193" t="s">
        <v>72</v>
      </c>
      <c r="F224" s="163" t="s">
        <v>190</v>
      </c>
      <c r="G224" s="3">
        <f>+IF(F224="Pasajero",'2.2 OPEX LAP 2023'!I225*'2.1 OPEX TUUA'!$G$7,'2.2 OPEX LAP 2023'!I225*'2.1 OPEX TUUA'!$G$8)</f>
        <v>0</v>
      </c>
      <c r="H224" s="3">
        <f>+IF(F224="Pasajero",'2.2 OPEX LAP 2023'!J225*'2.1 OPEX TUUA'!$H$7,'2.2 OPEX LAP 2023'!J225*'2.1 OPEX TUUA'!$H$8)</f>
        <v>0</v>
      </c>
      <c r="I224" s="3">
        <f>+IF(F224="Pasajero",'2.2 OPEX LAP 2023'!K225*'2.1 OPEX TUUA'!$I$7,'2.2 OPEX LAP 2023'!K225*'2.1 OPEX TUUA'!$I$8)</f>
        <v>0</v>
      </c>
      <c r="J224" s="3">
        <f>+IF(F224="Pasajero",'2.2 OPEX LAP 2023'!L225*'2.1 OPEX TUUA'!$J$7,'2.2 OPEX LAP 2023'!L225*'2.1 OPEX TUUA'!$J$8)</f>
        <v>0</v>
      </c>
      <c r="K224" s="3">
        <f>+IF(F224="Pasajero",'2.2 OPEX LAP 2023'!M225*'2.1 OPEX TUUA'!$K$7,'2.2 OPEX LAP 2023'!M225*'2.1 OPEX TUUA'!$K$8)</f>
        <v>0</v>
      </c>
      <c r="L224" s="3">
        <f>+IF(F224="Pasajero",'2.2 OPEX LAP 2023'!N225*'2.1 OPEX TUUA'!$L$7,'2.2 OPEX LAP 2023'!N225*'2.1 OPEX TUUA'!$L$8)</f>
        <v>0</v>
      </c>
      <c r="M224" s="3"/>
      <c r="N224" s="3">
        <f>+IF(F224="Pasajero",'2.2 OPEX LAP 2023'!I225*'2.1 OPEX TUUA'!$N$7,'2.2 OPEX LAP 2023'!I225*'2.1 OPEX TUUA'!$N$8)</f>
        <v>0</v>
      </c>
      <c r="O224" s="3">
        <f>+IF(F224="Pasajero",'2.2 OPEX LAP 2023'!J225*'2.1 OPEX TUUA'!$O$7,'2.2 OPEX LAP 2023'!J225*'2.1 OPEX TUUA'!$O$8)</f>
        <v>0</v>
      </c>
      <c r="P224" s="3">
        <f>+IF(F224="Pasajero",'2.2 OPEX LAP 2023'!K225*'2.1 OPEX TUUA'!$P$7,'2.2 OPEX LAP 2023'!K225*'2.1 OPEX TUUA'!$P$8)</f>
        <v>0</v>
      </c>
      <c r="Q224" s="3">
        <f>+IF(F224="Pasajero",'2.2 OPEX LAP 2023'!L225*'2.1 OPEX TUUA'!$Q$7,'2.2 OPEX LAP 2023'!L225*'2.1 OPEX TUUA'!$Q$8)</f>
        <v>0</v>
      </c>
      <c r="R224" s="3">
        <f>+IF(F224="Pasajero",'2.2 OPEX LAP 2023'!M225*'2.1 OPEX TUUA'!$R$7,'2.2 OPEX LAP 2023'!M225*'2.1 OPEX TUUA'!$R$8)</f>
        <v>0</v>
      </c>
      <c r="S224" s="3">
        <f>+IF(F224="Pasajero",'2.2 OPEX LAP 2023'!N225*'2.1 OPEX TUUA'!$S$7,'2.2 OPEX LAP 2023'!N225*'2.1 OPEX TUUA'!$S$8)</f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7">
        <f t="shared" si="21"/>
        <v>0</v>
      </c>
      <c r="AB224" s="7">
        <f t="shared" si="22"/>
        <v>0</v>
      </c>
      <c r="AC224" s="7">
        <f t="shared" si="23"/>
        <v>0</v>
      </c>
      <c r="AD224" s="7">
        <f t="shared" si="24"/>
        <v>0</v>
      </c>
      <c r="AE224" s="7">
        <f t="shared" si="25"/>
        <v>0</v>
      </c>
      <c r="AF224" s="7">
        <f t="shared" si="26"/>
        <v>0</v>
      </c>
    </row>
    <row r="225" spans="2:32" x14ac:dyDescent="0.25">
      <c r="B225" s="17">
        <v>6343100008</v>
      </c>
      <c r="C225" s="193" t="s">
        <v>176</v>
      </c>
      <c r="D225" s="193" t="s">
        <v>52</v>
      </c>
      <c r="E225" s="193" t="s">
        <v>73</v>
      </c>
      <c r="F225" s="163" t="s">
        <v>190</v>
      </c>
      <c r="G225" s="3">
        <f>+IF(F225="Pasajero",'2.2 OPEX LAP 2023'!I226*'2.1 OPEX TUUA'!$G$7,'2.2 OPEX LAP 2023'!I226*'2.1 OPEX TUUA'!$G$8)</f>
        <v>0</v>
      </c>
      <c r="H225" s="3">
        <f>+IF(F225="Pasajero",'2.2 OPEX LAP 2023'!J226*'2.1 OPEX TUUA'!$H$7,'2.2 OPEX LAP 2023'!J226*'2.1 OPEX TUUA'!$H$8)</f>
        <v>0</v>
      </c>
      <c r="I225" s="3">
        <f>+IF(F225="Pasajero",'2.2 OPEX LAP 2023'!K226*'2.1 OPEX TUUA'!$I$7,'2.2 OPEX LAP 2023'!K226*'2.1 OPEX TUUA'!$I$8)</f>
        <v>0</v>
      </c>
      <c r="J225" s="3">
        <f>+IF(F225="Pasajero",'2.2 OPEX LAP 2023'!L226*'2.1 OPEX TUUA'!$J$7,'2.2 OPEX LAP 2023'!L226*'2.1 OPEX TUUA'!$J$8)</f>
        <v>0</v>
      </c>
      <c r="K225" s="3">
        <f>+IF(F225="Pasajero",'2.2 OPEX LAP 2023'!M226*'2.1 OPEX TUUA'!$K$7,'2.2 OPEX LAP 2023'!M226*'2.1 OPEX TUUA'!$K$8)</f>
        <v>0</v>
      </c>
      <c r="L225" s="3">
        <f>+IF(F225="Pasajero",'2.2 OPEX LAP 2023'!N226*'2.1 OPEX TUUA'!$L$7,'2.2 OPEX LAP 2023'!N226*'2.1 OPEX TUUA'!$L$8)</f>
        <v>0</v>
      </c>
      <c r="M225" s="3"/>
      <c r="N225" s="3">
        <f>+IF(F225="Pasajero",'2.2 OPEX LAP 2023'!I226*'2.1 OPEX TUUA'!$N$7,'2.2 OPEX LAP 2023'!I226*'2.1 OPEX TUUA'!$N$8)</f>
        <v>0</v>
      </c>
      <c r="O225" s="3">
        <f>+IF(F225="Pasajero",'2.2 OPEX LAP 2023'!J226*'2.1 OPEX TUUA'!$O$7,'2.2 OPEX LAP 2023'!J226*'2.1 OPEX TUUA'!$O$8)</f>
        <v>0</v>
      </c>
      <c r="P225" s="3">
        <f>+IF(F225="Pasajero",'2.2 OPEX LAP 2023'!K226*'2.1 OPEX TUUA'!$P$7,'2.2 OPEX LAP 2023'!K226*'2.1 OPEX TUUA'!$P$8)</f>
        <v>0</v>
      </c>
      <c r="Q225" s="3">
        <f>+IF(F225="Pasajero",'2.2 OPEX LAP 2023'!L226*'2.1 OPEX TUUA'!$Q$7,'2.2 OPEX LAP 2023'!L226*'2.1 OPEX TUUA'!$Q$8)</f>
        <v>0</v>
      </c>
      <c r="R225" s="3">
        <f>+IF(F225="Pasajero",'2.2 OPEX LAP 2023'!M226*'2.1 OPEX TUUA'!$R$7,'2.2 OPEX LAP 2023'!M226*'2.1 OPEX TUUA'!$R$8)</f>
        <v>0</v>
      </c>
      <c r="S225" s="3">
        <f>+IF(F225="Pasajero",'2.2 OPEX LAP 2023'!N226*'2.1 OPEX TUUA'!$S$7,'2.2 OPEX LAP 2023'!N226*'2.1 OPEX TUUA'!$S$8)</f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7">
        <f t="shared" si="21"/>
        <v>0</v>
      </c>
      <c r="AB225" s="7">
        <f t="shared" si="22"/>
        <v>0</v>
      </c>
      <c r="AC225" s="7">
        <f t="shared" si="23"/>
        <v>0</v>
      </c>
      <c r="AD225" s="7">
        <f t="shared" si="24"/>
        <v>0</v>
      </c>
      <c r="AE225" s="7">
        <f t="shared" si="25"/>
        <v>0</v>
      </c>
      <c r="AF225" s="7">
        <f t="shared" si="26"/>
        <v>0</v>
      </c>
    </row>
    <row r="226" spans="2:32" x14ac:dyDescent="0.25">
      <c r="B226" s="17">
        <v>6343100009</v>
      </c>
      <c r="C226" s="193" t="s">
        <v>176</v>
      </c>
      <c r="D226" s="193" t="s">
        <v>52</v>
      </c>
      <c r="E226" s="193" t="s">
        <v>74</v>
      </c>
      <c r="F226" s="163" t="s">
        <v>190</v>
      </c>
      <c r="G226" s="3">
        <f>+IF(F226="Pasajero",'2.2 OPEX LAP 2023'!I227*'2.1 OPEX TUUA'!$G$7,'2.2 OPEX LAP 2023'!I227*'2.1 OPEX TUUA'!$G$8)</f>
        <v>0</v>
      </c>
      <c r="H226" s="3">
        <f>+IF(F226="Pasajero",'2.2 OPEX LAP 2023'!J227*'2.1 OPEX TUUA'!$H$7,'2.2 OPEX LAP 2023'!J227*'2.1 OPEX TUUA'!$H$8)</f>
        <v>0</v>
      </c>
      <c r="I226" s="3">
        <f>+IF(F226="Pasajero",'2.2 OPEX LAP 2023'!K227*'2.1 OPEX TUUA'!$I$7,'2.2 OPEX LAP 2023'!K227*'2.1 OPEX TUUA'!$I$8)</f>
        <v>0</v>
      </c>
      <c r="J226" s="3">
        <f>+IF(F226="Pasajero",'2.2 OPEX LAP 2023'!L227*'2.1 OPEX TUUA'!$J$7,'2.2 OPEX LAP 2023'!L227*'2.1 OPEX TUUA'!$J$8)</f>
        <v>0</v>
      </c>
      <c r="K226" s="3">
        <f>+IF(F226="Pasajero",'2.2 OPEX LAP 2023'!M227*'2.1 OPEX TUUA'!$K$7,'2.2 OPEX LAP 2023'!M227*'2.1 OPEX TUUA'!$K$8)</f>
        <v>0</v>
      </c>
      <c r="L226" s="3">
        <f>+IF(F226="Pasajero",'2.2 OPEX LAP 2023'!N227*'2.1 OPEX TUUA'!$L$7,'2.2 OPEX LAP 2023'!N227*'2.1 OPEX TUUA'!$L$8)</f>
        <v>0</v>
      </c>
      <c r="M226" s="3"/>
      <c r="N226" s="3">
        <f>+IF(F226="Pasajero",'2.2 OPEX LAP 2023'!I227*'2.1 OPEX TUUA'!$N$7,'2.2 OPEX LAP 2023'!I227*'2.1 OPEX TUUA'!$N$8)</f>
        <v>0</v>
      </c>
      <c r="O226" s="3">
        <f>+IF(F226="Pasajero",'2.2 OPEX LAP 2023'!J227*'2.1 OPEX TUUA'!$O$7,'2.2 OPEX LAP 2023'!J227*'2.1 OPEX TUUA'!$O$8)</f>
        <v>0</v>
      </c>
      <c r="P226" s="3">
        <f>+IF(F226="Pasajero",'2.2 OPEX LAP 2023'!K227*'2.1 OPEX TUUA'!$P$7,'2.2 OPEX LAP 2023'!K227*'2.1 OPEX TUUA'!$P$8)</f>
        <v>0</v>
      </c>
      <c r="Q226" s="3">
        <f>+IF(F226="Pasajero",'2.2 OPEX LAP 2023'!L227*'2.1 OPEX TUUA'!$Q$7,'2.2 OPEX LAP 2023'!L227*'2.1 OPEX TUUA'!$Q$8)</f>
        <v>0</v>
      </c>
      <c r="R226" s="3">
        <f>+IF(F226="Pasajero",'2.2 OPEX LAP 2023'!M227*'2.1 OPEX TUUA'!$R$7,'2.2 OPEX LAP 2023'!M227*'2.1 OPEX TUUA'!$R$8)</f>
        <v>0</v>
      </c>
      <c r="S226" s="3">
        <f>+IF(F226="Pasajero",'2.2 OPEX LAP 2023'!N227*'2.1 OPEX TUUA'!$S$7,'2.2 OPEX LAP 2023'!N227*'2.1 OPEX TUUA'!$S$8)</f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7">
        <f t="shared" si="21"/>
        <v>0</v>
      </c>
      <c r="AB226" s="7">
        <f t="shared" si="22"/>
        <v>0</v>
      </c>
      <c r="AC226" s="7">
        <f t="shared" si="23"/>
        <v>0</v>
      </c>
      <c r="AD226" s="7">
        <f t="shared" si="24"/>
        <v>0</v>
      </c>
      <c r="AE226" s="7">
        <f t="shared" si="25"/>
        <v>0</v>
      </c>
      <c r="AF226" s="7">
        <f t="shared" si="26"/>
        <v>0</v>
      </c>
    </row>
    <row r="227" spans="2:32" x14ac:dyDescent="0.25">
      <c r="B227" s="17">
        <v>6343100010</v>
      </c>
      <c r="C227" s="193" t="s">
        <v>176</v>
      </c>
      <c r="D227" s="193" t="s">
        <v>52</v>
      </c>
      <c r="E227" s="193" t="s">
        <v>75</v>
      </c>
      <c r="F227" s="163" t="s">
        <v>190</v>
      </c>
      <c r="G227" s="3">
        <f>+IF(F227="Pasajero",'2.2 OPEX LAP 2023'!I228*'2.1 OPEX TUUA'!$G$7,'2.2 OPEX LAP 2023'!I228*'2.1 OPEX TUUA'!$G$8)</f>
        <v>5111.3715286089018</v>
      </c>
      <c r="H227" s="3">
        <f>+IF(F227="Pasajero",'2.2 OPEX LAP 2023'!J228*'2.1 OPEX TUUA'!$H$7,'2.2 OPEX LAP 2023'!J228*'2.1 OPEX TUUA'!$H$8)</f>
        <v>5995.664785384678</v>
      </c>
      <c r="I227" s="3">
        <f>+IF(F227="Pasajero",'2.2 OPEX LAP 2023'!K228*'2.1 OPEX TUUA'!$I$7,'2.2 OPEX LAP 2023'!K228*'2.1 OPEX TUUA'!$I$8)</f>
        <v>6740.081137297354</v>
      </c>
      <c r="J227" s="3">
        <f>+IF(F227="Pasajero",'2.2 OPEX LAP 2023'!L228*'2.1 OPEX TUUA'!$J$7,'2.2 OPEX LAP 2023'!L228*'2.1 OPEX TUUA'!$J$8)</f>
        <v>7141.2257889682187</v>
      </c>
      <c r="K227" s="3">
        <f>+IF(F227="Pasajero",'2.2 OPEX LAP 2023'!M228*'2.1 OPEX TUUA'!$K$7,'2.2 OPEX LAP 2023'!M228*'2.1 OPEX TUUA'!$K$8)</f>
        <v>7434.3183641981732</v>
      </c>
      <c r="L227" s="3">
        <f>+IF(F227="Pasajero",'2.2 OPEX LAP 2023'!N228*'2.1 OPEX TUUA'!$L$7,'2.2 OPEX LAP 2023'!N228*'2.1 OPEX TUUA'!$L$8)</f>
        <v>7759.9498835536106</v>
      </c>
      <c r="M227" s="3"/>
      <c r="N227" s="3">
        <f>+IF(F227="Pasajero",'2.2 OPEX LAP 2023'!I228*'2.1 OPEX TUUA'!$N$7,'2.2 OPEX LAP 2023'!I228*'2.1 OPEX TUUA'!$N$8)</f>
        <v>2521.0164758061937</v>
      </c>
      <c r="O227" s="3">
        <f>+IF(F227="Pasajero",'2.2 OPEX LAP 2023'!J228*'2.1 OPEX TUUA'!$O$7,'2.2 OPEX LAP 2023'!J228*'2.1 OPEX TUUA'!$O$8)</f>
        <v>2483.1838684798995</v>
      </c>
      <c r="P227" s="3">
        <f>+IF(F227="Pasajero",'2.2 OPEX LAP 2023'!K228*'2.1 OPEX TUUA'!$P$7,'2.2 OPEX LAP 2023'!K228*'2.1 OPEX TUUA'!$P$8)</f>
        <v>2467.7369850684818</v>
      </c>
      <c r="Q227" s="3">
        <f>+IF(F227="Pasajero",'2.2 OPEX LAP 2023'!L228*'2.1 OPEX TUUA'!$Q$7,'2.2 OPEX LAP 2023'!L228*'2.1 OPEX TUUA'!$Q$8)</f>
        <v>2451.6606568136394</v>
      </c>
      <c r="R227" s="3">
        <f>+IF(F227="Pasajero",'2.2 OPEX LAP 2023'!M228*'2.1 OPEX TUUA'!$R$7,'2.2 OPEX LAP 2023'!M228*'2.1 OPEX TUUA'!$R$8)</f>
        <v>2464.8153080600978</v>
      </c>
      <c r="S227" s="3">
        <f>+IF(F227="Pasajero",'2.2 OPEX LAP 2023'!N228*'2.1 OPEX TUUA'!$S$7,'2.2 OPEX LAP 2023'!N228*'2.1 OPEX TUUA'!$S$8)</f>
        <v>2466.388640081881</v>
      </c>
      <c r="U227" s="1">
        <v>5207.9511569730603</v>
      </c>
      <c r="V227" s="1">
        <v>6108.9531803932323</v>
      </c>
      <c r="W227" s="1">
        <v>6867.4353176266441</v>
      </c>
      <c r="X227" s="1">
        <v>7276.1596181572695</v>
      </c>
      <c r="Y227" s="1">
        <v>7574.7901926959357</v>
      </c>
      <c r="Z227" s="1">
        <v>7906.5745363856977</v>
      </c>
      <c r="AA227" s="7">
        <f t="shared" si="21"/>
        <v>-96.579628364158452</v>
      </c>
      <c r="AB227" s="7">
        <f t="shared" si="22"/>
        <v>-113.28839500855429</v>
      </c>
      <c r="AC227" s="7">
        <f t="shared" si="23"/>
        <v>-127.3541803292901</v>
      </c>
      <c r="AD227" s="7">
        <f t="shared" si="24"/>
        <v>-134.93382918905081</v>
      </c>
      <c r="AE227" s="7">
        <f t="shared" si="25"/>
        <v>-140.47182849776254</v>
      </c>
      <c r="AF227" s="7">
        <f t="shared" si="26"/>
        <v>-146.62465283208712</v>
      </c>
    </row>
    <row r="228" spans="2:32" x14ac:dyDescent="0.25">
      <c r="B228" s="17">
        <v>6343100011</v>
      </c>
      <c r="C228" s="193" t="s">
        <v>176</v>
      </c>
      <c r="D228" s="193" t="s">
        <v>52</v>
      </c>
      <c r="E228" s="193" t="s">
        <v>76</v>
      </c>
      <c r="F228" s="163" t="s">
        <v>190</v>
      </c>
      <c r="G228" s="3">
        <f>+IF(F228="Pasajero",'2.2 OPEX LAP 2023'!I229*'2.1 OPEX TUUA'!$G$7,'2.2 OPEX LAP 2023'!I229*'2.1 OPEX TUUA'!$G$8)</f>
        <v>0</v>
      </c>
      <c r="H228" s="3">
        <f>+IF(F228="Pasajero",'2.2 OPEX LAP 2023'!J229*'2.1 OPEX TUUA'!$H$7,'2.2 OPEX LAP 2023'!J229*'2.1 OPEX TUUA'!$H$8)</f>
        <v>0</v>
      </c>
      <c r="I228" s="3">
        <f>+IF(F228="Pasajero",'2.2 OPEX LAP 2023'!K229*'2.1 OPEX TUUA'!$I$7,'2.2 OPEX LAP 2023'!K229*'2.1 OPEX TUUA'!$I$8)</f>
        <v>0</v>
      </c>
      <c r="J228" s="3">
        <f>+IF(F228="Pasajero",'2.2 OPEX LAP 2023'!L229*'2.1 OPEX TUUA'!$J$7,'2.2 OPEX LAP 2023'!L229*'2.1 OPEX TUUA'!$J$8)</f>
        <v>0</v>
      </c>
      <c r="K228" s="3">
        <f>+IF(F228="Pasajero",'2.2 OPEX LAP 2023'!M229*'2.1 OPEX TUUA'!$K$7,'2.2 OPEX LAP 2023'!M229*'2.1 OPEX TUUA'!$K$8)</f>
        <v>0</v>
      </c>
      <c r="L228" s="3">
        <f>+IF(F228="Pasajero",'2.2 OPEX LAP 2023'!N229*'2.1 OPEX TUUA'!$L$7,'2.2 OPEX LAP 2023'!N229*'2.1 OPEX TUUA'!$L$8)</f>
        <v>0</v>
      </c>
      <c r="M228" s="3"/>
      <c r="N228" s="3">
        <f>+IF(F228="Pasajero",'2.2 OPEX LAP 2023'!I229*'2.1 OPEX TUUA'!$N$7,'2.2 OPEX LAP 2023'!I229*'2.1 OPEX TUUA'!$N$8)</f>
        <v>0</v>
      </c>
      <c r="O228" s="3">
        <f>+IF(F228="Pasajero",'2.2 OPEX LAP 2023'!J229*'2.1 OPEX TUUA'!$O$7,'2.2 OPEX LAP 2023'!J229*'2.1 OPEX TUUA'!$O$8)</f>
        <v>0</v>
      </c>
      <c r="P228" s="3">
        <f>+IF(F228="Pasajero",'2.2 OPEX LAP 2023'!K229*'2.1 OPEX TUUA'!$P$7,'2.2 OPEX LAP 2023'!K229*'2.1 OPEX TUUA'!$P$8)</f>
        <v>0</v>
      </c>
      <c r="Q228" s="3">
        <f>+IF(F228="Pasajero",'2.2 OPEX LAP 2023'!L229*'2.1 OPEX TUUA'!$Q$7,'2.2 OPEX LAP 2023'!L229*'2.1 OPEX TUUA'!$Q$8)</f>
        <v>0</v>
      </c>
      <c r="R228" s="3">
        <f>+IF(F228="Pasajero",'2.2 OPEX LAP 2023'!M229*'2.1 OPEX TUUA'!$R$7,'2.2 OPEX LAP 2023'!M229*'2.1 OPEX TUUA'!$R$8)</f>
        <v>0</v>
      </c>
      <c r="S228" s="3">
        <f>+IF(F228="Pasajero",'2.2 OPEX LAP 2023'!N229*'2.1 OPEX TUUA'!$S$7,'2.2 OPEX LAP 2023'!N229*'2.1 OPEX TUUA'!$S$8)</f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7">
        <f t="shared" si="21"/>
        <v>0</v>
      </c>
      <c r="AB228" s="7">
        <f t="shared" si="22"/>
        <v>0</v>
      </c>
      <c r="AC228" s="7">
        <f t="shared" si="23"/>
        <v>0</v>
      </c>
      <c r="AD228" s="7">
        <f t="shared" si="24"/>
        <v>0</v>
      </c>
      <c r="AE228" s="7">
        <f t="shared" si="25"/>
        <v>0</v>
      </c>
      <c r="AF228" s="7">
        <f t="shared" si="26"/>
        <v>0</v>
      </c>
    </row>
    <row r="229" spans="2:32" x14ac:dyDescent="0.25">
      <c r="B229" s="17">
        <v>6343100012</v>
      </c>
      <c r="C229" s="193" t="s">
        <v>176</v>
      </c>
      <c r="D229" s="193" t="s">
        <v>52</v>
      </c>
      <c r="E229" s="193" t="s">
        <v>77</v>
      </c>
      <c r="F229" s="163" t="s">
        <v>190</v>
      </c>
      <c r="G229" s="3">
        <f>+IF(F229="Pasajero",'2.2 OPEX LAP 2023'!I230*'2.1 OPEX TUUA'!$G$7,'2.2 OPEX LAP 2023'!I230*'2.1 OPEX TUUA'!$G$8)</f>
        <v>3082.7661602817343</v>
      </c>
      <c r="H229" s="3">
        <f>+IF(F229="Pasajero",'2.2 OPEX LAP 2023'!J230*'2.1 OPEX TUUA'!$H$7,'2.2 OPEX LAP 2023'!J230*'2.1 OPEX TUUA'!$H$8)</f>
        <v>3616.1003764496622</v>
      </c>
      <c r="I229" s="3">
        <f>+IF(F229="Pasajero",'2.2 OPEX LAP 2023'!K230*'2.1 OPEX TUUA'!$I$7,'2.2 OPEX LAP 2023'!K230*'2.1 OPEX TUUA'!$I$8)</f>
        <v>4065.0721496796436</v>
      </c>
      <c r="J229" s="3">
        <f>+IF(F229="Pasajero",'2.2 OPEX LAP 2023'!L230*'2.1 OPEX TUUA'!$J$7,'2.2 OPEX LAP 2023'!L230*'2.1 OPEX TUUA'!$J$8)</f>
        <v>4307.0101795464534</v>
      </c>
      <c r="K229" s="3">
        <f>+IF(F229="Pasajero",'2.2 OPEX LAP 2023'!M230*'2.1 OPEX TUUA'!$K$7,'2.2 OPEX LAP 2023'!M230*'2.1 OPEX TUUA'!$K$8)</f>
        <v>4483.7799306184597</v>
      </c>
      <c r="L229" s="3">
        <f>+IF(F229="Pasajero",'2.2 OPEX LAP 2023'!N230*'2.1 OPEX TUUA'!$L$7,'2.2 OPEX LAP 2023'!N230*'2.1 OPEX TUUA'!$L$8)</f>
        <v>4680.1745427047526</v>
      </c>
      <c r="M229" s="3"/>
      <c r="N229" s="3">
        <f>+IF(F229="Pasajero",'2.2 OPEX LAP 2023'!I230*'2.1 OPEX TUUA'!$N$7,'2.2 OPEX LAP 2023'!I230*'2.1 OPEX TUUA'!$N$8)</f>
        <v>1520.4733675939963</v>
      </c>
      <c r="O229" s="3">
        <f>+IF(F229="Pasajero",'2.2 OPEX LAP 2023'!J230*'2.1 OPEX TUUA'!$O$7,'2.2 OPEX LAP 2023'!J230*'2.1 OPEX TUUA'!$O$8)</f>
        <v>1497.6557968171628</v>
      </c>
      <c r="P229" s="3">
        <f>+IF(F229="Pasajero",'2.2 OPEX LAP 2023'!K230*'2.1 OPEX TUUA'!$P$7,'2.2 OPEX LAP 2023'!K230*'2.1 OPEX TUUA'!$P$8)</f>
        <v>1488.3394852956844</v>
      </c>
      <c r="Q229" s="3">
        <f>+IF(F229="Pasajero",'2.2 OPEX LAP 2023'!L230*'2.1 OPEX TUUA'!$Q$7,'2.2 OPEX LAP 2023'!L230*'2.1 OPEX TUUA'!$Q$8)</f>
        <v>1478.6435435218928</v>
      </c>
      <c r="R229" s="3">
        <f>+IF(F229="Pasajero",'2.2 OPEX LAP 2023'!M230*'2.1 OPEX TUUA'!$R$7,'2.2 OPEX LAP 2023'!M230*'2.1 OPEX TUUA'!$R$8)</f>
        <v>1486.5773658797298</v>
      </c>
      <c r="S229" s="3">
        <f>+IF(F229="Pasajero",'2.2 OPEX LAP 2023'!N230*'2.1 OPEX TUUA'!$S$7,'2.2 OPEX LAP 2023'!N230*'2.1 OPEX TUUA'!$S$8)</f>
        <v>1487.5262725848074</v>
      </c>
      <c r="U229" s="1">
        <v>3141.0151857002884</v>
      </c>
      <c r="V229" s="1">
        <v>3684.4267793593813</v>
      </c>
      <c r="W229" s="1">
        <v>4141.881897374974</v>
      </c>
      <c r="X229" s="1">
        <v>4388.3913587804445</v>
      </c>
      <c r="Y229" s="1">
        <v>4568.5011834058996</v>
      </c>
      <c r="Z229" s="1">
        <v>4768.6066818055542</v>
      </c>
      <c r="AA229" s="7">
        <f t="shared" si="21"/>
        <v>-58.249025418554083</v>
      </c>
      <c r="AB229" s="7">
        <f t="shared" si="22"/>
        <v>-68.326402909719036</v>
      </c>
      <c r="AC229" s="7">
        <f t="shared" si="23"/>
        <v>-76.809747695330316</v>
      </c>
      <c r="AD229" s="7">
        <f t="shared" si="24"/>
        <v>-81.381179233991134</v>
      </c>
      <c r="AE229" s="7">
        <f t="shared" si="25"/>
        <v>-84.72125278743988</v>
      </c>
      <c r="AF229" s="7">
        <f t="shared" si="26"/>
        <v>-88.432139100801578</v>
      </c>
    </row>
    <row r="230" spans="2:32" x14ac:dyDescent="0.25">
      <c r="B230" s="17">
        <v>6343100013</v>
      </c>
      <c r="C230" s="193" t="s">
        <v>176</v>
      </c>
      <c r="D230" s="193" t="s">
        <v>52</v>
      </c>
      <c r="E230" s="193" t="s">
        <v>78</v>
      </c>
      <c r="F230" s="163" t="s">
        <v>190</v>
      </c>
      <c r="G230" s="3">
        <f>+IF(F230="Pasajero",'2.2 OPEX LAP 2023'!I231*'2.1 OPEX TUUA'!$G$7,'2.2 OPEX LAP 2023'!I231*'2.1 OPEX TUUA'!$G$8)</f>
        <v>9733.8248736549358</v>
      </c>
      <c r="H230" s="3">
        <f>+IF(F230="Pasajero",'2.2 OPEX LAP 2023'!J231*'2.1 OPEX TUUA'!$H$7,'2.2 OPEX LAP 2023'!J231*'2.1 OPEX TUUA'!$H$8)</f>
        <v>11417.826056161815</v>
      </c>
      <c r="I230" s="3">
        <f>+IF(F230="Pasajero",'2.2 OPEX LAP 2023'!K231*'2.1 OPEX TUUA'!$I$7,'2.2 OPEX LAP 2023'!K231*'2.1 OPEX TUUA'!$I$8)</f>
        <v>12835.453078976792</v>
      </c>
      <c r="J230" s="3">
        <f>+IF(F230="Pasajero",'2.2 OPEX LAP 2023'!L231*'2.1 OPEX TUUA'!$J$7,'2.2 OPEX LAP 2023'!L231*'2.1 OPEX TUUA'!$J$8)</f>
        <v>13599.371680180528</v>
      </c>
      <c r="K230" s="3">
        <f>+IF(F230="Pasajero",'2.2 OPEX LAP 2023'!M231*'2.1 OPEX TUUA'!$K$7,'2.2 OPEX LAP 2023'!M231*'2.1 OPEX TUUA'!$K$8)</f>
        <v>14157.521637210428</v>
      </c>
      <c r="L230" s="3">
        <f>+IF(F230="Pasajero",'2.2 OPEX LAP 2023'!N231*'2.1 OPEX TUUA'!$L$7,'2.2 OPEX LAP 2023'!N231*'2.1 OPEX TUUA'!$L$8)</f>
        <v>14777.637033832878</v>
      </c>
      <c r="M230" s="3"/>
      <c r="N230" s="3">
        <f>+IF(F230="Pasajero",'2.2 OPEX LAP 2023'!I231*'2.1 OPEX TUUA'!$N$7,'2.2 OPEX LAP 2023'!I231*'2.1 OPEX TUUA'!$N$8)</f>
        <v>4800.8900823874847</v>
      </c>
      <c r="O230" s="3">
        <f>+IF(F230="Pasajero",'2.2 OPEX LAP 2023'!J231*'2.1 OPEX TUUA'!$O$7,'2.2 OPEX LAP 2023'!J231*'2.1 OPEX TUUA'!$O$8)</f>
        <v>4728.8436713280007</v>
      </c>
      <c r="P230" s="3">
        <f>+IF(F230="Pasajero",'2.2 OPEX LAP 2023'!K231*'2.1 OPEX TUUA'!$P$7,'2.2 OPEX LAP 2023'!K231*'2.1 OPEX TUUA'!$P$8)</f>
        <v>4699.4274457359188</v>
      </c>
      <c r="Q230" s="3">
        <f>+IF(F230="Pasajero",'2.2 OPEX LAP 2023'!L231*'2.1 OPEX TUUA'!$Q$7,'2.2 OPEX LAP 2023'!L231*'2.1 OPEX TUUA'!$Q$8)</f>
        <v>4668.812538764636</v>
      </c>
      <c r="R230" s="3">
        <f>+IF(F230="Pasajero",'2.2 OPEX LAP 2023'!M231*'2.1 OPEX TUUA'!$R$7,'2.2 OPEX LAP 2023'!M231*'2.1 OPEX TUUA'!$R$8)</f>
        <v>4693.8635589830556</v>
      </c>
      <c r="S230" s="3">
        <f>+IF(F230="Pasajero",'2.2 OPEX LAP 2023'!N231*'2.1 OPEX TUUA'!$S$7,'2.2 OPEX LAP 2023'!N231*'2.1 OPEX TUUA'!$S$8)</f>
        <v>4696.8597290486496</v>
      </c>
      <c r="U230" s="1">
        <v>9917.7459961164132</v>
      </c>
      <c r="V230" s="1">
        <v>11633.566467724271</v>
      </c>
      <c r="W230" s="1">
        <v>13077.979626169605</v>
      </c>
      <c r="X230" s="1">
        <v>13856.332508699159</v>
      </c>
      <c r="Y230" s="1">
        <v>14425.028737922285</v>
      </c>
      <c r="Z230" s="1">
        <v>15056.86124691144</v>
      </c>
      <c r="AA230" s="7">
        <f t="shared" si="21"/>
        <v>-183.92112246147735</v>
      </c>
      <c r="AB230" s="7">
        <f t="shared" si="22"/>
        <v>-215.74041156245585</v>
      </c>
      <c r="AC230" s="7">
        <f t="shared" si="23"/>
        <v>-242.52654719281236</v>
      </c>
      <c r="AD230" s="7">
        <f t="shared" si="24"/>
        <v>-256.96082851863139</v>
      </c>
      <c r="AE230" s="7">
        <f t="shared" si="25"/>
        <v>-267.50710071185676</v>
      </c>
      <c r="AF230" s="7">
        <f t="shared" si="26"/>
        <v>-279.22421307856166</v>
      </c>
    </row>
    <row r="231" spans="2:32" x14ac:dyDescent="0.25">
      <c r="B231" s="17">
        <v>6343100014</v>
      </c>
      <c r="C231" s="193" t="s">
        <v>176</v>
      </c>
      <c r="D231" s="193" t="s">
        <v>52</v>
      </c>
      <c r="E231" s="193" t="s">
        <v>79</v>
      </c>
      <c r="F231" s="163" t="s">
        <v>190</v>
      </c>
      <c r="G231" s="3">
        <f>+IF(F231="Pasajero",'2.2 OPEX LAP 2023'!I232*'2.1 OPEX TUUA'!$G$7,'2.2 OPEX LAP 2023'!I232*'2.1 OPEX TUUA'!$G$8)</f>
        <v>3309.0138514167625</v>
      </c>
      <c r="H231" s="3">
        <f>+IF(F231="Pasajero",'2.2 OPEX LAP 2023'!J232*'2.1 OPEX TUUA'!$H$7,'2.2 OPEX LAP 2023'!J232*'2.1 OPEX TUUA'!$H$8)</f>
        <v>3881.4900682222851</v>
      </c>
      <c r="I231" s="3">
        <f>+IF(F231="Pasajero",'2.2 OPEX LAP 2023'!K232*'2.1 OPEX TUUA'!$I$7,'2.2 OPEX LAP 2023'!K232*'2.1 OPEX TUUA'!$I$8)</f>
        <v>4363.4123870975445</v>
      </c>
      <c r="J231" s="3">
        <f>+IF(F231="Pasajero",'2.2 OPEX LAP 2023'!L232*'2.1 OPEX TUUA'!$J$7,'2.2 OPEX LAP 2023'!L232*'2.1 OPEX TUUA'!$J$8)</f>
        <v>4623.106522296107</v>
      </c>
      <c r="K231" s="3">
        <f>+IF(F231="Pasajero",'2.2 OPEX LAP 2023'!M232*'2.1 OPEX TUUA'!$K$7,'2.2 OPEX LAP 2023'!M232*'2.1 OPEX TUUA'!$K$8)</f>
        <v>4812.8496050978538</v>
      </c>
      <c r="L231" s="3">
        <f>+IF(F231="Pasajero",'2.2 OPEX LAP 2023'!N232*'2.1 OPEX TUUA'!$L$7,'2.2 OPEX LAP 2023'!N232*'2.1 OPEX TUUA'!$L$8)</f>
        <v>5023.6578396341292</v>
      </c>
      <c r="M231" s="3"/>
      <c r="N231" s="3">
        <f>+IF(F231="Pasajero",'2.2 OPEX LAP 2023'!I232*'2.1 OPEX TUUA'!$N$7,'2.2 OPEX LAP 2023'!I232*'2.1 OPEX TUUA'!$N$8)</f>
        <v>1632.0626257357828</v>
      </c>
      <c r="O231" s="3">
        <f>+IF(F231="Pasajero",'2.2 OPEX LAP 2023'!J232*'2.1 OPEX TUUA'!$O$7,'2.2 OPEX LAP 2023'!J232*'2.1 OPEX TUUA'!$O$8)</f>
        <v>1607.5704476623982</v>
      </c>
      <c r="P231" s="3">
        <f>+IF(F231="Pasajero",'2.2 OPEX LAP 2023'!K232*'2.1 OPEX TUUA'!$P$7,'2.2 OPEX LAP 2023'!K232*'2.1 OPEX TUUA'!$P$8)</f>
        <v>1597.5704015136275</v>
      </c>
      <c r="Q231" s="3">
        <f>+IF(F231="Pasajero",'2.2 OPEX LAP 2023'!L232*'2.1 OPEX TUUA'!$Q$7,'2.2 OPEX LAP 2023'!L232*'2.1 OPEX TUUA'!$Q$8)</f>
        <v>1587.1628636194541</v>
      </c>
      <c r="R231" s="3">
        <f>+IF(F231="Pasajero",'2.2 OPEX LAP 2023'!M232*'2.1 OPEX TUUA'!$R$7,'2.2 OPEX LAP 2023'!M232*'2.1 OPEX TUUA'!$R$8)</f>
        <v>1595.6789581630519</v>
      </c>
      <c r="S231" s="3">
        <f>+IF(F231="Pasajero",'2.2 OPEX LAP 2023'!N232*'2.1 OPEX TUUA'!$S$7,'2.2 OPEX LAP 2023'!N232*'2.1 OPEX TUUA'!$S$8)</f>
        <v>1596.6975062032047</v>
      </c>
      <c r="U231" s="1">
        <v>3371.5378386152943</v>
      </c>
      <c r="V231" s="1">
        <v>3954.8310230305738</v>
      </c>
      <c r="W231" s="1">
        <v>4445.859288948981</v>
      </c>
      <c r="X231" s="1">
        <v>4710.4603582112177</v>
      </c>
      <c r="Y231" s="1">
        <v>4903.7886463378154</v>
      </c>
      <c r="Z231" s="1">
        <v>5118.5801133262157</v>
      </c>
      <c r="AA231" s="7">
        <f t="shared" si="21"/>
        <v>-62.523987198531813</v>
      </c>
      <c r="AB231" s="7">
        <f t="shared" si="22"/>
        <v>-73.340954808288643</v>
      </c>
      <c r="AC231" s="7">
        <f t="shared" si="23"/>
        <v>-82.446901851436451</v>
      </c>
      <c r="AD231" s="7">
        <f t="shared" si="24"/>
        <v>-87.353835915110722</v>
      </c>
      <c r="AE231" s="7">
        <f t="shared" si="25"/>
        <v>-90.939041239961625</v>
      </c>
      <c r="AF231" s="7">
        <f t="shared" si="26"/>
        <v>-94.922273692086492</v>
      </c>
    </row>
    <row r="232" spans="2:32" x14ac:dyDescent="0.25">
      <c r="B232" s="17">
        <v>6343100015</v>
      </c>
      <c r="C232" s="193" t="s">
        <v>176</v>
      </c>
      <c r="D232" s="193" t="s">
        <v>52</v>
      </c>
      <c r="E232" s="193" t="s">
        <v>80</v>
      </c>
      <c r="F232" s="163" t="s">
        <v>190</v>
      </c>
      <c r="G232" s="3">
        <f>+IF(F232="Pasajero",'2.2 OPEX LAP 2023'!I233*'2.1 OPEX TUUA'!$G$7,'2.2 OPEX LAP 2023'!I233*'2.1 OPEX TUUA'!$G$8)</f>
        <v>236.1227418070165</v>
      </c>
      <c r="H232" s="3">
        <f>+IF(F232="Pasajero",'2.2 OPEX LAP 2023'!J233*'2.1 OPEX TUUA'!$H$7,'2.2 OPEX LAP 2023'!J233*'2.1 OPEX TUUA'!$H$8)</f>
        <v>276.97317640811451</v>
      </c>
      <c r="I232" s="3">
        <f>+IF(F232="Pasajero",'2.2 OPEX LAP 2023'!K233*'2.1 OPEX TUUA'!$I$7,'2.2 OPEX LAP 2023'!K233*'2.1 OPEX TUUA'!$I$8)</f>
        <v>311.36191709655282</v>
      </c>
      <c r="J232" s="3">
        <f>+IF(F232="Pasajero",'2.2 OPEX LAP 2023'!L233*'2.1 OPEX TUUA'!$J$7,'2.2 OPEX LAP 2023'!L233*'2.1 OPEX TUUA'!$J$8)</f>
        <v>329.89302454659634</v>
      </c>
      <c r="K232" s="3">
        <f>+IF(F232="Pasajero",'2.2 OPEX LAP 2023'!M233*'2.1 OPEX TUUA'!$K$7,'2.2 OPEX LAP 2023'!M233*'2.1 OPEX TUUA'!$K$8)</f>
        <v>343.43260430111502</v>
      </c>
      <c r="L232" s="3">
        <f>+IF(F232="Pasajero",'2.2 OPEX LAP 2023'!N233*'2.1 OPEX TUUA'!$L$7,'2.2 OPEX LAP 2023'!N233*'2.1 OPEX TUUA'!$L$8)</f>
        <v>358.47533925760064</v>
      </c>
      <c r="M232" s="3"/>
      <c r="N232" s="3">
        <f>+IF(F232="Pasajero",'2.2 OPEX LAP 2023'!I233*'2.1 OPEX TUUA'!$N$7,'2.2 OPEX LAP 2023'!I233*'2.1 OPEX TUUA'!$N$8)</f>
        <v>116.45980322037508</v>
      </c>
      <c r="O232" s="3">
        <f>+IF(F232="Pasajero",'2.2 OPEX LAP 2023'!J233*'2.1 OPEX TUUA'!$O$7,'2.2 OPEX LAP 2023'!J233*'2.1 OPEX TUUA'!$O$8)</f>
        <v>114.71210420816418</v>
      </c>
      <c r="P232" s="3">
        <f>+IF(F232="Pasajero",'2.2 OPEX LAP 2023'!K233*'2.1 OPEX TUUA'!$P$7,'2.2 OPEX LAP 2023'!K233*'2.1 OPEX TUUA'!$P$8)</f>
        <v>113.99852656211308</v>
      </c>
      <c r="Q232" s="3">
        <f>+IF(F232="Pasajero",'2.2 OPEX LAP 2023'!L233*'2.1 OPEX TUUA'!$Q$7,'2.2 OPEX LAP 2023'!L233*'2.1 OPEX TUUA'!$Q$8)</f>
        <v>113.2558713502044</v>
      </c>
      <c r="R232" s="3">
        <f>+IF(F232="Pasajero",'2.2 OPEX LAP 2023'!M233*'2.1 OPEX TUUA'!$R$7,'2.2 OPEX LAP 2023'!M233*'2.1 OPEX TUUA'!$R$8)</f>
        <v>113.86355801560205</v>
      </c>
      <c r="S232" s="3">
        <f>+IF(F232="Pasajero",'2.2 OPEX LAP 2023'!N233*'2.1 OPEX TUUA'!$S$7,'2.2 OPEX LAP 2023'!N233*'2.1 OPEX TUUA'!$S$8)</f>
        <v>113.9362389914765</v>
      </c>
      <c r="U232" s="1">
        <v>240.58429317819105</v>
      </c>
      <c r="V232" s="1">
        <v>282.20659884563713</v>
      </c>
      <c r="W232" s="1">
        <v>317.24511656104585</v>
      </c>
      <c r="X232" s="1">
        <v>336.12637024105612</v>
      </c>
      <c r="Y232" s="1">
        <v>349.92178105257761</v>
      </c>
      <c r="Z232" s="1">
        <v>365.24874926104786</v>
      </c>
      <c r="AA232" s="7">
        <f t="shared" si="21"/>
        <v>-4.4615513711745507</v>
      </c>
      <c r="AB232" s="7">
        <f t="shared" si="22"/>
        <v>-5.2334224375226199</v>
      </c>
      <c r="AC232" s="7">
        <f t="shared" si="23"/>
        <v>-5.8831994644930319</v>
      </c>
      <c r="AD232" s="7">
        <f t="shared" si="24"/>
        <v>-6.2333456944597856</v>
      </c>
      <c r="AE232" s="7">
        <f t="shared" si="25"/>
        <v>-6.489176751462594</v>
      </c>
      <c r="AF232" s="7">
        <f t="shared" si="26"/>
        <v>-6.7734100034472249</v>
      </c>
    </row>
    <row r="233" spans="2:32" x14ac:dyDescent="0.25">
      <c r="B233" s="17">
        <v>6343100016</v>
      </c>
      <c r="C233" s="193" t="s">
        <v>176</v>
      </c>
      <c r="D233" s="193" t="s">
        <v>52</v>
      </c>
      <c r="E233" s="193" t="s">
        <v>81</v>
      </c>
      <c r="F233" s="163" t="s">
        <v>190</v>
      </c>
      <c r="G233" s="3">
        <f>+IF(F233="Pasajero",'2.2 OPEX LAP 2023'!I234*'2.1 OPEX TUUA'!$G$7,'2.2 OPEX LAP 2023'!I234*'2.1 OPEX TUUA'!$G$8)</f>
        <v>21713.305562215508</v>
      </c>
      <c r="H233" s="3">
        <f>+IF(F233="Pasajero",'2.2 OPEX LAP 2023'!J234*'2.1 OPEX TUUA'!$H$7,'2.2 OPEX LAP 2023'!J234*'2.1 OPEX TUUA'!$H$8)</f>
        <v>25469.817798414628</v>
      </c>
      <c r="I233" s="3">
        <f>+IF(F233="Pasajero",'2.2 OPEX LAP 2023'!K234*'2.1 OPEX TUUA'!$I$7,'2.2 OPEX LAP 2023'!K234*'2.1 OPEX TUUA'!$I$8)</f>
        <v>28632.127488508468</v>
      </c>
      <c r="J233" s="3">
        <f>+IF(F233="Pasajero",'2.2 OPEX LAP 2023'!L234*'2.1 OPEX TUUA'!$J$7,'2.2 OPEX LAP 2023'!L234*'2.1 OPEX TUUA'!$J$8)</f>
        <v>30336.20561071621</v>
      </c>
      <c r="K233" s="3">
        <f>+IF(F233="Pasajero",'2.2 OPEX LAP 2023'!M234*'2.1 OPEX TUUA'!$K$7,'2.2 OPEX LAP 2023'!M234*'2.1 OPEX TUUA'!$K$8)</f>
        <v>31581.274298907745</v>
      </c>
      <c r="L233" s="3">
        <f>+IF(F233="Pasajero",'2.2 OPEX LAP 2023'!N234*'2.1 OPEX TUUA'!$L$7,'2.2 OPEX LAP 2023'!N234*'2.1 OPEX TUUA'!$L$8)</f>
        <v>32964.569690541583</v>
      </c>
      <c r="M233" s="3"/>
      <c r="N233" s="3">
        <f>+IF(F233="Pasajero",'2.2 OPEX LAP 2023'!I234*'2.1 OPEX TUUA'!$N$7,'2.2 OPEX LAP 2023'!I234*'2.1 OPEX TUUA'!$N$8)</f>
        <v>10709.376291700977</v>
      </c>
      <c r="O233" s="3">
        <f>+IF(F233="Pasajero",'2.2 OPEX LAP 2023'!J234*'2.1 OPEX TUUA'!$O$7,'2.2 OPEX LAP 2023'!J234*'2.1 OPEX TUUA'!$O$8)</f>
        <v>10548.661900564808</v>
      </c>
      <c r="P233" s="3">
        <f>+IF(F233="Pasajero",'2.2 OPEX LAP 2023'!K234*'2.1 OPEX TUUA'!$P$7,'2.2 OPEX LAP 2023'!K234*'2.1 OPEX TUUA'!$P$8)</f>
        <v>10483.042937509836</v>
      </c>
      <c r="Q233" s="3">
        <f>+IF(F233="Pasajero",'2.2 OPEX LAP 2023'!L234*'2.1 OPEX TUUA'!$Q$7,'2.2 OPEX LAP 2023'!L234*'2.1 OPEX TUUA'!$Q$8)</f>
        <v>10414.750068215932</v>
      </c>
      <c r="R233" s="3">
        <f>+IF(F233="Pasajero",'2.2 OPEX LAP 2023'!M234*'2.1 OPEX TUUA'!$R$7,'2.2 OPEX LAP 2023'!M234*'2.1 OPEX TUUA'!$R$8)</f>
        <v>10470.63153965271</v>
      </c>
      <c r="S233" s="3">
        <f>+IF(F233="Pasajero",'2.2 OPEX LAP 2023'!N234*'2.1 OPEX TUUA'!$S$7,'2.2 OPEX LAP 2023'!N234*'2.1 OPEX TUUA'!$S$8)</f>
        <v>10477.31511543048</v>
      </c>
      <c r="U233" s="1">
        <v>22123.579589454319</v>
      </c>
      <c r="V233" s="1">
        <v>25951.071317886956</v>
      </c>
      <c r="W233" s="1">
        <v>29173.133012493126</v>
      </c>
      <c r="X233" s="1">
        <v>30909.409778611836</v>
      </c>
      <c r="Y233" s="1">
        <v>32178.004103811039</v>
      </c>
      <c r="Z233" s="1">
        <v>33587.436933135345</v>
      </c>
      <c r="AA233" s="7">
        <f t="shared" si="21"/>
        <v>-410.27402723881096</v>
      </c>
      <c r="AB233" s="7">
        <f t="shared" si="22"/>
        <v>-481.25351947232775</v>
      </c>
      <c r="AC233" s="7">
        <f t="shared" si="23"/>
        <v>-541.00552398465879</v>
      </c>
      <c r="AD233" s="7">
        <f t="shared" si="24"/>
        <v>-573.2041678956266</v>
      </c>
      <c r="AE233" s="7">
        <f t="shared" si="25"/>
        <v>-596.72980490329428</v>
      </c>
      <c r="AF233" s="7">
        <f t="shared" si="26"/>
        <v>-622.86724259376206</v>
      </c>
    </row>
    <row r="234" spans="2:32" x14ac:dyDescent="0.25">
      <c r="B234" s="17">
        <v>6343100017</v>
      </c>
      <c r="C234" s="193" t="s">
        <v>176</v>
      </c>
      <c r="D234" s="193" t="s">
        <v>52</v>
      </c>
      <c r="E234" s="193" t="s">
        <v>82</v>
      </c>
      <c r="F234" s="163" t="s">
        <v>190</v>
      </c>
      <c r="G234" s="3">
        <f>+IF(F234="Pasajero",'2.2 OPEX LAP 2023'!I235*'2.1 OPEX TUUA'!$G$7,'2.2 OPEX LAP 2023'!I235*'2.1 OPEX TUUA'!$G$8)</f>
        <v>4.3193379258428077</v>
      </c>
      <c r="H234" s="3">
        <f>+IF(F234="Pasajero",'2.2 OPEX LAP 2023'!J235*'2.1 OPEX TUUA'!$H$7,'2.2 OPEX LAP 2023'!J235*'2.1 OPEX TUUA'!$H$8)</f>
        <v>5.0666053432434337</v>
      </c>
      <c r="I234" s="3">
        <f>+IF(F234="Pasajero",'2.2 OPEX LAP 2023'!K235*'2.1 OPEX TUUA'!$I$7,'2.2 OPEX LAP 2023'!K235*'2.1 OPEX TUUA'!$I$8)</f>
        <v>5.6956705096937892</v>
      </c>
      <c r="J234" s="3">
        <f>+IF(F234="Pasajero",'2.2 OPEX LAP 2023'!L235*'2.1 OPEX TUUA'!$J$7,'2.2 OPEX LAP 2023'!L235*'2.1 OPEX TUUA'!$J$8)</f>
        <v>6.0346557112219843</v>
      </c>
      <c r="K234" s="3">
        <f>+IF(F234="Pasajero",'2.2 OPEX LAP 2023'!M235*'2.1 OPEX TUUA'!$K$7,'2.2 OPEX LAP 2023'!M235*'2.1 OPEX TUUA'!$K$8)</f>
        <v>6.2823320675361227</v>
      </c>
      <c r="L234" s="3">
        <f>+IF(F234="Pasajero",'2.2 OPEX LAP 2023'!N235*'2.1 OPEX TUUA'!$L$7,'2.2 OPEX LAP 2023'!N235*'2.1 OPEX TUUA'!$L$8)</f>
        <v>6.557505289347402</v>
      </c>
      <c r="M234" s="3"/>
      <c r="N234" s="3">
        <f>+IF(F234="Pasajero",'2.2 OPEX LAP 2023'!I235*'2.1 OPEX TUUA'!$N$7,'2.2 OPEX LAP 2023'!I235*'2.1 OPEX TUUA'!$N$8)</f>
        <v>2.1303718609920392</v>
      </c>
      <c r="O234" s="3">
        <f>+IF(F234="Pasajero",'2.2 OPEX LAP 2023'!J235*'2.1 OPEX TUUA'!$O$7,'2.2 OPEX LAP 2023'!J235*'2.1 OPEX TUUA'!$O$8)</f>
        <v>2.0984016129395648</v>
      </c>
      <c r="P234" s="3">
        <f>+IF(F234="Pasajero",'2.2 OPEX LAP 2023'!K235*'2.1 OPEX TUUA'!$P$7,'2.2 OPEX LAP 2023'!K235*'2.1 OPEX TUUA'!$P$8)</f>
        <v>2.0853483044524852</v>
      </c>
      <c r="Q234" s="3">
        <f>+IF(F234="Pasajero",'2.2 OPEX LAP 2023'!L235*'2.1 OPEX TUUA'!$Q$7,'2.2 OPEX LAP 2023'!L235*'2.1 OPEX TUUA'!$Q$8)</f>
        <v>2.0717630868742321</v>
      </c>
      <c r="R234" s="3">
        <f>+IF(F234="Pasajero",'2.2 OPEX LAP 2023'!M235*'2.1 OPEX TUUA'!$R$7,'2.2 OPEX LAP 2023'!M235*'2.1 OPEX TUUA'!$R$8)</f>
        <v>2.0828793564922865</v>
      </c>
      <c r="S234" s="3">
        <f>+IF(F234="Pasajero",'2.2 OPEX LAP 2023'!N235*'2.1 OPEX TUUA'!$S$7,'2.2 OPEX LAP 2023'!N235*'2.1 OPEX TUUA'!$S$8)</f>
        <v>2.0842088925343432</v>
      </c>
      <c r="U234" s="1">
        <v>4.4009520384781782</v>
      </c>
      <c r="V234" s="1">
        <v>5.1623391122288176</v>
      </c>
      <c r="W234" s="1">
        <v>5.8032904974078576</v>
      </c>
      <c r="X234" s="1">
        <v>6.1486808417829959</v>
      </c>
      <c r="Y234" s="1">
        <v>6.4010370556096481</v>
      </c>
      <c r="Z234" s="1">
        <v>6.681409689623611</v>
      </c>
      <c r="AA234" s="7">
        <f t="shared" si="21"/>
        <v>-8.1614112635370439E-2</v>
      </c>
      <c r="AB234" s="7">
        <f t="shared" si="22"/>
        <v>-9.5733768985383882E-2</v>
      </c>
      <c r="AC234" s="7">
        <f t="shared" si="23"/>
        <v>-0.10761998771406844</v>
      </c>
      <c r="AD234" s="7">
        <f t="shared" si="24"/>
        <v>-0.1140251305610116</v>
      </c>
      <c r="AE234" s="7">
        <f t="shared" si="25"/>
        <v>-0.11870498807352536</v>
      </c>
      <c r="AF234" s="7">
        <f t="shared" si="26"/>
        <v>-0.12390440027620908</v>
      </c>
    </row>
    <row r="235" spans="2:32" x14ac:dyDescent="0.25">
      <c r="B235" s="17">
        <v>6344000001</v>
      </c>
      <c r="C235" s="193" t="s">
        <v>176</v>
      </c>
      <c r="D235" s="193" t="s">
        <v>52</v>
      </c>
      <c r="E235" s="193" t="s">
        <v>83</v>
      </c>
      <c r="F235" s="163" t="s">
        <v>190</v>
      </c>
      <c r="G235" s="3">
        <f>+IF(F235="Pasajero",'2.2 OPEX LAP 2023'!I236*'2.1 OPEX TUUA'!$G$7,'2.2 OPEX LAP 2023'!I236*'2.1 OPEX TUUA'!$G$8)</f>
        <v>0</v>
      </c>
      <c r="H235" s="3">
        <f>+IF(F235="Pasajero",'2.2 OPEX LAP 2023'!J236*'2.1 OPEX TUUA'!$H$7,'2.2 OPEX LAP 2023'!J236*'2.1 OPEX TUUA'!$H$8)</f>
        <v>0</v>
      </c>
      <c r="I235" s="3">
        <f>+IF(F235="Pasajero",'2.2 OPEX LAP 2023'!K236*'2.1 OPEX TUUA'!$I$7,'2.2 OPEX LAP 2023'!K236*'2.1 OPEX TUUA'!$I$8)</f>
        <v>0</v>
      </c>
      <c r="J235" s="3">
        <f>+IF(F235="Pasajero",'2.2 OPEX LAP 2023'!L236*'2.1 OPEX TUUA'!$J$7,'2.2 OPEX LAP 2023'!L236*'2.1 OPEX TUUA'!$J$8)</f>
        <v>0</v>
      </c>
      <c r="K235" s="3">
        <f>+IF(F235="Pasajero",'2.2 OPEX LAP 2023'!M236*'2.1 OPEX TUUA'!$K$7,'2.2 OPEX LAP 2023'!M236*'2.1 OPEX TUUA'!$K$8)</f>
        <v>0</v>
      </c>
      <c r="L235" s="3">
        <f>+IF(F235="Pasajero",'2.2 OPEX LAP 2023'!N236*'2.1 OPEX TUUA'!$L$7,'2.2 OPEX LAP 2023'!N236*'2.1 OPEX TUUA'!$L$8)</f>
        <v>0</v>
      </c>
      <c r="M235" s="3"/>
      <c r="N235" s="3">
        <f>+IF(F235="Pasajero",'2.2 OPEX LAP 2023'!I236*'2.1 OPEX TUUA'!$N$7,'2.2 OPEX LAP 2023'!I236*'2.1 OPEX TUUA'!$N$8)</f>
        <v>0</v>
      </c>
      <c r="O235" s="3">
        <f>+IF(F235="Pasajero",'2.2 OPEX LAP 2023'!J236*'2.1 OPEX TUUA'!$O$7,'2.2 OPEX LAP 2023'!J236*'2.1 OPEX TUUA'!$O$8)</f>
        <v>0</v>
      </c>
      <c r="P235" s="3">
        <f>+IF(F235="Pasajero",'2.2 OPEX LAP 2023'!K236*'2.1 OPEX TUUA'!$P$7,'2.2 OPEX LAP 2023'!K236*'2.1 OPEX TUUA'!$P$8)</f>
        <v>0</v>
      </c>
      <c r="Q235" s="3">
        <f>+IF(F235="Pasajero",'2.2 OPEX LAP 2023'!L236*'2.1 OPEX TUUA'!$Q$7,'2.2 OPEX LAP 2023'!L236*'2.1 OPEX TUUA'!$Q$8)</f>
        <v>0</v>
      </c>
      <c r="R235" s="3">
        <f>+IF(F235="Pasajero",'2.2 OPEX LAP 2023'!M236*'2.1 OPEX TUUA'!$R$7,'2.2 OPEX LAP 2023'!M236*'2.1 OPEX TUUA'!$R$8)</f>
        <v>0</v>
      </c>
      <c r="S235" s="3">
        <f>+IF(F235="Pasajero",'2.2 OPEX LAP 2023'!N236*'2.1 OPEX TUUA'!$S$7,'2.2 OPEX LAP 2023'!N236*'2.1 OPEX TUUA'!$S$8)</f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7">
        <f t="shared" si="21"/>
        <v>0</v>
      </c>
      <c r="AB235" s="7">
        <f t="shared" si="22"/>
        <v>0</v>
      </c>
      <c r="AC235" s="7">
        <f t="shared" si="23"/>
        <v>0</v>
      </c>
      <c r="AD235" s="7">
        <f t="shared" si="24"/>
        <v>0</v>
      </c>
      <c r="AE235" s="7">
        <f t="shared" si="25"/>
        <v>0</v>
      </c>
      <c r="AF235" s="7">
        <f t="shared" si="26"/>
        <v>0</v>
      </c>
    </row>
    <row r="236" spans="2:32" x14ac:dyDescent="0.25">
      <c r="B236" s="17">
        <v>6344000002</v>
      </c>
      <c r="C236" s="193" t="s">
        <v>176</v>
      </c>
      <c r="D236" s="193" t="s">
        <v>52</v>
      </c>
      <c r="E236" s="193" t="s">
        <v>84</v>
      </c>
      <c r="F236" s="163" t="s">
        <v>190</v>
      </c>
      <c r="G236" s="3">
        <f>+IF(F236="Pasajero",'2.2 OPEX LAP 2023'!I237*'2.1 OPEX TUUA'!$G$7,'2.2 OPEX LAP 2023'!I237*'2.1 OPEX TUUA'!$G$8)</f>
        <v>308.93587518505853</v>
      </c>
      <c r="H236" s="3">
        <f>+IF(F236="Pasajero",'2.2 OPEX LAP 2023'!J237*'2.1 OPEX TUUA'!$H$7,'2.2 OPEX LAP 2023'!J237*'2.1 OPEX TUUA'!$H$8)</f>
        <v>362.3833519871647</v>
      </c>
      <c r="I236" s="3">
        <f>+IF(F236="Pasajero",'2.2 OPEX LAP 2023'!K237*'2.1 OPEX TUUA'!$I$7,'2.2 OPEX LAP 2023'!K237*'2.1 OPEX TUUA'!$I$8)</f>
        <v>407.37654332397227</v>
      </c>
      <c r="J236" s="3">
        <f>+IF(F236="Pasajero",'2.2 OPEX LAP 2023'!L237*'2.1 OPEX TUUA'!$J$7,'2.2 OPEX LAP 2023'!L237*'2.1 OPEX TUUA'!$J$8)</f>
        <v>431.62208551281645</v>
      </c>
      <c r="K236" s="3">
        <f>+IF(F236="Pasajero",'2.2 OPEX LAP 2023'!M237*'2.1 OPEX TUUA'!$K$7,'2.2 OPEX LAP 2023'!M237*'2.1 OPEX TUUA'!$K$8)</f>
        <v>449.33686338253466</v>
      </c>
      <c r="L236" s="3">
        <f>+IF(F236="Pasajero",'2.2 OPEX LAP 2023'!N237*'2.1 OPEX TUUA'!$L$7,'2.2 OPEX LAP 2023'!N237*'2.1 OPEX TUUA'!$L$8)</f>
        <v>469.01832419140902</v>
      </c>
      <c r="M236" s="3"/>
      <c r="N236" s="3">
        <f>+IF(F236="Pasajero",'2.2 OPEX LAP 2023'!I237*'2.1 OPEX TUUA'!$N$7,'2.2 OPEX LAP 2023'!I237*'2.1 OPEX TUUA'!$N$8)</f>
        <v>152.37249473060777</v>
      </c>
      <c r="O236" s="3">
        <f>+IF(F236="Pasajero",'2.2 OPEX LAP 2023'!J237*'2.1 OPEX TUUA'!$O$7,'2.2 OPEX LAP 2023'!J237*'2.1 OPEX TUUA'!$O$8)</f>
        <v>150.08585804425789</v>
      </c>
      <c r="P236" s="3">
        <f>+IF(F236="Pasajero",'2.2 OPEX LAP 2023'!K237*'2.1 OPEX TUUA'!$P$7,'2.2 OPEX LAP 2023'!K237*'2.1 OPEX TUUA'!$P$8)</f>
        <v>149.15223456983855</v>
      </c>
      <c r="Q236" s="3">
        <f>+IF(F236="Pasajero",'2.2 OPEX LAP 2023'!L237*'2.1 OPEX TUUA'!$Q$7,'2.2 OPEX LAP 2023'!L237*'2.1 OPEX TUUA'!$Q$8)</f>
        <v>148.18056688507454</v>
      </c>
      <c r="R236" s="3">
        <f>+IF(F236="Pasajero",'2.2 OPEX LAP 2023'!M237*'2.1 OPEX TUUA'!$R$7,'2.2 OPEX LAP 2023'!M237*'2.1 OPEX TUUA'!$R$8)</f>
        <v>148.97564579351086</v>
      </c>
      <c r="S236" s="3">
        <f>+IF(F236="Pasajero",'2.2 OPEX LAP 2023'!N237*'2.1 OPEX TUUA'!$S$7,'2.2 OPEX LAP 2023'!N237*'2.1 OPEX TUUA'!$S$8)</f>
        <v>149.07073939067666</v>
      </c>
      <c r="U236" s="1">
        <v>314.77323446264745</v>
      </c>
      <c r="V236" s="1">
        <v>369.23060409247267</v>
      </c>
      <c r="W236" s="1">
        <v>415.07394409757893</v>
      </c>
      <c r="X236" s="1">
        <v>439.77760705517949</v>
      </c>
      <c r="Y236" s="1">
        <v>457.82710656538791</v>
      </c>
      <c r="Z236" s="1">
        <v>477.88044959020874</v>
      </c>
      <c r="AA236" s="7">
        <f t="shared" si="21"/>
        <v>-5.8373592775889165</v>
      </c>
      <c r="AB236" s="7">
        <f t="shared" si="22"/>
        <v>-6.8472521053079731</v>
      </c>
      <c r="AC236" s="7">
        <f t="shared" si="23"/>
        <v>-7.6974007736066596</v>
      </c>
      <c r="AD236" s="7">
        <f t="shared" si="24"/>
        <v>-8.1555215423630329</v>
      </c>
      <c r="AE236" s="7">
        <f t="shared" si="25"/>
        <v>-8.4902431828532485</v>
      </c>
      <c r="AF236" s="7">
        <f t="shared" si="26"/>
        <v>-8.8621253987997193</v>
      </c>
    </row>
    <row r="237" spans="2:32" x14ac:dyDescent="0.25">
      <c r="B237" s="17">
        <v>6344000003</v>
      </c>
      <c r="C237" s="193" t="s">
        <v>176</v>
      </c>
      <c r="D237" s="193" t="s">
        <v>52</v>
      </c>
      <c r="E237" s="193" t="s">
        <v>85</v>
      </c>
      <c r="F237" s="163" t="s">
        <v>190</v>
      </c>
      <c r="G237" s="3">
        <f>+IF(F237="Pasajero",'2.2 OPEX LAP 2023'!I238*'2.1 OPEX TUUA'!$G$7,'2.2 OPEX LAP 2023'!I238*'2.1 OPEX TUUA'!$G$8)</f>
        <v>827.44592234173911</v>
      </c>
      <c r="H237" s="3">
        <f>+IF(F237="Pasajero",'2.2 OPEX LAP 2023'!J238*'2.1 OPEX TUUA'!$H$7,'2.2 OPEX LAP 2023'!J238*'2.1 OPEX TUUA'!$H$8)</f>
        <v>970.59827301278335</v>
      </c>
      <c r="I237" s="3">
        <f>+IF(F237="Pasajero",'2.2 OPEX LAP 2023'!K238*'2.1 OPEX TUUA'!$I$7,'2.2 OPEX LAP 2023'!K238*'2.1 OPEX TUUA'!$I$8)</f>
        <v>1091.1068823883761</v>
      </c>
      <c r="J237" s="3">
        <f>+IF(F237="Pasajero",'2.2 OPEX LAP 2023'!L238*'2.1 OPEX TUUA'!$J$7,'2.2 OPEX LAP 2023'!L238*'2.1 OPEX TUUA'!$J$8)</f>
        <v>1156.045520567274</v>
      </c>
      <c r="K237" s="3">
        <f>+IF(F237="Pasajero",'2.2 OPEX LAP 2023'!M238*'2.1 OPEX TUUA'!$K$7,'2.2 OPEX LAP 2023'!M238*'2.1 OPEX TUUA'!$K$8)</f>
        <v>1203.4923271406692</v>
      </c>
      <c r="L237" s="3">
        <f>+IF(F237="Pasajero",'2.2 OPEX LAP 2023'!N238*'2.1 OPEX TUUA'!$L$7,'2.2 OPEX LAP 2023'!N238*'2.1 OPEX TUUA'!$L$8)</f>
        <v>1256.2066468430237</v>
      </c>
      <c r="M237" s="3"/>
      <c r="N237" s="3">
        <f>+IF(F237="Pasajero",'2.2 OPEX LAP 2023'!I238*'2.1 OPEX TUUA'!$N$7,'2.2 OPEX LAP 2023'!I238*'2.1 OPEX TUUA'!$N$8)</f>
        <v>408.11058076811304</v>
      </c>
      <c r="O237" s="3">
        <f>+IF(F237="Pasajero",'2.2 OPEX LAP 2023'!J238*'2.1 OPEX TUUA'!$O$7,'2.2 OPEX LAP 2023'!J238*'2.1 OPEX TUUA'!$O$8)</f>
        <v>401.9861117310877</v>
      </c>
      <c r="P237" s="3">
        <f>+IF(F237="Pasajero",'2.2 OPEX LAP 2023'!K238*'2.1 OPEX TUUA'!$P$7,'2.2 OPEX LAP 2023'!K238*'2.1 OPEX TUUA'!$P$8)</f>
        <v>399.48551856932534</v>
      </c>
      <c r="Q237" s="3">
        <f>+IF(F237="Pasajero",'2.2 OPEX LAP 2023'!L238*'2.1 OPEX TUUA'!$Q$7,'2.2 OPEX LAP 2023'!L238*'2.1 OPEX TUUA'!$Q$8)</f>
        <v>396.88302877060067</v>
      </c>
      <c r="R237" s="3">
        <f>+IF(F237="Pasajero",'2.2 OPEX LAP 2023'!M238*'2.1 OPEX TUUA'!$R$7,'2.2 OPEX LAP 2023'!M238*'2.1 OPEX TUUA'!$R$8)</f>
        <v>399.01254772119671</v>
      </c>
      <c r="S237" s="3">
        <f>+IF(F237="Pasajero",'2.2 OPEX LAP 2023'!N238*'2.1 OPEX TUUA'!$S$7,'2.2 OPEX LAP 2023'!N238*'2.1 OPEX TUUA'!$S$8)</f>
        <v>399.26724397221807</v>
      </c>
      <c r="U237" s="1">
        <v>843.0805556733045</v>
      </c>
      <c r="V237" s="1">
        <v>988.93777738529764</v>
      </c>
      <c r="W237" s="1">
        <v>1111.7234031434864</v>
      </c>
      <c r="X237" s="1">
        <v>1177.8890602363272</v>
      </c>
      <c r="Y237" s="1">
        <v>1226.2323766643233</v>
      </c>
      <c r="Z237" s="1">
        <v>1279.9427361532257</v>
      </c>
      <c r="AA237" s="7">
        <f t="shared" si="21"/>
        <v>-15.634633331565396</v>
      </c>
      <c r="AB237" s="7">
        <f t="shared" si="22"/>
        <v>-18.339504372514284</v>
      </c>
      <c r="AC237" s="7">
        <f t="shared" si="23"/>
        <v>-20.616520755110287</v>
      </c>
      <c r="AD237" s="7">
        <f t="shared" si="24"/>
        <v>-21.843539669053143</v>
      </c>
      <c r="AE237" s="7">
        <f t="shared" si="25"/>
        <v>-22.740049523654079</v>
      </c>
      <c r="AF237" s="7">
        <f t="shared" si="26"/>
        <v>-23.736089310202033</v>
      </c>
    </row>
    <row r="238" spans="2:32" x14ac:dyDescent="0.25">
      <c r="B238" s="17">
        <v>6345000001</v>
      </c>
      <c r="C238" s="193" t="s">
        <v>176</v>
      </c>
      <c r="D238" s="193" t="s">
        <v>52</v>
      </c>
      <c r="E238" s="193" t="s">
        <v>86</v>
      </c>
      <c r="F238" s="163" t="s">
        <v>190</v>
      </c>
      <c r="G238" s="3">
        <f>+IF(F238="Pasajero",'2.2 OPEX LAP 2023'!I239*'2.1 OPEX TUUA'!$G$7,'2.2 OPEX LAP 2023'!I239*'2.1 OPEX TUUA'!$G$8)</f>
        <v>189.45208986178687</v>
      </c>
      <c r="H238" s="3">
        <f>+IF(F238="Pasajero",'2.2 OPEX LAP 2023'!J239*'2.1 OPEX TUUA'!$H$7,'2.2 OPEX LAP 2023'!J239*'2.1 OPEX TUUA'!$H$8)</f>
        <v>222.22826443825156</v>
      </c>
      <c r="I238" s="3">
        <f>+IF(F238="Pasajero",'2.2 OPEX LAP 2023'!K239*'2.1 OPEX TUUA'!$I$7,'2.2 OPEX LAP 2023'!K239*'2.1 OPEX TUUA'!$I$8)</f>
        <v>249.81992605153417</v>
      </c>
      <c r="J238" s="3">
        <f>+IF(F238="Pasajero",'2.2 OPEX LAP 2023'!L239*'2.1 OPEX TUUA'!$J$7,'2.2 OPEX LAP 2023'!L239*'2.1 OPEX TUUA'!$J$8)</f>
        <v>264.68828225897408</v>
      </c>
      <c r="K238" s="3">
        <f>+IF(F238="Pasajero",'2.2 OPEX LAP 2023'!M239*'2.1 OPEX TUUA'!$K$7,'2.2 OPEX LAP 2023'!M239*'2.1 OPEX TUUA'!$K$8)</f>
        <v>275.55170719091205</v>
      </c>
      <c r="L238" s="3">
        <f>+IF(F238="Pasajero",'2.2 OPEX LAP 2023'!N239*'2.1 OPEX TUUA'!$L$7,'2.2 OPEX LAP 2023'!N239*'2.1 OPEX TUUA'!$L$8)</f>
        <v>287.62118238391304</v>
      </c>
      <c r="M238" s="3"/>
      <c r="N238" s="3">
        <f>+IF(F238="Pasajero",'2.2 OPEX LAP 2023'!I239*'2.1 OPEX TUUA'!$N$7,'2.2 OPEX LAP 2023'!I239*'2.1 OPEX TUUA'!$N$8)</f>
        <v>93.441033829029038</v>
      </c>
      <c r="O238" s="3">
        <f>+IF(F238="Pasajero",'2.2 OPEX LAP 2023'!J239*'2.1 OPEX TUUA'!$O$7,'2.2 OPEX LAP 2023'!J239*'2.1 OPEX TUUA'!$O$8)</f>
        <v>92.038774869223502</v>
      </c>
      <c r="P238" s="3">
        <f>+IF(F238="Pasajero",'2.2 OPEX LAP 2023'!K239*'2.1 OPEX TUUA'!$P$7,'2.2 OPEX LAP 2023'!K239*'2.1 OPEX TUUA'!$P$8)</f>
        <v>91.466238842882063</v>
      </c>
      <c r="Q238" s="3">
        <f>+IF(F238="Pasajero",'2.2 OPEX LAP 2023'!L239*'2.1 OPEX TUUA'!$Q$7,'2.2 OPEX LAP 2023'!L239*'2.1 OPEX TUUA'!$Q$8)</f>
        <v>90.870372553738946</v>
      </c>
      <c r="R238" s="3">
        <f>+IF(F238="Pasajero",'2.2 OPEX LAP 2023'!M239*'2.1 OPEX TUUA'!$R$7,'2.2 OPEX LAP 2023'!M239*'2.1 OPEX TUUA'!$R$8)</f>
        <v>91.357947396634927</v>
      </c>
      <c r="S238" s="3">
        <f>+IF(F238="Pasajero",'2.2 OPEX LAP 2023'!N239*'2.1 OPEX TUUA'!$S$7,'2.2 OPEX LAP 2023'!N239*'2.1 OPEX TUUA'!$S$8)</f>
        <v>91.416262672271799</v>
      </c>
      <c r="U238" s="1">
        <v>193.03179686004614</v>
      </c>
      <c r="V238" s="1">
        <v>226.42727894371828</v>
      </c>
      <c r="W238" s="1">
        <v>254.54028642466972</v>
      </c>
      <c r="X238" s="1">
        <v>269.68958098864721</v>
      </c>
      <c r="Y238" s="1">
        <v>280.75827089434341</v>
      </c>
      <c r="Z238" s="1">
        <v>293.05579944291947</v>
      </c>
      <c r="AA238" s="7">
        <f t="shared" si="21"/>
        <v>-3.5797069982592689</v>
      </c>
      <c r="AB238" s="7">
        <f t="shared" si="22"/>
        <v>-4.1990145054667209</v>
      </c>
      <c r="AC238" s="7">
        <f t="shared" si="23"/>
        <v>-4.7203603731355486</v>
      </c>
      <c r="AD238" s="7">
        <f t="shared" si="24"/>
        <v>-5.0012987296731239</v>
      </c>
      <c r="AE238" s="7">
        <f t="shared" si="25"/>
        <v>-5.2065637034313568</v>
      </c>
      <c r="AF238" s="7">
        <f t="shared" si="26"/>
        <v>-5.4346170590064276</v>
      </c>
    </row>
    <row r="239" spans="2:32" x14ac:dyDescent="0.25">
      <c r="B239" s="17">
        <v>6346000001</v>
      </c>
      <c r="C239" s="193" t="s">
        <v>176</v>
      </c>
      <c r="D239" s="193" t="s">
        <v>52</v>
      </c>
      <c r="E239" s="193" t="s">
        <v>87</v>
      </c>
      <c r="F239" s="163" t="s">
        <v>190</v>
      </c>
      <c r="G239" s="3">
        <f>+IF(F239="Pasajero",'2.2 OPEX LAP 2023'!I240*'2.1 OPEX TUUA'!$G$7,'2.2 OPEX LAP 2023'!I240*'2.1 OPEX TUUA'!$G$8)</f>
        <v>0</v>
      </c>
      <c r="H239" s="3">
        <f>+IF(F239="Pasajero",'2.2 OPEX LAP 2023'!J240*'2.1 OPEX TUUA'!$H$7,'2.2 OPEX LAP 2023'!J240*'2.1 OPEX TUUA'!$H$8)</f>
        <v>0</v>
      </c>
      <c r="I239" s="3">
        <f>+IF(F239="Pasajero",'2.2 OPEX LAP 2023'!K240*'2.1 OPEX TUUA'!$I$7,'2.2 OPEX LAP 2023'!K240*'2.1 OPEX TUUA'!$I$8)</f>
        <v>0</v>
      </c>
      <c r="J239" s="3">
        <f>+IF(F239="Pasajero",'2.2 OPEX LAP 2023'!L240*'2.1 OPEX TUUA'!$J$7,'2.2 OPEX LAP 2023'!L240*'2.1 OPEX TUUA'!$J$8)</f>
        <v>0</v>
      </c>
      <c r="K239" s="3">
        <f>+IF(F239="Pasajero",'2.2 OPEX LAP 2023'!M240*'2.1 OPEX TUUA'!$K$7,'2.2 OPEX LAP 2023'!M240*'2.1 OPEX TUUA'!$K$8)</f>
        <v>0</v>
      </c>
      <c r="L239" s="3">
        <f>+IF(F239="Pasajero",'2.2 OPEX LAP 2023'!N240*'2.1 OPEX TUUA'!$L$7,'2.2 OPEX LAP 2023'!N240*'2.1 OPEX TUUA'!$L$8)</f>
        <v>0</v>
      </c>
      <c r="M239" s="3"/>
      <c r="N239" s="3">
        <f>+IF(F239="Pasajero",'2.2 OPEX LAP 2023'!I240*'2.1 OPEX TUUA'!$N$7,'2.2 OPEX LAP 2023'!I240*'2.1 OPEX TUUA'!$N$8)</f>
        <v>0</v>
      </c>
      <c r="O239" s="3">
        <f>+IF(F239="Pasajero",'2.2 OPEX LAP 2023'!J240*'2.1 OPEX TUUA'!$O$7,'2.2 OPEX LAP 2023'!J240*'2.1 OPEX TUUA'!$O$8)</f>
        <v>0</v>
      </c>
      <c r="P239" s="3">
        <f>+IF(F239="Pasajero",'2.2 OPEX LAP 2023'!K240*'2.1 OPEX TUUA'!$P$7,'2.2 OPEX LAP 2023'!K240*'2.1 OPEX TUUA'!$P$8)</f>
        <v>0</v>
      </c>
      <c r="Q239" s="3">
        <f>+IF(F239="Pasajero",'2.2 OPEX LAP 2023'!L240*'2.1 OPEX TUUA'!$Q$7,'2.2 OPEX LAP 2023'!L240*'2.1 OPEX TUUA'!$Q$8)</f>
        <v>0</v>
      </c>
      <c r="R239" s="3">
        <f>+IF(F239="Pasajero",'2.2 OPEX LAP 2023'!M240*'2.1 OPEX TUUA'!$R$7,'2.2 OPEX LAP 2023'!M240*'2.1 OPEX TUUA'!$R$8)</f>
        <v>0</v>
      </c>
      <c r="S239" s="3">
        <f>+IF(F239="Pasajero",'2.2 OPEX LAP 2023'!N240*'2.1 OPEX TUUA'!$S$7,'2.2 OPEX LAP 2023'!N240*'2.1 OPEX TUUA'!$S$8)</f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7">
        <f t="shared" si="21"/>
        <v>0</v>
      </c>
      <c r="AB239" s="7">
        <f t="shared" si="22"/>
        <v>0</v>
      </c>
      <c r="AC239" s="7">
        <f t="shared" si="23"/>
        <v>0</v>
      </c>
      <c r="AD239" s="7">
        <f t="shared" si="24"/>
        <v>0</v>
      </c>
      <c r="AE239" s="7">
        <f t="shared" si="25"/>
        <v>0</v>
      </c>
      <c r="AF239" s="7">
        <f t="shared" si="26"/>
        <v>0</v>
      </c>
    </row>
    <row r="240" spans="2:32" x14ac:dyDescent="0.25">
      <c r="B240" s="17">
        <v>6347000001</v>
      </c>
      <c r="C240" s="193" t="s">
        <v>176</v>
      </c>
      <c r="D240" s="193" t="s">
        <v>52</v>
      </c>
      <c r="E240" s="193" t="s">
        <v>88</v>
      </c>
      <c r="F240" s="163" t="s">
        <v>190</v>
      </c>
      <c r="G240" s="3">
        <f>+IF(F240="Pasajero",'2.2 OPEX LAP 2023'!I241*'2.1 OPEX TUUA'!$G$7,'2.2 OPEX LAP 2023'!I241*'2.1 OPEX TUUA'!$G$8)</f>
        <v>0</v>
      </c>
      <c r="H240" s="3">
        <f>+IF(F240="Pasajero",'2.2 OPEX LAP 2023'!J241*'2.1 OPEX TUUA'!$H$7,'2.2 OPEX LAP 2023'!J241*'2.1 OPEX TUUA'!$H$8)</f>
        <v>0</v>
      </c>
      <c r="I240" s="3">
        <f>+IF(F240="Pasajero",'2.2 OPEX LAP 2023'!K241*'2.1 OPEX TUUA'!$I$7,'2.2 OPEX LAP 2023'!K241*'2.1 OPEX TUUA'!$I$8)</f>
        <v>0</v>
      </c>
      <c r="J240" s="3">
        <f>+IF(F240="Pasajero",'2.2 OPEX LAP 2023'!L241*'2.1 OPEX TUUA'!$J$7,'2.2 OPEX LAP 2023'!L241*'2.1 OPEX TUUA'!$J$8)</f>
        <v>0</v>
      </c>
      <c r="K240" s="3">
        <f>+IF(F240="Pasajero",'2.2 OPEX LAP 2023'!M241*'2.1 OPEX TUUA'!$K$7,'2.2 OPEX LAP 2023'!M241*'2.1 OPEX TUUA'!$K$8)</f>
        <v>0</v>
      </c>
      <c r="L240" s="3">
        <f>+IF(F240="Pasajero",'2.2 OPEX LAP 2023'!N241*'2.1 OPEX TUUA'!$L$7,'2.2 OPEX LAP 2023'!N241*'2.1 OPEX TUUA'!$L$8)</f>
        <v>0</v>
      </c>
      <c r="M240" s="3"/>
      <c r="N240" s="3">
        <f>+IF(F240="Pasajero",'2.2 OPEX LAP 2023'!I241*'2.1 OPEX TUUA'!$N$7,'2.2 OPEX LAP 2023'!I241*'2.1 OPEX TUUA'!$N$8)</f>
        <v>0</v>
      </c>
      <c r="O240" s="3">
        <f>+IF(F240="Pasajero",'2.2 OPEX LAP 2023'!J241*'2.1 OPEX TUUA'!$O$7,'2.2 OPEX LAP 2023'!J241*'2.1 OPEX TUUA'!$O$8)</f>
        <v>0</v>
      </c>
      <c r="P240" s="3">
        <f>+IF(F240="Pasajero",'2.2 OPEX LAP 2023'!K241*'2.1 OPEX TUUA'!$P$7,'2.2 OPEX LAP 2023'!K241*'2.1 OPEX TUUA'!$P$8)</f>
        <v>0</v>
      </c>
      <c r="Q240" s="3">
        <f>+IF(F240="Pasajero",'2.2 OPEX LAP 2023'!L241*'2.1 OPEX TUUA'!$Q$7,'2.2 OPEX LAP 2023'!L241*'2.1 OPEX TUUA'!$Q$8)</f>
        <v>0</v>
      </c>
      <c r="R240" s="3">
        <f>+IF(F240="Pasajero",'2.2 OPEX LAP 2023'!M241*'2.1 OPEX TUUA'!$R$7,'2.2 OPEX LAP 2023'!M241*'2.1 OPEX TUUA'!$R$8)</f>
        <v>0</v>
      </c>
      <c r="S240" s="3">
        <f>+IF(F240="Pasajero",'2.2 OPEX LAP 2023'!N241*'2.1 OPEX TUUA'!$S$7,'2.2 OPEX LAP 2023'!N241*'2.1 OPEX TUUA'!$S$8)</f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7">
        <f t="shared" si="21"/>
        <v>0</v>
      </c>
      <c r="AB240" s="7">
        <f t="shared" si="22"/>
        <v>0</v>
      </c>
      <c r="AC240" s="7">
        <f t="shared" si="23"/>
        <v>0</v>
      </c>
      <c r="AD240" s="7">
        <f t="shared" si="24"/>
        <v>0</v>
      </c>
      <c r="AE240" s="7">
        <f t="shared" si="25"/>
        <v>0</v>
      </c>
      <c r="AF240" s="7">
        <f t="shared" si="26"/>
        <v>0</v>
      </c>
    </row>
    <row r="241" spans="2:32" x14ac:dyDescent="0.25">
      <c r="B241" s="17">
        <v>6348000001</v>
      </c>
      <c r="C241" s="193" t="s">
        <v>176</v>
      </c>
      <c r="D241" s="193" t="s">
        <v>52</v>
      </c>
      <c r="E241" s="193" t="s">
        <v>89</v>
      </c>
      <c r="F241" s="163" t="s">
        <v>190</v>
      </c>
      <c r="G241" s="3">
        <f>+IF(F241="Pasajero",'2.2 OPEX LAP 2023'!I242*'2.1 OPEX TUUA'!$G$7,'2.2 OPEX LAP 2023'!I242*'2.1 OPEX TUUA'!$G$8)</f>
        <v>149.53782664926152</v>
      </c>
      <c r="H241" s="3">
        <f>+IF(F241="Pasajero",'2.2 OPEX LAP 2023'!J242*'2.1 OPEX TUUA'!$H$7,'2.2 OPEX LAP 2023'!J242*'2.1 OPEX TUUA'!$H$8)</f>
        <v>175.40863079619385</v>
      </c>
      <c r="I241" s="3">
        <f>+IF(F241="Pasajero",'2.2 OPEX LAP 2023'!K242*'2.1 OPEX TUUA'!$I$7,'2.2 OPEX LAP 2023'!K242*'2.1 OPEX TUUA'!$I$8)</f>
        <v>197.1872087696658</v>
      </c>
      <c r="J241" s="3">
        <f>+IF(F241="Pasajero",'2.2 OPEX LAP 2023'!L242*'2.1 OPEX TUUA'!$J$7,'2.2 OPEX LAP 2023'!L242*'2.1 OPEX TUUA'!$J$8)</f>
        <v>208.9230606925961</v>
      </c>
      <c r="K241" s="3">
        <f>+IF(F241="Pasajero",'2.2 OPEX LAP 2023'!M242*'2.1 OPEX TUUA'!$K$7,'2.2 OPEX LAP 2023'!M242*'2.1 OPEX TUUA'!$K$8)</f>
        <v>217.49775076582011</v>
      </c>
      <c r="L241" s="3">
        <f>+IF(F241="Pasajero",'2.2 OPEX LAP 2023'!N242*'2.1 OPEX TUUA'!$L$7,'2.2 OPEX LAP 2023'!N242*'2.1 OPEX TUUA'!$L$8)</f>
        <v>227.02439726771539</v>
      </c>
      <c r="M241" s="3"/>
      <c r="N241" s="3">
        <f>+IF(F241="Pasajero",'2.2 OPEX LAP 2023'!I242*'2.1 OPEX TUUA'!$N$7,'2.2 OPEX LAP 2023'!I242*'2.1 OPEX TUUA'!$N$8)</f>
        <v>73.754631732207244</v>
      </c>
      <c r="O241" s="3">
        <f>+IF(F241="Pasajero",'2.2 OPEX LAP 2023'!J242*'2.1 OPEX TUUA'!$O$7,'2.2 OPEX LAP 2023'!J242*'2.1 OPEX TUUA'!$O$8)</f>
        <v>72.647804368087108</v>
      </c>
      <c r="P241" s="3">
        <f>+IF(F241="Pasajero",'2.2 OPEX LAP 2023'!K242*'2.1 OPEX TUUA'!$P$7,'2.2 OPEX LAP 2023'!K242*'2.1 OPEX TUUA'!$P$8)</f>
        <v>72.195891733499849</v>
      </c>
      <c r="Q241" s="3">
        <f>+IF(F241="Pasajero",'2.2 OPEX LAP 2023'!L242*'2.1 OPEX TUUA'!$Q$7,'2.2 OPEX LAP 2023'!L242*'2.1 OPEX TUUA'!$Q$8)</f>
        <v>71.725564117071713</v>
      </c>
      <c r="R241" s="3">
        <f>+IF(F241="Pasajero",'2.2 OPEX LAP 2023'!M242*'2.1 OPEX TUUA'!$R$7,'2.2 OPEX LAP 2023'!M242*'2.1 OPEX TUUA'!$R$8)</f>
        <v>72.110415413189443</v>
      </c>
      <c r="S241" s="3">
        <f>+IF(F241="Pasajero",'2.2 OPEX LAP 2023'!N242*'2.1 OPEX TUUA'!$S$7,'2.2 OPEX LAP 2023'!N242*'2.1 OPEX TUUA'!$S$8)</f>
        <v>72.156444673597974</v>
      </c>
      <c r="U241" s="1">
        <v>152.36335158779013</v>
      </c>
      <c r="V241" s="1">
        <v>178.7229859119083</v>
      </c>
      <c r="W241" s="1">
        <v>200.91307123819252</v>
      </c>
      <c r="X241" s="1">
        <v>212.87067268782215</v>
      </c>
      <c r="Y241" s="1">
        <v>221.6073819717364</v>
      </c>
      <c r="Z241" s="1">
        <v>231.31403495008522</v>
      </c>
      <c r="AA241" s="7">
        <f t="shared" si="21"/>
        <v>-2.8255249385286163</v>
      </c>
      <c r="AB241" s="7">
        <f t="shared" si="22"/>
        <v>-3.3143551157144486</v>
      </c>
      <c r="AC241" s="7">
        <f t="shared" si="23"/>
        <v>-3.7258624685267137</v>
      </c>
      <c r="AD241" s="7">
        <f t="shared" si="24"/>
        <v>-3.9476119952260547</v>
      </c>
      <c r="AE241" s="7">
        <f t="shared" si="25"/>
        <v>-4.1096312059162869</v>
      </c>
      <c r="AF241" s="7">
        <f t="shared" si="26"/>
        <v>-4.289637682369829</v>
      </c>
    </row>
    <row r="242" spans="2:32" x14ac:dyDescent="0.25">
      <c r="B242" s="17">
        <v>6354000001</v>
      </c>
      <c r="C242" s="193" t="s">
        <v>176</v>
      </c>
      <c r="D242" s="193" t="s">
        <v>40</v>
      </c>
      <c r="E242" s="193" t="s">
        <v>90</v>
      </c>
      <c r="F242" s="163" t="s">
        <v>190</v>
      </c>
      <c r="G242" s="3">
        <f>+IF(F242="Pasajero",'2.2 OPEX LAP 2023'!I243*'2.1 OPEX TUUA'!$G$7,'2.2 OPEX LAP 2023'!I243*'2.1 OPEX TUUA'!$G$8)</f>
        <v>0</v>
      </c>
      <c r="H242" s="3">
        <f>+IF(F242="Pasajero",'2.2 OPEX LAP 2023'!J243*'2.1 OPEX TUUA'!$H$7,'2.2 OPEX LAP 2023'!J243*'2.1 OPEX TUUA'!$H$8)</f>
        <v>0</v>
      </c>
      <c r="I242" s="3">
        <f>+IF(F242="Pasajero",'2.2 OPEX LAP 2023'!K243*'2.1 OPEX TUUA'!$I$7,'2.2 OPEX LAP 2023'!K243*'2.1 OPEX TUUA'!$I$8)</f>
        <v>0</v>
      </c>
      <c r="J242" s="3">
        <f>+IF(F242="Pasajero",'2.2 OPEX LAP 2023'!L243*'2.1 OPEX TUUA'!$J$7,'2.2 OPEX LAP 2023'!L243*'2.1 OPEX TUUA'!$J$8)</f>
        <v>0</v>
      </c>
      <c r="K242" s="3">
        <f>+IF(F242="Pasajero",'2.2 OPEX LAP 2023'!M243*'2.1 OPEX TUUA'!$K$7,'2.2 OPEX LAP 2023'!M243*'2.1 OPEX TUUA'!$K$8)</f>
        <v>0</v>
      </c>
      <c r="L242" s="3">
        <f>+IF(F242="Pasajero",'2.2 OPEX LAP 2023'!N243*'2.1 OPEX TUUA'!$L$7,'2.2 OPEX LAP 2023'!N243*'2.1 OPEX TUUA'!$L$8)</f>
        <v>0</v>
      </c>
      <c r="M242" s="3"/>
      <c r="N242" s="3">
        <f>+IF(F242="Pasajero",'2.2 OPEX LAP 2023'!I243*'2.1 OPEX TUUA'!$N$7,'2.2 OPEX LAP 2023'!I243*'2.1 OPEX TUUA'!$N$8)</f>
        <v>0</v>
      </c>
      <c r="O242" s="3">
        <f>+IF(F242="Pasajero",'2.2 OPEX LAP 2023'!J243*'2.1 OPEX TUUA'!$O$7,'2.2 OPEX LAP 2023'!J243*'2.1 OPEX TUUA'!$O$8)</f>
        <v>0</v>
      </c>
      <c r="P242" s="3">
        <f>+IF(F242="Pasajero",'2.2 OPEX LAP 2023'!K243*'2.1 OPEX TUUA'!$P$7,'2.2 OPEX LAP 2023'!K243*'2.1 OPEX TUUA'!$P$8)</f>
        <v>0</v>
      </c>
      <c r="Q242" s="3">
        <f>+IF(F242="Pasajero",'2.2 OPEX LAP 2023'!L243*'2.1 OPEX TUUA'!$Q$7,'2.2 OPEX LAP 2023'!L243*'2.1 OPEX TUUA'!$Q$8)</f>
        <v>0</v>
      </c>
      <c r="R242" s="3">
        <f>+IF(F242="Pasajero",'2.2 OPEX LAP 2023'!M243*'2.1 OPEX TUUA'!$R$7,'2.2 OPEX LAP 2023'!M243*'2.1 OPEX TUUA'!$R$8)</f>
        <v>0</v>
      </c>
      <c r="S242" s="3">
        <f>+IF(F242="Pasajero",'2.2 OPEX LAP 2023'!N243*'2.1 OPEX TUUA'!$S$7,'2.2 OPEX LAP 2023'!N243*'2.1 OPEX TUUA'!$S$8)</f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7">
        <f t="shared" si="21"/>
        <v>0</v>
      </c>
      <c r="AB242" s="7">
        <f t="shared" si="22"/>
        <v>0</v>
      </c>
      <c r="AC242" s="7">
        <f t="shared" si="23"/>
        <v>0</v>
      </c>
      <c r="AD242" s="7">
        <f t="shared" si="24"/>
        <v>0</v>
      </c>
      <c r="AE242" s="7">
        <f t="shared" si="25"/>
        <v>0</v>
      </c>
      <c r="AF242" s="7">
        <f t="shared" si="26"/>
        <v>0</v>
      </c>
    </row>
    <row r="243" spans="2:32" x14ac:dyDescent="0.25">
      <c r="B243" s="17">
        <v>6356000001</v>
      </c>
      <c r="C243" s="193" t="s">
        <v>176</v>
      </c>
      <c r="D243" s="193" t="s">
        <v>40</v>
      </c>
      <c r="E243" s="193" t="s">
        <v>91</v>
      </c>
      <c r="F243" s="163" t="s">
        <v>190</v>
      </c>
      <c r="G243" s="3">
        <f>+IF(F243="Pasajero",'2.2 OPEX LAP 2023'!I244*'2.1 OPEX TUUA'!$G$7,'2.2 OPEX LAP 2023'!I244*'2.1 OPEX TUUA'!$G$8)</f>
        <v>0</v>
      </c>
      <c r="H243" s="3">
        <f>+IF(F243="Pasajero",'2.2 OPEX LAP 2023'!J244*'2.1 OPEX TUUA'!$H$7,'2.2 OPEX LAP 2023'!J244*'2.1 OPEX TUUA'!$H$8)</f>
        <v>0</v>
      </c>
      <c r="I243" s="3">
        <f>+IF(F243="Pasajero",'2.2 OPEX LAP 2023'!K244*'2.1 OPEX TUUA'!$I$7,'2.2 OPEX LAP 2023'!K244*'2.1 OPEX TUUA'!$I$8)</f>
        <v>0</v>
      </c>
      <c r="J243" s="3">
        <f>+IF(F243="Pasajero",'2.2 OPEX LAP 2023'!L244*'2.1 OPEX TUUA'!$J$7,'2.2 OPEX LAP 2023'!L244*'2.1 OPEX TUUA'!$J$8)</f>
        <v>0</v>
      </c>
      <c r="K243" s="3">
        <f>+IF(F243="Pasajero",'2.2 OPEX LAP 2023'!M244*'2.1 OPEX TUUA'!$K$7,'2.2 OPEX LAP 2023'!M244*'2.1 OPEX TUUA'!$K$8)</f>
        <v>0</v>
      </c>
      <c r="L243" s="3">
        <f>+IF(F243="Pasajero",'2.2 OPEX LAP 2023'!N244*'2.1 OPEX TUUA'!$L$7,'2.2 OPEX LAP 2023'!N244*'2.1 OPEX TUUA'!$L$8)</f>
        <v>0</v>
      </c>
      <c r="M243" s="3"/>
      <c r="N243" s="3">
        <f>+IF(F243="Pasajero",'2.2 OPEX LAP 2023'!I244*'2.1 OPEX TUUA'!$N$7,'2.2 OPEX LAP 2023'!I244*'2.1 OPEX TUUA'!$N$8)</f>
        <v>0</v>
      </c>
      <c r="O243" s="3">
        <f>+IF(F243="Pasajero",'2.2 OPEX LAP 2023'!J244*'2.1 OPEX TUUA'!$O$7,'2.2 OPEX LAP 2023'!J244*'2.1 OPEX TUUA'!$O$8)</f>
        <v>0</v>
      </c>
      <c r="P243" s="3">
        <f>+IF(F243="Pasajero",'2.2 OPEX LAP 2023'!K244*'2.1 OPEX TUUA'!$P$7,'2.2 OPEX LAP 2023'!K244*'2.1 OPEX TUUA'!$P$8)</f>
        <v>0</v>
      </c>
      <c r="Q243" s="3">
        <f>+IF(F243="Pasajero",'2.2 OPEX LAP 2023'!L244*'2.1 OPEX TUUA'!$Q$7,'2.2 OPEX LAP 2023'!L244*'2.1 OPEX TUUA'!$Q$8)</f>
        <v>0</v>
      </c>
      <c r="R243" s="3">
        <f>+IF(F243="Pasajero",'2.2 OPEX LAP 2023'!M244*'2.1 OPEX TUUA'!$R$7,'2.2 OPEX LAP 2023'!M244*'2.1 OPEX TUUA'!$R$8)</f>
        <v>0</v>
      </c>
      <c r="S243" s="3">
        <f>+IF(F243="Pasajero",'2.2 OPEX LAP 2023'!N244*'2.1 OPEX TUUA'!$S$7,'2.2 OPEX LAP 2023'!N244*'2.1 OPEX TUUA'!$S$8)</f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7">
        <f t="shared" si="21"/>
        <v>0</v>
      </c>
      <c r="AB243" s="7">
        <f t="shared" si="22"/>
        <v>0</v>
      </c>
      <c r="AC243" s="7">
        <f t="shared" si="23"/>
        <v>0</v>
      </c>
      <c r="AD243" s="7">
        <f t="shared" si="24"/>
        <v>0</v>
      </c>
      <c r="AE243" s="7">
        <f t="shared" si="25"/>
        <v>0</v>
      </c>
      <c r="AF243" s="7">
        <f t="shared" si="26"/>
        <v>0</v>
      </c>
    </row>
    <row r="244" spans="2:32" x14ac:dyDescent="0.25">
      <c r="B244" s="17">
        <v>6356000002</v>
      </c>
      <c r="C244" s="193" t="s">
        <v>176</v>
      </c>
      <c r="D244" s="193" t="s">
        <v>40</v>
      </c>
      <c r="E244" s="193" t="s">
        <v>92</v>
      </c>
      <c r="F244" s="163" t="s">
        <v>190</v>
      </c>
      <c r="G244" s="3">
        <f>+IF(F244="Pasajero",'2.2 OPEX LAP 2023'!I245*'2.1 OPEX TUUA'!$G$7,'2.2 OPEX LAP 2023'!I245*'2.1 OPEX TUUA'!$G$8)</f>
        <v>2597.6496983640263</v>
      </c>
      <c r="H244" s="3">
        <f>+IF(F244="Pasajero",'2.2 OPEX LAP 2023'!J245*'2.1 OPEX TUUA'!$H$7,'2.2 OPEX LAP 2023'!J245*'2.1 OPEX TUUA'!$H$8)</f>
        <v>3047.0563006569546</v>
      </c>
      <c r="I244" s="3">
        <f>+IF(F244="Pasajero",'2.2 OPEX LAP 2023'!K245*'2.1 OPEX TUUA'!$I$7,'2.2 OPEX LAP 2023'!K245*'2.1 OPEX TUUA'!$I$8)</f>
        <v>3425.3760727924569</v>
      </c>
      <c r="J244" s="3">
        <f>+IF(F244="Pasajero",'2.2 OPEX LAP 2023'!L245*'2.1 OPEX TUUA'!$J$7,'2.2 OPEX LAP 2023'!L245*'2.1 OPEX TUUA'!$J$8)</f>
        <v>3629.2417627703403</v>
      </c>
      <c r="K244" s="3">
        <f>+IF(F244="Pasajero",'2.2 OPEX LAP 2023'!M245*'2.1 OPEX TUUA'!$K$7,'2.2 OPEX LAP 2023'!M245*'2.1 OPEX TUUA'!$K$8)</f>
        <v>3778.1943159896596</v>
      </c>
      <c r="L244" s="3">
        <f>+IF(F244="Pasajero",'2.2 OPEX LAP 2023'!N245*'2.1 OPEX TUUA'!$L$7,'2.2 OPEX LAP 2023'!N245*'2.1 OPEX TUUA'!$L$8)</f>
        <v>3943.6834832898658</v>
      </c>
      <c r="M244" s="3"/>
      <c r="N244" s="3">
        <f>+IF(F244="Pasajero",'2.2 OPEX LAP 2023'!I245*'2.1 OPEX TUUA'!$N$7,'2.2 OPEX LAP 2023'!I245*'2.1 OPEX TUUA'!$N$8)</f>
        <v>1281.2055729650672</v>
      </c>
      <c r="O244" s="3">
        <f>+IF(F244="Pasajero",'2.2 OPEX LAP 2023'!J245*'2.1 OPEX TUUA'!$O$7,'2.2 OPEX LAP 2023'!J245*'2.1 OPEX TUUA'!$O$8)</f>
        <v>1261.9786667502849</v>
      </c>
      <c r="P244" s="3">
        <f>+IF(F244="Pasajero",'2.2 OPEX LAP 2023'!K245*'2.1 OPEX TUUA'!$P$7,'2.2 OPEX LAP 2023'!K245*'2.1 OPEX TUUA'!$P$8)</f>
        <v>1254.128407419742</v>
      </c>
      <c r="Q244" s="3">
        <f>+IF(F244="Pasajero",'2.2 OPEX LAP 2023'!L245*'2.1 OPEX TUUA'!$Q$7,'2.2 OPEX LAP 2023'!L245*'2.1 OPEX TUUA'!$Q$8)</f>
        <v>1245.9582579778057</v>
      </c>
      <c r="R244" s="3">
        <f>+IF(F244="Pasajero",'2.2 OPEX LAP 2023'!M245*'2.1 OPEX TUUA'!$R$7,'2.2 OPEX LAP 2023'!M245*'2.1 OPEX TUUA'!$R$8)</f>
        <v>1252.6435821909231</v>
      </c>
      <c r="S244" s="3">
        <f>+IF(F244="Pasajero",'2.2 OPEX LAP 2023'!N245*'2.1 OPEX TUUA'!$S$7,'2.2 OPEX LAP 2023'!N245*'2.1 OPEX TUUA'!$S$8)</f>
        <v>1253.4431651265274</v>
      </c>
      <c r="U244" s="1">
        <v>2646.732423242087</v>
      </c>
      <c r="V244" s="1">
        <v>3104.6305864381734</v>
      </c>
      <c r="W244" s="1">
        <v>3490.0987301587097</v>
      </c>
      <c r="X244" s="1">
        <v>3697.8164728516158</v>
      </c>
      <c r="Y244" s="1">
        <v>3849.5834922378522</v>
      </c>
      <c r="Z244" s="1">
        <v>4018.1995858799787</v>
      </c>
      <c r="AA244" s="7">
        <f t="shared" si="21"/>
        <v>-49.082724878060617</v>
      </c>
      <c r="AB244" s="7">
        <f t="shared" si="22"/>
        <v>-57.574285781218805</v>
      </c>
      <c r="AC244" s="7">
        <f t="shared" si="23"/>
        <v>-64.722657366252861</v>
      </c>
      <c r="AD244" s="7">
        <f t="shared" si="24"/>
        <v>-68.574710081275498</v>
      </c>
      <c r="AE244" s="7">
        <f t="shared" si="25"/>
        <v>-71.389176248192598</v>
      </c>
      <c r="AF244" s="7">
        <f t="shared" si="26"/>
        <v>-74.516102590112951</v>
      </c>
    </row>
    <row r="245" spans="2:32" x14ac:dyDescent="0.25">
      <c r="B245" s="17">
        <v>6357000001</v>
      </c>
      <c r="C245" s="193" t="s">
        <v>176</v>
      </c>
      <c r="D245" s="193" t="s">
        <v>40</v>
      </c>
      <c r="E245" s="193" t="s">
        <v>93</v>
      </c>
      <c r="F245" s="163" t="s">
        <v>190</v>
      </c>
      <c r="G245" s="3">
        <f>+IF(F245="Pasajero",'2.2 OPEX LAP 2023'!I246*'2.1 OPEX TUUA'!$G$7,'2.2 OPEX LAP 2023'!I246*'2.1 OPEX TUUA'!$G$8)</f>
        <v>0</v>
      </c>
      <c r="H245" s="3">
        <f>+IF(F245="Pasajero",'2.2 OPEX LAP 2023'!J246*'2.1 OPEX TUUA'!$H$7,'2.2 OPEX LAP 2023'!J246*'2.1 OPEX TUUA'!$H$8)</f>
        <v>0</v>
      </c>
      <c r="I245" s="3">
        <f>+IF(F245="Pasajero",'2.2 OPEX LAP 2023'!K246*'2.1 OPEX TUUA'!$I$7,'2.2 OPEX LAP 2023'!K246*'2.1 OPEX TUUA'!$I$8)</f>
        <v>0</v>
      </c>
      <c r="J245" s="3">
        <f>+IF(F245="Pasajero",'2.2 OPEX LAP 2023'!L246*'2.1 OPEX TUUA'!$J$7,'2.2 OPEX LAP 2023'!L246*'2.1 OPEX TUUA'!$J$8)</f>
        <v>0</v>
      </c>
      <c r="K245" s="3">
        <f>+IF(F245="Pasajero",'2.2 OPEX LAP 2023'!M246*'2.1 OPEX TUUA'!$K$7,'2.2 OPEX LAP 2023'!M246*'2.1 OPEX TUUA'!$K$8)</f>
        <v>0</v>
      </c>
      <c r="L245" s="3">
        <f>+IF(F245="Pasajero",'2.2 OPEX LAP 2023'!N246*'2.1 OPEX TUUA'!$L$7,'2.2 OPEX LAP 2023'!N246*'2.1 OPEX TUUA'!$L$8)</f>
        <v>0</v>
      </c>
      <c r="M245" s="3"/>
      <c r="N245" s="3">
        <f>+IF(F245="Pasajero",'2.2 OPEX LAP 2023'!I246*'2.1 OPEX TUUA'!$N$7,'2.2 OPEX LAP 2023'!I246*'2.1 OPEX TUUA'!$N$8)</f>
        <v>0</v>
      </c>
      <c r="O245" s="3">
        <f>+IF(F245="Pasajero",'2.2 OPEX LAP 2023'!J246*'2.1 OPEX TUUA'!$O$7,'2.2 OPEX LAP 2023'!J246*'2.1 OPEX TUUA'!$O$8)</f>
        <v>0</v>
      </c>
      <c r="P245" s="3">
        <f>+IF(F245="Pasajero",'2.2 OPEX LAP 2023'!K246*'2.1 OPEX TUUA'!$P$7,'2.2 OPEX LAP 2023'!K246*'2.1 OPEX TUUA'!$P$8)</f>
        <v>0</v>
      </c>
      <c r="Q245" s="3">
        <f>+IF(F245="Pasajero",'2.2 OPEX LAP 2023'!L246*'2.1 OPEX TUUA'!$Q$7,'2.2 OPEX LAP 2023'!L246*'2.1 OPEX TUUA'!$Q$8)</f>
        <v>0</v>
      </c>
      <c r="R245" s="3">
        <f>+IF(F245="Pasajero",'2.2 OPEX LAP 2023'!M246*'2.1 OPEX TUUA'!$R$7,'2.2 OPEX LAP 2023'!M246*'2.1 OPEX TUUA'!$R$8)</f>
        <v>0</v>
      </c>
      <c r="S245" s="3">
        <f>+IF(F245="Pasajero",'2.2 OPEX LAP 2023'!N246*'2.1 OPEX TUUA'!$S$7,'2.2 OPEX LAP 2023'!N246*'2.1 OPEX TUUA'!$S$8)</f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7">
        <f t="shared" si="21"/>
        <v>0</v>
      </c>
      <c r="AB245" s="7">
        <f t="shared" si="22"/>
        <v>0</v>
      </c>
      <c r="AC245" s="7">
        <f t="shared" si="23"/>
        <v>0</v>
      </c>
      <c r="AD245" s="7">
        <f t="shared" si="24"/>
        <v>0</v>
      </c>
      <c r="AE245" s="7">
        <f t="shared" si="25"/>
        <v>0</v>
      </c>
      <c r="AF245" s="7">
        <f t="shared" si="26"/>
        <v>0</v>
      </c>
    </row>
    <row r="246" spans="2:32" x14ac:dyDescent="0.25">
      <c r="B246" s="17">
        <v>6358000001</v>
      </c>
      <c r="C246" s="193" t="s">
        <v>176</v>
      </c>
      <c r="D246" s="193" t="s">
        <v>40</v>
      </c>
      <c r="E246" s="193" t="s">
        <v>94</v>
      </c>
      <c r="F246" s="163" t="s">
        <v>190</v>
      </c>
      <c r="G246" s="3">
        <f>+IF(F246="Pasajero",'2.2 OPEX LAP 2023'!I247*'2.1 OPEX TUUA'!$G$7,'2.2 OPEX LAP 2023'!I247*'2.1 OPEX TUUA'!$G$8)</f>
        <v>0</v>
      </c>
      <c r="H246" s="3">
        <f>+IF(F246="Pasajero",'2.2 OPEX LAP 2023'!J247*'2.1 OPEX TUUA'!$H$7,'2.2 OPEX LAP 2023'!J247*'2.1 OPEX TUUA'!$H$8)</f>
        <v>0</v>
      </c>
      <c r="I246" s="3">
        <f>+IF(F246="Pasajero",'2.2 OPEX LAP 2023'!K247*'2.1 OPEX TUUA'!$I$7,'2.2 OPEX LAP 2023'!K247*'2.1 OPEX TUUA'!$I$8)</f>
        <v>0</v>
      </c>
      <c r="J246" s="3">
        <f>+IF(F246="Pasajero",'2.2 OPEX LAP 2023'!L247*'2.1 OPEX TUUA'!$J$7,'2.2 OPEX LAP 2023'!L247*'2.1 OPEX TUUA'!$J$8)</f>
        <v>0</v>
      </c>
      <c r="K246" s="3">
        <f>+IF(F246="Pasajero",'2.2 OPEX LAP 2023'!M247*'2.1 OPEX TUUA'!$K$7,'2.2 OPEX LAP 2023'!M247*'2.1 OPEX TUUA'!$K$8)</f>
        <v>0</v>
      </c>
      <c r="L246" s="3">
        <f>+IF(F246="Pasajero",'2.2 OPEX LAP 2023'!N247*'2.1 OPEX TUUA'!$L$7,'2.2 OPEX LAP 2023'!N247*'2.1 OPEX TUUA'!$L$8)</f>
        <v>0</v>
      </c>
      <c r="M246" s="3"/>
      <c r="N246" s="3">
        <f>+IF(F246="Pasajero",'2.2 OPEX LAP 2023'!I247*'2.1 OPEX TUUA'!$N$7,'2.2 OPEX LAP 2023'!I247*'2.1 OPEX TUUA'!$N$8)</f>
        <v>0</v>
      </c>
      <c r="O246" s="3">
        <f>+IF(F246="Pasajero",'2.2 OPEX LAP 2023'!J247*'2.1 OPEX TUUA'!$O$7,'2.2 OPEX LAP 2023'!J247*'2.1 OPEX TUUA'!$O$8)</f>
        <v>0</v>
      </c>
      <c r="P246" s="3">
        <f>+IF(F246="Pasajero",'2.2 OPEX LAP 2023'!K247*'2.1 OPEX TUUA'!$P$7,'2.2 OPEX LAP 2023'!K247*'2.1 OPEX TUUA'!$P$8)</f>
        <v>0</v>
      </c>
      <c r="Q246" s="3">
        <f>+IF(F246="Pasajero",'2.2 OPEX LAP 2023'!L247*'2.1 OPEX TUUA'!$Q$7,'2.2 OPEX LAP 2023'!L247*'2.1 OPEX TUUA'!$Q$8)</f>
        <v>0</v>
      </c>
      <c r="R246" s="3">
        <f>+IF(F246="Pasajero",'2.2 OPEX LAP 2023'!M247*'2.1 OPEX TUUA'!$R$7,'2.2 OPEX LAP 2023'!M247*'2.1 OPEX TUUA'!$R$8)</f>
        <v>0</v>
      </c>
      <c r="S246" s="3">
        <f>+IF(F246="Pasajero",'2.2 OPEX LAP 2023'!N247*'2.1 OPEX TUUA'!$S$7,'2.2 OPEX LAP 2023'!N247*'2.1 OPEX TUUA'!$S$8)</f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7">
        <f t="shared" si="21"/>
        <v>0</v>
      </c>
      <c r="AB246" s="7">
        <f t="shared" si="22"/>
        <v>0</v>
      </c>
      <c r="AC246" s="7">
        <f t="shared" si="23"/>
        <v>0</v>
      </c>
      <c r="AD246" s="7">
        <f t="shared" si="24"/>
        <v>0</v>
      </c>
      <c r="AE246" s="7">
        <f t="shared" si="25"/>
        <v>0</v>
      </c>
      <c r="AF246" s="7">
        <f t="shared" si="26"/>
        <v>0</v>
      </c>
    </row>
    <row r="247" spans="2:32" x14ac:dyDescent="0.25">
      <c r="B247" s="17">
        <v>6360000001</v>
      </c>
      <c r="C247" s="193" t="s">
        <v>176</v>
      </c>
      <c r="D247" s="193" t="s">
        <v>40</v>
      </c>
      <c r="E247" s="193" t="s">
        <v>95</v>
      </c>
      <c r="F247" s="163" t="s">
        <v>190</v>
      </c>
      <c r="G247" s="3">
        <f>+IF(F247="Pasajero",'2.2 OPEX LAP 2023'!I248*'2.1 OPEX TUUA'!$G$7,'2.2 OPEX LAP 2023'!I248*'2.1 OPEX TUUA'!$G$8)</f>
        <v>4721.6956163700897</v>
      </c>
      <c r="H247" s="3">
        <f>+IF(F247="Pasajero",'2.2 OPEX LAP 2023'!J248*'2.1 OPEX TUUA'!$H$7,'2.2 OPEX LAP 2023'!J248*'2.1 OPEX TUUA'!$H$8)</f>
        <v>5538.5729595125031</v>
      </c>
      <c r="I247" s="3">
        <f>+IF(F247="Pasajero",'2.2 OPEX LAP 2023'!K248*'2.1 OPEX TUUA'!$I$7,'2.2 OPEX LAP 2023'!K248*'2.1 OPEX TUUA'!$I$8)</f>
        <v>6226.2372010779964</v>
      </c>
      <c r="J247" s="3">
        <f>+IF(F247="Pasajero",'2.2 OPEX LAP 2023'!L248*'2.1 OPEX TUUA'!$J$7,'2.2 OPEX LAP 2023'!L248*'2.1 OPEX TUUA'!$J$8)</f>
        <v>6596.7997658853565</v>
      </c>
      <c r="K247" s="3">
        <f>+IF(F247="Pasajero",'2.2 OPEX LAP 2023'!M248*'2.1 OPEX TUUA'!$K$7,'2.2 OPEX LAP 2023'!M248*'2.1 OPEX TUUA'!$K$8)</f>
        <v>6867.5478263439036</v>
      </c>
      <c r="L247" s="3">
        <f>+IF(F247="Pasajero",'2.2 OPEX LAP 2023'!N248*'2.1 OPEX TUUA'!$L$7,'2.2 OPEX LAP 2023'!N248*'2.1 OPEX TUUA'!$L$8)</f>
        <v>7168.3541576557172</v>
      </c>
      <c r="M247" s="3"/>
      <c r="N247" s="3">
        <f>+IF(F247="Pasajero",'2.2 OPEX LAP 2023'!I248*'2.1 OPEX TUUA'!$N$7,'2.2 OPEX LAP 2023'!I248*'2.1 OPEX TUUA'!$N$8)</f>
        <v>2328.8216041400724</v>
      </c>
      <c r="O247" s="3">
        <f>+IF(F247="Pasajero",'2.2 OPEX LAP 2023'!J248*'2.1 OPEX TUUA'!$O$7,'2.2 OPEX LAP 2023'!J248*'2.1 OPEX TUUA'!$O$8)</f>
        <v>2293.8732433784689</v>
      </c>
      <c r="P247" s="3">
        <f>+IF(F247="Pasajero",'2.2 OPEX LAP 2023'!K248*'2.1 OPEX TUUA'!$P$7,'2.2 OPEX LAP 2023'!K248*'2.1 OPEX TUUA'!$P$8)</f>
        <v>2279.6039848669238</v>
      </c>
      <c r="Q247" s="3">
        <f>+IF(F247="Pasajero",'2.2 OPEX LAP 2023'!L248*'2.1 OPEX TUUA'!$Q$7,'2.2 OPEX LAP 2023'!L248*'2.1 OPEX TUUA'!$Q$8)</f>
        <v>2264.7532685330884</v>
      </c>
      <c r="R247" s="3">
        <f>+IF(F247="Pasajero",'2.2 OPEX LAP 2023'!M248*'2.1 OPEX TUUA'!$R$7,'2.2 OPEX LAP 2023'!M248*'2.1 OPEX TUUA'!$R$8)</f>
        <v>2276.9050479092557</v>
      </c>
      <c r="S247" s="3">
        <f>+IF(F247="Pasajero",'2.2 OPEX LAP 2023'!N248*'2.1 OPEX TUUA'!$S$7,'2.2 OPEX LAP 2023'!N248*'2.1 OPEX TUUA'!$S$8)</f>
        <v>2278.3584337311959</v>
      </c>
      <c r="U247" s="1">
        <v>4810.9122982969084</v>
      </c>
      <c r="V247" s="1">
        <v>5643.224580922436</v>
      </c>
      <c r="W247" s="1">
        <v>6343.8822737598612</v>
      </c>
      <c r="X247" s="1">
        <v>6721.4466373201476</v>
      </c>
      <c r="Y247" s="1">
        <v>6997.31049632964</v>
      </c>
      <c r="Z247" s="1">
        <v>7303.8005787687352</v>
      </c>
      <c r="AA247" s="7">
        <f t="shared" si="21"/>
        <v>-89.216681926818637</v>
      </c>
      <c r="AB247" s="7">
        <f t="shared" si="22"/>
        <v>-104.65162140993289</v>
      </c>
      <c r="AC247" s="7">
        <f t="shared" si="23"/>
        <v>-117.6450726818648</v>
      </c>
      <c r="AD247" s="7">
        <f t="shared" si="24"/>
        <v>-124.64687143479114</v>
      </c>
      <c r="AE247" s="7">
        <f t="shared" si="25"/>
        <v>-129.76266998573647</v>
      </c>
      <c r="AF247" s="7">
        <f t="shared" si="26"/>
        <v>-135.446421113018</v>
      </c>
    </row>
    <row r="248" spans="2:32" x14ac:dyDescent="0.25">
      <c r="B248" s="17">
        <v>6360000002</v>
      </c>
      <c r="C248" s="193" t="s">
        <v>176</v>
      </c>
      <c r="D248" s="193" t="s">
        <v>40</v>
      </c>
      <c r="E248" s="193" t="s">
        <v>96</v>
      </c>
      <c r="F248" s="163" t="s">
        <v>191</v>
      </c>
      <c r="G248" s="3">
        <f>+IF(F248="Pasajero",'2.2 OPEX LAP 2023'!I249*'2.1 OPEX TUUA'!$G$7,'2.2 OPEX LAP 2023'!I249*'2.1 OPEX TUUA'!$G$8)</f>
        <v>2482.6760203749368</v>
      </c>
      <c r="H248" s="3">
        <f>+IF(F248="Pasajero",'2.2 OPEX LAP 2023'!J249*'2.1 OPEX TUUA'!$H$7,'2.2 OPEX LAP 2023'!J249*'2.1 OPEX TUUA'!$H$8)</f>
        <v>2538.6648086739842</v>
      </c>
      <c r="I248" s="3">
        <f>+IF(F248="Pasajero",'2.2 OPEX LAP 2023'!K249*'2.1 OPEX TUUA'!$I$7,'2.2 OPEX LAP 2023'!K249*'2.1 OPEX TUUA'!$I$8)</f>
        <v>2581.4792498499623</v>
      </c>
      <c r="J248" s="3">
        <f>+IF(F248="Pasajero",'2.2 OPEX LAP 2023'!L249*'2.1 OPEX TUUA'!$J$7,'2.2 OPEX LAP 2023'!L249*'2.1 OPEX TUUA'!$J$8)</f>
        <v>2624.5757157311127</v>
      </c>
      <c r="K248" s="3">
        <f>+IF(F248="Pasajero",'2.2 OPEX LAP 2023'!M249*'2.1 OPEX TUUA'!$K$7,'2.2 OPEX LAP 2023'!M249*'2.1 OPEX TUUA'!$K$8)</f>
        <v>2672.5103111980879</v>
      </c>
      <c r="L248" s="3">
        <f>+IF(F248="Pasajero",'2.2 OPEX LAP 2023'!N249*'2.1 OPEX TUUA'!$L$7,'2.2 OPEX LAP 2023'!N249*'2.1 OPEX TUUA'!$L$8)</f>
        <v>2717.0072427830783</v>
      </c>
      <c r="M248" s="3"/>
      <c r="N248" s="3">
        <f>+IF(F248="Pasajero",'2.2 OPEX LAP 2023'!I249*'2.1 OPEX TUUA'!$N$7,'2.2 OPEX LAP 2023'!I249*'2.1 OPEX TUUA'!$N$8)</f>
        <v>476.07382953185424</v>
      </c>
      <c r="O248" s="3">
        <f>+IF(F248="Pasajero",'2.2 OPEX LAP 2023'!J249*'2.1 OPEX TUUA'!$O$7,'2.2 OPEX LAP 2023'!J249*'2.1 OPEX TUUA'!$O$8)</f>
        <v>486.81014656944751</v>
      </c>
      <c r="P248" s="3">
        <f>+IF(F248="Pasajero",'2.2 OPEX LAP 2023'!K249*'2.1 OPEX TUUA'!$P$7,'2.2 OPEX LAP 2023'!K249*'2.1 OPEX TUUA'!$P$8)</f>
        <v>495.02017268748926</v>
      </c>
      <c r="Q248" s="3">
        <f>+IF(F248="Pasajero",'2.2 OPEX LAP 2023'!L249*'2.1 OPEX TUUA'!$Q$7,'2.2 OPEX LAP 2023'!L249*'2.1 OPEX TUUA'!$Q$8)</f>
        <v>503.28427939450523</v>
      </c>
      <c r="R248" s="3">
        <f>+IF(F248="Pasajero",'2.2 OPEX LAP 2023'!M249*'2.1 OPEX TUUA'!$R$7,'2.2 OPEX LAP 2023'!M249*'2.1 OPEX TUUA'!$R$8)</f>
        <v>512.4761377939659</v>
      </c>
      <c r="S248" s="3">
        <f>+IF(F248="Pasajero",'2.2 OPEX LAP 2023'!N249*'2.1 OPEX TUUA'!$S$7,'2.2 OPEX LAP 2023'!N249*'2.1 OPEX TUUA'!$S$8)</f>
        <v>521.00879547794523</v>
      </c>
      <c r="U248" s="1">
        <v>2529.5863116841024</v>
      </c>
      <c r="V248" s="1">
        <v>2586.6330110225281</v>
      </c>
      <c r="W248" s="1">
        <v>2630.25643327027</v>
      </c>
      <c r="X248" s="1">
        <v>2674.1672090945171</v>
      </c>
      <c r="Y248" s="1">
        <v>2723.0075312123677</v>
      </c>
      <c r="Z248" s="1">
        <v>2768.3452346120794</v>
      </c>
      <c r="AA248" s="7">
        <f t="shared" si="21"/>
        <v>-46.910291309165586</v>
      </c>
      <c r="AB248" s="7">
        <f t="shared" si="22"/>
        <v>-47.968202348543855</v>
      </c>
      <c r="AC248" s="7">
        <f t="shared" si="23"/>
        <v>-48.777183420307665</v>
      </c>
      <c r="AD248" s="7">
        <f t="shared" si="24"/>
        <v>-49.591493363404425</v>
      </c>
      <c r="AE248" s="7">
        <f t="shared" si="25"/>
        <v>-50.497220014279719</v>
      </c>
      <c r="AF248" s="7">
        <f t="shared" si="26"/>
        <v>-51.337991829001112</v>
      </c>
    </row>
    <row r="249" spans="2:32" x14ac:dyDescent="0.25">
      <c r="B249" s="17">
        <v>6360000003</v>
      </c>
      <c r="C249" s="193" t="s">
        <v>176</v>
      </c>
      <c r="D249" s="193" t="s">
        <v>40</v>
      </c>
      <c r="E249" s="193" t="s">
        <v>97</v>
      </c>
      <c r="F249" s="163" t="s">
        <v>191</v>
      </c>
      <c r="G249" s="3">
        <f>+IF(F249="Pasajero",'2.2 OPEX LAP 2023'!I250*'2.1 OPEX TUUA'!$G$7,'2.2 OPEX LAP 2023'!I250*'2.1 OPEX TUUA'!$G$8)</f>
        <v>407.00227508245217</v>
      </c>
      <c r="H249" s="3">
        <f>+IF(F249="Pasajero",'2.2 OPEX LAP 2023'!J250*'2.1 OPEX TUUA'!$H$7,'2.2 OPEX LAP 2023'!J250*'2.1 OPEX TUUA'!$H$8)</f>
        <v>416.18090492775133</v>
      </c>
      <c r="I249" s="3">
        <f>+IF(F249="Pasajero",'2.2 OPEX LAP 2023'!K250*'2.1 OPEX TUUA'!$I$7,'2.2 OPEX LAP 2023'!K250*'2.1 OPEX TUUA'!$I$8)</f>
        <v>423.19977280338151</v>
      </c>
      <c r="J249" s="3">
        <f>+IF(F249="Pasajero",'2.2 OPEX LAP 2023'!L250*'2.1 OPEX TUUA'!$J$7,'2.2 OPEX LAP 2023'!L250*'2.1 OPEX TUUA'!$J$8)</f>
        <v>430.26487494223915</v>
      </c>
      <c r="K249" s="3">
        <f>+IF(F249="Pasajero",'2.2 OPEX LAP 2023'!M250*'2.1 OPEX TUUA'!$K$7,'2.2 OPEX LAP 2023'!M250*'2.1 OPEX TUUA'!$K$8)</f>
        <v>438.12312517308061</v>
      </c>
      <c r="L249" s="3">
        <f>+IF(F249="Pasajero",'2.2 OPEX LAP 2023'!N250*'2.1 OPEX TUUA'!$L$7,'2.2 OPEX LAP 2023'!N250*'2.1 OPEX TUUA'!$L$8)</f>
        <v>445.41781535442141</v>
      </c>
      <c r="M249" s="3"/>
      <c r="N249" s="3">
        <f>+IF(F249="Pasajero",'2.2 OPEX LAP 2023'!I250*'2.1 OPEX TUUA'!$N$7,'2.2 OPEX LAP 2023'!I250*'2.1 OPEX TUUA'!$N$8)</f>
        <v>78.046080171756699</v>
      </c>
      <c r="O249" s="3">
        <f>+IF(F249="Pasajero",'2.2 OPEX LAP 2023'!J250*'2.1 OPEX TUUA'!$O$7,'2.2 OPEX LAP 2023'!J250*'2.1 OPEX TUUA'!$O$8)</f>
        <v>79.806158983669917</v>
      </c>
      <c r="P249" s="3">
        <f>+IF(F249="Pasajero",'2.2 OPEX LAP 2023'!K250*'2.1 OPEX TUUA'!$P$7,'2.2 OPEX LAP 2023'!K250*'2.1 OPEX TUUA'!$P$8)</f>
        <v>81.15208542800103</v>
      </c>
      <c r="Q249" s="3">
        <f>+IF(F249="Pasajero",'2.2 OPEX LAP 2023'!L250*'2.1 OPEX TUUA'!$Q$7,'2.2 OPEX LAP 2023'!L250*'2.1 OPEX TUUA'!$Q$8)</f>
        <v>82.506877677845893</v>
      </c>
      <c r="R249" s="3">
        <f>+IF(F249="Pasajero",'2.2 OPEX LAP 2023'!M250*'2.1 OPEX TUUA'!$R$7,'2.2 OPEX LAP 2023'!M250*'2.1 OPEX TUUA'!$R$8)</f>
        <v>84.01376268825949</v>
      </c>
      <c r="S249" s="3">
        <f>+IF(F249="Pasajero",'2.2 OPEX LAP 2023'!N250*'2.1 OPEX TUUA'!$S$7,'2.2 OPEX LAP 2023'!N250*'2.1 OPEX TUUA'!$S$8)</f>
        <v>85.412580359747224</v>
      </c>
      <c r="U249" s="1">
        <v>414.69260403835341</v>
      </c>
      <c r="V249" s="1">
        <v>424.04466456745035</v>
      </c>
      <c r="W249" s="1">
        <v>431.19615431319335</v>
      </c>
      <c r="X249" s="1">
        <v>438.39475192094943</v>
      </c>
      <c r="Y249" s="1">
        <v>446.40148419474923</v>
      </c>
      <c r="Z249" s="1">
        <v>453.83400792287927</v>
      </c>
      <c r="AA249" s="7">
        <f t="shared" si="21"/>
        <v>-7.6903289559012364</v>
      </c>
      <c r="AB249" s="7">
        <f t="shared" si="22"/>
        <v>-7.8637596396990261</v>
      </c>
      <c r="AC249" s="7">
        <f t="shared" si="23"/>
        <v>-7.9963815098118403</v>
      </c>
      <c r="AD249" s="7">
        <f t="shared" si="24"/>
        <v>-8.1298769787102856</v>
      </c>
      <c r="AE249" s="7">
        <f t="shared" si="25"/>
        <v>-8.2783590216686207</v>
      </c>
      <c r="AF249" s="7">
        <f t="shared" si="26"/>
        <v>-8.4161925684578591</v>
      </c>
    </row>
    <row r="250" spans="2:32" x14ac:dyDescent="0.25">
      <c r="B250" s="17">
        <v>6360000004</v>
      </c>
      <c r="C250" s="193" t="s">
        <v>176</v>
      </c>
      <c r="D250" s="193" t="s">
        <v>40</v>
      </c>
      <c r="E250" s="193" t="s">
        <v>98</v>
      </c>
      <c r="F250" s="163" t="s">
        <v>190</v>
      </c>
      <c r="G250" s="3">
        <f>+IF(F250="Pasajero",'2.2 OPEX LAP 2023'!I251*'2.1 OPEX TUUA'!$G$7,'2.2 OPEX LAP 2023'!I251*'2.1 OPEX TUUA'!$G$8)</f>
        <v>7646.4647370217608</v>
      </c>
      <c r="H250" s="3">
        <f>+IF(F250="Pasajero",'2.2 OPEX LAP 2023'!J251*'2.1 OPEX TUUA'!$H$7,'2.2 OPEX LAP 2023'!J251*'2.1 OPEX TUUA'!$H$8)</f>
        <v>8969.3420053392838</v>
      </c>
      <c r="I250" s="3">
        <f>+IF(F250="Pasajero",'2.2 OPEX LAP 2023'!K251*'2.1 OPEX TUUA'!$I$7,'2.2 OPEX LAP 2023'!K251*'2.1 OPEX TUUA'!$I$8)</f>
        <v>10082.967448667569</v>
      </c>
      <c r="J250" s="3">
        <f>+IF(F250="Pasajero",'2.2 OPEX LAP 2023'!L251*'2.1 OPEX TUUA'!$J$7,'2.2 OPEX LAP 2023'!L251*'2.1 OPEX TUUA'!$J$8)</f>
        <v>10683.068305409817</v>
      </c>
      <c r="K250" s="3">
        <f>+IF(F250="Pasajero",'2.2 OPEX LAP 2023'!M251*'2.1 OPEX TUUA'!$K$7,'2.2 OPEX LAP 2023'!M251*'2.1 OPEX TUUA'!$K$8)</f>
        <v>11121.526364784868</v>
      </c>
      <c r="L250" s="3">
        <f>+IF(F250="Pasajero",'2.2 OPEX LAP 2023'!N251*'2.1 OPEX TUUA'!$L$7,'2.2 OPEX LAP 2023'!N251*'2.1 OPEX TUUA'!$L$8)</f>
        <v>11608.661748326793</v>
      </c>
      <c r="M250" s="3"/>
      <c r="N250" s="3">
        <f>+IF(F250="Pasajero",'2.2 OPEX LAP 2023'!I251*'2.1 OPEX TUUA'!$N$7,'2.2 OPEX LAP 2023'!I251*'2.1 OPEX TUUA'!$N$8)</f>
        <v>3771.3681104588532</v>
      </c>
      <c r="O250" s="3">
        <f>+IF(F250="Pasajero",'2.2 OPEX LAP 2023'!J251*'2.1 OPEX TUUA'!$O$7,'2.2 OPEX LAP 2023'!J251*'2.1 OPEX TUUA'!$O$8)</f>
        <v>3714.7716184584315</v>
      </c>
      <c r="P250" s="3">
        <f>+IF(F250="Pasajero",'2.2 OPEX LAP 2023'!K251*'2.1 OPEX TUUA'!$P$7,'2.2 OPEX LAP 2023'!K251*'2.1 OPEX TUUA'!$P$8)</f>
        <v>3691.6635253289855</v>
      </c>
      <c r="Q250" s="3">
        <f>+IF(F250="Pasajero",'2.2 OPEX LAP 2023'!L251*'2.1 OPEX TUUA'!$Q$7,'2.2 OPEX LAP 2023'!L251*'2.1 OPEX TUUA'!$Q$8)</f>
        <v>3667.6138008248281</v>
      </c>
      <c r="R250" s="3">
        <f>+IF(F250="Pasajero",'2.2 OPEX LAP 2023'!M251*'2.1 OPEX TUUA'!$R$7,'2.2 OPEX LAP 2023'!M251*'2.1 OPEX TUUA'!$R$8)</f>
        <v>3687.2927805900181</v>
      </c>
      <c r="S250" s="3">
        <f>+IF(F250="Pasajero",'2.2 OPEX LAP 2023'!N251*'2.1 OPEX TUUA'!$S$7,'2.2 OPEX LAP 2023'!N251*'2.1 OPEX TUUA'!$S$8)</f>
        <v>3689.6464400250352</v>
      </c>
      <c r="U250" s="1">
        <v>7790.9450821635255</v>
      </c>
      <c r="V250" s="1">
        <v>9138.8181846187927</v>
      </c>
      <c r="W250" s="1">
        <v>10273.485638071274</v>
      </c>
      <c r="X250" s="1">
        <v>10884.925431418067</v>
      </c>
      <c r="Y250" s="1">
        <v>11331.668178413789</v>
      </c>
      <c r="Z250" s="1">
        <v>11828.008010124309</v>
      </c>
      <c r="AA250" s="7">
        <f t="shared" si="21"/>
        <v>-144.4803451417647</v>
      </c>
      <c r="AB250" s="7">
        <f t="shared" si="22"/>
        <v>-169.47617927950887</v>
      </c>
      <c r="AC250" s="7">
        <f t="shared" si="23"/>
        <v>-190.51818940370504</v>
      </c>
      <c r="AD250" s="7">
        <f t="shared" si="24"/>
        <v>-201.85712600824991</v>
      </c>
      <c r="AE250" s="7">
        <f t="shared" si="25"/>
        <v>-210.14181362892123</v>
      </c>
      <c r="AF250" s="7">
        <f t="shared" si="26"/>
        <v>-219.34626179751649</v>
      </c>
    </row>
    <row r="251" spans="2:32" x14ac:dyDescent="0.25">
      <c r="B251" s="17">
        <v>6360000005</v>
      </c>
      <c r="C251" s="193" t="s">
        <v>176</v>
      </c>
      <c r="D251" s="193" t="s">
        <v>40</v>
      </c>
      <c r="E251" s="193" t="s">
        <v>99</v>
      </c>
      <c r="F251" s="163" t="s">
        <v>190</v>
      </c>
      <c r="G251" s="3">
        <f>+IF(F251="Pasajero",'2.2 OPEX LAP 2023'!I252*'2.1 OPEX TUUA'!$G$7,'2.2 OPEX LAP 2023'!I252*'2.1 OPEX TUUA'!$G$8)</f>
        <v>502.94206708836691</v>
      </c>
      <c r="H251" s="3">
        <f>+IF(F251="Pasajero",'2.2 OPEX LAP 2023'!J252*'2.1 OPEX TUUA'!$H$7,'2.2 OPEX LAP 2023'!J252*'2.1 OPEX TUUA'!$H$8)</f>
        <v>589.95360126971309</v>
      </c>
      <c r="I251" s="3">
        <f>+IF(F251="Pasajero",'2.2 OPEX LAP 2023'!K252*'2.1 OPEX TUUA'!$I$7,'2.2 OPEX LAP 2023'!K252*'2.1 OPEX TUUA'!$I$8)</f>
        <v>663.20171025764216</v>
      </c>
      <c r="J251" s="3">
        <f>+IF(F251="Pasajero",'2.2 OPEX LAP 2023'!L252*'2.1 OPEX TUUA'!$J$7,'2.2 OPEX LAP 2023'!L252*'2.1 OPEX TUUA'!$J$8)</f>
        <v>702.67301833680585</v>
      </c>
      <c r="K251" s="3">
        <f>+IF(F251="Pasajero",'2.2 OPEX LAP 2023'!M252*'2.1 OPEX TUUA'!$K$7,'2.2 OPEX LAP 2023'!M252*'2.1 OPEX TUUA'!$K$8)</f>
        <v>731.51235916917233</v>
      </c>
      <c r="L251" s="3">
        <f>+IF(F251="Pasajero",'2.2 OPEX LAP 2023'!N252*'2.1 OPEX TUUA'!$L$7,'2.2 OPEX LAP 2023'!N252*'2.1 OPEX TUUA'!$L$8)</f>
        <v>763.55342457345569</v>
      </c>
      <c r="M251" s="3"/>
      <c r="N251" s="3">
        <f>+IF(F251="Pasajero",'2.2 OPEX LAP 2023'!I252*'2.1 OPEX TUUA'!$N$7,'2.2 OPEX LAP 2023'!I252*'2.1 OPEX TUUA'!$N$8)</f>
        <v>248.05969012604186</v>
      </c>
      <c r="O251" s="3">
        <f>+IF(F251="Pasajero",'2.2 OPEX LAP 2023'!J252*'2.1 OPEX TUUA'!$O$7,'2.2 OPEX LAP 2023'!J252*'2.1 OPEX TUUA'!$O$8)</f>
        <v>244.3370865889033</v>
      </c>
      <c r="P251" s="3">
        <f>+IF(F251="Pasajero",'2.2 OPEX LAP 2023'!K252*'2.1 OPEX TUUA'!$P$7,'2.2 OPEX LAP 2023'!K252*'2.1 OPEX TUUA'!$P$8)</f>
        <v>242.81716430786224</v>
      </c>
      <c r="Q251" s="3">
        <f>+IF(F251="Pasajero",'2.2 OPEX LAP 2023'!L252*'2.1 OPEX TUUA'!$Q$7,'2.2 OPEX LAP 2023'!L252*'2.1 OPEX TUUA'!$Q$8)</f>
        <v>241.2353067343272</v>
      </c>
      <c r="R251" s="3">
        <f>+IF(F251="Pasajero",'2.2 OPEX LAP 2023'!M252*'2.1 OPEX TUUA'!$R$7,'2.2 OPEX LAP 2023'!M252*'2.1 OPEX TUUA'!$R$8)</f>
        <v>242.52968094537596</v>
      </c>
      <c r="S251" s="3">
        <f>+IF(F251="Pasajero",'2.2 OPEX LAP 2023'!N252*'2.1 OPEX TUUA'!$S$7,'2.2 OPEX LAP 2023'!N252*'2.1 OPEX TUUA'!$S$8)</f>
        <v>242.68449161699766</v>
      </c>
      <c r="U251" s="1">
        <v>512.445183356911</v>
      </c>
      <c r="V251" s="1">
        <v>601.10080495933266</v>
      </c>
      <c r="W251" s="1">
        <v>675.7329407402342</v>
      </c>
      <c r="X251" s="1">
        <v>715.95006121906317</v>
      </c>
      <c r="Y251" s="1">
        <v>745.33432288222184</v>
      </c>
      <c r="Z251" s="1">
        <v>777.98080586803223</v>
      </c>
      <c r="AA251" s="7">
        <f t="shared" si="21"/>
        <v>-9.5031162685440904</v>
      </c>
      <c r="AB251" s="7">
        <f t="shared" si="22"/>
        <v>-11.147203689619573</v>
      </c>
      <c r="AC251" s="7">
        <f t="shared" si="23"/>
        <v>-12.531230482592036</v>
      </c>
      <c r="AD251" s="7">
        <f t="shared" si="24"/>
        <v>-13.277042882257319</v>
      </c>
      <c r="AE251" s="7">
        <f t="shared" si="25"/>
        <v>-13.821963713049513</v>
      </c>
      <c r="AF251" s="7">
        <f t="shared" si="26"/>
        <v>-14.427381294576548</v>
      </c>
    </row>
    <row r="252" spans="2:32" x14ac:dyDescent="0.25">
      <c r="B252" s="17">
        <v>6370000001</v>
      </c>
      <c r="C252" s="193" t="s">
        <v>176</v>
      </c>
      <c r="D252" s="193" t="s">
        <v>40</v>
      </c>
      <c r="E252" s="193" t="s">
        <v>100</v>
      </c>
      <c r="F252" s="163" t="s">
        <v>190</v>
      </c>
      <c r="G252" s="3">
        <f>+IF(F252="Pasajero",'2.2 OPEX LAP 2023'!I253*'2.1 OPEX TUUA'!$G$7,'2.2 OPEX LAP 2023'!I253*'2.1 OPEX TUUA'!$G$8)</f>
        <v>0</v>
      </c>
      <c r="H252" s="3">
        <f>+IF(F252="Pasajero",'2.2 OPEX LAP 2023'!J253*'2.1 OPEX TUUA'!$H$7,'2.2 OPEX LAP 2023'!J253*'2.1 OPEX TUUA'!$H$8)</f>
        <v>0</v>
      </c>
      <c r="I252" s="3">
        <f>+IF(F252="Pasajero",'2.2 OPEX LAP 2023'!K253*'2.1 OPEX TUUA'!$I$7,'2.2 OPEX LAP 2023'!K253*'2.1 OPEX TUUA'!$I$8)</f>
        <v>0</v>
      </c>
      <c r="J252" s="3">
        <f>+IF(F252="Pasajero",'2.2 OPEX LAP 2023'!L253*'2.1 OPEX TUUA'!$J$7,'2.2 OPEX LAP 2023'!L253*'2.1 OPEX TUUA'!$J$8)</f>
        <v>0</v>
      </c>
      <c r="K252" s="3">
        <f>+IF(F252="Pasajero",'2.2 OPEX LAP 2023'!M253*'2.1 OPEX TUUA'!$K$7,'2.2 OPEX LAP 2023'!M253*'2.1 OPEX TUUA'!$K$8)</f>
        <v>0</v>
      </c>
      <c r="L252" s="3">
        <f>+IF(F252="Pasajero",'2.2 OPEX LAP 2023'!N253*'2.1 OPEX TUUA'!$L$7,'2.2 OPEX LAP 2023'!N253*'2.1 OPEX TUUA'!$L$8)</f>
        <v>0</v>
      </c>
      <c r="M252" s="3"/>
      <c r="N252" s="3">
        <f>+IF(F252="Pasajero",'2.2 OPEX LAP 2023'!I253*'2.1 OPEX TUUA'!$N$7,'2.2 OPEX LAP 2023'!I253*'2.1 OPEX TUUA'!$N$8)</f>
        <v>0</v>
      </c>
      <c r="O252" s="3">
        <f>+IF(F252="Pasajero",'2.2 OPEX LAP 2023'!J253*'2.1 OPEX TUUA'!$O$7,'2.2 OPEX LAP 2023'!J253*'2.1 OPEX TUUA'!$O$8)</f>
        <v>0</v>
      </c>
      <c r="P252" s="3">
        <f>+IF(F252="Pasajero",'2.2 OPEX LAP 2023'!K253*'2.1 OPEX TUUA'!$P$7,'2.2 OPEX LAP 2023'!K253*'2.1 OPEX TUUA'!$P$8)</f>
        <v>0</v>
      </c>
      <c r="Q252" s="3">
        <f>+IF(F252="Pasajero",'2.2 OPEX LAP 2023'!L253*'2.1 OPEX TUUA'!$Q$7,'2.2 OPEX LAP 2023'!L253*'2.1 OPEX TUUA'!$Q$8)</f>
        <v>0</v>
      </c>
      <c r="R252" s="3">
        <f>+IF(F252="Pasajero",'2.2 OPEX LAP 2023'!M253*'2.1 OPEX TUUA'!$R$7,'2.2 OPEX LAP 2023'!M253*'2.1 OPEX TUUA'!$R$8)</f>
        <v>0</v>
      </c>
      <c r="S252" s="3">
        <f>+IF(F252="Pasajero",'2.2 OPEX LAP 2023'!N253*'2.1 OPEX TUUA'!$S$7,'2.2 OPEX LAP 2023'!N253*'2.1 OPEX TUUA'!$S$8)</f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7">
        <f t="shared" si="21"/>
        <v>0</v>
      </c>
      <c r="AB252" s="7">
        <f t="shared" si="22"/>
        <v>0</v>
      </c>
      <c r="AC252" s="7">
        <f t="shared" si="23"/>
        <v>0</v>
      </c>
      <c r="AD252" s="7">
        <f t="shared" si="24"/>
        <v>0</v>
      </c>
      <c r="AE252" s="7">
        <f t="shared" si="25"/>
        <v>0</v>
      </c>
      <c r="AF252" s="7">
        <f t="shared" si="26"/>
        <v>0</v>
      </c>
    </row>
    <row r="253" spans="2:32" x14ac:dyDescent="0.25">
      <c r="B253" s="17">
        <v>6370000002</v>
      </c>
      <c r="C253" s="193" t="s">
        <v>176</v>
      </c>
      <c r="D253" s="193" t="s">
        <v>40</v>
      </c>
      <c r="E253" s="193" t="s">
        <v>101</v>
      </c>
      <c r="F253" s="163" t="s">
        <v>190</v>
      </c>
      <c r="G253" s="3">
        <f>+IF(F253="Pasajero",'2.2 OPEX LAP 2023'!I254*'2.1 OPEX TUUA'!$G$7,'2.2 OPEX LAP 2023'!I254*'2.1 OPEX TUUA'!$G$8)</f>
        <v>0</v>
      </c>
      <c r="H253" s="3">
        <f>+IF(F253="Pasajero",'2.2 OPEX LAP 2023'!J254*'2.1 OPEX TUUA'!$H$7,'2.2 OPEX LAP 2023'!J254*'2.1 OPEX TUUA'!$H$8)</f>
        <v>0</v>
      </c>
      <c r="I253" s="3">
        <f>+IF(F253="Pasajero",'2.2 OPEX LAP 2023'!K254*'2.1 OPEX TUUA'!$I$7,'2.2 OPEX LAP 2023'!K254*'2.1 OPEX TUUA'!$I$8)</f>
        <v>0</v>
      </c>
      <c r="J253" s="3">
        <f>+IF(F253="Pasajero",'2.2 OPEX LAP 2023'!L254*'2.1 OPEX TUUA'!$J$7,'2.2 OPEX LAP 2023'!L254*'2.1 OPEX TUUA'!$J$8)</f>
        <v>0</v>
      </c>
      <c r="K253" s="3">
        <f>+IF(F253="Pasajero",'2.2 OPEX LAP 2023'!M254*'2.1 OPEX TUUA'!$K$7,'2.2 OPEX LAP 2023'!M254*'2.1 OPEX TUUA'!$K$8)</f>
        <v>0</v>
      </c>
      <c r="L253" s="3">
        <f>+IF(F253="Pasajero",'2.2 OPEX LAP 2023'!N254*'2.1 OPEX TUUA'!$L$7,'2.2 OPEX LAP 2023'!N254*'2.1 OPEX TUUA'!$L$8)</f>
        <v>0</v>
      </c>
      <c r="M253" s="3"/>
      <c r="N253" s="3">
        <f>+IF(F253="Pasajero",'2.2 OPEX LAP 2023'!I254*'2.1 OPEX TUUA'!$N$7,'2.2 OPEX LAP 2023'!I254*'2.1 OPEX TUUA'!$N$8)</f>
        <v>0</v>
      </c>
      <c r="O253" s="3">
        <f>+IF(F253="Pasajero",'2.2 OPEX LAP 2023'!J254*'2.1 OPEX TUUA'!$O$7,'2.2 OPEX LAP 2023'!J254*'2.1 OPEX TUUA'!$O$8)</f>
        <v>0</v>
      </c>
      <c r="P253" s="3">
        <f>+IF(F253="Pasajero",'2.2 OPEX LAP 2023'!K254*'2.1 OPEX TUUA'!$P$7,'2.2 OPEX LAP 2023'!K254*'2.1 OPEX TUUA'!$P$8)</f>
        <v>0</v>
      </c>
      <c r="Q253" s="3">
        <f>+IF(F253="Pasajero",'2.2 OPEX LAP 2023'!L254*'2.1 OPEX TUUA'!$Q$7,'2.2 OPEX LAP 2023'!L254*'2.1 OPEX TUUA'!$Q$8)</f>
        <v>0</v>
      </c>
      <c r="R253" s="3">
        <f>+IF(F253="Pasajero",'2.2 OPEX LAP 2023'!M254*'2.1 OPEX TUUA'!$R$7,'2.2 OPEX LAP 2023'!M254*'2.1 OPEX TUUA'!$R$8)</f>
        <v>0</v>
      </c>
      <c r="S253" s="3">
        <f>+IF(F253="Pasajero",'2.2 OPEX LAP 2023'!N254*'2.1 OPEX TUUA'!$S$7,'2.2 OPEX LAP 2023'!N254*'2.1 OPEX TUUA'!$S$8)</f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7">
        <f t="shared" si="21"/>
        <v>0</v>
      </c>
      <c r="AB253" s="7">
        <f t="shared" si="22"/>
        <v>0</v>
      </c>
      <c r="AC253" s="7">
        <f t="shared" si="23"/>
        <v>0</v>
      </c>
      <c r="AD253" s="7">
        <f t="shared" si="24"/>
        <v>0</v>
      </c>
      <c r="AE253" s="7">
        <f t="shared" si="25"/>
        <v>0</v>
      </c>
      <c r="AF253" s="7">
        <f t="shared" si="26"/>
        <v>0</v>
      </c>
    </row>
    <row r="254" spans="2:32" x14ac:dyDescent="0.25">
      <c r="B254" s="17">
        <v>6370000003</v>
      </c>
      <c r="C254" s="193" t="s">
        <v>176</v>
      </c>
      <c r="D254" s="193" t="s">
        <v>40</v>
      </c>
      <c r="E254" s="193" t="s">
        <v>102</v>
      </c>
      <c r="F254" s="163" t="s">
        <v>190</v>
      </c>
      <c r="G254" s="3">
        <f>+IF(F254="Pasajero",'2.2 OPEX LAP 2023'!I255*'2.1 OPEX TUUA'!$G$7,'2.2 OPEX LAP 2023'!I255*'2.1 OPEX TUUA'!$G$8)</f>
        <v>34.922625301526303</v>
      </c>
      <c r="H254" s="3">
        <f>+IF(F254="Pasajero",'2.2 OPEX LAP 2023'!J255*'2.1 OPEX TUUA'!$H$7,'2.2 OPEX LAP 2023'!J255*'2.1 OPEX TUUA'!$H$8)</f>
        <v>40.964416998764079</v>
      </c>
      <c r="I254" s="3">
        <f>+IF(F254="Pasajero",'2.2 OPEX LAP 2023'!K255*'2.1 OPEX TUUA'!$I$7,'2.2 OPEX LAP 2023'!K255*'2.1 OPEX TUUA'!$I$8)</f>
        <v>46.050522201774207</v>
      </c>
      <c r="J254" s="3">
        <f>+IF(F254="Pasajero",'2.2 OPEX LAP 2023'!L255*'2.1 OPEX TUUA'!$J$7,'2.2 OPEX LAP 2023'!L255*'2.1 OPEX TUUA'!$J$8)</f>
        <v>48.791278627638157</v>
      </c>
      <c r="K254" s="3">
        <f>+IF(F254="Pasajero",'2.2 OPEX LAP 2023'!M255*'2.1 OPEX TUUA'!$K$7,'2.2 OPEX LAP 2023'!M255*'2.1 OPEX TUUA'!$K$8)</f>
        <v>50.793786589762519</v>
      </c>
      <c r="L254" s="3">
        <f>+IF(F254="Pasajero",'2.2 OPEX LAP 2023'!N255*'2.1 OPEX TUUA'!$L$7,'2.2 OPEX LAP 2023'!N255*'2.1 OPEX TUUA'!$L$8)</f>
        <v>53.018611663261254</v>
      </c>
      <c r="M254" s="3"/>
      <c r="N254" s="3">
        <f>+IF(F254="Pasajero",'2.2 OPEX LAP 2023'!I255*'2.1 OPEX TUUA'!$N$7,'2.2 OPEX LAP 2023'!I255*'2.1 OPEX TUUA'!$N$8)</f>
        <v>17.224440303504007</v>
      </c>
      <c r="O254" s="3">
        <f>+IF(F254="Pasajero",'2.2 OPEX LAP 2023'!J255*'2.1 OPEX TUUA'!$O$7,'2.2 OPEX LAP 2023'!J255*'2.1 OPEX TUUA'!$O$8)</f>
        <v>16.965955088246037</v>
      </c>
      <c r="P254" s="3">
        <f>+IF(F254="Pasajero",'2.2 OPEX LAP 2023'!K255*'2.1 OPEX TUUA'!$P$7,'2.2 OPEX LAP 2023'!K255*'2.1 OPEX TUUA'!$P$8)</f>
        <v>16.860416737446457</v>
      </c>
      <c r="Q254" s="3">
        <f>+IF(F254="Pasajero",'2.2 OPEX LAP 2023'!L255*'2.1 OPEX TUUA'!$Q$7,'2.2 OPEX LAP 2023'!L255*'2.1 OPEX TUUA'!$Q$8)</f>
        <v>16.750577805816107</v>
      </c>
      <c r="R254" s="3">
        <f>+IF(F254="Pasajero",'2.2 OPEX LAP 2023'!M255*'2.1 OPEX TUUA'!$R$7,'2.2 OPEX LAP 2023'!M255*'2.1 OPEX TUUA'!$R$8)</f>
        <v>16.840454848383065</v>
      </c>
      <c r="S254" s="3">
        <f>+IF(F254="Pasajero",'2.2 OPEX LAP 2023'!N255*'2.1 OPEX TUUA'!$S$7,'2.2 OPEX LAP 2023'!N255*'2.1 OPEX TUUA'!$S$8)</f>
        <v>16.85120438681205</v>
      </c>
      <c r="U254" s="1">
        <v>35.582490105766055</v>
      </c>
      <c r="V254" s="1">
        <v>41.738441768388242</v>
      </c>
      <c r="W254" s="1">
        <v>46.920649191238645</v>
      </c>
      <c r="X254" s="1">
        <v>49.713192350969429</v>
      </c>
      <c r="Y254" s="1">
        <v>51.75353780420469</v>
      </c>
      <c r="Z254" s="1">
        <v>54.020401062087224</v>
      </c>
      <c r="AA254" s="7">
        <f t="shared" si="21"/>
        <v>-0.6598648042397528</v>
      </c>
      <c r="AB254" s="7">
        <f t="shared" si="22"/>
        <v>-0.77402476962416245</v>
      </c>
      <c r="AC254" s="7">
        <f t="shared" si="23"/>
        <v>-0.87012698946443834</v>
      </c>
      <c r="AD254" s="7">
        <f t="shared" si="24"/>
        <v>-0.92191372333127219</v>
      </c>
      <c r="AE254" s="7">
        <f t="shared" si="25"/>
        <v>-0.95975121444217137</v>
      </c>
      <c r="AF254" s="7">
        <f t="shared" si="26"/>
        <v>-1.0017893988259701</v>
      </c>
    </row>
    <row r="255" spans="2:32" x14ac:dyDescent="0.25">
      <c r="B255" s="17">
        <v>6380000002</v>
      </c>
      <c r="C255" s="193" t="s">
        <v>176</v>
      </c>
      <c r="D255" s="193" t="s">
        <v>40</v>
      </c>
      <c r="E255" s="193" t="s">
        <v>103</v>
      </c>
      <c r="F255" s="163" t="s">
        <v>190</v>
      </c>
      <c r="G255" s="3">
        <f>+IF(F255="Pasajero",'2.2 OPEX LAP 2023'!I256*'2.1 OPEX TUUA'!$G$7,'2.2 OPEX LAP 2023'!I256*'2.1 OPEX TUUA'!$G$8)</f>
        <v>0</v>
      </c>
      <c r="H255" s="3">
        <f>+IF(F255="Pasajero",'2.2 OPEX LAP 2023'!J256*'2.1 OPEX TUUA'!$H$7,'2.2 OPEX LAP 2023'!J256*'2.1 OPEX TUUA'!$H$8)</f>
        <v>0</v>
      </c>
      <c r="I255" s="3">
        <f>+IF(F255="Pasajero",'2.2 OPEX LAP 2023'!K256*'2.1 OPEX TUUA'!$I$7,'2.2 OPEX LAP 2023'!K256*'2.1 OPEX TUUA'!$I$8)</f>
        <v>0</v>
      </c>
      <c r="J255" s="3">
        <f>+IF(F255="Pasajero",'2.2 OPEX LAP 2023'!L256*'2.1 OPEX TUUA'!$J$7,'2.2 OPEX LAP 2023'!L256*'2.1 OPEX TUUA'!$J$8)</f>
        <v>0</v>
      </c>
      <c r="K255" s="3">
        <f>+IF(F255="Pasajero",'2.2 OPEX LAP 2023'!M256*'2.1 OPEX TUUA'!$K$7,'2.2 OPEX LAP 2023'!M256*'2.1 OPEX TUUA'!$K$8)</f>
        <v>0</v>
      </c>
      <c r="L255" s="3">
        <f>+IF(F255="Pasajero",'2.2 OPEX LAP 2023'!N256*'2.1 OPEX TUUA'!$L$7,'2.2 OPEX LAP 2023'!N256*'2.1 OPEX TUUA'!$L$8)</f>
        <v>0</v>
      </c>
      <c r="M255" s="3"/>
      <c r="N255" s="3">
        <f>+IF(F255="Pasajero",'2.2 OPEX LAP 2023'!I256*'2.1 OPEX TUUA'!$N$7,'2.2 OPEX LAP 2023'!I256*'2.1 OPEX TUUA'!$N$8)</f>
        <v>0</v>
      </c>
      <c r="O255" s="3">
        <f>+IF(F255="Pasajero",'2.2 OPEX LAP 2023'!J256*'2.1 OPEX TUUA'!$O$7,'2.2 OPEX LAP 2023'!J256*'2.1 OPEX TUUA'!$O$8)</f>
        <v>0</v>
      </c>
      <c r="P255" s="3">
        <f>+IF(F255="Pasajero",'2.2 OPEX LAP 2023'!K256*'2.1 OPEX TUUA'!$P$7,'2.2 OPEX LAP 2023'!K256*'2.1 OPEX TUUA'!$P$8)</f>
        <v>0</v>
      </c>
      <c r="Q255" s="3">
        <f>+IF(F255="Pasajero",'2.2 OPEX LAP 2023'!L256*'2.1 OPEX TUUA'!$Q$7,'2.2 OPEX LAP 2023'!L256*'2.1 OPEX TUUA'!$Q$8)</f>
        <v>0</v>
      </c>
      <c r="R255" s="3">
        <f>+IF(F255="Pasajero",'2.2 OPEX LAP 2023'!M256*'2.1 OPEX TUUA'!$R$7,'2.2 OPEX LAP 2023'!M256*'2.1 OPEX TUUA'!$R$8)</f>
        <v>0</v>
      </c>
      <c r="S255" s="3">
        <f>+IF(F255="Pasajero",'2.2 OPEX LAP 2023'!N256*'2.1 OPEX TUUA'!$S$7,'2.2 OPEX LAP 2023'!N256*'2.1 OPEX TUUA'!$S$8)</f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7">
        <f t="shared" si="21"/>
        <v>0</v>
      </c>
      <c r="AB255" s="7">
        <f t="shared" si="22"/>
        <v>0</v>
      </c>
      <c r="AC255" s="7">
        <f t="shared" si="23"/>
        <v>0</v>
      </c>
      <c r="AD255" s="7">
        <f t="shared" si="24"/>
        <v>0</v>
      </c>
      <c r="AE255" s="7">
        <f t="shared" si="25"/>
        <v>0</v>
      </c>
      <c r="AF255" s="7">
        <f t="shared" si="26"/>
        <v>0</v>
      </c>
    </row>
    <row r="256" spans="2:32" x14ac:dyDescent="0.25">
      <c r="B256" s="17">
        <v>6380000003</v>
      </c>
      <c r="C256" s="193" t="s">
        <v>176</v>
      </c>
      <c r="D256" s="193" t="s">
        <v>38</v>
      </c>
      <c r="E256" s="193" t="s">
        <v>104</v>
      </c>
      <c r="F256" s="163" t="s">
        <v>190</v>
      </c>
      <c r="G256" s="3">
        <f>+IF(F256="Pasajero",'2.2 OPEX LAP 2023'!I257*'2.1 OPEX TUUA'!$G$7,'2.2 OPEX LAP 2023'!I257*'2.1 OPEX TUUA'!$G$8)</f>
        <v>0</v>
      </c>
      <c r="H256" s="3">
        <f>+IF(F256="Pasajero",'2.2 OPEX LAP 2023'!J257*'2.1 OPEX TUUA'!$H$7,'2.2 OPEX LAP 2023'!J257*'2.1 OPEX TUUA'!$H$8)</f>
        <v>0</v>
      </c>
      <c r="I256" s="3">
        <f>+IF(F256="Pasajero",'2.2 OPEX LAP 2023'!K257*'2.1 OPEX TUUA'!$I$7,'2.2 OPEX LAP 2023'!K257*'2.1 OPEX TUUA'!$I$8)</f>
        <v>0</v>
      </c>
      <c r="J256" s="3">
        <f>+IF(F256="Pasajero",'2.2 OPEX LAP 2023'!L257*'2.1 OPEX TUUA'!$J$7,'2.2 OPEX LAP 2023'!L257*'2.1 OPEX TUUA'!$J$8)</f>
        <v>0</v>
      </c>
      <c r="K256" s="3">
        <f>+IF(F256="Pasajero",'2.2 OPEX LAP 2023'!M257*'2.1 OPEX TUUA'!$K$7,'2.2 OPEX LAP 2023'!M257*'2.1 OPEX TUUA'!$K$8)</f>
        <v>0</v>
      </c>
      <c r="L256" s="3">
        <f>+IF(F256="Pasajero",'2.2 OPEX LAP 2023'!N257*'2.1 OPEX TUUA'!$L$7,'2.2 OPEX LAP 2023'!N257*'2.1 OPEX TUUA'!$L$8)</f>
        <v>0</v>
      </c>
      <c r="M256" s="3"/>
      <c r="N256" s="3">
        <f>+IF(F256="Pasajero",'2.2 OPEX LAP 2023'!I257*'2.1 OPEX TUUA'!$N$7,'2.2 OPEX LAP 2023'!I257*'2.1 OPEX TUUA'!$N$8)</f>
        <v>0</v>
      </c>
      <c r="O256" s="3">
        <f>+IF(F256="Pasajero",'2.2 OPEX LAP 2023'!J257*'2.1 OPEX TUUA'!$O$7,'2.2 OPEX LAP 2023'!J257*'2.1 OPEX TUUA'!$O$8)</f>
        <v>0</v>
      </c>
      <c r="P256" s="3">
        <f>+IF(F256="Pasajero",'2.2 OPEX LAP 2023'!K257*'2.1 OPEX TUUA'!$P$7,'2.2 OPEX LAP 2023'!K257*'2.1 OPEX TUUA'!$P$8)</f>
        <v>0</v>
      </c>
      <c r="Q256" s="3">
        <f>+IF(F256="Pasajero",'2.2 OPEX LAP 2023'!L257*'2.1 OPEX TUUA'!$Q$7,'2.2 OPEX LAP 2023'!L257*'2.1 OPEX TUUA'!$Q$8)</f>
        <v>0</v>
      </c>
      <c r="R256" s="3">
        <f>+IF(F256="Pasajero",'2.2 OPEX LAP 2023'!M257*'2.1 OPEX TUUA'!$R$7,'2.2 OPEX LAP 2023'!M257*'2.1 OPEX TUUA'!$R$8)</f>
        <v>0</v>
      </c>
      <c r="S256" s="3">
        <f>+IF(F256="Pasajero",'2.2 OPEX LAP 2023'!N257*'2.1 OPEX TUUA'!$S$7,'2.2 OPEX LAP 2023'!N257*'2.1 OPEX TUUA'!$S$8)</f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7">
        <f t="shared" si="21"/>
        <v>0</v>
      </c>
      <c r="AB256" s="7">
        <f t="shared" si="22"/>
        <v>0</v>
      </c>
      <c r="AC256" s="7">
        <f t="shared" si="23"/>
        <v>0</v>
      </c>
      <c r="AD256" s="7">
        <f t="shared" si="24"/>
        <v>0</v>
      </c>
      <c r="AE256" s="7">
        <f t="shared" si="25"/>
        <v>0</v>
      </c>
      <c r="AF256" s="7">
        <f t="shared" si="26"/>
        <v>0</v>
      </c>
    </row>
    <row r="257" spans="2:32" x14ac:dyDescent="0.25">
      <c r="B257" s="17">
        <v>6380000004</v>
      </c>
      <c r="C257" s="193" t="s">
        <v>176</v>
      </c>
      <c r="D257" s="193" t="s">
        <v>49</v>
      </c>
      <c r="E257" s="193" t="s">
        <v>105</v>
      </c>
      <c r="F257" s="163" t="s">
        <v>191</v>
      </c>
      <c r="G257" s="3">
        <f>+IF(F257="Pasajero",'2.2 OPEX LAP 2023'!I258*'2.1 OPEX TUUA'!$G$7,'2.2 OPEX LAP 2023'!I258*'2.1 OPEX TUUA'!$G$8)</f>
        <v>3993.9984021191026</v>
      </c>
      <c r="H257" s="3">
        <f>+IF(F257="Pasajero",'2.2 OPEX LAP 2023'!J258*'2.1 OPEX TUUA'!$H$7,'2.2 OPEX LAP 2023'!J258*'2.1 OPEX TUUA'!$H$8)</f>
        <v>4084.0702154236869</v>
      </c>
      <c r="I257" s="3">
        <f>+IF(F257="Pasajero",'2.2 OPEX LAP 2023'!K258*'2.1 OPEX TUUA'!$I$7,'2.2 OPEX LAP 2023'!K258*'2.1 OPEX TUUA'!$I$8)</f>
        <v>4152.9478330592956</v>
      </c>
      <c r="J257" s="3">
        <f>+IF(F257="Pasajero",'2.2 OPEX LAP 2023'!L258*'2.1 OPEX TUUA'!$J$7,'2.2 OPEX LAP 2023'!L258*'2.1 OPEX TUUA'!$J$8)</f>
        <v>4222.2791571844227</v>
      </c>
      <c r="K257" s="3">
        <f>+IF(F257="Pasajero",'2.2 OPEX LAP 2023'!M258*'2.1 OPEX TUUA'!$K$7,'2.2 OPEX LAP 2023'!M258*'2.1 OPEX TUUA'!$K$8)</f>
        <v>4299.3938093299776</v>
      </c>
      <c r="L257" s="3">
        <f>+IF(F257="Pasajero",'2.2 OPEX LAP 2023'!N258*'2.1 OPEX TUUA'!$L$7,'2.2 OPEX LAP 2023'!N258*'2.1 OPEX TUUA'!$L$8)</f>
        <v>4370.9781289073726</v>
      </c>
      <c r="M257" s="3"/>
      <c r="N257" s="3">
        <f>+IF(F257="Pasajero",'2.2 OPEX LAP 2023'!I258*'2.1 OPEX TUUA'!$N$7,'2.2 OPEX LAP 2023'!I258*'2.1 OPEX TUUA'!$N$8)</f>
        <v>765.88249889882547</v>
      </c>
      <c r="O257" s="3">
        <f>+IF(F257="Pasajero",'2.2 OPEX LAP 2023'!J258*'2.1 OPEX TUUA'!$O$7,'2.2 OPEX LAP 2023'!J258*'2.1 OPEX TUUA'!$O$8)</f>
        <v>783.15452019394218</v>
      </c>
      <c r="P257" s="3">
        <f>+IF(F257="Pasajero",'2.2 OPEX LAP 2023'!K258*'2.1 OPEX TUUA'!$P$7,'2.2 OPEX LAP 2023'!K258*'2.1 OPEX TUUA'!$P$8)</f>
        <v>796.36237773463859</v>
      </c>
      <c r="Q257" s="3">
        <f>+IF(F257="Pasajero",'2.2 OPEX LAP 2023'!L258*'2.1 OPEX TUUA'!$Q$7,'2.2 OPEX LAP 2023'!L258*'2.1 OPEX TUUA'!$Q$8)</f>
        <v>809.65723727808336</v>
      </c>
      <c r="R257" s="3">
        <f>+IF(F257="Pasajero",'2.2 OPEX LAP 2023'!M258*'2.1 OPEX TUUA'!$R$7,'2.2 OPEX LAP 2023'!M258*'2.1 OPEX TUUA'!$R$8)</f>
        <v>824.44461487333115</v>
      </c>
      <c r="S257" s="3">
        <f>+IF(F257="Pasajero",'2.2 OPEX LAP 2023'!N258*'2.1 OPEX TUUA'!$S$7,'2.2 OPEX LAP 2023'!N258*'2.1 OPEX TUUA'!$S$8)</f>
        <v>838.171505082105</v>
      </c>
      <c r="U257" s="1">
        <v>4069.4652076926523</v>
      </c>
      <c r="V257" s="1">
        <v>4161.2389325500071</v>
      </c>
      <c r="W257" s="1">
        <v>4231.4179963193237</v>
      </c>
      <c r="X257" s="1">
        <v>4302.0593393856534</v>
      </c>
      <c r="Y257" s="1">
        <v>4380.6310768563435</v>
      </c>
      <c r="Z257" s="1">
        <v>4453.5679858400817</v>
      </c>
      <c r="AA257" s="7">
        <f t="shared" si="21"/>
        <v>-75.466805573549664</v>
      </c>
      <c r="AB257" s="7">
        <f t="shared" si="22"/>
        <v>-77.168717126320189</v>
      </c>
      <c r="AC257" s="7">
        <f t="shared" si="23"/>
        <v>-78.47016326002813</v>
      </c>
      <c r="AD257" s="7">
        <f t="shared" si="24"/>
        <v>-79.780182201230673</v>
      </c>
      <c r="AE257" s="7">
        <f t="shared" si="25"/>
        <v>-81.23726752636594</v>
      </c>
      <c r="AF257" s="7">
        <f t="shared" si="26"/>
        <v>-82.589856932709154</v>
      </c>
    </row>
    <row r="258" spans="2:32" x14ac:dyDescent="0.25">
      <c r="B258" s="17">
        <v>6380000005</v>
      </c>
      <c r="C258" s="193" t="s">
        <v>176</v>
      </c>
      <c r="D258" s="193" t="s">
        <v>38</v>
      </c>
      <c r="E258" s="193" t="s">
        <v>106</v>
      </c>
      <c r="F258" s="163" t="s">
        <v>190</v>
      </c>
      <c r="G258" s="3">
        <f>+IF(F258="Pasajero",'2.2 OPEX LAP 2023'!I259*'2.1 OPEX TUUA'!$G$7,'2.2 OPEX LAP 2023'!I259*'2.1 OPEX TUUA'!$G$8)</f>
        <v>0</v>
      </c>
      <c r="H258" s="3">
        <f>+IF(F258="Pasajero",'2.2 OPEX LAP 2023'!J259*'2.1 OPEX TUUA'!$H$7,'2.2 OPEX LAP 2023'!J259*'2.1 OPEX TUUA'!$H$8)</f>
        <v>0</v>
      </c>
      <c r="I258" s="3">
        <f>+IF(F258="Pasajero",'2.2 OPEX LAP 2023'!K259*'2.1 OPEX TUUA'!$I$7,'2.2 OPEX LAP 2023'!K259*'2.1 OPEX TUUA'!$I$8)</f>
        <v>0</v>
      </c>
      <c r="J258" s="3">
        <f>+IF(F258="Pasajero",'2.2 OPEX LAP 2023'!L259*'2.1 OPEX TUUA'!$J$7,'2.2 OPEX LAP 2023'!L259*'2.1 OPEX TUUA'!$J$8)</f>
        <v>0</v>
      </c>
      <c r="K258" s="3">
        <f>+IF(F258="Pasajero",'2.2 OPEX LAP 2023'!M259*'2.1 OPEX TUUA'!$K$7,'2.2 OPEX LAP 2023'!M259*'2.1 OPEX TUUA'!$K$8)</f>
        <v>0</v>
      </c>
      <c r="L258" s="3">
        <f>+IF(F258="Pasajero",'2.2 OPEX LAP 2023'!N259*'2.1 OPEX TUUA'!$L$7,'2.2 OPEX LAP 2023'!N259*'2.1 OPEX TUUA'!$L$8)</f>
        <v>0</v>
      </c>
      <c r="M258" s="3"/>
      <c r="N258" s="3">
        <f>+IF(F258="Pasajero",'2.2 OPEX LAP 2023'!I259*'2.1 OPEX TUUA'!$N$7,'2.2 OPEX LAP 2023'!I259*'2.1 OPEX TUUA'!$N$8)</f>
        <v>0</v>
      </c>
      <c r="O258" s="3">
        <f>+IF(F258="Pasajero",'2.2 OPEX LAP 2023'!J259*'2.1 OPEX TUUA'!$O$7,'2.2 OPEX LAP 2023'!J259*'2.1 OPEX TUUA'!$O$8)</f>
        <v>0</v>
      </c>
      <c r="P258" s="3">
        <f>+IF(F258="Pasajero",'2.2 OPEX LAP 2023'!K259*'2.1 OPEX TUUA'!$P$7,'2.2 OPEX LAP 2023'!K259*'2.1 OPEX TUUA'!$P$8)</f>
        <v>0</v>
      </c>
      <c r="Q258" s="3">
        <f>+IF(F258="Pasajero",'2.2 OPEX LAP 2023'!L259*'2.1 OPEX TUUA'!$Q$7,'2.2 OPEX LAP 2023'!L259*'2.1 OPEX TUUA'!$Q$8)</f>
        <v>0</v>
      </c>
      <c r="R258" s="3">
        <f>+IF(F258="Pasajero",'2.2 OPEX LAP 2023'!M259*'2.1 OPEX TUUA'!$R$7,'2.2 OPEX LAP 2023'!M259*'2.1 OPEX TUUA'!$R$8)</f>
        <v>0</v>
      </c>
      <c r="S258" s="3">
        <f>+IF(F258="Pasajero",'2.2 OPEX LAP 2023'!N259*'2.1 OPEX TUUA'!$S$7,'2.2 OPEX LAP 2023'!N259*'2.1 OPEX TUUA'!$S$8)</f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7">
        <f t="shared" si="21"/>
        <v>0</v>
      </c>
      <c r="AB258" s="7">
        <f t="shared" si="22"/>
        <v>0</v>
      </c>
      <c r="AC258" s="7">
        <f t="shared" si="23"/>
        <v>0</v>
      </c>
      <c r="AD258" s="7">
        <f t="shared" si="24"/>
        <v>0</v>
      </c>
      <c r="AE258" s="7">
        <f t="shared" si="25"/>
        <v>0</v>
      </c>
      <c r="AF258" s="7">
        <f t="shared" si="26"/>
        <v>0</v>
      </c>
    </row>
    <row r="259" spans="2:32" x14ac:dyDescent="0.25">
      <c r="B259" s="17">
        <v>6380000007</v>
      </c>
      <c r="C259" s="193" t="s">
        <v>176</v>
      </c>
      <c r="D259" s="193" t="s">
        <v>40</v>
      </c>
      <c r="E259" s="193" t="s">
        <v>107</v>
      </c>
      <c r="F259" s="163" t="s">
        <v>191</v>
      </c>
      <c r="G259" s="3">
        <f>+IF(F259="Pasajero",'2.2 OPEX LAP 2023'!I260*'2.1 OPEX TUUA'!$G$7,'2.2 OPEX LAP 2023'!I260*'2.1 OPEX TUUA'!$G$8)</f>
        <v>22606.975766134758</v>
      </c>
      <c r="H259" s="3">
        <f>+IF(F259="Pasajero",'2.2 OPEX LAP 2023'!J260*'2.1 OPEX TUUA'!$H$7,'2.2 OPEX LAP 2023'!J260*'2.1 OPEX TUUA'!$H$8)</f>
        <v>23116.803536598607</v>
      </c>
      <c r="I259" s="3">
        <f>+IF(F259="Pasajero",'2.2 OPEX LAP 2023'!K260*'2.1 OPEX TUUA'!$I$7,'2.2 OPEX LAP 2023'!K260*'2.1 OPEX TUUA'!$I$8)</f>
        <v>23506.667145930835</v>
      </c>
      <c r="J259" s="3">
        <f>+IF(F259="Pasajero",'2.2 OPEX LAP 2023'!L260*'2.1 OPEX TUUA'!$J$7,'2.2 OPEX LAP 2023'!L260*'2.1 OPEX TUUA'!$J$8)</f>
        <v>23899.098841321389</v>
      </c>
      <c r="K259" s="3">
        <f>+IF(F259="Pasajero",'2.2 OPEX LAP 2023'!M260*'2.1 OPEX TUUA'!$K$7,'2.2 OPEX LAP 2023'!M260*'2.1 OPEX TUUA'!$K$8)</f>
        <v>24335.586014511926</v>
      </c>
      <c r="L259" s="3">
        <f>+IF(F259="Pasajero",'2.2 OPEX LAP 2023'!N260*'2.1 OPEX TUUA'!$L$7,'2.2 OPEX LAP 2023'!N260*'2.1 OPEX TUUA'!$L$8)</f>
        <v>24740.770197125214</v>
      </c>
      <c r="M259" s="3"/>
      <c r="N259" s="3">
        <f>+IF(F259="Pasajero",'2.2 OPEX LAP 2023'!I260*'2.1 OPEX TUUA'!$N$7,'2.2 OPEX LAP 2023'!I260*'2.1 OPEX TUUA'!$N$8)</f>
        <v>4335.0761189904351</v>
      </c>
      <c r="O259" s="3">
        <f>+IF(F259="Pasajero",'2.2 OPEX LAP 2023'!J260*'2.1 OPEX TUUA'!$O$7,'2.2 OPEX LAP 2023'!J260*'2.1 OPEX TUUA'!$O$8)</f>
        <v>4432.8398453463833</v>
      </c>
      <c r="P259" s="3">
        <f>+IF(F259="Pasajero",'2.2 OPEX LAP 2023'!K260*'2.1 OPEX TUUA'!$P$7,'2.2 OPEX LAP 2023'!K260*'2.1 OPEX TUUA'!$P$8)</f>
        <v>4507.5994434440336</v>
      </c>
      <c r="Q259" s="3">
        <f>+IF(F259="Pasajero",'2.2 OPEX LAP 2023'!L260*'2.1 OPEX TUUA'!$Q$7,'2.2 OPEX LAP 2023'!L260*'2.1 OPEX TUUA'!$Q$8)</f>
        <v>4582.8514934582136</v>
      </c>
      <c r="R259" s="3">
        <f>+IF(F259="Pasajero",'2.2 OPEX LAP 2023'!M260*'2.1 OPEX TUUA'!$R$7,'2.2 OPEX LAP 2023'!M260*'2.1 OPEX TUUA'!$R$8)</f>
        <v>4666.5515487118873</v>
      </c>
      <c r="S259" s="3">
        <f>+IF(F259="Pasajero",'2.2 OPEX LAP 2023'!N260*'2.1 OPEX TUUA'!$S$7,'2.2 OPEX LAP 2023'!N260*'2.1 OPEX TUUA'!$S$8)</f>
        <v>4744.2489944919089</v>
      </c>
      <c r="U259" s="1">
        <v>23034.135737917331</v>
      </c>
      <c r="V259" s="1">
        <v>23553.596730369743</v>
      </c>
      <c r="W259" s="1">
        <v>23950.826832685561</v>
      </c>
      <c r="X259" s="1">
        <v>24350.673545178084</v>
      </c>
      <c r="Y259" s="1">
        <v>24795.408165993296</v>
      </c>
      <c r="Z259" s="1">
        <v>25208.248324611617</v>
      </c>
      <c r="AA259" s="7">
        <f t="shared" si="21"/>
        <v>-427.15997178257385</v>
      </c>
      <c r="AB259" s="7">
        <f t="shared" si="22"/>
        <v>-436.79319377113643</v>
      </c>
      <c r="AC259" s="7">
        <f t="shared" si="23"/>
        <v>-444.15968675472686</v>
      </c>
      <c r="AD259" s="7">
        <f t="shared" si="24"/>
        <v>-451.57470385669512</v>
      </c>
      <c r="AE259" s="7">
        <f t="shared" si="25"/>
        <v>-459.82215148137038</v>
      </c>
      <c r="AF259" s="7">
        <f t="shared" si="26"/>
        <v>-467.47812748640354</v>
      </c>
    </row>
    <row r="260" spans="2:32" x14ac:dyDescent="0.25">
      <c r="B260" s="17">
        <v>6380000008</v>
      </c>
      <c r="C260" s="193" t="s">
        <v>176</v>
      </c>
      <c r="D260" s="193" t="s">
        <v>40</v>
      </c>
      <c r="E260" s="193" t="s">
        <v>108</v>
      </c>
      <c r="F260" s="163" t="s">
        <v>190</v>
      </c>
      <c r="G260" s="3">
        <f>+IF(F260="Pasajero",'2.2 OPEX LAP 2023'!I261*'2.1 OPEX TUUA'!$G$7,'2.2 OPEX LAP 2023'!I261*'2.1 OPEX TUUA'!$G$8)</f>
        <v>0</v>
      </c>
      <c r="H260" s="3">
        <f>+IF(F260="Pasajero",'2.2 OPEX LAP 2023'!J261*'2.1 OPEX TUUA'!$H$7,'2.2 OPEX LAP 2023'!J261*'2.1 OPEX TUUA'!$H$8)</f>
        <v>0</v>
      </c>
      <c r="I260" s="3">
        <f>+IF(F260="Pasajero",'2.2 OPEX LAP 2023'!K261*'2.1 OPEX TUUA'!$I$7,'2.2 OPEX LAP 2023'!K261*'2.1 OPEX TUUA'!$I$8)</f>
        <v>0</v>
      </c>
      <c r="J260" s="3">
        <f>+IF(F260="Pasajero",'2.2 OPEX LAP 2023'!L261*'2.1 OPEX TUUA'!$J$7,'2.2 OPEX LAP 2023'!L261*'2.1 OPEX TUUA'!$J$8)</f>
        <v>0</v>
      </c>
      <c r="K260" s="3">
        <f>+IF(F260="Pasajero",'2.2 OPEX LAP 2023'!M261*'2.1 OPEX TUUA'!$K$7,'2.2 OPEX LAP 2023'!M261*'2.1 OPEX TUUA'!$K$8)</f>
        <v>0</v>
      </c>
      <c r="L260" s="3">
        <f>+IF(F260="Pasajero",'2.2 OPEX LAP 2023'!N261*'2.1 OPEX TUUA'!$L$7,'2.2 OPEX LAP 2023'!N261*'2.1 OPEX TUUA'!$L$8)</f>
        <v>0</v>
      </c>
      <c r="M260" s="3"/>
      <c r="N260" s="3">
        <f>+IF(F260="Pasajero",'2.2 OPEX LAP 2023'!I261*'2.1 OPEX TUUA'!$N$7,'2.2 OPEX LAP 2023'!I261*'2.1 OPEX TUUA'!$N$8)</f>
        <v>0</v>
      </c>
      <c r="O260" s="3">
        <f>+IF(F260="Pasajero",'2.2 OPEX LAP 2023'!J261*'2.1 OPEX TUUA'!$O$7,'2.2 OPEX LAP 2023'!J261*'2.1 OPEX TUUA'!$O$8)</f>
        <v>0</v>
      </c>
      <c r="P260" s="3">
        <f>+IF(F260="Pasajero",'2.2 OPEX LAP 2023'!K261*'2.1 OPEX TUUA'!$P$7,'2.2 OPEX LAP 2023'!K261*'2.1 OPEX TUUA'!$P$8)</f>
        <v>0</v>
      </c>
      <c r="Q260" s="3">
        <f>+IF(F260="Pasajero",'2.2 OPEX LAP 2023'!L261*'2.1 OPEX TUUA'!$Q$7,'2.2 OPEX LAP 2023'!L261*'2.1 OPEX TUUA'!$Q$8)</f>
        <v>0</v>
      </c>
      <c r="R260" s="3">
        <f>+IF(F260="Pasajero",'2.2 OPEX LAP 2023'!M261*'2.1 OPEX TUUA'!$R$7,'2.2 OPEX LAP 2023'!M261*'2.1 OPEX TUUA'!$R$8)</f>
        <v>0</v>
      </c>
      <c r="S260" s="3">
        <f>+IF(F260="Pasajero",'2.2 OPEX LAP 2023'!N261*'2.1 OPEX TUUA'!$S$7,'2.2 OPEX LAP 2023'!N261*'2.1 OPEX TUUA'!$S$8)</f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7">
        <f t="shared" si="21"/>
        <v>0</v>
      </c>
      <c r="AB260" s="7">
        <f t="shared" si="22"/>
        <v>0</v>
      </c>
      <c r="AC260" s="7">
        <f t="shared" si="23"/>
        <v>0</v>
      </c>
      <c r="AD260" s="7">
        <f t="shared" si="24"/>
        <v>0</v>
      </c>
      <c r="AE260" s="7">
        <f t="shared" si="25"/>
        <v>0</v>
      </c>
      <c r="AF260" s="7">
        <f t="shared" si="26"/>
        <v>0</v>
      </c>
    </row>
    <row r="261" spans="2:32" x14ac:dyDescent="0.25">
      <c r="B261" s="17">
        <v>6380000009</v>
      </c>
      <c r="C261" s="193" t="s">
        <v>176</v>
      </c>
      <c r="D261" s="193" t="s">
        <v>40</v>
      </c>
      <c r="E261" s="193" t="s">
        <v>109</v>
      </c>
      <c r="F261" s="163" t="s">
        <v>190</v>
      </c>
      <c r="G261" s="3">
        <f>+IF(F261="Pasajero",'2.2 OPEX LAP 2023'!I262*'2.1 OPEX TUUA'!$G$7,'2.2 OPEX LAP 2023'!I262*'2.1 OPEX TUUA'!$G$8)</f>
        <v>0</v>
      </c>
      <c r="H261" s="3">
        <f>+IF(F261="Pasajero",'2.2 OPEX LAP 2023'!J262*'2.1 OPEX TUUA'!$H$7,'2.2 OPEX LAP 2023'!J262*'2.1 OPEX TUUA'!$H$8)</f>
        <v>0</v>
      </c>
      <c r="I261" s="3">
        <f>+IF(F261="Pasajero",'2.2 OPEX LAP 2023'!K262*'2.1 OPEX TUUA'!$I$7,'2.2 OPEX LAP 2023'!K262*'2.1 OPEX TUUA'!$I$8)</f>
        <v>0</v>
      </c>
      <c r="J261" s="3">
        <f>+IF(F261="Pasajero",'2.2 OPEX LAP 2023'!L262*'2.1 OPEX TUUA'!$J$7,'2.2 OPEX LAP 2023'!L262*'2.1 OPEX TUUA'!$J$8)</f>
        <v>0</v>
      </c>
      <c r="K261" s="3">
        <f>+IF(F261="Pasajero",'2.2 OPEX LAP 2023'!M262*'2.1 OPEX TUUA'!$K$7,'2.2 OPEX LAP 2023'!M262*'2.1 OPEX TUUA'!$K$8)</f>
        <v>0</v>
      </c>
      <c r="L261" s="3">
        <f>+IF(F261="Pasajero",'2.2 OPEX LAP 2023'!N262*'2.1 OPEX TUUA'!$L$7,'2.2 OPEX LAP 2023'!N262*'2.1 OPEX TUUA'!$L$8)</f>
        <v>0</v>
      </c>
      <c r="M261" s="3"/>
      <c r="N261" s="3">
        <f>+IF(F261="Pasajero",'2.2 OPEX LAP 2023'!I262*'2.1 OPEX TUUA'!$N$7,'2.2 OPEX LAP 2023'!I262*'2.1 OPEX TUUA'!$N$8)</f>
        <v>0</v>
      </c>
      <c r="O261" s="3">
        <f>+IF(F261="Pasajero",'2.2 OPEX LAP 2023'!J262*'2.1 OPEX TUUA'!$O$7,'2.2 OPEX LAP 2023'!J262*'2.1 OPEX TUUA'!$O$8)</f>
        <v>0</v>
      </c>
      <c r="P261" s="3">
        <f>+IF(F261="Pasajero",'2.2 OPEX LAP 2023'!K262*'2.1 OPEX TUUA'!$P$7,'2.2 OPEX LAP 2023'!K262*'2.1 OPEX TUUA'!$P$8)</f>
        <v>0</v>
      </c>
      <c r="Q261" s="3">
        <f>+IF(F261="Pasajero",'2.2 OPEX LAP 2023'!L262*'2.1 OPEX TUUA'!$Q$7,'2.2 OPEX LAP 2023'!L262*'2.1 OPEX TUUA'!$Q$8)</f>
        <v>0</v>
      </c>
      <c r="R261" s="3">
        <f>+IF(F261="Pasajero",'2.2 OPEX LAP 2023'!M262*'2.1 OPEX TUUA'!$R$7,'2.2 OPEX LAP 2023'!M262*'2.1 OPEX TUUA'!$R$8)</f>
        <v>0</v>
      </c>
      <c r="S261" s="3">
        <f>+IF(F261="Pasajero",'2.2 OPEX LAP 2023'!N262*'2.1 OPEX TUUA'!$S$7,'2.2 OPEX LAP 2023'!N262*'2.1 OPEX TUUA'!$S$8)</f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7">
        <f t="shared" si="21"/>
        <v>0</v>
      </c>
      <c r="AB261" s="7">
        <f t="shared" si="22"/>
        <v>0</v>
      </c>
      <c r="AC261" s="7">
        <f t="shared" si="23"/>
        <v>0</v>
      </c>
      <c r="AD261" s="7">
        <f t="shared" si="24"/>
        <v>0</v>
      </c>
      <c r="AE261" s="7">
        <f t="shared" si="25"/>
        <v>0</v>
      </c>
      <c r="AF261" s="7">
        <f t="shared" si="26"/>
        <v>0</v>
      </c>
    </row>
    <row r="262" spans="2:32" x14ac:dyDescent="0.25">
      <c r="B262" s="17">
        <v>6380000010</v>
      </c>
      <c r="C262" s="193" t="s">
        <v>176</v>
      </c>
      <c r="D262" s="193" t="s">
        <v>40</v>
      </c>
      <c r="E262" s="193" t="s">
        <v>110</v>
      </c>
      <c r="F262" s="163" t="s">
        <v>190</v>
      </c>
      <c r="G262" s="3">
        <f>+IF(F262="Pasajero",'2.2 OPEX LAP 2023'!I263*'2.1 OPEX TUUA'!$G$7,'2.2 OPEX LAP 2023'!I263*'2.1 OPEX TUUA'!$G$8)</f>
        <v>25.482961679559466</v>
      </c>
      <c r="H262" s="3">
        <f>+IF(F262="Pasajero",'2.2 OPEX LAP 2023'!J263*'2.1 OPEX TUUA'!$H$7,'2.2 OPEX LAP 2023'!J263*'2.1 OPEX TUUA'!$H$8)</f>
        <v>29.891643586124545</v>
      </c>
      <c r="I262" s="3">
        <f>+IF(F262="Pasajero",'2.2 OPEX LAP 2023'!K263*'2.1 OPEX TUUA'!$I$7,'2.2 OPEX LAP 2023'!K263*'2.1 OPEX TUUA'!$I$8)</f>
        <v>33.602963192467264</v>
      </c>
      <c r="J262" s="3">
        <f>+IF(F262="Pasajero",'2.2 OPEX LAP 2023'!L263*'2.1 OPEX TUUA'!$J$7,'2.2 OPEX LAP 2023'!L263*'2.1 OPEX TUUA'!$J$8)</f>
        <v>35.602887034683242</v>
      </c>
      <c r="K262" s="3">
        <f>+IF(F262="Pasajero",'2.2 OPEX LAP 2023'!M263*'2.1 OPEX TUUA'!$K$7,'2.2 OPEX LAP 2023'!M263*'2.1 OPEX TUUA'!$K$8)</f>
        <v>37.064112621855742</v>
      </c>
      <c r="L262" s="3">
        <f>+IF(F262="Pasajero",'2.2 OPEX LAP 2023'!N263*'2.1 OPEX TUUA'!$L$7,'2.2 OPEX LAP 2023'!N263*'2.1 OPEX TUUA'!$L$8)</f>
        <v>38.687562508631963</v>
      </c>
      <c r="M262" s="3"/>
      <c r="N262" s="3">
        <f>+IF(F262="Pasajero",'2.2 OPEX LAP 2023'!I263*'2.1 OPEX TUUA'!$N$7,'2.2 OPEX LAP 2023'!I263*'2.1 OPEX TUUA'!$N$8)</f>
        <v>12.568635617061375</v>
      </c>
      <c r="O262" s="3">
        <f>+IF(F262="Pasajero",'2.2 OPEX LAP 2023'!J263*'2.1 OPEX TUUA'!$O$7,'2.2 OPEX LAP 2023'!J263*'2.1 OPEX TUUA'!$O$8)</f>
        <v>12.380019532838643</v>
      </c>
      <c r="P262" s="3">
        <f>+IF(F262="Pasajero",'2.2 OPEX LAP 2023'!K263*'2.1 OPEX TUUA'!$P$7,'2.2 OPEX LAP 2023'!K263*'2.1 OPEX TUUA'!$P$8)</f>
        <v>12.30300843399001</v>
      </c>
      <c r="Q262" s="3">
        <f>+IF(F262="Pasajero",'2.2 OPEX LAP 2023'!L263*'2.1 OPEX TUUA'!$Q$7,'2.2 OPEX LAP 2023'!L263*'2.1 OPEX TUUA'!$Q$8)</f>
        <v>12.222859210914915</v>
      </c>
      <c r="R262" s="3">
        <f>+IF(F262="Pasajero",'2.2 OPEX LAP 2023'!M263*'2.1 OPEX TUUA'!$R$7,'2.2 OPEX LAP 2023'!M263*'2.1 OPEX TUUA'!$R$8)</f>
        <v>12.288442288127207</v>
      </c>
      <c r="S262" s="3">
        <f>+IF(F262="Pasajero",'2.2 OPEX LAP 2023'!N263*'2.1 OPEX TUUA'!$S$7,'2.2 OPEX LAP 2023'!N263*'2.1 OPEX TUUA'!$S$8)</f>
        <v>12.296286202308735</v>
      </c>
      <c r="U262" s="1">
        <v>25.964463553343187</v>
      </c>
      <c r="V262" s="1">
        <v>30.456447731662266</v>
      </c>
      <c r="W262" s="1">
        <v>34.237892913169105</v>
      </c>
      <c r="X262" s="1">
        <v>36.275605419417175</v>
      </c>
      <c r="Y262" s="1">
        <v>37.764440939339707</v>
      </c>
      <c r="Z262" s="1">
        <v>39.41856599536456</v>
      </c>
      <c r="AA262" s="7">
        <f t="shared" si="21"/>
        <v>-0.48150187378372067</v>
      </c>
      <c r="AB262" s="7">
        <f t="shared" si="22"/>
        <v>-0.56480414553772107</v>
      </c>
      <c r="AC262" s="7">
        <f t="shared" si="23"/>
        <v>-0.63492972070184095</v>
      </c>
      <c r="AD262" s="7">
        <f t="shared" si="24"/>
        <v>-0.67271838473393331</v>
      </c>
      <c r="AE262" s="7">
        <f t="shared" si="25"/>
        <v>-0.70032831748396518</v>
      </c>
      <c r="AF262" s="7">
        <f t="shared" si="26"/>
        <v>-0.73100348673259674</v>
      </c>
    </row>
    <row r="263" spans="2:32" x14ac:dyDescent="0.25">
      <c r="B263" s="17">
        <v>6380000012</v>
      </c>
      <c r="C263" s="193" t="s">
        <v>176</v>
      </c>
      <c r="D263" s="193" t="s">
        <v>40</v>
      </c>
      <c r="E263" s="193" t="s">
        <v>111</v>
      </c>
      <c r="F263" s="163" t="s">
        <v>190</v>
      </c>
      <c r="G263" s="3">
        <f>+IF(F263="Pasajero",'2.2 OPEX LAP 2023'!I264*'2.1 OPEX TUUA'!$G$7,'2.2 OPEX LAP 2023'!I264*'2.1 OPEX TUUA'!$G$8)</f>
        <v>22.628173312997401</v>
      </c>
      <c r="H263" s="3">
        <f>+IF(F263="Pasajero",'2.2 OPEX LAP 2023'!J264*'2.1 OPEX TUUA'!$H$7,'2.2 OPEX LAP 2023'!J264*'2.1 OPEX TUUA'!$H$8)</f>
        <v>26.542962320573814</v>
      </c>
      <c r="I263" s="3">
        <f>+IF(F263="Pasajero",'2.2 OPEX LAP 2023'!K264*'2.1 OPEX TUUA'!$I$7,'2.2 OPEX LAP 2023'!K264*'2.1 OPEX TUUA'!$I$8)</f>
        <v>29.838512670186873</v>
      </c>
      <c r="J263" s="3">
        <f>+IF(F263="Pasajero",'2.2 OPEX LAP 2023'!L264*'2.1 OPEX TUUA'!$J$7,'2.2 OPEX LAP 2023'!L264*'2.1 OPEX TUUA'!$J$8)</f>
        <v>31.614390367745028</v>
      </c>
      <c r="K263" s="3">
        <f>+IF(F263="Pasajero",'2.2 OPEX LAP 2023'!M264*'2.1 OPEX TUUA'!$K$7,'2.2 OPEX LAP 2023'!M264*'2.1 OPEX TUUA'!$K$8)</f>
        <v>32.911918741868348</v>
      </c>
      <c r="L263" s="3">
        <f>+IF(F263="Pasajero",'2.2 OPEX LAP 2023'!N264*'2.1 OPEX TUUA'!$L$7,'2.2 OPEX LAP 2023'!N264*'2.1 OPEX TUUA'!$L$8)</f>
        <v>34.353497859118484</v>
      </c>
      <c r="M263" s="3"/>
      <c r="N263" s="3">
        <f>+IF(F263="Pasajero",'2.2 OPEX LAP 2023'!I264*'2.1 OPEX TUUA'!$N$7,'2.2 OPEX LAP 2023'!I264*'2.1 OPEX TUUA'!$N$8)</f>
        <v>11.160604824003073</v>
      </c>
      <c r="O263" s="3">
        <f>+IF(F263="Pasajero",'2.2 OPEX LAP 2023'!J264*'2.1 OPEX TUUA'!$O$7,'2.2 OPEX LAP 2023'!J264*'2.1 OPEX TUUA'!$O$8)</f>
        <v>10.993118897638618</v>
      </c>
      <c r="P263" s="3">
        <f>+IF(F263="Pasajero",'2.2 OPEX LAP 2023'!K264*'2.1 OPEX TUUA'!$P$7,'2.2 OPEX LAP 2023'!K264*'2.1 OPEX TUUA'!$P$8)</f>
        <v>10.924735147206304</v>
      </c>
      <c r="Q263" s="3">
        <f>+IF(F263="Pasajero",'2.2 OPEX LAP 2023'!L264*'2.1 OPEX TUUA'!$Q$7,'2.2 OPEX LAP 2023'!L264*'2.1 OPEX TUUA'!$Q$8)</f>
        <v>10.853564828251576</v>
      </c>
      <c r="R263" s="3">
        <f>+IF(F263="Pasajero",'2.2 OPEX LAP 2023'!M264*'2.1 OPEX TUUA'!$R$7,'2.2 OPEX LAP 2023'!M264*'2.1 OPEX TUUA'!$R$8)</f>
        <v>10.911800807892428</v>
      </c>
      <c r="S263" s="3">
        <f>+IF(F263="Pasajero",'2.2 OPEX LAP 2023'!N264*'2.1 OPEX TUUA'!$S$7,'2.2 OPEX LAP 2023'!N264*'2.1 OPEX TUUA'!$S$8)</f>
        <v>10.918765989247085</v>
      </c>
      <c r="U263" s="1">
        <v>23.055733813520011</v>
      </c>
      <c r="V263" s="1">
        <v>27.044492961079325</v>
      </c>
      <c r="W263" s="1">
        <v>30.40231290433071</v>
      </c>
      <c r="X263" s="1">
        <v>32.211745902475094</v>
      </c>
      <c r="Y263" s="1">
        <v>33.533791142074421</v>
      </c>
      <c r="Z263" s="1">
        <v>35.002608971013245</v>
      </c>
      <c r="AA263" s="7">
        <f t="shared" si="21"/>
        <v>-0.42756050052260974</v>
      </c>
      <c r="AB263" s="7">
        <f t="shared" si="22"/>
        <v>-0.50153064050551066</v>
      </c>
      <c r="AC263" s="7">
        <f t="shared" si="23"/>
        <v>-0.56380023414383729</v>
      </c>
      <c r="AD263" s="7">
        <f t="shared" si="24"/>
        <v>-0.59735553473006675</v>
      </c>
      <c r="AE263" s="7">
        <f t="shared" si="25"/>
        <v>-0.62187240020607248</v>
      </c>
      <c r="AF263" s="7">
        <f t="shared" si="26"/>
        <v>-0.64911111189476145</v>
      </c>
    </row>
    <row r="264" spans="2:32" x14ac:dyDescent="0.25">
      <c r="B264" s="17">
        <v>6380000014</v>
      </c>
      <c r="C264" s="193" t="s">
        <v>176</v>
      </c>
      <c r="D264" s="193" t="s">
        <v>49</v>
      </c>
      <c r="E264" s="193" t="s">
        <v>112</v>
      </c>
      <c r="F264" s="163" t="s">
        <v>190</v>
      </c>
      <c r="G264" s="3">
        <f>+IF(F264="Pasajero",'2.2 OPEX LAP 2023'!I265*'2.1 OPEX TUUA'!$G$7,'2.2 OPEX LAP 2023'!I265*'2.1 OPEX TUUA'!$G$8)</f>
        <v>0</v>
      </c>
      <c r="H264" s="3">
        <f>+IF(F264="Pasajero",'2.2 OPEX LAP 2023'!J265*'2.1 OPEX TUUA'!$H$7,'2.2 OPEX LAP 2023'!J265*'2.1 OPEX TUUA'!$H$8)</f>
        <v>0</v>
      </c>
      <c r="I264" s="3">
        <f>+IF(F264="Pasajero",'2.2 OPEX LAP 2023'!K265*'2.1 OPEX TUUA'!$I$7,'2.2 OPEX LAP 2023'!K265*'2.1 OPEX TUUA'!$I$8)</f>
        <v>0</v>
      </c>
      <c r="J264" s="3">
        <f>+IF(F264="Pasajero",'2.2 OPEX LAP 2023'!L265*'2.1 OPEX TUUA'!$J$7,'2.2 OPEX LAP 2023'!L265*'2.1 OPEX TUUA'!$J$8)</f>
        <v>0</v>
      </c>
      <c r="K264" s="3">
        <f>+IF(F264="Pasajero",'2.2 OPEX LAP 2023'!M265*'2.1 OPEX TUUA'!$K$7,'2.2 OPEX LAP 2023'!M265*'2.1 OPEX TUUA'!$K$8)</f>
        <v>0</v>
      </c>
      <c r="L264" s="3">
        <f>+IF(F264="Pasajero",'2.2 OPEX LAP 2023'!N265*'2.1 OPEX TUUA'!$L$7,'2.2 OPEX LAP 2023'!N265*'2.1 OPEX TUUA'!$L$8)</f>
        <v>0</v>
      </c>
      <c r="M264" s="3"/>
      <c r="N264" s="3">
        <f>+IF(F264="Pasajero",'2.2 OPEX LAP 2023'!I265*'2.1 OPEX TUUA'!$N$7,'2.2 OPEX LAP 2023'!I265*'2.1 OPEX TUUA'!$N$8)</f>
        <v>0</v>
      </c>
      <c r="O264" s="3">
        <f>+IF(F264="Pasajero",'2.2 OPEX LAP 2023'!J265*'2.1 OPEX TUUA'!$O$7,'2.2 OPEX LAP 2023'!J265*'2.1 OPEX TUUA'!$O$8)</f>
        <v>0</v>
      </c>
      <c r="P264" s="3">
        <f>+IF(F264="Pasajero",'2.2 OPEX LAP 2023'!K265*'2.1 OPEX TUUA'!$P$7,'2.2 OPEX LAP 2023'!K265*'2.1 OPEX TUUA'!$P$8)</f>
        <v>0</v>
      </c>
      <c r="Q264" s="3">
        <f>+IF(F264="Pasajero",'2.2 OPEX LAP 2023'!L265*'2.1 OPEX TUUA'!$Q$7,'2.2 OPEX LAP 2023'!L265*'2.1 OPEX TUUA'!$Q$8)</f>
        <v>0</v>
      </c>
      <c r="R264" s="3">
        <f>+IF(F264="Pasajero",'2.2 OPEX LAP 2023'!M265*'2.1 OPEX TUUA'!$R$7,'2.2 OPEX LAP 2023'!M265*'2.1 OPEX TUUA'!$R$8)</f>
        <v>0</v>
      </c>
      <c r="S264" s="3">
        <f>+IF(F264="Pasajero",'2.2 OPEX LAP 2023'!N265*'2.1 OPEX TUUA'!$S$7,'2.2 OPEX LAP 2023'!N265*'2.1 OPEX TUUA'!$S$8)</f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7">
        <f t="shared" si="21"/>
        <v>0</v>
      </c>
      <c r="AB264" s="7">
        <f t="shared" si="22"/>
        <v>0</v>
      </c>
      <c r="AC264" s="7">
        <f t="shared" si="23"/>
        <v>0</v>
      </c>
      <c r="AD264" s="7">
        <f t="shared" si="24"/>
        <v>0</v>
      </c>
      <c r="AE264" s="7">
        <f t="shared" si="25"/>
        <v>0</v>
      </c>
      <c r="AF264" s="7">
        <f t="shared" si="26"/>
        <v>0</v>
      </c>
    </row>
    <row r="265" spans="2:32" x14ac:dyDescent="0.25">
      <c r="B265" s="17">
        <v>6380000015</v>
      </c>
      <c r="C265" s="193" t="s">
        <v>176</v>
      </c>
      <c r="D265" s="193" t="s">
        <v>40</v>
      </c>
      <c r="E265" s="193" t="s">
        <v>113</v>
      </c>
      <c r="F265" s="163" t="s">
        <v>190</v>
      </c>
      <c r="G265" s="3">
        <f>+IF(F265="Pasajero",'2.2 OPEX LAP 2023'!I266*'2.1 OPEX TUUA'!$G$7,'2.2 OPEX LAP 2023'!I266*'2.1 OPEX TUUA'!$G$8)</f>
        <v>0</v>
      </c>
      <c r="H265" s="3">
        <f>+IF(F265="Pasajero",'2.2 OPEX LAP 2023'!J266*'2.1 OPEX TUUA'!$H$7,'2.2 OPEX LAP 2023'!J266*'2.1 OPEX TUUA'!$H$8)</f>
        <v>0</v>
      </c>
      <c r="I265" s="3">
        <f>+IF(F265="Pasajero",'2.2 OPEX LAP 2023'!K266*'2.1 OPEX TUUA'!$I$7,'2.2 OPEX LAP 2023'!K266*'2.1 OPEX TUUA'!$I$8)</f>
        <v>0</v>
      </c>
      <c r="J265" s="3">
        <f>+IF(F265="Pasajero",'2.2 OPEX LAP 2023'!L266*'2.1 OPEX TUUA'!$J$7,'2.2 OPEX LAP 2023'!L266*'2.1 OPEX TUUA'!$J$8)</f>
        <v>0</v>
      </c>
      <c r="K265" s="3">
        <f>+IF(F265="Pasajero",'2.2 OPEX LAP 2023'!M266*'2.1 OPEX TUUA'!$K$7,'2.2 OPEX LAP 2023'!M266*'2.1 OPEX TUUA'!$K$8)</f>
        <v>0</v>
      </c>
      <c r="L265" s="3">
        <f>+IF(F265="Pasajero",'2.2 OPEX LAP 2023'!N266*'2.1 OPEX TUUA'!$L$7,'2.2 OPEX LAP 2023'!N266*'2.1 OPEX TUUA'!$L$8)</f>
        <v>0</v>
      </c>
      <c r="M265" s="3"/>
      <c r="N265" s="3">
        <f>+IF(F265="Pasajero",'2.2 OPEX LAP 2023'!I266*'2.1 OPEX TUUA'!$N$7,'2.2 OPEX LAP 2023'!I266*'2.1 OPEX TUUA'!$N$8)</f>
        <v>0</v>
      </c>
      <c r="O265" s="3">
        <f>+IF(F265="Pasajero",'2.2 OPEX LAP 2023'!J266*'2.1 OPEX TUUA'!$O$7,'2.2 OPEX LAP 2023'!J266*'2.1 OPEX TUUA'!$O$8)</f>
        <v>0</v>
      </c>
      <c r="P265" s="3">
        <f>+IF(F265="Pasajero",'2.2 OPEX LAP 2023'!K266*'2.1 OPEX TUUA'!$P$7,'2.2 OPEX LAP 2023'!K266*'2.1 OPEX TUUA'!$P$8)</f>
        <v>0</v>
      </c>
      <c r="Q265" s="3">
        <f>+IF(F265="Pasajero",'2.2 OPEX LAP 2023'!L266*'2.1 OPEX TUUA'!$Q$7,'2.2 OPEX LAP 2023'!L266*'2.1 OPEX TUUA'!$Q$8)</f>
        <v>0</v>
      </c>
      <c r="R265" s="3">
        <f>+IF(F265="Pasajero",'2.2 OPEX LAP 2023'!M266*'2.1 OPEX TUUA'!$R$7,'2.2 OPEX LAP 2023'!M266*'2.1 OPEX TUUA'!$R$8)</f>
        <v>0</v>
      </c>
      <c r="S265" s="3">
        <f>+IF(F265="Pasajero",'2.2 OPEX LAP 2023'!N266*'2.1 OPEX TUUA'!$S$7,'2.2 OPEX LAP 2023'!N266*'2.1 OPEX TUUA'!$S$8)</f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7">
        <f t="shared" si="21"/>
        <v>0</v>
      </c>
      <c r="AB265" s="7">
        <f t="shared" si="22"/>
        <v>0</v>
      </c>
      <c r="AC265" s="7">
        <f t="shared" si="23"/>
        <v>0</v>
      </c>
      <c r="AD265" s="7">
        <f t="shared" si="24"/>
        <v>0</v>
      </c>
      <c r="AE265" s="7">
        <f t="shared" si="25"/>
        <v>0</v>
      </c>
      <c r="AF265" s="7">
        <f t="shared" si="26"/>
        <v>0</v>
      </c>
    </row>
    <row r="266" spans="2:32" x14ac:dyDescent="0.25">
      <c r="B266" s="17">
        <v>6380000016</v>
      </c>
      <c r="C266" s="193" t="s">
        <v>176</v>
      </c>
      <c r="D266" s="193" t="s">
        <v>49</v>
      </c>
      <c r="E266" s="193" t="s">
        <v>114</v>
      </c>
      <c r="F266" s="163" t="s">
        <v>190</v>
      </c>
      <c r="G266" s="3">
        <f>+IF(F266="Pasajero",'2.2 OPEX LAP 2023'!I267*'2.1 OPEX TUUA'!$G$7,'2.2 OPEX LAP 2023'!I267*'2.1 OPEX TUUA'!$G$8)</f>
        <v>0</v>
      </c>
      <c r="H266" s="3">
        <f>+IF(F266="Pasajero",'2.2 OPEX LAP 2023'!J267*'2.1 OPEX TUUA'!$H$7,'2.2 OPEX LAP 2023'!J267*'2.1 OPEX TUUA'!$H$8)</f>
        <v>0</v>
      </c>
      <c r="I266" s="3">
        <f>+IF(F266="Pasajero",'2.2 OPEX LAP 2023'!K267*'2.1 OPEX TUUA'!$I$7,'2.2 OPEX LAP 2023'!K267*'2.1 OPEX TUUA'!$I$8)</f>
        <v>0</v>
      </c>
      <c r="J266" s="3">
        <f>+IF(F266="Pasajero",'2.2 OPEX LAP 2023'!L267*'2.1 OPEX TUUA'!$J$7,'2.2 OPEX LAP 2023'!L267*'2.1 OPEX TUUA'!$J$8)</f>
        <v>0</v>
      </c>
      <c r="K266" s="3">
        <f>+IF(F266="Pasajero",'2.2 OPEX LAP 2023'!M267*'2.1 OPEX TUUA'!$K$7,'2.2 OPEX LAP 2023'!M267*'2.1 OPEX TUUA'!$K$8)</f>
        <v>0</v>
      </c>
      <c r="L266" s="3">
        <f>+IF(F266="Pasajero",'2.2 OPEX LAP 2023'!N267*'2.1 OPEX TUUA'!$L$7,'2.2 OPEX LAP 2023'!N267*'2.1 OPEX TUUA'!$L$8)</f>
        <v>0</v>
      </c>
      <c r="M266" s="3"/>
      <c r="N266" s="3">
        <f>+IF(F266="Pasajero",'2.2 OPEX LAP 2023'!I267*'2.1 OPEX TUUA'!$N$7,'2.2 OPEX LAP 2023'!I267*'2.1 OPEX TUUA'!$N$8)</f>
        <v>0</v>
      </c>
      <c r="O266" s="3">
        <f>+IF(F266="Pasajero",'2.2 OPEX LAP 2023'!J267*'2.1 OPEX TUUA'!$O$7,'2.2 OPEX LAP 2023'!J267*'2.1 OPEX TUUA'!$O$8)</f>
        <v>0</v>
      </c>
      <c r="P266" s="3">
        <f>+IF(F266="Pasajero",'2.2 OPEX LAP 2023'!K267*'2.1 OPEX TUUA'!$P$7,'2.2 OPEX LAP 2023'!K267*'2.1 OPEX TUUA'!$P$8)</f>
        <v>0</v>
      </c>
      <c r="Q266" s="3">
        <f>+IF(F266="Pasajero",'2.2 OPEX LAP 2023'!L267*'2.1 OPEX TUUA'!$Q$7,'2.2 OPEX LAP 2023'!L267*'2.1 OPEX TUUA'!$Q$8)</f>
        <v>0</v>
      </c>
      <c r="R266" s="3">
        <f>+IF(F266="Pasajero",'2.2 OPEX LAP 2023'!M267*'2.1 OPEX TUUA'!$R$7,'2.2 OPEX LAP 2023'!M267*'2.1 OPEX TUUA'!$R$8)</f>
        <v>0</v>
      </c>
      <c r="S266" s="3">
        <f>+IF(F266="Pasajero",'2.2 OPEX LAP 2023'!N267*'2.1 OPEX TUUA'!$S$7,'2.2 OPEX LAP 2023'!N267*'2.1 OPEX TUUA'!$S$8)</f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7">
        <f t="shared" si="21"/>
        <v>0</v>
      </c>
      <c r="AB266" s="7">
        <f t="shared" si="22"/>
        <v>0</v>
      </c>
      <c r="AC266" s="7">
        <f t="shared" si="23"/>
        <v>0</v>
      </c>
      <c r="AD266" s="7">
        <f t="shared" si="24"/>
        <v>0</v>
      </c>
      <c r="AE266" s="7">
        <f t="shared" si="25"/>
        <v>0</v>
      </c>
      <c r="AF266" s="7">
        <f t="shared" si="26"/>
        <v>0</v>
      </c>
    </row>
    <row r="267" spans="2:32" x14ac:dyDescent="0.25">
      <c r="B267" s="17">
        <v>6380000017</v>
      </c>
      <c r="C267" s="193" t="s">
        <v>176</v>
      </c>
      <c r="D267" s="193" t="s">
        <v>49</v>
      </c>
      <c r="E267" s="193" t="s">
        <v>115</v>
      </c>
      <c r="F267" s="163" t="s">
        <v>190</v>
      </c>
      <c r="G267" s="3">
        <f>+IF(F267="Pasajero",'2.2 OPEX LAP 2023'!I268*'2.1 OPEX TUUA'!$G$7,'2.2 OPEX LAP 2023'!I268*'2.1 OPEX TUUA'!$G$8)</f>
        <v>0</v>
      </c>
      <c r="H267" s="3">
        <f>+IF(F267="Pasajero",'2.2 OPEX LAP 2023'!J268*'2.1 OPEX TUUA'!$H$7,'2.2 OPEX LAP 2023'!J268*'2.1 OPEX TUUA'!$H$8)</f>
        <v>0</v>
      </c>
      <c r="I267" s="3">
        <f>+IF(F267="Pasajero",'2.2 OPEX LAP 2023'!K268*'2.1 OPEX TUUA'!$I$7,'2.2 OPEX LAP 2023'!K268*'2.1 OPEX TUUA'!$I$8)</f>
        <v>0</v>
      </c>
      <c r="J267" s="3">
        <f>+IF(F267="Pasajero",'2.2 OPEX LAP 2023'!L268*'2.1 OPEX TUUA'!$J$7,'2.2 OPEX LAP 2023'!L268*'2.1 OPEX TUUA'!$J$8)</f>
        <v>0</v>
      </c>
      <c r="K267" s="3">
        <f>+IF(F267="Pasajero",'2.2 OPEX LAP 2023'!M268*'2.1 OPEX TUUA'!$K$7,'2.2 OPEX LAP 2023'!M268*'2.1 OPEX TUUA'!$K$8)</f>
        <v>0</v>
      </c>
      <c r="L267" s="3">
        <f>+IF(F267="Pasajero",'2.2 OPEX LAP 2023'!N268*'2.1 OPEX TUUA'!$L$7,'2.2 OPEX LAP 2023'!N268*'2.1 OPEX TUUA'!$L$8)</f>
        <v>0</v>
      </c>
      <c r="M267" s="3"/>
      <c r="N267" s="3">
        <f>+IF(F267="Pasajero",'2.2 OPEX LAP 2023'!I268*'2.1 OPEX TUUA'!$N$7,'2.2 OPEX LAP 2023'!I268*'2.1 OPEX TUUA'!$N$8)</f>
        <v>0</v>
      </c>
      <c r="O267" s="3">
        <f>+IF(F267="Pasajero",'2.2 OPEX LAP 2023'!J268*'2.1 OPEX TUUA'!$O$7,'2.2 OPEX LAP 2023'!J268*'2.1 OPEX TUUA'!$O$8)</f>
        <v>0</v>
      </c>
      <c r="P267" s="3">
        <f>+IF(F267="Pasajero",'2.2 OPEX LAP 2023'!K268*'2.1 OPEX TUUA'!$P$7,'2.2 OPEX LAP 2023'!K268*'2.1 OPEX TUUA'!$P$8)</f>
        <v>0</v>
      </c>
      <c r="Q267" s="3">
        <f>+IF(F267="Pasajero",'2.2 OPEX LAP 2023'!L268*'2.1 OPEX TUUA'!$Q$7,'2.2 OPEX LAP 2023'!L268*'2.1 OPEX TUUA'!$Q$8)</f>
        <v>0</v>
      </c>
      <c r="R267" s="3">
        <f>+IF(F267="Pasajero",'2.2 OPEX LAP 2023'!M268*'2.1 OPEX TUUA'!$R$7,'2.2 OPEX LAP 2023'!M268*'2.1 OPEX TUUA'!$R$8)</f>
        <v>0</v>
      </c>
      <c r="S267" s="3">
        <f>+IF(F267="Pasajero",'2.2 OPEX LAP 2023'!N268*'2.1 OPEX TUUA'!$S$7,'2.2 OPEX LAP 2023'!N268*'2.1 OPEX TUUA'!$S$8)</f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7">
        <f t="shared" si="21"/>
        <v>0</v>
      </c>
      <c r="AB267" s="7">
        <f t="shared" si="22"/>
        <v>0</v>
      </c>
      <c r="AC267" s="7">
        <f t="shared" si="23"/>
        <v>0</v>
      </c>
      <c r="AD267" s="7">
        <f t="shared" si="24"/>
        <v>0</v>
      </c>
      <c r="AE267" s="7">
        <f t="shared" si="25"/>
        <v>0</v>
      </c>
      <c r="AF267" s="7">
        <f t="shared" si="26"/>
        <v>0</v>
      </c>
    </row>
    <row r="268" spans="2:32" x14ac:dyDescent="0.25">
      <c r="B268" s="17">
        <v>6380000018</v>
      </c>
      <c r="C268" s="193" t="s">
        <v>176</v>
      </c>
      <c r="D268" s="193" t="s">
        <v>49</v>
      </c>
      <c r="E268" s="193" t="s">
        <v>116</v>
      </c>
      <c r="F268" s="163" t="s">
        <v>190</v>
      </c>
      <c r="G268" s="3">
        <f>+IF(F268="Pasajero",'2.2 OPEX LAP 2023'!I269*'2.1 OPEX TUUA'!$G$7,'2.2 OPEX LAP 2023'!I269*'2.1 OPEX TUUA'!$G$8)</f>
        <v>0</v>
      </c>
      <c r="H268" s="3">
        <f>+IF(F268="Pasajero",'2.2 OPEX LAP 2023'!J269*'2.1 OPEX TUUA'!$H$7,'2.2 OPEX LAP 2023'!J269*'2.1 OPEX TUUA'!$H$8)</f>
        <v>0</v>
      </c>
      <c r="I268" s="3">
        <f>+IF(F268="Pasajero",'2.2 OPEX LAP 2023'!K269*'2.1 OPEX TUUA'!$I$7,'2.2 OPEX LAP 2023'!K269*'2.1 OPEX TUUA'!$I$8)</f>
        <v>0</v>
      </c>
      <c r="J268" s="3">
        <f>+IF(F268="Pasajero",'2.2 OPEX LAP 2023'!L269*'2.1 OPEX TUUA'!$J$7,'2.2 OPEX LAP 2023'!L269*'2.1 OPEX TUUA'!$J$8)</f>
        <v>0</v>
      </c>
      <c r="K268" s="3">
        <f>+IF(F268="Pasajero",'2.2 OPEX LAP 2023'!M269*'2.1 OPEX TUUA'!$K$7,'2.2 OPEX LAP 2023'!M269*'2.1 OPEX TUUA'!$K$8)</f>
        <v>0</v>
      </c>
      <c r="L268" s="3">
        <f>+IF(F268="Pasajero",'2.2 OPEX LAP 2023'!N269*'2.1 OPEX TUUA'!$L$7,'2.2 OPEX LAP 2023'!N269*'2.1 OPEX TUUA'!$L$8)</f>
        <v>0</v>
      </c>
      <c r="M268" s="3"/>
      <c r="N268" s="3">
        <f>+IF(F268="Pasajero",'2.2 OPEX LAP 2023'!I269*'2.1 OPEX TUUA'!$N$7,'2.2 OPEX LAP 2023'!I269*'2.1 OPEX TUUA'!$N$8)</f>
        <v>0</v>
      </c>
      <c r="O268" s="3">
        <f>+IF(F268="Pasajero",'2.2 OPEX LAP 2023'!J269*'2.1 OPEX TUUA'!$O$7,'2.2 OPEX LAP 2023'!J269*'2.1 OPEX TUUA'!$O$8)</f>
        <v>0</v>
      </c>
      <c r="P268" s="3">
        <f>+IF(F268="Pasajero",'2.2 OPEX LAP 2023'!K269*'2.1 OPEX TUUA'!$P$7,'2.2 OPEX LAP 2023'!K269*'2.1 OPEX TUUA'!$P$8)</f>
        <v>0</v>
      </c>
      <c r="Q268" s="3">
        <f>+IF(F268="Pasajero",'2.2 OPEX LAP 2023'!L269*'2.1 OPEX TUUA'!$Q$7,'2.2 OPEX LAP 2023'!L269*'2.1 OPEX TUUA'!$Q$8)</f>
        <v>0</v>
      </c>
      <c r="R268" s="3">
        <f>+IF(F268="Pasajero",'2.2 OPEX LAP 2023'!M269*'2.1 OPEX TUUA'!$R$7,'2.2 OPEX LAP 2023'!M269*'2.1 OPEX TUUA'!$R$8)</f>
        <v>0</v>
      </c>
      <c r="S268" s="3">
        <f>+IF(F268="Pasajero",'2.2 OPEX LAP 2023'!N269*'2.1 OPEX TUUA'!$S$7,'2.2 OPEX LAP 2023'!N269*'2.1 OPEX TUUA'!$S$8)</f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7">
        <f t="shared" si="21"/>
        <v>0</v>
      </c>
      <c r="AB268" s="7">
        <f t="shared" si="22"/>
        <v>0</v>
      </c>
      <c r="AC268" s="7">
        <f t="shared" si="23"/>
        <v>0</v>
      </c>
      <c r="AD268" s="7">
        <f t="shared" si="24"/>
        <v>0</v>
      </c>
      <c r="AE268" s="7">
        <f t="shared" si="25"/>
        <v>0</v>
      </c>
      <c r="AF268" s="7">
        <f t="shared" si="26"/>
        <v>0</v>
      </c>
    </row>
    <row r="269" spans="2:32" x14ac:dyDescent="0.25">
      <c r="B269" s="17">
        <v>6380000019</v>
      </c>
      <c r="C269" s="193" t="s">
        <v>176</v>
      </c>
      <c r="D269" s="193" t="s">
        <v>40</v>
      </c>
      <c r="E269" s="193" t="s">
        <v>117</v>
      </c>
      <c r="F269" s="163" t="s">
        <v>190</v>
      </c>
      <c r="G269" s="3">
        <f>+IF(F269="Pasajero",'2.2 OPEX LAP 2023'!I270*'2.1 OPEX TUUA'!$G$7,'2.2 OPEX LAP 2023'!I270*'2.1 OPEX TUUA'!$G$8)</f>
        <v>0</v>
      </c>
      <c r="H269" s="3">
        <f>+IF(F269="Pasajero",'2.2 OPEX LAP 2023'!J270*'2.1 OPEX TUUA'!$H$7,'2.2 OPEX LAP 2023'!J270*'2.1 OPEX TUUA'!$H$8)</f>
        <v>0</v>
      </c>
      <c r="I269" s="3">
        <f>+IF(F269="Pasajero",'2.2 OPEX LAP 2023'!K270*'2.1 OPEX TUUA'!$I$7,'2.2 OPEX LAP 2023'!K270*'2.1 OPEX TUUA'!$I$8)</f>
        <v>0</v>
      </c>
      <c r="J269" s="3">
        <f>+IF(F269="Pasajero",'2.2 OPEX LAP 2023'!L270*'2.1 OPEX TUUA'!$J$7,'2.2 OPEX LAP 2023'!L270*'2.1 OPEX TUUA'!$J$8)</f>
        <v>0</v>
      </c>
      <c r="K269" s="3">
        <f>+IF(F269="Pasajero",'2.2 OPEX LAP 2023'!M270*'2.1 OPEX TUUA'!$K$7,'2.2 OPEX LAP 2023'!M270*'2.1 OPEX TUUA'!$K$8)</f>
        <v>0</v>
      </c>
      <c r="L269" s="3">
        <f>+IF(F269="Pasajero",'2.2 OPEX LAP 2023'!N270*'2.1 OPEX TUUA'!$L$7,'2.2 OPEX LAP 2023'!N270*'2.1 OPEX TUUA'!$L$8)</f>
        <v>0</v>
      </c>
      <c r="M269" s="3"/>
      <c r="N269" s="3">
        <f>+IF(F269="Pasajero",'2.2 OPEX LAP 2023'!I270*'2.1 OPEX TUUA'!$N$7,'2.2 OPEX LAP 2023'!I270*'2.1 OPEX TUUA'!$N$8)</f>
        <v>0</v>
      </c>
      <c r="O269" s="3">
        <f>+IF(F269="Pasajero",'2.2 OPEX LAP 2023'!J270*'2.1 OPEX TUUA'!$O$7,'2.2 OPEX LAP 2023'!J270*'2.1 OPEX TUUA'!$O$8)</f>
        <v>0</v>
      </c>
      <c r="P269" s="3">
        <f>+IF(F269="Pasajero",'2.2 OPEX LAP 2023'!K270*'2.1 OPEX TUUA'!$P$7,'2.2 OPEX LAP 2023'!K270*'2.1 OPEX TUUA'!$P$8)</f>
        <v>0</v>
      </c>
      <c r="Q269" s="3">
        <f>+IF(F269="Pasajero",'2.2 OPEX LAP 2023'!L270*'2.1 OPEX TUUA'!$Q$7,'2.2 OPEX LAP 2023'!L270*'2.1 OPEX TUUA'!$Q$8)</f>
        <v>0</v>
      </c>
      <c r="R269" s="3">
        <f>+IF(F269="Pasajero",'2.2 OPEX LAP 2023'!M270*'2.1 OPEX TUUA'!$R$7,'2.2 OPEX LAP 2023'!M270*'2.1 OPEX TUUA'!$R$8)</f>
        <v>0</v>
      </c>
      <c r="S269" s="3">
        <f>+IF(F269="Pasajero",'2.2 OPEX LAP 2023'!N270*'2.1 OPEX TUUA'!$S$7,'2.2 OPEX LAP 2023'!N270*'2.1 OPEX TUUA'!$S$8)</f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7">
        <f t="shared" si="21"/>
        <v>0</v>
      </c>
      <c r="AB269" s="7">
        <f t="shared" si="22"/>
        <v>0</v>
      </c>
      <c r="AC269" s="7">
        <f t="shared" si="23"/>
        <v>0</v>
      </c>
      <c r="AD269" s="7">
        <f t="shared" si="24"/>
        <v>0</v>
      </c>
      <c r="AE269" s="7">
        <f t="shared" si="25"/>
        <v>0</v>
      </c>
      <c r="AF269" s="7">
        <f t="shared" si="26"/>
        <v>0</v>
      </c>
    </row>
    <row r="270" spans="2:32" x14ac:dyDescent="0.25">
      <c r="B270" s="17">
        <v>6380000020</v>
      </c>
      <c r="C270" s="193" t="s">
        <v>176</v>
      </c>
      <c r="D270" s="193" t="s">
        <v>49</v>
      </c>
      <c r="E270" s="193" t="s">
        <v>118</v>
      </c>
      <c r="F270" s="163" t="s">
        <v>190</v>
      </c>
      <c r="G270" s="3">
        <f>+IF(F270="Pasajero",'2.2 OPEX LAP 2023'!I271*'2.1 OPEX TUUA'!$G$7,'2.2 OPEX LAP 2023'!I271*'2.1 OPEX TUUA'!$G$8)</f>
        <v>0</v>
      </c>
      <c r="H270" s="3">
        <f>+IF(F270="Pasajero",'2.2 OPEX LAP 2023'!J271*'2.1 OPEX TUUA'!$H$7,'2.2 OPEX LAP 2023'!J271*'2.1 OPEX TUUA'!$H$8)</f>
        <v>0</v>
      </c>
      <c r="I270" s="3">
        <f>+IF(F270="Pasajero",'2.2 OPEX LAP 2023'!K271*'2.1 OPEX TUUA'!$I$7,'2.2 OPEX LAP 2023'!K271*'2.1 OPEX TUUA'!$I$8)</f>
        <v>0</v>
      </c>
      <c r="J270" s="3">
        <f>+IF(F270="Pasajero",'2.2 OPEX LAP 2023'!L271*'2.1 OPEX TUUA'!$J$7,'2.2 OPEX LAP 2023'!L271*'2.1 OPEX TUUA'!$J$8)</f>
        <v>0</v>
      </c>
      <c r="K270" s="3">
        <f>+IF(F270="Pasajero",'2.2 OPEX LAP 2023'!M271*'2.1 OPEX TUUA'!$K$7,'2.2 OPEX LAP 2023'!M271*'2.1 OPEX TUUA'!$K$8)</f>
        <v>0</v>
      </c>
      <c r="L270" s="3">
        <f>+IF(F270="Pasajero",'2.2 OPEX LAP 2023'!N271*'2.1 OPEX TUUA'!$L$7,'2.2 OPEX LAP 2023'!N271*'2.1 OPEX TUUA'!$L$8)</f>
        <v>0</v>
      </c>
      <c r="M270" s="3"/>
      <c r="N270" s="3">
        <f>+IF(F270="Pasajero",'2.2 OPEX LAP 2023'!I271*'2.1 OPEX TUUA'!$N$7,'2.2 OPEX LAP 2023'!I271*'2.1 OPEX TUUA'!$N$8)</f>
        <v>0</v>
      </c>
      <c r="O270" s="3">
        <f>+IF(F270="Pasajero",'2.2 OPEX LAP 2023'!J271*'2.1 OPEX TUUA'!$O$7,'2.2 OPEX LAP 2023'!J271*'2.1 OPEX TUUA'!$O$8)</f>
        <v>0</v>
      </c>
      <c r="P270" s="3">
        <f>+IF(F270="Pasajero",'2.2 OPEX LAP 2023'!K271*'2.1 OPEX TUUA'!$P$7,'2.2 OPEX LAP 2023'!K271*'2.1 OPEX TUUA'!$P$8)</f>
        <v>0</v>
      </c>
      <c r="Q270" s="3">
        <f>+IF(F270="Pasajero",'2.2 OPEX LAP 2023'!L271*'2.1 OPEX TUUA'!$Q$7,'2.2 OPEX LAP 2023'!L271*'2.1 OPEX TUUA'!$Q$8)</f>
        <v>0</v>
      </c>
      <c r="R270" s="3">
        <f>+IF(F270="Pasajero",'2.2 OPEX LAP 2023'!M271*'2.1 OPEX TUUA'!$R$7,'2.2 OPEX LAP 2023'!M271*'2.1 OPEX TUUA'!$R$8)</f>
        <v>0</v>
      </c>
      <c r="S270" s="3">
        <f>+IF(F270="Pasajero",'2.2 OPEX LAP 2023'!N271*'2.1 OPEX TUUA'!$S$7,'2.2 OPEX LAP 2023'!N271*'2.1 OPEX TUUA'!$S$8)</f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7">
        <f t="shared" si="21"/>
        <v>0</v>
      </c>
      <c r="AB270" s="7">
        <f t="shared" si="22"/>
        <v>0</v>
      </c>
      <c r="AC270" s="7">
        <f t="shared" si="23"/>
        <v>0</v>
      </c>
      <c r="AD270" s="7">
        <f t="shared" si="24"/>
        <v>0</v>
      </c>
      <c r="AE270" s="7">
        <f t="shared" si="25"/>
        <v>0</v>
      </c>
      <c r="AF270" s="7">
        <f t="shared" si="26"/>
        <v>0</v>
      </c>
    </row>
    <row r="271" spans="2:32" x14ac:dyDescent="0.25">
      <c r="B271" s="17">
        <v>6380000021</v>
      </c>
      <c r="C271" s="193" t="s">
        <v>176</v>
      </c>
      <c r="D271" s="193" t="s">
        <v>40</v>
      </c>
      <c r="E271" s="193" t="s">
        <v>119</v>
      </c>
      <c r="F271" s="163" t="s">
        <v>190</v>
      </c>
      <c r="G271" s="3">
        <f>+IF(F271="Pasajero",'2.2 OPEX LAP 2023'!I272*'2.1 OPEX TUUA'!$G$7,'2.2 OPEX LAP 2023'!I272*'2.1 OPEX TUUA'!$G$8)</f>
        <v>16261.150868270395</v>
      </c>
      <c r="H271" s="3">
        <f>+IF(F271="Pasajero",'2.2 OPEX LAP 2023'!J272*'2.1 OPEX TUUA'!$H$7,'2.2 OPEX LAP 2023'!J272*'2.1 OPEX TUUA'!$H$8)</f>
        <v>19074.412627808073</v>
      </c>
      <c r="I271" s="3">
        <f>+IF(F271="Pasajero",'2.2 OPEX LAP 2023'!K272*'2.1 OPEX TUUA'!$I$7,'2.2 OPEX LAP 2023'!K272*'2.1 OPEX TUUA'!$I$8)</f>
        <v>21442.674558975887</v>
      </c>
      <c r="J271" s="3">
        <f>+IF(F271="Pasajero",'2.2 OPEX LAP 2023'!L272*'2.1 OPEX TUUA'!$J$7,'2.2 OPEX LAP 2023'!L272*'2.1 OPEX TUUA'!$J$8)</f>
        <v>22718.863085736142</v>
      </c>
      <c r="K271" s="3">
        <f>+IF(F271="Pasajero",'2.2 OPEX LAP 2023'!M272*'2.1 OPEX TUUA'!$K$7,'2.2 OPEX LAP 2023'!M272*'2.1 OPEX TUUA'!$K$8)</f>
        <v>23651.298256513346</v>
      </c>
      <c r="L271" s="3">
        <f>+IF(F271="Pasajero",'2.2 OPEX LAP 2023'!N272*'2.1 OPEX TUUA'!$L$7,'2.2 OPEX LAP 2023'!N272*'2.1 OPEX TUUA'!$L$8)</f>
        <v>24687.251764112119</v>
      </c>
      <c r="M271" s="3"/>
      <c r="N271" s="3">
        <f>+IF(F271="Pasajero",'2.2 OPEX LAP 2023'!I272*'2.1 OPEX TUUA'!$N$7,'2.2 OPEX LAP 2023'!I272*'2.1 OPEX TUUA'!$N$8)</f>
        <v>8020.2796891261887</v>
      </c>
      <c r="O271" s="3">
        <f>+IF(F271="Pasajero",'2.2 OPEX LAP 2023'!J272*'2.1 OPEX TUUA'!$O$7,'2.2 OPEX LAP 2023'!J272*'2.1 OPEX TUUA'!$O$8)</f>
        <v>7899.9202646489139</v>
      </c>
      <c r="P271" s="3">
        <f>+IF(F271="Pasajero",'2.2 OPEX LAP 2023'!K272*'2.1 OPEX TUUA'!$P$7,'2.2 OPEX LAP 2023'!K272*'2.1 OPEX TUUA'!$P$8)</f>
        <v>7850.7780529760312</v>
      </c>
      <c r="Q271" s="3">
        <f>+IF(F271="Pasajero",'2.2 OPEX LAP 2023'!L272*'2.1 OPEX TUUA'!$Q$7,'2.2 OPEX LAP 2023'!L272*'2.1 OPEX TUUA'!$Q$8)</f>
        <v>7799.6333459836642</v>
      </c>
      <c r="R271" s="3">
        <f>+IF(F271="Pasajero",'2.2 OPEX LAP 2023'!M272*'2.1 OPEX TUUA'!$R$7,'2.2 OPEX LAP 2023'!M272*'2.1 OPEX TUUA'!$R$8)</f>
        <v>7841.4831249208564</v>
      </c>
      <c r="S271" s="3">
        <f>+IF(F271="Pasajero",'2.2 OPEX LAP 2023'!N272*'2.1 OPEX TUUA'!$S$7,'2.2 OPEX LAP 2023'!N272*'2.1 OPEX TUUA'!$S$8)</f>
        <v>7846.4884721606131</v>
      </c>
      <c r="U271" s="1">
        <v>16568.406151679326</v>
      </c>
      <c r="V271" s="1">
        <v>19434.824637098991</v>
      </c>
      <c r="W271" s="1">
        <v>21847.83499946594</v>
      </c>
      <c r="X271" s="1">
        <v>23148.137174186872</v>
      </c>
      <c r="Y271" s="1">
        <v>24098.190755553736</v>
      </c>
      <c r="Z271" s="1">
        <v>25153.718658049536</v>
      </c>
      <c r="AA271" s="7">
        <f t="shared" ref="AA271:AA334" si="27">+G271-U271</f>
        <v>-307.25528340893106</v>
      </c>
      <c r="AB271" s="7">
        <f t="shared" ref="AB271:AB334" si="28">+H271-V271</f>
        <v>-360.41200929091792</v>
      </c>
      <c r="AC271" s="7">
        <f t="shared" ref="AC271:AC334" si="29">+I271-W271</f>
        <v>-405.16044049005359</v>
      </c>
      <c r="AD271" s="7">
        <f t="shared" ref="AD271:AD334" si="30">+J271-X271</f>
        <v>-429.27408845072932</v>
      </c>
      <c r="AE271" s="7">
        <f t="shared" ref="AE271:AE334" si="31">+K271-Y271</f>
        <v>-446.89249904039025</v>
      </c>
      <c r="AF271" s="7">
        <f t="shared" ref="AF271:AF334" si="32">+L271-Z271</f>
        <v>-466.4668939374169</v>
      </c>
    </row>
    <row r="272" spans="2:32" x14ac:dyDescent="0.25">
      <c r="B272" s="17">
        <v>6380000022</v>
      </c>
      <c r="C272" s="193" t="s">
        <v>176</v>
      </c>
      <c r="D272" s="193" t="s">
        <v>40</v>
      </c>
      <c r="E272" s="193" t="s">
        <v>120</v>
      </c>
      <c r="F272" s="163" t="s">
        <v>190</v>
      </c>
      <c r="G272" s="3">
        <f>+IF(F272="Pasajero",'2.2 OPEX LAP 2023'!I273*'2.1 OPEX TUUA'!$G$7,'2.2 OPEX LAP 2023'!I273*'2.1 OPEX TUUA'!$G$8)</f>
        <v>29.52742054107717</v>
      </c>
      <c r="H272" s="3">
        <f>+IF(F272="Pasajero",'2.2 OPEX LAP 2023'!J273*'2.1 OPEX TUUA'!$H$7,'2.2 OPEX LAP 2023'!J273*'2.1 OPEX TUUA'!$H$8)</f>
        <v>34.635814389638469</v>
      </c>
      <c r="I272" s="3">
        <f>+IF(F272="Pasajero",'2.2 OPEX LAP 2023'!K273*'2.1 OPEX TUUA'!$I$7,'2.2 OPEX LAP 2023'!K273*'2.1 OPEX TUUA'!$I$8)</f>
        <v>38.936165979725736</v>
      </c>
      <c r="J272" s="3">
        <f>+IF(F272="Pasajero",'2.2 OPEX LAP 2023'!L273*'2.1 OPEX TUUA'!$J$7,'2.2 OPEX LAP 2023'!L273*'2.1 OPEX TUUA'!$J$8)</f>
        <v>41.253502287875726</v>
      </c>
      <c r="K272" s="3">
        <f>+IF(F272="Pasajero",'2.2 OPEX LAP 2023'!M273*'2.1 OPEX TUUA'!$K$7,'2.2 OPEX LAP 2023'!M273*'2.1 OPEX TUUA'!$K$8)</f>
        <v>42.946642314548271</v>
      </c>
      <c r="L272" s="3">
        <f>+IF(F272="Pasajero",'2.2 OPEX LAP 2023'!N273*'2.1 OPEX TUUA'!$L$7,'2.2 OPEX LAP 2023'!N273*'2.1 OPEX TUUA'!$L$8)</f>
        <v>44.827753628727137</v>
      </c>
      <c r="M272" s="3"/>
      <c r="N272" s="3">
        <f>+IF(F272="Pasajero",'2.2 OPEX LAP 2023'!I273*'2.1 OPEX TUUA'!$N$7,'2.2 OPEX LAP 2023'!I273*'2.1 OPEX TUUA'!$N$8)</f>
        <v>14.563432389031</v>
      </c>
      <c r="O272" s="3">
        <f>+IF(F272="Pasajero",'2.2 OPEX LAP 2023'!J273*'2.1 OPEX TUUA'!$O$7,'2.2 OPEX LAP 2023'!J273*'2.1 OPEX TUUA'!$O$8)</f>
        <v>14.344880616686456</v>
      </c>
      <c r="P272" s="3">
        <f>+IF(F272="Pasajero",'2.2 OPEX LAP 2023'!K273*'2.1 OPEX TUUA'!$P$7,'2.2 OPEX LAP 2023'!K273*'2.1 OPEX TUUA'!$P$8)</f>
        <v>14.255646911019582</v>
      </c>
      <c r="Q272" s="3">
        <f>+IF(F272="Pasajero",'2.2 OPEX LAP 2023'!L273*'2.1 OPEX TUUA'!$Q$7,'2.2 OPEX LAP 2023'!L273*'2.1 OPEX TUUA'!$Q$8)</f>
        <v>14.162777022286152</v>
      </c>
      <c r="R272" s="3">
        <f>+IF(F272="Pasajero",'2.2 OPEX LAP 2023'!M273*'2.1 OPEX TUUA'!$R$7,'2.2 OPEX LAP 2023'!M273*'2.1 OPEX TUUA'!$R$8)</f>
        <v>14.238768938986265</v>
      </c>
      <c r="S272" s="3">
        <f>+IF(F272="Pasajero",'2.2 OPEX LAP 2023'!N273*'2.1 OPEX TUUA'!$S$7,'2.2 OPEX LAP 2023'!N273*'2.1 OPEX TUUA'!$S$8)</f>
        <v>14.247857778644644</v>
      </c>
      <c r="U272" s="1">
        <v>30.085342673414427</v>
      </c>
      <c r="V272" s="1">
        <v>35.29025988692198</v>
      </c>
      <c r="W272" s="1">
        <v>39.671866841852371</v>
      </c>
      <c r="X272" s="1">
        <v>42.032989338930946</v>
      </c>
      <c r="Y272" s="1">
        <v>43.758121333635806</v>
      </c>
      <c r="Z272" s="1">
        <v>45.674776343008439</v>
      </c>
      <c r="AA272" s="7">
        <f t="shared" si="27"/>
        <v>-0.55792213233725718</v>
      </c>
      <c r="AB272" s="7">
        <f t="shared" si="28"/>
        <v>-0.6544454972835112</v>
      </c>
      <c r="AC272" s="7">
        <f t="shared" si="29"/>
        <v>-0.73570086212663455</v>
      </c>
      <c r="AD272" s="7">
        <f t="shared" si="30"/>
        <v>-0.77948705105522009</v>
      </c>
      <c r="AE272" s="7">
        <f t="shared" si="31"/>
        <v>-0.81147901908753539</v>
      </c>
      <c r="AF272" s="7">
        <f t="shared" si="32"/>
        <v>-0.8470227142813016</v>
      </c>
    </row>
    <row r="273" spans="2:32" x14ac:dyDescent="0.25">
      <c r="B273" s="17">
        <v>6380000023</v>
      </c>
      <c r="C273" s="193" t="s">
        <v>176</v>
      </c>
      <c r="D273" s="193" t="s">
        <v>49</v>
      </c>
      <c r="E273" s="193" t="s">
        <v>121</v>
      </c>
      <c r="F273" s="163" t="s">
        <v>190</v>
      </c>
      <c r="G273" s="3">
        <f>+IF(F273="Pasajero",'2.2 OPEX LAP 2023'!I274*'2.1 OPEX TUUA'!$G$7,'2.2 OPEX LAP 2023'!I274*'2.1 OPEX TUUA'!$G$8)</f>
        <v>0</v>
      </c>
      <c r="H273" s="3">
        <f>+IF(F273="Pasajero",'2.2 OPEX LAP 2023'!J274*'2.1 OPEX TUUA'!$H$7,'2.2 OPEX LAP 2023'!J274*'2.1 OPEX TUUA'!$H$8)</f>
        <v>0</v>
      </c>
      <c r="I273" s="3">
        <f>+IF(F273="Pasajero",'2.2 OPEX LAP 2023'!K274*'2.1 OPEX TUUA'!$I$7,'2.2 OPEX LAP 2023'!K274*'2.1 OPEX TUUA'!$I$8)</f>
        <v>0</v>
      </c>
      <c r="J273" s="3">
        <f>+IF(F273="Pasajero",'2.2 OPEX LAP 2023'!L274*'2.1 OPEX TUUA'!$J$7,'2.2 OPEX LAP 2023'!L274*'2.1 OPEX TUUA'!$J$8)</f>
        <v>0</v>
      </c>
      <c r="K273" s="3">
        <f>+IF(F273="Pasajero",'2.2 OPEX LAP 2023'!M274*'2.1 OPEX TUUA'!$K$7,'2.2 OPEX LAP 2023'!M274*'2.1 OPEX TUUA'!$K$8)</f>
        <v>0</v>
      </c>
      <c r="L273" s="3">
        <f>+IF(F273="Pasajero",'2.2 OPEX LAP 2023'!N274*'2.1 OPEX TUUA'!$L$7,'2.2 OPEX LAP 2023'!N274*'2.1 OPEX TUUA'!$L$8)</f>
        <v>0</v>
      </c>
      <c r="M273" s="3"/>
      <c r="N273" s="3">
        <f>+IF(F273="Pasajero",'2.2 OPEX LAP 2023'!I274*'2.1 OPEX TUUA'!$N$7,'2.2 OPEX LAP 2023'!I274*'2.1 OPEX TUUA'!$N$8)</f>
        <v>0</v>
      </c>
      <c r="O273" s="3">
        <f>+IF(F273="Pasajero",'2.2 OPEX LAP 2023'!J274*'2.1 OPEX TUUA'!$O$7,'2.2 OPEX LAP 2023'!J274*'2.1 OPEX TUUA'!$O$8)</f>
        <v>0</v>
      </c>
      <c r="P273" s="3">
        <f>+IF(F273="Pasajero",'2.2 OPEX LAP 2023'!K274*'2.1 OPEX TUUA'!$P$7,'2.2 OPEX LAP 2023'!K274*'2.1 OPEX TUUA'!$P$8)</f>
        <v>0</v>
      </c>
      <c r="Q273" s="3">
        <f>+IF(F273="Pasajero",'2.2 OPEX LAP 2023'!L274*'2.1 OPEX TUUA'!$Q$7,'2.2 OPEX LAP 2023'!L274*'2.1 OPEX TUUA'!$Q$8)</f>
        <v>0</v>
      </c>
      <c r="R273" s="3">
        <f>+IF(F273="Pasajero",'2.2 OPEX LAP 2023'!M274*'2.1 OPEX TUUA'!$R$7,'2.2 OPEX LAP 2023'!M274*'2.1 OPEX TUUA'!$R$8)</f>
        <v>0</v>
      </c>
      <c r="S273" s="3">
        <f>+IF(F273="Pasajero",'2.2 OPEX LAP 2023'!N274*'2.1 OPEX TUUA'!$S$7,'2.2 OPEX LAP 2023'!N274*'2.1 OPEX TUUA'!$S$8)</f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7">
        <f t="shared" si="27"/>
        <v>0</v>
      </c>
      <c r="AB273" s="7">
        <f t="shared" si="28"/>
        <v>0</v>
      </c>
      <c r="AC273" s="7">
        <f t="shared" si="29"/>
        <v>0</v>
      </c>
      <c r="AD273" s="7">
        <f t="shared" si="30"/>
        <v>0</v>
      </c>
      <c r="AE273" s="7">
        <f t="shared" si="31"/>
        <v>0</v>
      </c>
      <c r="AF273" s="7">
        <f t="shared" si="32"/>
        <v>0</v>
      </c>
    </row>
    <row r="274" spans="2:32" x14ac:dyDescent="0.25">
      <c r="B274" s="17">
        <v>6380000024</v>
      </c>
      <c r="C274" s="193" t="s">
        <v>176</v>
      </c>
      <c r="D274" s="193" t="s">
        <v>49</v>
      </c>
      <c r="E274" s="193" t="s">
        <v>122</v>
      </c>
      <c r="F274" s="163" t="s">
        <v>190</v>
      </c>
      <c r="G274" s="3">
        <f>+IF(F274="Pasajero",'2.2 OPEX LAP 2023'!I275*'2.1 OPEX TUUA'!$G$7,'2.2 OPEX LAP 2023'!I275*'2.1 OPEX TUUA'!$G$8)</f>
        <v>0</v>
      </c>
      <c r="H274" s="3">
        <f>+IF(F274="Pasajero",'2.2 OPEX LAP 2023'!J275*'2.1 OPEX TUUA'!$H$7,'2.2 OPEX LAP 2023'!J275*'2.1 OPEX TUUA'!$H$8)</f>
        <v>0</v>
      </c>
      <c r="I274" s="3">
        <f>+IF(F274="Pasajero",'2.2 OPEX LAP 2023'!K275*'2.1 OPEX TUUA'!$I$7,'2.2 OPEX LAP 2023'!K275*'2.1 OPEX TUUA'!$I$8)</f>
        <v>0</v>
      </c>
      <c r="J274" s="3">
        <f>+IF(F274="Pasajero",'2.2 OPEX LAP 2023'!L275*'2.1 OPEX TUUA'!$J$7,'2.2 OPEX LAP 2023'!L275*'2.1 OPEX TUUA'!$J$8)</f>
        <v>0</v>
      </c>
      <c r="K274" s="3">
        <f>+IF(F274="Pasajero",'2.2 OPEX LAP 2023'!M275*'2.1 OPEX TUUA'!$K$7,'2.2 OPEX LAP 2023'!M275*'2.1 OPEX TUUA'!$K$8)</f>
        <v>0</v>
      </c>
      <c r="L274" s="3">
        <f>+IF(F274="Pasajero",'2.2 OPEX LAP 2023'!N275*'2.1 OPEX TUUA'!$L$7,'2.2 OPEX LAP 2023'!N275*'2.1 OPEX TUUA'!$L$8)</f>
        <v>0</v>
      </c>
      <c r="M274" s="3"/>
      <c r="N274" s="3">
        <f>+IF(F274="Pasajero",'2.2 OPEX LAP 2023'!I275*'2.1 OPEX TUUA'!$N$7,'2.2 OPEX LAP 2023'!I275*'2.1 OPEX TUUA'!$N$8)</f>
        <v>0</v>
      </c>
      <c r="O274" s="3">
        <f>+IF(F274="Pasajero",'2.2 OPEX LAP 2023'!J275*'2.1 OPEX TUUA'!$O$7,'2.2 OPEX LAP 2023'!J275*'2.1 OPEX TUUA'!$O$8)</f>
        <v>0</v>
      </c>
      <c r="P274" s="3">
        <f>+IF(F274="Pasajero",'2.2 OPEX LAP 2023'!K275*'2.1 OPEX TUUA'!$P$7,'2.2 OPEX LAP 2023'!K275*'2.1 OPEX TUUA'!$P$8)</f>
        <v>0</v>
      </c>
      <c r="Q274" s="3">
        <f>+IF(F274="Pasajero",'2.2 OPEX LAP 2023'!L275*'2.1 OPEX TUUA'!$Q$7,'2.2 OPEX LAP 2023'!L275*'2.1 OPEX TUUA'!$Q$8)</f>
        <v>0</v>
      </c>
      <c r="R274" s="3">
        <f>+IF(F274="Pasajero",'2.2 OPEX LAP 2023'!M275*'2.1 OPEX TUUA'!$R$7,'2.2 OPEX LAP 2023'!M275*'2.1 OPEX TUUA'!$R$8)</f>
        <v>0</v>
      </c>
      <c r="S274" s="3">
        <f>+IF(F274="Pasajero",'2.2 OPEX LAP 2023'!N275*'2.1 OPEX TUUA'!$S$7,'2.2 OPEX LAP 2023'!N275*'2.1 OPEX TUUA'!$S$8)</f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7">
        <f t="shared" si="27"/>
        <v>0</v>
      </c>
      <c r="AB274" s="7">
        <f t="shared" si="28"/>
        <v>0</v>
      </c>
      <c r="AC274" s="7">
        <f t="shared" si="29"/>
        <v>0</v>
      </c>
      <c r="AD274" s="7">
        <f t="shared" si="30"/>
        <v>0</v>
      </c>
      <c r="AE274" s="7">
        <f t="shared" si="31"/>
        <v>0</v>
      </c>
      <c r="AF274" s="7">
        <f t="shared" si="32"/>
        <v>0</v>
      </c>
    </row>
    <row r="275" spans="2:32" x14ac:dyDescent="0.25">
      <c r="B275" s="17">
        <v>6380000025</v>
      </c>
      <c r="C275" s="193" t="s">
        <v>176</v>
      </c>
      <c r="D275" s="193" t="s">
        <v>49</v>
      </c>
      <c r="E275" s="193" t="s">
        <v>123</v>
      </c>
      <c r="F275" s="163" t="s">
        <v>190</v>
      </c>
      <c r="G275" s="3">
        <f>+IF(F275="Pasajero",'2.2 OPEX LAP 2023'!I276*'2.1 OPEX TUUA'!$G$7,'2.2 OPEX LAP 2023'!I276*'2.1 OPEX TUUA'!$G$8)</f>
        <v>0</v>
      </c>
      <c r="H275" s="3">
        <f>+IF(F275="Pasajero",'2.2 OPEX LAP 2023'!J276*'2.1 OPEX TUUA'!$H$7,'2.2 OPEX LAP 2023'!J276*'2.1 OPEX TUUA'!$H$8)</f>
        <v>0</v>
      </c>
      <c r="I275" s="3">
        <f>+IF(F275="Pasajero",'2.2 OPEX LAP 2023'!K276*'2.1 OPEX TUUA'!$I$7,'2.2 OPEX LAP 2023'!K276*'2.1 OPEX TUUA'!$I$8)</f>
        <v>0</v>
      </c>
      <c r="J275" s="3">
        <f>+IF(F275="Pasajero",'2.2 OPEX LAP 2023'!L276*'2.1 OPEX TUUA'!$J$7,'2.2 OPEX LAP 2023'!L276*'2.1 OPEX TUUA'!$J$8)</f>
        <v>0</v>
      </c>
      <c r="K275" s="3">
        <f>+IF(F275="Pasajero",'2.2 OPEX LAP 2023'!M276*'2.1 OPEX TUUA'!$K$7,'2.2 OPEX LAP 2023'!M276*'2.1 OPEX TUUA'!$K$8)</f>
        <v>0</v>
      </c>
      <c r="L275" s="3">
        <f>+IF(F275="Pasajero",'2.2 OPEX LAP 2023'!N276*'2.1 OPEX TUUA'!$L$7,'2.2 OPEX LAP 2023'!N276*'2.1 OPEX TUUA'!$L$8)</f>
        <v>0</v>
      </c>
      <c r="M275" s="3"/>
      <c r="N275" s="3">
        <f>+IF(F275="Pasajero",'2.2 OPEX LAP 2023'!I276*'2.1 OPEX TUUA'!$N$7,'2.2 OPEX LAP 2023'!I276*'2.1 OPEX TUUA'!$N$8)</f>
        <v>0</v>
      </c>
      <c r="O275" s="3">
        <f>+IF(F275="Pasajero",'2.2 OPEX LAP 2023'!J276*'2.1 OPEX TUUA'!$O$7,'2.2 OPEX LAP 2023'!J276*'2.1 OPEX TUUA'!$O$8)</f>
        <v>0</v>
      </c>
      <c r="P275" s="3">
        <f>+IF(F275="Pasajero",'2.2 OPEX LAP 2023'!K276*'2.1 OPEX TUUA'!$P$7,'2.2 OPEX LAP 2023'!K276*'2.1 OPEX TUUA'!$P$8)</f>
        <v>0</v>
      </c>
      <c r="Q275" s="3">
        <f>+IF(F275="Pasajero",'2.2 OPEX LAP 2023'!L276*'2.1 OPEX TUUA'!$Q$7,'2.2 OPEX LAP 2023'!L276*'2.1 OPEX TUUA'!$Q$8)</f>
        <v>0</v>
      </c>
      <c r="R275" s="3">
        <f>+IF(F275="Pasajero",'2.2 OPEX LAP 2023'!M276*'2.1 OPEX TUUA'!$R$7,'2.2 OPEX LAP 2023'!M276*'2.1 OPEX TUUA'!$R$8)</f>
        <v>0</v>
      </c>
      <c r="S275" s="3">
        <f>+IF(F275="Pasajero",'2.2 OPEX LAP 2023'!N276*'2.1 OPEX TUUA'!$S$7,'2.2 OPEX LAP 2023'!N276*'2.1 OPEX TUUA'!$S$8)</f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7">
        <f t="shared" si="27"/>
        <v>0</v>
      </c>
      <c r="AB275" s="7">
        <f t="shared" si="28"/>
        <v>0</v>
      </c>
      <c r="AC275" s="7">
        <f t="shared" si="29"/>
        <v>0</v>
      </c>
      <c r="AD275" s="7">
        <f t="shared" si="30"/>
        <v>0</v>
      </c>
      <c r="AE275" s="7">
        <f t="shared" si="31"/>
        <v>0</v>
      </c>
      <c r="AF275" s="7">
        <f t="shared" si="32"/>
        <v>0</v>
      </c>
    </row>
    <row r="276" spans="2:32" x14ac:dyDescent="0.25">
      <c r="B276" s="17">
        <v>6380000026</v>
      </c>
      <c r="C276" s="193" t="s">
        <v>176</v>
      </c>
      <c r="D276" s="193" t="s">
        <v>49</v>
      </c>
      <c r="E276" s="193" t="s">
        <v>124</v>
      </c>
      <c r="F276" s="163" t="s">
        <v>190</v>
      </c>
      <c r="G276" s="3">
        <f>+IF(F276="Pasajero",'2.2 OPEX LAP 2023'!I277*'2.1 OPEX TUUA'!$G$7,'2.2 OPEX LAP 2023'!I277*'2.1 OPEX TUUA'!$G$8)</f>
        <v>0</v>
      </c>
      <c r="H276" s="3">
        <f>+IF(F276="Pasajero",'2.2 OPEX LAP 2023'!J277*'2.1 OPEX TUUA'!$H$7,'2.2 OPEX LAP 2023'!J277*'2.1 OPEX TUUA'!$H$8)</f>
        <v>0</v>
      </c>
      <c r="I276" s="3">
        <f>+IF(F276="Pasajero",'2.2 OPEX LAP 2023'!K277*'2.1 OPEX TUUA'!$I$7,'2.2 OPEX LAP 2023'!K277*'2.1 OPEX TUUA'!$I$8)</f>
        <v>0</v>
      </c>
      <c r="J276" s="3">
        <f>+IF(F276="Pasajero",'2.2 OPEX LAP 2023'!L277*'2.1 OPEX TUUA'!$J$7,'2.2 OPEX LAP 2023'!L277*'2.1 OPEX TUUA'!$J$8)</f>
        <v>0</v>
      </c>
      <c r="K276" s="3">
        <f>+IF(F276="Pasajero",'2.2 OPEX LAP 2023'!M277*'2.1 OPEX TUUA'!$K$7,'2.2 OPEX LAP 2023'!M277*'2.1 OPEX TUUA'!$K$8)</f>
        <v>0</v>
      </c>
      <c r="L276" s="3">
        <f>+IF(F276="Pasajero",'2.2 OPEX LAP 2023'!N277*'2.1 OPEX TUUA'!$L$7,'2.2 OPEX LAP 2023'!N277*'2.1 OPEX TUUA'!$L$8)</f>
        <v>0</v>
      </c>
      <c r="M276" s="3"/>
      <c r="N276" s="3">
        <f>+IF(F276="Pasajero",'2.2 OPEX LAP 2023'!I277*'2.1 OPEX TUUA'!$N$7,'2.2 OPEX LAP 2023'!I277*'2.1 OPEX TUUA'!$N$8)</f>
        <v>0</v>
      </c>
      <c r="O276" s="3">
        <f>+IF(F276="Pasajero",'2.2 OPEX LAP 2023'!J277*'2.1 OPEX TUUA'!$O$7,'2.2 OPEX LAP 2023'!J277*'2.1 OPEX TUUA'!$O$8)</f>
        <v>0</v>
      </c>
      <c r="P276" s="3">
        <f>+IF(F276="Pasajero",'2.2 OPEX LAP 2023'!K277*'2.1 OPEX TUUA'!$P$7,'2.2 OPEX LAP 2023'!K277*'2.1 OPEX TUUA'!$P$8)</f>
        <v>0</v>
      </c>
      <c r="Q276" s="3">
        <f>+IF(F276="Pasajero",'2.2 OPEX LAP 2023'!L277*'2.1 OPEX TUUA'!$Q$7,'2.2 OPEX LAP 2023'!L277*'2.1 OPEX TUUA'!$Q$8)</f>
        <v>0</v>
      </c>
      <c r="R276" s="3">
        <f>+IF(F276="Pasajero",'2.2 OPEX LAP 2023'!M277*'2.1 OPEX TUUA'!$R$7,'2.2 OPEX LAP 2023'!M277*'2.1 OPEX TUUA'!$R$8)</f>
        <v>0</v>
      </c>
      <c r="S276" s="3">
        <f>+IF(F276="Pasajero",'2.2 OPEX LAP 2023'!N277*'2.1 OPEX TUUA'!$S$7,'2.2 OPEX LAP 2023'!N277*'2.1 OPEX TUUA'!$S$8)</f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7">
        <f t="shared" si="27"/>
        <v>0</v>
      </c>
      <c r="AB276" s="7">
        <f t="shared" si="28"/>
        <v>0</v>
      </c>
      <c r="AC276" s="7">
        <f t="shared" si="29"/>
        <v>0</v>
      </c>
      <c r="AD276" s="7">
        <f t="shared" si="30"/>
        <v>0</v>
      </c>
      <c r="AE276" s="7">
        <f t="shared" si="31"/>
        <v>0</v>
      </c>
      <c r="AF276" s="7">
        <f t="shared" si="32"/>
        <v>0</v>
      </c>
    </row>
    <row r="277" spans="2:32" x14ac:dyDescent="0.25">
      <c r="B277" s="17">
        <v>6380000027</v>
      </c>
      <c r="C277" s="193" t="s">
        <v>176</v>
      </c>
      <c r="D277" s="193" t="s">
        <v>49</v>
      </c>
      <c r="E277" s="193" t="s">
        <v>125</v>
      </c>
      <c r="F277" s="163" t="s">
        <v>190</v>
      </c>
      <c r="G277" s="3">
        <f>+IF(F277="Pasajero",'2.2 OPEX LAP 2023'!I278*'2.1 OPEX TUUA'!$G$7,'2.2 OPEX LAP 2023'!I278*'2.1 OPEX TUUA'!$G$8)</f>
        <v>0</v>
      </c>
      <c r="H277" s="3">
        <f>+IF(F277="Pasajero",'2.2 OPEX LAP 2023'!J278*'2.1 OPEX TUUA'!$H$7,'2.2 OPEX LAP 2023'!J278*'2.1 OPEX TUUA'!$H$8)</f>
        <v>0</v>
      </c>
      <c r="I277" s="3">
        <f>+IF(F277="Pasajero",'2.2 OPEX LAP 2023'!K278*'2.1 OPEX TUUA'!$I$7,'2.2 OPEX LAP 2023'!K278*'2.1 OPEX TUUA'!$I$8)</f>
        <v>0</v>
      </c>
      <c r="J277" s="3">
        <f>+IF(F277="Pasajero",'2.2 OPEX LAP 2023'!L278*'2.1 OPEX TUUA'!$J$7,'2.2 OPEX LAP 2023'!L278*'2.1 OPEX TUUA'!$J$8)</f>
        <v>0</v>
      </c>
      <c r="K277" s="3">
        <f>+IF(F277="Pasajero",'2.2 OPEX LAP 2023'!M278*'2.1 OPEX TUUA'!$K$7,'2.2 OPEX LAP 2023'!M278*'2.1 OPEX TUUA'!$K$8)</f>
        <v>0</v>
      </c>
      <c r="L277" s="3">
        <f>+IF(F277="Pasajero",'2.2 OPEX LAP 2023'!N278*'2.1 OPEX TUUA'!$L$7,'2.2 OPEX LAP 2023'!N278*'2.1 OPEX TUUA'!$L$8)</f>
        <v>0</v>
      </c>
      <c r="M277" s="3"/>
      <c r="N277" s="3">
        <f>+IF(F277="Pasajero",'2.2 OPEX LAP 2023'!I278*'2.1 OPEX TUUA'!$N$7,'2.2 OPEX LAP 2023'!I278*'2.1 OPEX TUUA'!$N$8)</f>
        <v>0</v>
      </c>
      <c r="O277" s="3">
        <f>+IF(F277="Pasajero",'2.2 OPEX LAP 2023'!J278*'2.1 OPEX TUUA'!$O$7,'2.2 OPEX LAP 2023'!J278*'2.1 OPEX TUUA'!$O$8)</f>
        <v>0</v>
      </c>
      <c r="P277" s="3">
        <f>+IF(F277="Pasajero",'2.2 OPEX LAP 2023'!K278*'2.1 OPEX TUUA'!$P$7,'2.2 OPEX LAP 2023'!K278*'2.1 OPEX TUUA'!$P$8)</f>
        <v>0</v>
      </c>
      <c r="Q277" s="3">
        <f>+IF(F277="Pasajero",'2.2 OPEX LAP 2023'!L278*'2.1 OPEX TUUA'!$Q$7,'2.2 OPEX LAP 2023'!L278*'2.1 OPEX TUUA'!$Q$8)</f>
        <v>0</v>
      </c>
      <c r="R277" s="3">
        <f>+IF(F277="Pasajero",'2.2 OPEX LAP 2023'!M278*'2.1 OPEX TUUA'!$R$7,'2.2 OPEX LAP 2023'!M278*'2.1 OPEX TUUA'!$R$8)</f>
        <v>0</v>
      </c>
      <c r="S277" s="3">
        <f>+IF(F277="Pasajero",'2.2 OPEX LAP 2023'!N278*'2.1 OPEX TUUA'!$S$7,'2.2 OPEX LAP 2023'!N278*'2.1 OPEX TUUA'!$S$8)</f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7">
        <f t="shared" si="27"/>
        <v>0</v>
      </c>
      <c r="AB277" s="7">
        <f t="shared" si="28"/>
        <v>0</v>
      </c>
      <c r="AC277" s="7">
        <f t="shared" si="29"/>
        <v>0</v>
      </c>
      <c r="AD277" s="7">
        <f t="shared" si="30"/>
        <v>0</v>
      </c>
      <c r="AE277" s="7">
        <f t="shared" si="31"/>
        <v>0</v>
      </c>
      <c r="AF277" s="7">
        <f t="shared" si="32"/>
        <v>0</v>
      </c>
    </row>
    <row r="278" spans="2:32" x14ac:dyDescent="0.25">
      <c r="B278" s="17">
        <v>6380000028</v>
      </c>
      <c r="C278" s="193" t="s">
        <v>176</v>
      </c>
      <c r="D278" s="193" t="s">
        <v>49</v>
      </c>
      <c r="E278" s="193" t="s">
        <v>126</v>
      </c>
      <c r="F278" s="163" t="s">
        <v>190</v>
      </c>
      <c r="G278" s="3">
        <f>+IF(F278="Pasajero",'2.2 OPEX LAP 2023'!I279*'2.1 OPEX TUUA'!$G$7,'2.2 OPEX LAP 2023'!I279*'2.1 OPEX TUUA'!$G$8)</f>
        <v>0</v>
      </c>
      <c r="H278" s="3">
        <f>+IF(F278="Pasajero",'2.2 OPEX LAP 2023'!J279*'2.1 OPEX TUUA'!$H$7,'2.2 OPEX LAP 2023'!J279*'2.1 OPEX TUUA'!$H$8)</f>
        <v>0</v>
      </c>
      <c r="I278" s="3">
        <f>+IF(F278="Pasajero",'2.2 OPEX LAP 2023'!K279*'2.1 OPEX TUUA'!$I$7,'2.2 OPEX LAP 2023'!K279*'2.1 OPEX TUUA'!$I$8)</f>
        <v>0</v>
      </c>
      <c r="J278" s="3">
        <f>+IF(F278="Pasajero",'2.2 OPEX LAP 2023'!L279*'2.1 OPEX TUUA'!$J$7,'2.2 OPEX LAP 2023'!L279*'2.1 OPEX TUUA'!$J$8)</f>
        <v>0</v>
      </c>
      <c r="K278" s="3">
        <f>+IF(F278="Pasajero",'2.2 OPEX LAP 2023'!M279*'2.1 OPEX TUUA'!$K$7,'2.2 OPEX LAP 2023'!M279*'2.1 OPEX TUUA'!$K$8)</f>
        <v>0</v>
      </c>
      <c r="L278" s="3">
        <f>+IF(F278="Pasajero",'2.2 OPEX LAP 2023'!N279*'2.1 OPEX TUUA'!$L$7,'2.2 OPEX LAP 2023'!N279*'2.1 OPEX TUUA'!$L$8)</f>
        <v>0</v>
      </c>
      <c r="M278" s="3"/>
      <c r="N278" s="3">
        <f>+IF(F278="Pasajero",'2.2 OPEX LAP 2023'!I279*'2.1 OPEX TUUA'!$N$7,'2.2 OPEX LAP 2023'!I279*'2.1 OPEX TUUA'!$N$8)</f>
        <v>0</v>
      </c>
      <c r="O278" s="3">
        <f>+IF(F278="Pasajero",'2.2 OPEX LAP 2023'!J279*'2.1 OPEX TUUA'!$O$7,'2.2 OPEX LAP 2023'!J279*'2.1 OPEX TUUA'!$O$8)</f>
        <v>0</v>
      </c>
      <c r="P278" s="3">
        <f>+IF(F278="Pasajero",'2.2 OPEX LAP 2023'!K279*'2.1 OPEX TUUA'!$P$7,'2.2 OPEX LAP 2023'!K279*'2.1 OPEX TUUA'!$P$8)</f>
        <v>0</v>
      </c>
      <c r="Q278" s="3">
        <f>+IF(F278="Pasajero",'2.2 OPEX LAP 2023'!L279*'2.1 OPEX TUUA'!$Q$7,'2.2 OPEX LAP 2023'!L279*'2.1 OPEX TUUA'!$Q$8)</f>
        <v>0</v>
      </c>
      <c r="R278" s="3">
        <f>+IF(F278="Pasajero",'2.2 OPEX LAP 2023'!M279*'2.1 OPEX TUUA'!$R$7,'2.2 OPEX LAP 2023'!M279*'2.1 OPEX TUUA'!$R$8)</f>
        <v>0</v>
      </c>
      <c r="S278" s="3">
        <f>+IF(F278="Pasajero",'2.2 OPEX LAP 2023'!N279*'2.1 OPEX TUUA'!$S$7,'2.2 OPEX LAP 2023'!N279*'2.1 OPEX TUUA'!$S$8)</f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7">
        <f t="shared" si="27"/>
        <v>0</v>
      </c>
      <c r="AB278" s="7">
        <f t="shared" si="28"/>
        <v>0</v>
      </c>
      <c r="AC278" s="7">
        <f t="shared" si="29"/>
        <v>0</v>
      </c>
      <c r="AD278" s="7">
        <f t="shared" si="30"/>
        <v>0</v>
      </c>
      <c r="AE278" s="7">
        <f t="shared" si="31"/>
        <v>0</v>
      </c>
      <c r="AF278" s="7">
        <f t="shared" si="32"/>
        <v>0</v>
      </c>
    </row>
    <row r="279" spans="2:32" x14ac:dyDescent="0.25">
      <c r="B279" s="17">
        <v>6380000029</v>
      </c>
      <c r="C279" s="193" t="s">
        <v>176</v>
      </c>
      <c r="D279" s="193" t="s">
        <v>40</v>
      </c>
      <c r="E279" s="193" t="s">
        <v>127</v>
      </c>
      <c r="F279" s="163" t="s">
        <v>190</v>
      </c>
      <c r="G279" s="3">
        <f>+IF(F279="Pasajero",'2.2 OPEX LAP 2023'!I280*'2.1 OPEX TUUA'!$G$7,'2.2 OPEX LAP 2023'!I280*'2.1 OPEX TUUA'!$G$8)</f>
        <v>0</v>
      </c>
      <c r="H279" s="3">
        <f>+IF(F279="Pasajero",'2.2 OPEX LAP 2023'!J280*'2.1 OPEX TUUA'!$H$7,'2.2 OPEX LAP 2023'!J280*'2.1 OPEX TUUA'!$H$8)</f>
        <v>0</v>
      </c>
      <c r="I279" s="3">
        <f>+IF(F279="Pasajero",'2.2 OPEX LAP 2023'!K280*'2.1 OPEX TUUA'!$I$7,'2.2 OPEX LAP 2023'!K280*'2.1 OPEX TUUA'!$I$8)</f>
        <v>0</v>
      </c>
      <c r="J279" s="3">
        <f>+IF(F279="Pasajero",'2.2 OPEX LAP 2023'!L280*'2.1 OPEX TUUA'!$J$7,'2.2 OPEX LAP 2023'!L280*'2.1 OPEX TUUA'!$J$8)</f>
        <v>0</v>
      </c>
      <c r="K279" s="3">
        <f>+IF(F279="Pasajero",'2.2 OPEX LAP 2023'!M280*'2.1 OPEX TUUA'!$K$7,'2.2 OPEX LAP 2023'!M280*'2.1 OPEX TUUA'!$K$8)</f>
        <v>0</v>
      </c>
      <c r="L279" s="3">
        <f>+IF(F279="Pasajero",'2.2 OPEX LAP 2023'!N280*'2.1 OPEX TUUA'!$L$7,'2.2 OPEX LAP 2023'!N280*'2.1 OPEX TUUA'!$L$8)</f>
        <v>0</v>
      </c>
      <c r="M279" s="3"/>
      <c r="N279" s="3">
        <f>+IF(F279="Pasajero",'2.2 OPEX LAP 2023'!I280*'2.1 OPEX TUUA'!$N$7,'2.2 OPEX LAP 2023'!I280*'2.1 OPEX TUUA'!$N$8)</f>
        <v>0</v>
      </c>
      <c r="O279" s="3">
        <f>+IF(F279="Pasajero",'2.2 OPEX LAP 2023'!J280*'2.1 OPEX TUUA'!$O$7,'2.2 OPEX LAP 2023'!J280*'2.1 OPEX TUUA'!$O$8)</f>
        <v>0</v>
      </c>
      <c r="P279" s="3">
        <f>+IF(F279="Pasajero",'2.2 OPEX LAP 2023'!K280*'2.1 OPEX TUUA'!$P$7,'2.2 OPEX LAP 2023'!K280*'2.1 OPEX TUUA'!$P$8)</f>
        <v>0</v>
      </c>
      <c r="Q279" s="3">
        <f>+IF(F279="Pasajero",'2.2 OPEX LAP 2023'!L280*'2.1 OPEX TUUA'!$Q$7,'2.2 OPEX LAP 2023'!L280*'2.1 OPEX TUUA'!$Q$8)</f>
        <v>0</v>
      </c>
      <c r="R279" s="3">
        <f>+IF(F279="Pasajero",'2.2 OPEX LAP 2023'!M280*'2.1 OPEX TUUA'!$R$7,'2.2 OPEX LAP 2023'!M280*'2.1 OPEX TUUA'!$R$8)</f>
        <v>0</v>
      </c>
      <c r="S279" s="3">
        <f>+IF(F279="Pasajero",'2.2 OPEX LAP 2023'!N280*'2.1 OPEX TUUA'!$S$7,'2.2 OPEX LAP 2023'!N280*'2.1 OPEX TUUA'!$S$8)</f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7">
        <f t="shared" si="27"/>
        <v>0</v>
      </c>
      <c r="AB279" s="7">
        <f t="shared" si="28"/>
        <v>0</v>
      </c>
      <c r="AC279" s="7">
        <f t="shared" si="29"/>
        <v>0</v>
      </c>
      <c r="AD279" s="7">
        <f t="shared" si="30"/>
        <v>0</v>
      </c>
      <c r="AE279" s="7">
        <f t="shared" si="31"/>
        <v>0</v>
      </c>
      <c r="AF279" s="7">
        <f t="shared" si="32"/>
        <v>0</v>
      </c>
    </row>
    <row r="280" spans="2:32" x14ac:dyDescent="0.25">
      <c r="B280" s="17">
        <v>6380000030</v>
      </c>
      <c r="C280" s="193" t="s">
        <v>176</v>
      </c>
      <c r="D280" s="193" t="s">
        <v>40</v>
      </c>
      <c r="E280" s="193" t="s">
        <v>128</v>
      </c>
      <c r="F280" s="163" t="s">
        <v>190</v>
      </c>
      <c r="G280" s="3">
        <f>+IF(F280="Pasajero",'2.2 OPEX LAP 2023'!I281*'2.1 OPEX TUUA'!$G$7,'2.2 OPEX LAP 2023'!I281*'2.1 OPEX TUUA'!$G$8)</f>
        <v>51417.570327149981</v>
      </c>
      <c r="H280" s="3">
        <f>+IF(F280="Pasajero",'2.2 OPEX LAP 2023'!J281*'2.1 OPEX TUUA'!$H$7,'2.2 OPEX LAP 2023'!J281*'2.1 OPEX TUUA'!$H$8)</f>
        <v>60313.071361579285</v>
      </c>
      <c r="I280" s="3">
        <f>+IF(F280="Pasajero",'2.2 OPEX LAP 2023'!K281*'2.1 OPEX TUUA'!$I$7,'2.2 OPEX LAP 2023'!K281*'2.1 OPEX TUUA'!$I$8)</f>
        <v>67801.488103135838</v>
      </c>
      <c r="J280" s="3">
        <f>+IF(F280="Pasajero",'2.2 OPEX LAP 2023'!L281*'2.1 OPEX TUUA'!$J$7,'2.2 OPEX LAP 2023'!L281*'2.1 OPEX TUUA'!$J$8)</f>
        <v>71836.781413982331</v>
      </c>
      <c r="K280" s="3">
        <f>+IF(F280="Pasajero",'2.2 OPEX LAP 2023'!M281*'2.1 OPEX TUUA'!$K$7,'2.2 OPEX LAP 2023'!M281*'2.1 OPEX TUUA'!$K$8)</f>
        <v>74785.130602630175</v>
      </c>
      <c r="L280" s="3">
        <f>+IF(F280="Pasajero",'2.2 OPEX LAP 2023'!N281*'2.1 OPEX TUUA'!$L$7,'2.2 OPEX LAP 2023'!N281*'2.1 OPEX TUUA'!$L$8)</f>
        <v>78060.803570928707</v>
      </c>
      <c r="M280" s="3"/>
      <c r="N280" s="3">
        <f>+IF(F280="Pasajero",'2.2 OPEX LAP 2023'!I281*'2.1 OPEX TUUA'!$N$7,'2.2 OPEX LAP 2023'!I281*'2.1 OPEX TUUA'!$N$8)</f>
        <v>25360.031297890619</v>
      </c>
      <c r="O280" s="3">
        <f>+IF(F280="Pasajero",'2.2 OPEX LAP 2023'!J281*'2.1 OPEX TUUA'!$O$7,'2.2 OPEX LAP 2023'!J281*'2.1 OPEX TUUA'!$O$8)</f>
        <v>24979.456194521328</v>
      </c>
      <c r="P280" s="3">
        <f>+IF(F280="Pasajero",'2.2 OPEX LAP 2023'!K281*'2.1 OPEX TUUA'!$P$7,'2.2 OPEX LAP 2023'!K281*'2.1 OPEX TUUA'!$P$8)</f>
        <v>24824.0690915302</v>
      </c>
      <c r="Q280" s="3">
        <f>+IF(F280="Pasajero",'2.2 OPEX LAP 2023'!L281*'2.1 OPEX TUUA'!$Q$7,'2.2 OPEX LAP 2023'!L281*'2.1 OPEX TUUA'!$Q$8)</f>
        <v>24662.350121578769</v>
      </c>
      <c r="R280" s="3">
        <f>+IF(F280="Pasajero",'2.2 OPEX LAP 2023'!M281*'2.1 OPEX TUUA'!$R$7,'2.2 OPEX LAP 2023'!M281*'2.1 OPEX TUUA'!$R$8)</f>
        <v>24794.678636891756</v>
      </c>
      <c r="S280" s="3">
        <f>+IF(F280="Pasajero",'2.2 OPEX LAP 2023'!N281*'2.1 OPEX TUUA'!$S$7,'2.2 OPEX LAP 2023'!N281*'2.1 OPEX TUUA'!$S$8)</f>
        <v>24810.505486774455</v>
      </c>
      <c r="U280" s="1">
        <v>52389.107967446616</v>
      </c>
      <c r="V280" s="1">
        <v>61452.689952205896</v>
      </c>
      <c r="W280" s="1">
        <v>69082.600713887485</v>
      </c>
      <c r="X280" s="1">
        <v>73194.141099735396</v>
      </c>
      <c r="Y280" s="1">
        <v>76198.199498197791</v>
      </c>
      <c r="Z280" s="1">
        <v>79535.766475990647</v>
      </c>
      <c r="AA280" s="7">
        <f t="shared" si="27"/>
        <v>-971.5376402966358</v>
      </c>
      <c r="AB280" s="7">
        <f t="shared" si="28"/>
        <v>-1139.618590626611</v>
      </c>
      <c r="AC280" s="7">
        <f t="shared" si="29"/>
        <v>-1281.1126107516466</v>
      </c>
      <c r="AD280" s="7">
        <f t="shared" si="30"/>
        <v>-1357.3596857530647</v>
      </c>
      <c r="AE280" s="7">
        <f t="shared" si="31"/>
        <v>-1413.068895567616</v>
      </c>
      <c r="AF280" s="7">
        <f t="shared" si="32"/>
        <v>-1474.9629050619405</v>
      </c>
    </row>
    <row r="281" spans="2:32" x14ac:dyDescent="0.25">
      <c r="B281" s="17">
        <v>6380000031</v>
      </c>
      <c r="C281" s="193" t="s">
        <v>176</v>
      </c>
      <c r="D281" s="193" t="s">
        <v>49</v>
      </c>
      <c r="E281" s="193" t="s">
        <v>129</v>
      </c>
      <c r="F281" s="163" t="s">
        <v>190</v>
      </c>
      <c r="G281" s="3">
        <f>+IF(F281="Pasajero",'2.2 OPEX LAP 2023'!I282*'2.1 OPEX TUUA'!$G$7,'2.2 OPEX LAP 2023'!I282*'2.1 OPEX TUUA'!$G$8)</f>
        <v>0</v>
      </c>
      <c r="H281" s="3">
        <f>+IF(F281="Pasajero",'2.2 OPEX LAP 2023'!J282*'2.1 OPEX TUUA'!$H$7,'2.2 OPEX LAP 2023'!J282*'2.1 OPEX TUUA'!$H$8)</f>
        <v>0</v>
      </c>
      <c r="I281" s="3">
        <f>+IF(F281="Pasajero",'2.2 OPEX LAP 2023'!K282*'2.1 OPEX TUUA'!$I$7,'2.2 OPEX LAP 2023'!K282*'2.1 OPEX TUUA'!$I$8)</f>
        <v>0</v>
      </c>
      <c r="J281" s="3">
        <f>+IF(F281="Pasajero",'2.2 OPEX LAP 2023'!L282*'2.1 OPEX TUUA'!$J$7,'2.2 OPEX LAP 2023'!L282*'2.1 OPEX TUUA'!$J$8)</f>
        <v>0</v>
      </c>
      <c r="K281" s="3">
        <f>+IF(F281="Pasajero",'2.2 OPEX LAP 2023'!M282*'2.1 OPEX TUUA'!$K$7,'2.2 OPEX LAP 2023'!M282*'2.1 OPEX TUUA'!$K$8)</f>
        <v>0</v>
      </c>
      <c r="L281" s="3">
        <f>+IF(F281="Pasajero",'2.2 OPEX LAP 2023'!N282*'2.1 OPEX TUUA'!$L$7,'2.2 OPEX LAP 2023'!N282*'2.1 OPEX TUUA'!$L$8)</f>
        <v>0</v>
      </c>
      <c r="M281" s="3"/>
      <c r="N281" s="3">
        <f>+IF(F281="Pasajero",'2.2 OPEX LAP 2023'!I282*'2.1 OPEX TUUA'!$N$7,'2.2 OPEX LAP 2023'!I282*'2.1 OPEX TUUA'!$N$8)</f>
        <v>0</v>
      </c>
      <c r="O281" s="3">
        <f>+IF(F281="Pasajero",'2.2 OPEX LAP 2023'!J282*'2.1 OPEX TUUA'!$O$7,'2.2 OPEX LAP 2023'!J282*'2.1 OPEX TUUA'!$O$8)</f>
        <v>0</v>
      </c>
      <c r="P281" s="3">
        <f>+IF(F281="Pasajero",'2.2 OPEX LAP 2023'!K282*'2.1 OPEX TUUA'!$P$7,'2.2 OPEX LAP 2023'!K282*'2.1 OPEX TUUA'!$P$8)</f>
        <v>0</v>
      </c>
      <c r="Q281" s="3">
        <f>+IF(F281="Pasajero",'2.2 OPEX LAP 2023'!L282*'2.1 OPEX TUUA'!$Q$7,'2.2 OPEX LAP 2023'!L282*'2.1 OPEX TUUA'!$Q$8)</f>
        <v>0</v>
      </c>
      <c r="R281" s="3">
        <f>+IF(F281="Pasajero",'2.2 OPEX LAP 2023'!M282*'2.1 OPEX TUUA'!$R$7,'2.2 OPEX LAP 2023'!M282*'2.1 OPEX TUUA'!$R$8)</f>
        <v>0</v>
      </c>
      <c r="S281" s="3">
        <f>+IF(F281="Pasajero",'2.2 OPEX LAP 2023'!N282*'2.1 OPEX TUUA'!$S$7,'2.2 OPEX LAP 2023'!N282*'2.1 OPEX TUUA'!$S$8)</f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7">
        <f t="shared" si="27"/>
        <v>0</v>
      </c>
      <c r="AB281" s="7">
        <f t="shared" si="28"/>
        <v>0</v>
      </c>
      <c r="AC281" s="7">
        <f t="shared" si="29"/>
        <v>0</v>
      </c>
      <c r="AD281" s="7">
        <f t="shared" si="30"/>
        <v>0</v>
      </c>
      <c r="AE281" s="7">
        <f t="shared" si="31"/>
        <v>0</v>
      </c>
      <c r="AF281" s="7">
        <f t="shared" si="32"/>
        <v>0</v>
      </c>
    </row>
    <row r="282" spans="2:32" x14ac:dyDescent="0.25">
      <c r="B282" s="17">
        <v>6381000001</v>
      </c>
      <c r="C282" s="193" t="s">
        <v>176</v>
      </c>
      <c r="D282" s="193" t="s">
        <v>49</v>
      </c>
      <c r="E282" s="193" t="s">
        <v>130</v>
      </c>
      <c r="F282" s="163" t="s">
        <v>190</v>
      </c>
      <c r="G282" s="3">
        <f>+IF(F282="Pasajero",'2.2 OPEX LAP 2023'!I283*'2.1 OPEX TUUA'!$G$7,'2.2 OPEX LAP 2023'!I283*'2.1 OPEX TUUA'!$G$8)</f>
        <v>164083.31323227036</v>
      </c>
      <c r="H282" s="3">
        <f>+IF(F282="Pasajero",'2.2 OPEX LAP 2023'!J283*'2.1 OPEX TUUA'!$H$7,'2.2 OPEX LAP 2023'!J283*'2.1 OPEX TUUA'!$H$8)</f>
        <v>192470.56049625739</v>
      </c>
      <c r="I282" s="3">
        <f>+IF(F282="Pasajero",'2.2 OPEX LAP 2023'!K283*'2.1 OPEX TUUA'!$I$7,'2.2 OPEX LAP 2023'!K283*'2.1 OPEX TUUA'!$I$8)</f>
        <v>216367.53232905132</v>
      </c>
      <c r="J282" s="3">
        <f>+IF(F282="Pasajero",'2.2 OPEX LAP 2023'!L283*'2.1 OPEX TUUA'!$J$7,'2.2 OPEX LAP 2023'!L283*'2.1 OPEX TUUA'!$J$8)</f>
        <v>229244.92603114326</v>
      </c>
      <c r="K282" s="3">
        <f>+IF(F282="Pasajero",'2.2 OPEX LAP 2023'!M283*'2.1 OPEX TUUA'!$K$7,'2.2 OPEX LAP 2023'!M283*'2.1 OPEX TUUA'!$K$8)</f>
        <v>238653.67289259436</v>
      </c>
      <c r="L282" s="3">
        <f>+IF(F282="Pasajero",'2.2 OPEX LAP 2023'!N283*'2.1 OPEX TUUA'!$L$7,'2.2 OPEX LAP 2023'!N283*'2.1 OPEX TUUA'!$L$8)</f>
        <v>249106.97261648273</v>
      </c>
      <c r="M282" s="3"/>
      <c r="N282" s="3">
        <f>+IF(F282="Pasajero",'2.2 OPEX LAP 2023'!I283*'2.1 OPEX TUUA'!$N$7,'2.2 OPEX LAP 2023'!I283*'2.1 OPEX TUUA'!$N$8)</f>
        <v>80928.716245363947</v>
      </c>
      <c r="O282" s="3">
        <f>+IF(F282="Pasajero",'2.2 OPEX LAP 2023'!J283*'2.1 OPEX TUUA'!$O$7,'2.2 OPEX LAP 2023'!J283*'2.1 OPEX TUUA'!$O$8)</f>
        <v>79714.228211463735</v>
      </c>
      <c r="P282" s="3">
        <f>+IF(F282="Pasajero",'2.2 OPEX LAP 2023'!K283*'2.1 OPEX TUUA'!$P$7,'2.2 OPEX LAP 2023'!K283*'2.1 OPEX TUUA'!$P$8)</f>
        <v>79218.358209631217</v>
      </c>
      <c r="Q282" s="3">
        <f>+IF(F282="Pasajero",'2.2 OPEX LAP 2023'!L283*'2.1 OPEX TUUA'!$Q$7,'2.2 OPEX LAP 2023'!L283*'2.1 OPEX TUUA'!$Q$8)</f>
        <v>78702.282007793852</v>
      </c>
      <c r="R282" s="3">
        <f>+IF(F282="Pasajero",'2.2 OPEX LAP 2023'!M283*'2.1 OPEX TUUA'!$R$7,'2.2 OPEX LAP 2023'!M283*'2.1 OPEX TUUA'!$R$8)</f>
        <v>79124.567640691559</v>
      </c>
      <c r="S282" s="3">
        <f>+IF(F282="Pasajero",'2.2 OPEX LAP 2023'!N283*'2.1 OPEX TUUA'!$S$7,'2.2 OPEX LAP 2023'!N283*'2.1 OPEX TUUA'!$S$8)</f>
        <v>79175.074149463937</v>
      </c>
      <c r="U282" s="1">
        <v>167183.67588914913</v>
      </c>
      <c r="V282" s="1">
        <v>196107.30165266254</v>
      </c>
      <c r="W282" s="1">
        <v>220455.80799937746</v>
      </c>
      <c r="X282" s="1">
        <v>233576.52071889673</v>
      </c>
      <c r="Y282" s="1">
        <v>243163.04633702111</v>
      </c>
      <c r="Z282" s="1">
        <v>253813.86169773253</v>
      </c>
      <c r="AA282" s="7">
        <f t="shared" si="27"/>
        <v>-3100.3626568787731</v>
      </c>
      <c r="AB282" s="7">
        <f t="shared" si="28"/>
        <v>-3636.7411564051581</v>
      </c>
      <c r="AC282" s="7">
        <f t="shared" si="29"/>
        <v>-4088.2756703261402</v>
      </c>
      <c r="AD282" s="7">
        <f t="shared" si="30"/>
        <v>-4331.5946877534734</v>
      </c>
      <c r="AE282" s="7">
        <f t="shared" si="31"/>
        <v>-4509.3734444267466</v>
      </c>
      <c r="AF282" s="7">
        <f t="shared" si="32"/>
        <v>-4706.8890812497993</v>
      </c>
    </row>
    <row r="283" spans="2:32" x14ac:dyDescent="0.25">
      <c r="B283" s="17">
        <v>6381000002</v>
      </c>
      <c r="C283" s="193" t="s">
        <v>176</v>
      </c>
      <c r="D283" s="193" t="s">
        <v>49</v>
      </c>
      <c r="E283" s="193" t="s">
        <v>131</v>
      </c>
      <c r="F283" s="163" t="s">
        <v>190</v>
      </c>
      <c r="G283" s="3">
        <f>+IF(F283="Pasajero",'2.2 OPEX LAP 2023'!I284*'2.1 OPEX TUUA'!$G$7,'2.2 OPEX LAP 2023'!I284*'2.1 OPEX TUUA'!$G$8)</f>
        <v>4184.8928815921508</v>
      </c>
      <c r="H283" s="3">
        <f>+IF(F283="Pasajero",'2.2 OPEX LAP 2023'!J284*'2.1 OPEX TUUA'!$H$7,'2.2 OPEX LAP 2023'!J284*'2.1 OPEX TUUA'!$H$8)</f>
        <v>4908.9006229210327</v>
      </c>
      <c r="I283" s="3">
        <f>+IF(F283="Pasajero",'2.2 OPEX LAP 2023'!K284*'2.1 OPEX TUUA'!$I$7,'2.2 OPEX LAP 2023'!K284*'2.1 OPEX TUUA'!$I$8)</f>
        <v>5518.3853130132065</v>
      </c>
      <c r="J283" s="3">
        <f>+IF(F283="Pasajero",'2.2 OPEX LAP 2023'!L284*'2.1 OPEX TUUA'!$J$7,'2.2 OPEX LAP 2023'!L284*'2.1 OPEX TUUA'!$J$8)</f>
        <v>5846.8191566244623</v>
      </c>
      <c r="K283" s="3">
        <f>+IF(F283="Pasajero",'2.2 OPEX LAP 2023'!M284*'2.1 OPEX TUUA'!$K$7,'2.2 OPEX LAP 2023'!M284*'2.1 OPEX TUUA'!$K$8)</f>
        <v>6086.7862622950543</v>
      </c>
      <c r="L283" s="3">
        <f>+IF(F283="Pasajero",'2.2 OPEX LAP 2023'!N284*'2.1 OPEX TUUA'!$L$7,'2.2 OPEX LAP 2023'!N284*'2.1 OPEX TUUA'!$L$8)</f>
        <v>6353.3943575480098</v>
      </c>
      <c r="M283" s="3"/>
      <c r="N283" s="3">
        <f>+IF(F283="Pasajero",'2.2 OPEX LAP 2023'!I284*'2.1 OPEX TUUA'!$N$7,'2.2 OPEX LAP 2023'!I284*'2.1 OPEX TUUA'!$N$8)</f>
        <v>2064.0612494958241</v>
      </c>
      <c r="O283" s="3">
        <f>+IF(F283="Pasajero",'2.2 OPEX LAP 2023'!J284*'2.1 OPEX TUUA'!$O$7,'2.2 OPEX LAP 2023'!J284*'2.1 OPEX TUUA'!$O$8)</f>
        <v>2033.08611724302</v>
      </c>
      <c r="P283" s="3">
        <f>+IF(F283="Pasajero",'2.2 OPEX LAP 2023'!K284*'2.1 OPEX TUUA'!$P$7,'2.2 OPEX LAP 2023'!K284*'2.1 OPEX TUUA'!$P$8)</f>
        <v>2020.4391100612079</v>
      </c>
      <c r="Q283" s="3">
        <f>+IF(F283="Pasajero",'2.2 OPEX LAP 2023'!L284*'2.1 OPEX TUUA'!$Q$7,'2.2 OPEX LAP 2023'!L284*'2.1 OPEX TUUA'!$Q$8)</f>
        <v>2007.2767501546216</v>
      </c>
      <c r="R283" s="3">
        <f>+IF(F283="Pasajero",'2.2 OPEX LAP 2023'!M284*'2.1 OPEX TUUA'!$R$7,'2.2 OPEX LAP 2023'!M284*'2.1 OPEX TUUA'!$R$8)</f>
        <v>2018.0470113365773</v>
      </c>
      <c r="S283" s="3">
        <f>+IF(F283="Pasajero",'2.2 OPEX LAP 2023'!N284*'2.1 OPEX TUUA'!$S$7,'2.2 OPEX LAP 2023'!N284*'2.1 OPEX TUUA'!$S$8)</f>
        <v>2019.3351638297952</v>
      </c>
      <c r="U283" s="1">
        <v>4263.966648189974</v>
      </c>
      <c r="V283" s="1">
        <v>5001.6545530911853</v>
      </c>
      <c r="W283" s="1">
        <v>5622.6554878024945</v>
      </c>
      <c r="X283" s="1">
        <v>5957.2951058092622</v>
      </c>
      <c r="Y283" s="1">
        <v>6201.7964023042878</v>
      </c>
      <c r="Z283" s="1">
        <v>6473.4420712523433</v>
      </c>
      <c r="AA283" s="7">
        <f t="shared" si="27"/>
        <v>-79.073766597823123</v>
      </c>
      <c r="AB283" s="7">
        <f t="shared" si="28"/>
        <v>-92.753930170152671</v>
      </c>
      <c r="AC283" s="7">
        <f t="shared" si="29"/>
        <v>-104.27017478928792</v>
      </c>
      <c r="AD283" s="7">
        <f t="shared" si="30"/>
        <v>-110.4759491847999</v>
      </c>
      <c r="AE283" s="7">
        <f t="shared" si="31"/>
        <v>-115.01014000923351</v>
      </c>
      <c r="AF283" s="7">
        <f t="shared" si="32"/>
        <v>-120.04771370433355</v>
      </c>
    </row>
    <row r="284" spans="2:32" x14ac:dyDescent="0.25">
      <c r="B284" s="17">
        <v>6381000003</v>
      </c>
      <c r="C284" s="193" t="s">
        <v>176</v>
      </c>
      <c r="D284" s="193" t="s">
        <v>49</v>
      </c>
      <c r="E284" s="193" t="s">
        <v>132</v>
      </c>
      <c r="F284" s="163" t="s">
        <v>190</v>
      </c>
      <c r="G284" s="3">
        <f>+IF(F284="Pasajero",'2.2 OPEX LAP 2023'!I285*'2.1 OPEX TUUA'!$G$7,'2.2 OPEX LAP 2023'!I285*'2.1 OPEX TUUA'!$G$8)</f>
        <v>7234.740601082819</v>
      </c>
      <c r="H284" s="3">
        <f>+IF(F284="Pasajero",'2.2 OPEX LAP 2023'!J285*'2.1 OPEX TUUA'!$H$7,'2.2 OPEX LAP 2023'!J285*'2.1 OPEX TUUA'!$H$8)</f>
        <v>8486.3875009904514</v>
      </c>
      <c r="I284" s="3">
        <f>+IF(F284="Pasajero",'2.2 OPEX LAP 2023'!K285*'2.1 OPEX TUUA'!$I$7,'2.2 OPEX LAP 2023'!K285*'2.1 OPEX TUUA'!$I$8)</f>
        <v>9540.0497470526825</v>
      </c>
      <c r="J284" s="3">
        <f>+IF(F284="Pasajero",'2.2 OPEX LAP 2023'!L285*'2.1 OPEX TUUA'!$J$7,'2.2 OPEX LAP 2023'!L285*'2.1 OPEX TUUA'!$J$8)</f>
        <v>10107.838154157629</v>
      </c>
      <c r="K284" s="3">
        <f>+IF(F284="Pasajero",'2.2 OPEX LAP 2023'!M285*'2.1 OPEX TUUA'!$K$7,'2.2 OPEX LAP 2023'!M285*'2.1 OPEX TUUA'!$K$8)</f>
        <v>10522.687425439064</v>
      </c>
      <c r="L284" s="3">
        <f>+IF(F284="Pasajero",'2.2 OPEX LAP 2023'!N285*'2.1 OPEX TUUA'!$L$7,'2.2 OPEX LAP 2023'!N285*'2.1 OPEX TUUA'!$L$8)</f>
        <v>10983.592988825929</v>
      </c>
      <c r="M284" s="3"/>
      <c r="N284" s="3">
        <f>+IF(F284="Pasajero",'2.2 OPEX LAP 2023'!I285*'2.1 OPEX TUUA'!$N$7,'2.2 OPEX LAP 2023'!I285*'2.1 OPEX TUUA'!$N$8)</f>
        <v>3568.2986751068056</v>
      </c>
      <c r="O284" s="3">
        <f>+IF(F284="Pasajero",'2.2 OPEX LAP 2023'!J285*'2.1 OPEX TUUA'!$O$7,'2.2 OPEX LAP 2023'!J285*'2.1 OPEX TUUA'!$O$8)</f>
        <v>3514.7496230106349</v>
      </c>
      <c r="P284" s="3">
        <f>+IF(F284="Pasajero",'2.2 OPEX LAP 2023'!K285*'2.1 OPEX TUUA'!$P$7,'2.2 OPEX LAP 2023'!K285*'2.1 OPEX TUUA'!$P$8)</f>
        <v>3492.885785887609</v>
      </c>
      <c r="Q284" s="3">
        <f>+IF(F284="Pasajero",'2.2 OPEX LAP 2023'!L285*'2.1 OPEX TUUA'!$Q$7,'2.2 OPEX LAP 2023'!L285*'2.1 OPEX TUUA'!$Q$8)</f>
        <v>3470.1310195610654</v>
      </c>
      <c r="R284" s="3">
        <f>+IF(F284="Pasajero",'2.2 OPEX LAP 2023'!M285*'2.1 OPEX TUUA'!$R$7,'2.2 OPEX LAP 2023'!M285*'2.1 OPEX TUUA'!$R$8)</f>
        <v>3488.7503840375389</v>
      </c>
      <c r="S284" s="3">
        <f>+IF(F284="Pasajero",'2.2 OPEX LAP 2023'!N285*'2.1 OPEX TUUA'!$S$7,'2.2 OPEX LAP 2023'!N285*'2.1 OPEX TUUA'!$S$8)</f>
        <v>3490.9773106057341</v>
      </c>
      <c r="U284" s="1">
        <v>7371.4413974645358</v>
      </c>
      <c r="V284" s="1">
        <v>8646.7382300291119</v>
      </c>
      <c r="W284" s="1">
        <v>9720.3094785139729</v>
      </c>
      <c r="X284" s="1">
        <v>10298.826276822876</v>
      </c>
      <c r="Y284" s="1">
        <v>10721.514146457657</v>
      </c>
      <c r="Z284" s="1">
        <v>11191.128544209963</v>
      </c>
      <c r="AA284" s="7">
        <f t="shared" si="27"/>
        <v>-136.70079638171683</v>
      </c>
      <c r="AB284" s="7">
        <f t="shared" si="28"/>
        <v>-160.35072903866057</v>
      </c>
      <c r="AC284" s="7">
        <f t="shared" si="29"/>
        <v>-180.25973146129036</v>
      </c>
      <c r="AD284" s="7">
        <f t="shared" si="30"/>
        <v>-190.98812266524692</v>
      </c>
      <c r="AE284" s="7">
        <f t="shared" si="31"/>
        <v>-198.82672101859316</v>
      </c>
      <c r="AF284" s="7">
        <f t="shared" si="32"/>
        <v>-207.53555538403452</v>
      </c>
    </row>
    <row r="285" spans="2:32" x14ac:dyDescent="0.25">
      <c r="B285" s="17">
        <v>6381000004</v>
      </c>
      <c r="C285" s="193" t="s">
        <v>176</v>
      </c>
      <c r="D285" s="193" t="s">
        <v>40</v>
      </c>
      <c r="E285" s="193" t="s">
        <v>133</v>
      </c>
      <c r="F285" s="163" t="s">
        <v>190</v>
      </c>
      <c r="G285" s="3">
        <f>+IF(F285="Pasajero",'2.2 OPEX LAP 2023'!I286*'2.1 OPEX TUUA'!$G$7,'2.2 OPEX LAP 2023'!I286*'2.1 OPEX TUUA'!$G$8)</f>
        <v>25428.038094248182</v>
      </c>
      <c r="H285" s="3">
        <f>+IF(F285="Pasajero",'2.2 OPEX LAP 2023'!J286*'2.1 OPEX TUUA'!$H$7,'2.2 OPEX LAP 2023'!J286*'2.1 OPEX TUUA'!$H$8)</f>
        <v>29827.217941364659</v>
      </c>
      <c r="I285" s="3">
        <f>+IF(F285="Pasajero",'2.2 OPEX LAP 2023'!K286*'2.1 OPEX TUUA'!$I$7,'2.2 OPEX LAP 2023'!K286*'2.1 OPEX TUUA'!$I$8)</f>
        <v>33530.538517548339</v>
      </c>
      <c r="J285" s="3">
        <f>+IF(F285="Pasajero",'2.2 OPEX LAP 2023'!L286*'2.1 OPEX TUUA'!$J$7,'2.2 OPEX LAP 2023'!L286*'2.1 OPEX TUUA'!$J$8)</f>
        <v>35526.151911506953</v>
      </c>
      <c r="K285" s="3">
        <f>+IF(F285="Pasajero",'2.2 OPEX LAP 2023'!M286*'2.1 OPEX TUUA'!$K$7,'2.2 OPEX LAP 2023'!M286*'2.1 OPEX TUUA'!$K$8)</f>
        <v>36984.228110111304</v>
      </c>
      <c r="L285" s="3">
        <f>+IF(F285="Pasajero",'2.2 OPEX LAP 2023'!N286*'2.1 OPEX TUUA'!$L$7,'2.2 OPEX LAP 2023'!N286*'2.1 OPEX TUUA'!$L$8)</f>
        <v>38604.178965280596</v>
      </c>
      <c r="M285" s="3"/>
      <c r="N285" s="3">
        <f>+IF(F285="Pasajero",'2.2 OPEX LAP 2023'!I286*'2.1 OPEX TUUA'!$N$7,'2.2 OPEX LAP 2023'!I286*'2.1 OPEX TUUA'!$N$8)</f>
        <v>12541.546358785958</v>
      </c>
      <c r="O285" s="3">
        <f>+IF(F285="Pasajero",'2.2 OPEX LAP 2023'!J286*'2.1 OPEX TUUA'!$O$7,'2.2 OPEX LAP 2023'!J286*'2.1 OPEX TUUA'!$O$8)</f>
        <v>12353.336799979037</v>
      </c>
      <c r="P285" s="3">
        <f>+IF(F285="Pasajero",'2.2 OPEX LAP 2023'!K286*'2.1 OPEX TUUA'!$P$7,'2.2 OPEX LAP 2023'!K286*'2.1 OPEX TUUA'!$P$8)</f>
        <v>12276.491683629249</v>
      </c>
      <c r="Q285" s="3">
        <f>+IF(F285="Pasajero",'2.2 OPEX LAP 2023'!L286*'2.1 OPEX TUUA'!$Q$7,'2.2 OPEX LAP 2023'!L286*'2.1 OPEX TUUA'!$Q$8)</f>
        <v>12196.5152066716</v>
      </c>
      <c r="R285" s="3">
        <f>+IF(F285="Pasajero",'2.2 OPEX LAP 2023'!M286*'2.1 OPEX TUUA'!$R$7,'2.2 OPEX LAP 2023'!M286*'2.1 OPEX TUUA'!$R$8)</f>
        <v>12261.956932270938</v>
      </c>
      <c r="S285" s="3">
        <f>+IF(F285="Pasajero",'2.2 OPEX LAP 2023'!N286*'2.1 OPEX TUUA'!$S$7,'2.2 OPEX LAP 2023'!N286*'2.1 OPEX TUUA'!$S$8)</f>
        <v>12269.783940415595</v>
      </c>
      <c r="U285" s="1">
        <v>25908.502184057852</v>
      </c>
      <c r="V285" s="1">
        <v>30390.80476102552</v>
      </c>
      <c r="W285" s="1">
        <v>34164.099770286368</v>
      </c>
      <c r="X285" s="1">
        <v>36197.420382135191</v>
      </c>
      <c r="Y285" s="1">
        <v>37683.047005630324</v>
      </c>
      <c r="Z285" s="1">
        <v>39333.606915665769</v>
      </c>
      <c r="AA285" s="7">
        <f t="shared" si="27"/>
        <v>-480.46408980966953</v>
      </c>
      <c r="AB285" s="7">
        <f t="shared" si="28"/>
        <v>-563.58681966086078</v>
      </c>
      <c r="AC285" s="7">
        <f t="shared" si="29"/>
        <v>-633.561252738029</v>
      </c>
      <c r="AD285" s="7">
        <f t="shared" si="30"/>
        <v>-671.26847062823799</v>
      </c>
      <c r="AE285" s="7">
        <f t="shared" si="31"/>
        <v>-698.81889551901986</v>
      </c>
      <c r="AF285" s="7">
        <f t="shared" si="32"/>
        <v>-729.42795038517215</v>
      </c>
    </row>
    <row r="286" spans="2:32" x14ac:dyDescent="0.25">
      <c r="B286" s="17">
        <v>6381000005</v>
      </c>
      <c r="C286" s="193" t="s">
        <v>176</v>
      </c>
      <c r="D286" s="193" t="s">
        <v>49</v>
      </c>
      <c r="E286" s="193" t="s">
        <v>134</v>
      </c>
      <c r="F286" s="163" t="s">
        <v>190</v>
      </c>
      <c r="G286" s="3">
        <f>+IF(F286="Pasajero",'2.2 OPEX LAP 2023'!I287*'2.1 OPEX TUUA'!$G$7,'2.2 OPEX LAP 2023'!I287*'2.1 OPEX TUUA'!$G$8)</f>
        <v>19679.996936797081</v>
      </c>
      <c r="H286" s="3">
        <f>+IF(F286="Pasajero",'2.2 OPEX LAP 2023'!J287*'2.1 OPEX TUUA'!$H$7,'2.2 OPEX LAP 2023'!J287*'2.1 OPEX TUUA'!$H$8)</f>
        <v>23084.736445003775</v>
      </c>
      <c r="I286" s="3">
        <f>+IF(F286="Pasajero",'2.2 OPEX LAP 2023'!K287*'2.1 OPEX TUUA'!$I$7,'2.2 OPEX LAP 2023'!K287*'2.1 OPEX TUUA'!$I$8)</f>
        <v>25950.916577546453</v>
      </c>
      <c r="J286" s="3">
        <f>+IF(F286="Pasajero",'2.2 OPEX LAP 2023'!L287*'2.1 OPEX TUUA'!$J$7,'2.2 OPEX LAP 2023'!L287*'2.1 OPEX TUUA'!$J$8)</f>
        <v>27495.418962455988</v>
      </c>
      <c r="K286" s="3">
        <f>+IF(F286="Pasajero",'2.2 OPEX LAP 2023'!M287*'2.1 OPEX TUUA'!$K$7,'2.2 OPEX LAP 2023'!M287*'2.1 OPEX TUUA'!$K$8)</f>
        <v>28623.895135717707</v>
      </c>
      <c r="L286" s="3">
        <f>+IF(F286="Pasajero",'2.2 OPEX LAP 2023'!N287*'2.1 OPEX TUUA'!$L$7,'2.2 OPEX LAP 2023'!N287*'2.1 OPEX TUUA'!$L$8)</f>
        <v>29877.653988419162</v>
      </c>
      <c r="M286" s="3"/>
      <c r="N286" s="3">
        <f>+IF(F286="Pasajero",'2.2 OPEX LAP 2023'!I287*'2.1 OPEX TUUA'!$N$7,'2.2 OPEX LAP 2023'!I287*'2.1 OPEX TUUA'!$N$8)</f>
        <v>9706.5134560828083</v>
      </c>
      <c r="O286" s="3">
        <f>+IF(F286="Pasajero",'2.2 OPEX LAP 2023'!J287*'2.1 OPEX TUUA'!$O$7,'2.2 OPEX LAP 2023'!J287*'2.1 OPEX TUUA'!$O$8)</f>
        <v>9560.8489133812636</v>
      </c>
      <c r="P286" s="3">
        <f>+IF(F286="Pasajero",'2.2 OPEX LAP 2023'!K287*'2.1 OPEX TUUA'!$P$7,'2.2 OPEX LAP 2023'!K287*'2.1 OPEX TUUA'!$P$8)</f>
        <v>9501.374735752368</v>
      </c>
      <c r="Q286" s="3">
        <f>+IF(F286="Pasajero",'2.2 OPEX LAP 2023'!L287*'2.1 OPEX TUUA'!$Q$7,'2.2 OPEX LAP 2023'!L287*'2.1 OPEX TUUA'!$Q$8)</f>
        <v>9439.4770456628466</v>
      </c>
      <c r="R286" s="3">
        <f>+IF(F286="Pasajero",'2.2 OPEX LAP 2023'!M287*'2.1 OPEX TUUA'!$R$7,'2.2 OPEX LAP 2023'!M287*'2.1 OPEX TUUA'!$R$8)</f>
        <v>9490.1255838851084</v>
      </c>
      <c r="S286" s="3">
        <f>+IF(F286="Pasajero",'2.2 OPEX LAP 2023'!N287*'2.1 OPEX TUUA'!$S$7,'2.2 OPEX LAP 2023'!N287*'2.1 OPEX TUUA'!$S$8)</f>
        <v>9496.1832866359146</v>
      </c>
      <c r="U286" s="1">
        <v>20051.851492805243</v>
      </c>
      <c r="V286" s="1">
        <v>23520.923729427181</v>
      </c>
      <c r="W286" s="1">
        <v>26441.260483236056</v>
      </c>
      <c r="X286" s="1">
        <v>28014.946320279174</v>
      </c>
      <c r="Y286" s="1">
        <v>29164.745108972271</v>
      </c>
      <c r="Z286" s="1">
        <v>30442.193799787517</v>
      </c>
      <c r="AA286" s="7">
        <f t="shared" si="27"/>
        <v>-371.85455600816204</v>
      </c>
      <c r="AB286" s="7">
        <f t="shared" si="28"/>
        <v>-436.1872844234058</v>
      </c>
      <c r="AC286" s="7">
        <f t="shared" si="29"/>
        <v>-490.34390568960225</v>
      </c>
      <c r="AD286" s="7">
        <f t="shared" si="30"/>
        <v>-519.52735782318632</v>
      </c>
      <c r="AE286" s="7">
        <f t="shared" si="31"/>
        <v>-540.84997325456425</v>
      </c>
      <c r="AF286" s="7">
        <f t="shared" si="32"/>
        <v>-564.539811368355</v>
      </c>
    </row>
    <row r="287" spans="2:32" x14ac:dyDescent="0.25">
      <c r="B287" s="17">
        <v>6381000006</v>
      </c>
      <c r="C287" s="193" t="s">
        <v>176</v>
      </c>
      <c r="D287" s="193" t="s">
        <v>49</v>
      </c>
      <c r="E287" s="193" t="s">
        <v>135</v>
      </c>
      <c r="F287" s="163" t="s">
        <v>190</v>
      </c>
      <c r="G287" s="3">
        <f>+IF(F287="Pasajero",'2.2 OPEX LAP 2023'!I288*'2.1 OPEX TUUA'!$G$7,'2.2 OPEX LAP 2023'!I288*'2.1 OPEX TUUA'!$G$8)</f>
        <v>97793.157753539912</v>
      </c>
      <c r="H287" s="3">
        <f>+IF(F287="Pasajero",'2.2 OPEX LAP 2023'!J288*'2.1 OPEX TUUA'!$H$7,'2.2 OPEX LAP 2023'!J288*'2.1 OPEX TUUA'!$H$8)</f>
        <v>114711.87115095962</v>
      </c>
      <c r="I287" s="3">
        <f>+IF(F287="Pasajero",'2.2 OPEX LAP 2023'!K288*'2.1 OPEX TUUA'!$I$7,'2.2 OPEX LAP 2023'!K288*'2.1 OPEX TUUA'!$I$8)</f>
        <v>128954.3939903674</v>
      </c>
      <c r="J287" s="3">
        <f>+IF(F287="Pasajero",'2.2 OPEX LAP 2023'!L288*'2.1 OPEX TUUA'!$J$7,'2.2 OPEX LAP 2023'!L288*'2.1 OPEX TUUA'!$J$8)</f>
        <v>136629.28163711104</v>
      </c>
      <c r="K287" s="3">
        <f>+IF(F287="Pasajero",'2.2 OPEX LAP 2023'!M288*'2.1 OPEX TUUA'!$K$7,'2.2 OPEX LAP 2023'!M288*'2.1 OPEX TUUA'!$K$8)</f>
        <v>142236.86627176875</v>
      </c>
      <c r="L287" s="3">
        <f>+IF(F287="Pasajero",'2.2 OPEX LAP 2023'!N288*'2.1 OPEX TUUA'!$L$7,'2.2 OPEX LAP 2023'!N288*'2.1 OPEX TUUA'!$L$8)</f>
        <v>148467.00124896888</v>
      </c>
      <c r="M287" s="3"/>
      <c r="N287" s="3">
        <f>+IF(F287="Pasajero",'2.2 OPEX LAP 2023'!I288*'2.1 OPEX TUUA'!$N$7,'2.2 OPEX LAP 2023'!I288*'2.1 OPEX TUUA'!$N$8)</f>
        <v>48233.26978637484</v>
      </c>
      <c r="O287" s="3">
        <f>+IF(F287="Pasajero",'2.2 OPEX LAP 2023'!J288*'2.1 OPEX TUUA'!$O$7,'2.2 OPEX LAP 2023'!J288*'2.1 OPEX TUUA'!$O$8)</f>
        <v>47509.438596296015</v>
      </c>
      <c r="P287" s="3">
        <f>+IF(F287="Pasajero",'2.2 OPEX LAP 2023'!K288*'2.1 OPEX TUUA'!$P$7,'2.2 OPEX LAP 2023'!K288*'2.1 OPEX TUUA'!$P$8)</f>
        <v>47213.901576966011</v>
      </c>
      <c r="Q287" s="3">
        <f>+IF(F287="Pasajero",'2.2 OPEX LAP 2023'!L288*'2.1 OPEX TUUA'!$Q$7,'2.2 OPEX LAP 2023'!L288*'2.1 OPEX TUUA'!$Q$8)</f>
        <v>46906.321723628411</v>
      </c>
      <c r="R287" s="3">
        <f>+IF(F287="Pasajero",'2.2 OPEX LAP 2023'!M288*'2.1 OPEX TUUA'!$R$7,'2.2 OPEX LAP 2023'!M288*'2.1 OPEX TUUA'!$R$8)</f>
        <v>47158.002681926468</v>
      </c>
      <c r="S287" s="3">
        <f>+IF(F287="Pasajero",'2.2 OPEX LAP 2023'!N288*'2.1 OPEX TUUA'!$S$7,'2.2 OPEX LAP 2023'!N288*'2.1 OPEX TUUA'!$S$8)</f>
        <v>47188.104408193823</v>
      </c>
      <c r="U287" s="1">
        <v>99640.964507467055</v>
      </c>
      <c r="V287" s="1">
        <v>116879.35786616072</v>
      </c>
      <c r="W287" s="1">
        <v>131390.99390837504</v>
      </c>
      <c r="X287" s="1">
        <v>139210.89895260395</v>
      </c>
      <c r="Y287" s="1">
        <v>144924.43918782886</v>
      </c>
      <c r="Z287" s="1">
        <v>151272.29288639149</v>
      </c>
      <c r="AA287" s="7">
        <f t="shared" si="27"/>
        <v>-1847.8067539271433</v>
      </c>
      <c r="AB287" s="7">
        <f t="shared" si="28"/>
        <v>-2167.4867152010993</v>
      </c>
      <c r="AC287" s="7">
        <f t="shared" si="29"/>
        <v>-2436.5999180076324</v>
      </c>
      <c r="AD287" s="7">
        <f t="shared" si="30"/>
        <v>-2581.6173154929129</v>
      </c>
      <c r="AE287" s="7">
        <f t="shared" si="31"/>
        <v>-2687.572916060104</v>
      </c>
      <c r="AF287" s="7">
        <f t="shared" si="32"/>
        <v>-2805.2916374226043</v>
      </c>
    </row>
    <row r="288" spans="2:32" x14ac:dyDescent="0.25">
      <c r="B288" s="17">
        <v>6382000001</v>
      </c>
      <c r="C288" s="193" t="s">
        <v>176</v>
      </c>
      <c r="D288" s="193" t="s">
        <v>40</v>
      </c>
      <c r="E288" s="193" t="s">
        <v>136</v>
      </c>
      <c r="F288" s="163" t="s">
        <v>190</v>
      </c>
      <c r="G288" s="3">
        <f>+IF(F288="Pasajero",'2.2 OPEX LAP 2023'!I289*'2.1 OPEX TUUA'!$G$7,'2.2 OPEX LAP 2023'!I289*'2.1 OPEX TUUA'!$G$8)</f>
        <v>0</v>
      </c>
      <c r="H288" s="3">
        <f>+IF(F288="Pasajero",'2.2 OPEX LAP 2023'!J289*'2.1 OPEX TUUA'!$H$7,'2.2 OPEX LAP 2023'!J289*'2.1 OPEX TUUA'!$H$8)</f>
        <v>0</v>
      </c>
      <c r="I288" s="3">
        <f>+IF(F288="Pasajero",'2.2 OPEX LAP 2023'!K289*'2.1 OPEX TUUA'!$I$7,'2.2 OPEX LAP 2023'!K289*'2.1 OPEX TUUA'!$I$8)</f>
        <v>0</v>
      </c>
      <c r="J288" s="3">
        <f>+IF(F288="Pasajero",'2.2 OPEX LAP 2023'!L289*'2.1 OPEX TUUA'!$J$7,'2.2 OPEX LAP 2023'!L289*'2.1 OPEX TUUA'!$J$8)</f>
        <v>0</v>
      </c>
      <c r="K288" s="3">
        <f>+IF(F288="Pasajero",'2.2 OPEX LAP 2023'!M289*'2.1 OPEX TUUA'!$K$7,'2.2 OPEX LAP 2023'!M289*'2.1 OPEX TUUA'!$K$8)</f>
        <v>0</v>
      </c>
      <c r="L288" s="3">
        <f>+IF(F288="Pasajero",'2.2 OPEX LAP 2023'!N289*'2.1 OPEX TUUA'!$L$7,'2.2 OPEX LAP 2023'!N289*'2.1 OPEX TUUA'!$L$8)</f>
        <v>0</v>
      </c>
      <c r="M288" s="3"/>
      <c r="N288" s="3">
        <f>+IF(F288="Pasajero",'2.2 OPEX LAP 2023'!I289*'2.1 OPEX TUUA'!$N$7,'2.2 OPEX LAP 2023'!I289*'2.1 OPEX TUUA'!$N$8)</f>
        <v>0</v>
      </c>
      <c r="O288" s="3">
        <f>+IF(F288="Pasajero",'2.2 OPEX LAP 2023'!J289*'2.1 OPEX TUUA'!$O$7,'2.2 OPEX LAP 2023'!J289*'2.1 OPEX TUUA'!$O$8)</f>
        <v>0</v>
      </c>
      <c r="P288" s="3">
        <f>+IF(F288="Pasajero",'2.2 OPEX LAP 2023'!K289*'2.1 OPEX TUUA'!$P$7,'2.2 OPEX LAP 2023'!K289*'2.1 OPEX TUUA'!$P$8)</f>
        <v>0</v>
      </c>
      <c r="Q288" s="3">
        <f>+IF(F288="Pasajero",'2.2 OPEX LAP 2023'!L289*'2.1 OPEX TUUA'!$Q$7,'2.2 OPEX LAP 2023'!L289*'2.1 OPEX TUUA'!$Q$8)</f>
        <v>0</v>
      </c>
      <c r="R288" s="3">
        <f>+IF(F288="Pasajero",'2.2 OPEX LAP 2023'!M289*'2.1 OPEX TUUA'!$R$7,'2.2 OPEX LAP 2023'!M289*'2.1 OPEX TUUA'!$R$8)</f>
        <v>0</v>
      </c>
      <c r="S288" s="3">
        <f>+IF(F288="Pasajero",'2.2 OPEX LAP 2023'!N289*'2.1 OPEX TUUA'!$S$7,'2.2 OPEX LAP 2023'!N289*'2.1 OPEX TUUA'!$S$8)</f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7">
        <f t="shared" si="27"/>
        <v>0</v>
      </c>
      <c r="AB288" s="7">
        <f t="shared" si="28"/>
        <v>0</v>
      </c>
      <c r="AC288" s="7">
        <f t="shared" si="29"/>
        <v>0</v>
      </c>
      <c r="AD288" s="7">
        <f t="shared" si="30"/>
        <v>0</v>
      </c>
      <c r="AE288" s="7">
        <f t="shared" si="31"/>
        <v>0</v>
      </c>
      <c r="AF288" s="7">
        <f t="shared" si="32"/>
        <v>0</v>
      </c>
    </row>
    <row r="289" spans="2:32" x14ac:dyDescent="0.25">
      <c r="B289" s="17">
        <v>6382000002</v>
      </c>
      <c r="C289" s="193" t="s">
        <v>176</v>
      </c>
      <c r="D289" s="193" t="s">
        <v>40</v>
      </c>
      <c r="E289" s="193" t="s">
        <v>137</v>
      </c>
      <c r="F289" s="163" t="s">
        <v>190</v>
      </c>
      <c r="G289" s="3">
        <f>+IF(F289="Pasajero",'2.2 OPEX LAP 2023'!I290*'2.1 OPEX TUUA'!$G$7,'2.2 OPEX LAP 2023'!I290*'2.1 OPEX TUUA'!$G$8)</f>
        <v>0</v>
      </c>
      <c r="H289" s="3">
        <f>+IF(F289="Pasajero",'2.2 OPEX LAP 2023'!J290*'2.1 OPEX TUUA'!$H$7,'2.2 OPEX LAP 2023'!J290*'2.1 OPEX TUUA'!$H$8)</f>
        <v>0</v>
      </c>
      <c r="I289" s="3">
        <f>+IF(F289="Pasajero",'2.2 OPEX LAP 2023'!K290*'2.1 OPEX TUUA'!$I$7,'2.2 OPEX LAP 2023'!K290*'2.1 OPEX TUUA'!$I$8)</f>
        <v>0</v>
      </c>
      <c r="J289" s="3">
        <f>+IF(F289="Pasajero",'2.2 OPEX LAP 2023'!L290*'2.1 OPEX TUUA'!$J$7,'2.2 OPEX LAP 2023'!L290*'2.1 OPEX TUUA'!$J$8)</f>
        <v>0</v>
      </c>
      <c r="K289" s="3">
        <f>+IF(F289="Pasajero",'2.2 OPEX LAP 2023'!M290*'2.1 OPEX TUUA'!$K$7,'2.2 OPEX LAP 2023'!M290*'2.1 OPEX TUUA'!$K$8)</f>
        <v>0</v>
      </c>
      <c r="L289" s="3">
        <f>+IF(F289="Pasajero",'2.2 OPEX LAP 2023'!N290*'2.1 OPEX TUUA'!$L$7,'2.2 OPEX LAP 2023'!N290*'2.1 OPEX TUUA'!$L$8)</f>
        <v>0</v>
      </c>
      <c r="M289" s="3"/>
      <c r="N289" s="3">
        <f>+IF(F289="Pasajero",'2.2 OPEX LAP 2023'!I290*'2.1 OPEX TUUA'!$N$7,'2.2 OPEX LAP 2023'!I290*'2.1 OPEX TUUA'!$N$8)</f>
        <v>0</v>
      </c>
      <c r="O289" s="3">
        <f>+IF(F289="Pasajero",'2.2 OPEX LAP 2023'!J290*'2.1 OPEX TUUA'!$O$7,'2.2 OPEX LAP 2023'!J290*'2.1 OPEX TUUA'!$O$8)</f>
        <v>0</v>
      </c>
      <c r="P289" s="3">
        <f>+IF(F289="Pasajero",'2.2 OPEX LAP 2023'!K290*'2.1 OPEX TUUA'!$P$7,'2.2 OPEX LAP 2023'!K290*'2.1 OPEX TUUA'!$P$8)</f>
        <v>0</v>
      </c>
      <c r="Q289" s="3">
        <f>+IF(F289="Pasajero",'2.2 OPEX LAP 2023'!L290*'2.1 OPEX TUUA'!$Q$7,'2.2 OPEX LAP 2023'!L290*'2.1 OPEX TUUA'!$Q$8)</f>
        <v>0</v>
      </c>
      <c r="R289" s="3">
        <f>+IF(F289="Pasajero",'2.2 OPEX LAP 2023'!M290*'2.1 OPEX TUUA'!$R$7,'2.2 OPEX LAP 2023'!M290*'2.1 OPEX TUUA'!$R$8)</f>
        <v>0</v>
      </c>
      <c r="S289" s="3">
        <f>+IF(F289="Pasajero",'2.2 OPEX LAP 2023'!N290*'2.1 OPEX TUUA'!$S$7,'2.2 OPEX LAP 2023'!N290*'2.1 OPEX TUUA'!$S$8)</f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7">
        <f t="shared" si="27"/>
        <v>0</v>
      </c>
      <c r="AB289" s="7">
        <f t="shared" si="28"/>
        <v>0</v>
      </c>
      <c r="AC289" s="7">
        <f t="shared" si="29"/>
        <v>0</v>
      </c>
      <c r="AD289" s="7">
        <f t="shared" si="30"/>
        <v>0</v>
      </c>
      <c r="AE289" s="7">
        <f t="shared" si="31"/>
        <v>0</v>
      </c>
      <c r="AF289" s="7">
        <f t="shared" si="32"/>
        <v>0</v>
      </c>
    </row>
    <row r="290" spans="2:32" x14ac:dyDescent="0.25">
      <c r="B290" s="17">
        <v>6390000001</v>
      </c>
      <c r="C290" s="193" t="s">
        <v>176</v>
      </c>
      <c r="D290" s="193" t="s">
        <v>38</v>
      </c>
      <c r="E290" s="193" t="s">
        <v>138</v>
      </c>
      <c r="F290" s="163" t="s">
        <v>190</v>
      </c>
      <c r="G290" s="3">
        <f>+IF(F290="Pasajero",'2.2 OPEX LAP 2023'!I291*'2.1 OPEX TUUA'!$G$7,'2.2 OPEX LAP 2023'!I291*'2.1 OPEX TUUA'!$G$8)</f>
        <v>0</v>
      </c>
      <c r="H290" s="3">
        <f>+IF(F290="Pasajero",'2.2 OPEX LAP 2023'!J291*'2.1 OPEX TUUA'!$H$7,'2.2 OPEX LAP 2023'!J291*'2.1 OPEX TUUA'!$H$8)</f>
        <v>0</v>
      </c>
      <c r="I290" s="3">
        <f>+IF(F290="Pasajero",'2.2 OPEX LAP 2023'!K291*'2.1 OPEX TUUA'!$I$7,'2.2 OPEX LAP 2023'!K291*'2.1 OPEX TUUA'!$I$8)</f>
        <v>0</v>
      </c>
      <c r="J290" s="3">
        <f>+IF(F290="Pasajero",'2.2 OPEX LAP 2023'!L291*'2.1 OPEX TUUA'!$J$7,'2.2 OPEX LAP 2023'!L291*'2.1 OPEX TUUA'!$J$8)</f>
        <v>0</v>
      </c>
      <c r="K290" s="3">
        <f>+IF(F290="Pasajero",'2.2 OPEX LAP 2023'!M291*'2.1 OPEX TUUA'!$K$7,'2.2 OPEX LAP 2023'!M291*'2.1 OPEX TUUA'!$K$8)</f>
        <v>0</v>
      </c>
      <c r="L290" s="3">
        <f>+IF(F290="Pasajero",'2.2 OPEX LAP 2023'!N291*'2.1 OPEX TUUA'!$L$7,'2.2 OPEX LAP 2023'!N291*'2.1 OPEX TUUA'!$L$8)</f>
        <v>0</v>
      </c>
      <c r="M290" s="3"/>
      <c r="N290" s="3">
        <f>+IF(F290="Pasajero",'2.2 OPEX LAP 2023'!I291*'2.1 OPEX TUUA'!$N$7,'2.2 OPEX LAP 2023'!I291*'2.1 OPEX TUUA'!$N$8)</f>
        <v>0</v>
      </c>
      <c r="O290" s="3">
        <f>+IF(F290="Pasajero",'2.2 OPEX LAP 2023'!J291*'2.1 OPEX TUUA'!$O$7,'2.2 OPEX LAP 2023'!J291*'2.1 OPEX TUUA'!$O$8)</f>
        <v>0</v>
      </c>
      <c r="P290" s="3">
        <f>+IF(F290="Pasajero",'2.2 OPEX LAP 2023'!K291*'2.1 OPEX TUUA'!$P$7,'2.2 OPEX LAP 2023'!K291*'2.1 OPEX TUUA'!$P$8)</f>
        <v>0</v>
      </c>
      <c r="Q290" s="3">
        <f>+IF(F290="Pasajero",'2.2 OPEX LAP 2023'!L291*'2.1 OPEX TUUA'!$Q$7,'2.2 OPEX LAP 2023'!L291*'2.1 OPEX TUUA'!$Q$8)</f>
        <v>0</v>
      </c>
      <c r="R290" s="3">
        <f>+IF(F290="Pasajero",'2.2 OPEX LAP 2023'!M291*'2.1 OPEX TUUA'!$R$7,'2.2 OPEX LAP 2023'!M291*'2.1 OPEX TUUA'!$R$8)</f>
        <v>0</v>
      </c>
      <c r="S290" s="3">
        <f>+IF(F290="Pasajero",'2.2 OPEX LAP 2023'!N291*'2.1 OPEX TUUA'!$S$7,'2.2 OPEX LAP 2023'!N291*'2.1 OPEX TUUA'!$S$8)</f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7">
        <f t="shared" si="27"/>
        <v>0</v>
      </c>
      <c r="AB290" s="7">
        <f t="shared" si="28"/>
        <v>0</v>
      </c>
      <c r="AC290" s="7">
        <f t="shared" si="29"/>
        <v>0</v>
      </c>
      <c r="AD290" s="7">
        <f t="shared" si="30"/>
        <v>0</v>
      </c>
      <c r="AE290" s="7">
        <f t="shared" si="31"/>
        <v>0</v>
      </c>
      <c r="AF290" s="7">
        <f t="shared" si="32"/>
        <v>0</v>
      </c>
    </row>
    <row r="291" spans="2:32" x14ac:dyDescent="0.25">
      <c r="B291" s="17">
        <v>6391000001</v>
      </c>
      <c r="C291" s="193" t="s">
        <v>176</v>
      </c>
      <c r="D291" s="193" t="s">
        <v>38</v>
      </c>
      <c r="E291" s="193" t="s">
        <v>139</v>
      </c>
      <c r="F291" s="163" t="s">
        <v>190</v>
      </c>
      <c r="G291" s="3">
        <f>+IF(F291="Pasajero",'2.2 OPEX LAP 2023'!I292*'2.1 OPEX TUUA'!$G$7,'2.2 OPEX LAP 2023'!I292*'2.1 OPEX TUUA'!$G$8)</f>
        <v>0</v>
      </c>
      <c r="H291" s="3">
        <f>+IF(F291="Pasajero",'2.2 OPEX LAP 2023'!J292*'2.1 OPEX TUUA'!$H$7,'2.2 OPEX LAP 2023'!J292*'2.1 OPEX TUUA'!$H$8)</f>
        <v>0</v>
      </c>
      <c r="I291" s="3">
        <f>+IF(F291="Pasajero",'2.2 OPEX LAP 2023'!K292*'2.1 OPEX TUUA'!$I$7,'2.2 OPEX LAP 2023'!K292*'2.1 OPEX TUUA'!$I$8)</f>
        <v>0</v>
      </c>
      <c r="J291" s="3">
        <f>+IF(F291="Pasajero",'2.2 OPEX LAP 2023'!L292*'2.1 OPEX TUUA'!$J$7,'2.2 OPEX LAP 2023'!L292*'2.1 OPEX TUUA'!$J$8)</f>
        <v>0</v>
      </c>
      <c r="K291" s="3">
        <f>+IF(F291="Pasajero",'2.2 OPEX LAP 2023'!M292*'2.1 OPEX TUUA'!$K$7,'2.2 OPEX LAP 2023'!M292*'2.1 OPEX TUUA'!$K$8)</f>
        <v>0</v>
      </c>
      <c r="L291" s="3">
        <f>+IF(F291="Pasajero",'2.2 OPEX LAP 2023'!N292*'2.1 OPEX TUUA'!$L$7,'2.2 OPEX LAP 2023'!N292*'2.1 OPEX TUUA'!$L$8)</f>
        <v>0</v>
      </c>
      <c r="M291" s="3"/>
      <c r="N291" s="3">
        <f>+IF(F291="Pasajero",'2.2 OPEX LAP 2023'!I292*'2.1 OPEX TUUA'!$N$7,'2.2 OPEX LAP 2023'!I292*'2.1 OPEX TUUA'!$N$8)</f>
        <v>0</v>
      </c>
      <c r="O291" s="3">
        <f>+IF(F291="Pasajero",'2.2 OPEX LAP 2023'!J292*'2.1 OPEX TUUA'!$O$7,'2.2 OPEX LAP 2023'!J292*'2.1 OPEX TUUA'!$O$8)</f>
        <v>0</v>
      </c>
      <c r="P291" s="3">
        <f>+IF(F291="Pasajero",'2.2 OPEX LAP 2023'!K292*'2.1 OPEX TUUA'!$P$7,'2.2 OPEX LAP 2023'!K292*'2.1 OPEX TUUA'!$P$8)</f>
        <v>0</v>
      </c>
      <c r="Q291" s="3">
        <f>+IF(F291="Pasajero",'2.2 OPEX LAP 2023'!L292*'2.1 OPEX TUUA'!$Q$7,'2.2 OPEX LAP 2023'!L292*'2.1 OPEX TUUA'!$Q$8)</f>
        <v>0</v>
      </c>
      <c r="R291" s="3">
        <f>+IF(F291="Pasajero",'2.2 OPEX LAP 2023'!M292*'2.1 OPEX TUUA'!$R$7,'2.2 OPEX LAP 2023'!M292*'2.1 OPEX TUUA'!$R$8)</f>
        <v>0</v>
      </c>
      <c r="S291" s="3">
        <f>+IF(F291="Pasajero",'2.2 OPEX LAP 2023'!N292*'2.1 OPEX TUUA'!$S$7,'2.2 OPEX LAP 2023'!N292*'2.1 OPEX TUUA'!$S$8)</f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7">
        <f t="shared" si="27"/>
        <v>0</v>
      </c>
      <c r="AB291" s="7">
        <f t="shared" si="28"/>
        <v>0</v>
      </c>
      <c r="AC291" s="7">
        <f t="shared" si="29"/>
        <v>0</v>
      </c>
      <c r="AD291" s="7">
        <f t="shared" si="30"/>
        <v>0</v>
      </c>
      <c r="AE291" s="7">
        <f t="shared" si="31"/>
        <v>0</v>
      </c>
      <c r="AF291" s="7">
        <f t="shared" si="32"/>
        <v>0</v>
      </c>
    </row>
    <row r="292" spans="2:32" x14ac:dyDescent="0.25">
      <c r="B292" s="17">
        <v>6391000003</v>
      </c>
      <c r="C292" s="193" t="s">
        <v>176</v>
      </c>
      <c r="D292" s="193" t="s">
        <v>38</v>
      </c>
      <c r="E292" s="193" t="s">
        <v>140</v>
      </c>
      <c r="F292" s="163" t="s">
        <v>190</v>
      </c>
      <c r="G292" s="3">
        <f>+IF(F292="Pasajero",'2.2 OPEX LAP 2023'!I293*'2.1 OPEX TUUA'!$G$7,'2.2 OPEX LAP 2023'!I293*'2.1 OPEX TUUA'!$G$8)</f>
        <v>0</v>
      </c>
      <c r="H292" s="3">
        <f>+IF(F292="Pasajero",'2.2 OPEX LAP 2023'!J293*'2.1 OPEX TUUA'!$H$7,'2.2 OPEX LAP 2023'!J293*'2.1 OPEX TUUA'!$H$8)</f>
        <v>0</v>
      </c>
      <c r="I292" s="3">
        <f>+IF(F292="Pasajero",'2.2 OPEX LAP 2023'!K293*'2.1 OPEX TUUA'!$I$7,'2.2 OPEX LAP 2023'!K293*'2.1 OPEX TUUA'!$I$8)</f>
        <v>0</v>
      </c>
      <c r="J292" s="3">
        <f>+IF(F292="Pasajero",'2.2 OPEX LAP 2023'!L293*'2.1 OPEX TUUA'!$J$7,'2.2 OPEX LAP 2023'!L293*'2.1 OPEX TUUA'!$J$8)</f>
        <v>0</v>
      </c>
      <c r="K292" s="3">
        <f>+IF(F292="Pasajero",'2.2 OPEX LAP 2023'!M293*'2.1 OPEX TUUA'!$K$7,'2.2 OPEX LAP 2023'!M293*'2.1 OPEX TUUA'!$K$8)</f>
        <v>0</v>
      </c>
      <c r="L292" s="3">
        <f>+IF(F292="Pasajero",'2.2 OPEX LAP 2023'!N293*'2.1 OPEX TUUA'!$L$7,'2.2 OPEX LAP 2023'!N293*'2.1 OPEX TUUA'!$L$8)</f>
        <v>0</v>
      </c>
      <c r="M292" s="3"/>
      <c r="N292" s="3">
        <f>+IF(F292="Pasajero",'2.2 OPEX LAP 2023'!I293*'2.1 OPEX TUUA'!$N$7,'2.2 OPEX LAP 2023'!I293*'2.1 OPEX TUUA'!$N$8)</f>
        <v>0</v>
      </c>
      <c r="O292" s="3">
        <f>+IF(F292="Pasajero",'2.2 OPEX LAP 2023'!J293*'2.1 OPEX TUUA'!$O$7,'2.2 OPEX LAP 2023'!J293*'2.1 OPEX TUUA'!$O$8)</f>
        <v>0</v>
      </c>
      <c r="P292" s="3">
        <f>+IF(F292="Pasajero",'2.2 OPEX LAP 2023'!K293*'2.1 OPEX TUUA'!$P$7,'2.2 OPEX LAP 2023'!K293*'2.1 OPEX TUUA'!$P$8)</f>
        <v>0</v>
      </c>
      <c r="Q292" s="3">
        <f>+IF(F292="Pasajero",'2.2 OPEX LAP 2023'!L293*'2.1 OPEX TUUA'!$Q$7,'2.2 OPEX LAP 2023'!L293*'2.1 OPEX TUUA'!$Q$8)</f>
        <v>0</v>
      </c>
      <c r="R292" s="3">
        <f>+IF(F292="Pasajero",'2.2 OPEX LAP 2023'!M293*'2.1 OPEX TUUA'!$R$7,'2.2 OPEX LAP 2023'!M293*'2.1 OPEX TUUA'!$R$8)</f>
        <v>0</v>
      </c>
      <c r="S292" s="3">
        <f>+IF(F292="Pasajero",'2.2 OPEX LAP 2023'!N293*'2.1 OPEX TUUA'!$S$7,'2.2 OPEX LAP 2023'!N293*'2.1 OPEX TUUA'!$S$8)</f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7">
        <f t="shared" si="27"/>
        <v>0</v>
      </c>
      <c r="AB292" s="7">
        <f t="shared" si="28"/>
        <v>0</v>
      </c>
      <c r="AC292" s="7">
        <f t="shared" si="29"/>
        <v>0</v>
      </c>
      <c r="AD292" s="7">
        <f t="shared" si="30"/>
        <v>0</v>
      </c>
      <c r="AE292" s="7">
        <f t="shared" si="31"/>
        <v>0</v>
      </c>
      <c r="AF292" s="7">
        <f t="shared" si="32"/>
        <v>0</v>
      </c>
    </row>
    <row r="293" spans="2:32" x14ac:dyDescent="0.25">
      <c r="B293" s="17">
        <v>6410000001</v>
      </c>
      <c r="C293" s="193" t="s">
        <v>176</v>
      </c>
      <c r="D293" s="193" t="s">
        <v>38</v>
      </c>
      <c r="E293" s="193" t="s">
        <v>141</v>
      </c>
      <c r="F293" s="163" t="s">
        <v>190</v>
      </c>
      <c r="G293" s="3">
        <f>+IF(F293="Pasajero",'2.2 OPEX LAP 2023'!I294*'2.1 OPEX TUUA'!$G$7,'2.2 OPEX LAP 2023'!I294*'2.1 OPEX TUUA'!$G$8)</f>
        <v>0</v>
      </c>
      <c r="H293" s="3">
        <f>+IF(F293="Pasajero",'2.2 OPEX LAP 2023'!J294*'2.1 OPEX TUUA'!$H$7,'2.2 OPEX LAP 2023'!J294*'2.1 OPEX TUUA'!$H$8)</f>
        <v>0</v>
      </c>
      <c r="I293" s="3">
        <f>+IF(F293="Pasajero",'2.2 OPEX LAP 2023'!K294*'2.1 OPEX TUUA'!$I$7,'2.2 OPEX LAP 2023'!K294*'2.1 OPEX TUUA'!$I$8)</f>
        <v>0</v>
      </c>
      <c r="J293" s="3">
        <f>+IF(F293="Pasajero",'2.2 OPEX LAP 2023'!L294*'2.1 OPEX TUUA'!$J$7,'2.2 OPEX LAP 2023'!L294*'2.1 OPEX TUUA'!$J$8)</f>
        <v>0</v>
      </c>
      <c r="K293" s="3">
        <f>+IF(F293="Pasajero",'2.2 OPEX LAP 2023'!M294*'2.1 OPEX TUUA'!$K$7,'2.2 OPEX LAP 2023'!M294*'2.1 OPEX TUUA'!$K$8)</f>
        <v>0</v>
      </c>
      <c r="L293" s="3">
        <f>+IF(F293="Pasajero",'2.2 OPEX LAP 2023'!N294*'2.1 OPEX TUUA'!$L$7,'2.2 OPEX LAP 2023'!N294*'2.1 OPEX TUUA'!$L$8)</f>
        <v>0</v>
      </c>
      <c r="M293" s="3"/>
      <c r="N293" s="3">
        <f>+IF(F293="Pasajero",'2.2 OPEX LAP 2023'!I294*'2.1 OPEX TUUA'!$N$7,'2.2 OPEX LAP 2023'!I294*'2.1 OPEX TUUA'!$N$8)</f>
        <v>0</v>
      </c>
      <c r="O293" s="3">
        <f>+IF(F293="Pasajero",'2.2 OPEX LAP 2023'!J294*'2.1 OPEX TUUA'!$O$7,'2.2 OPEX LAP 2023'!J294*'2.1 OPEX TUUA'!$O$8)</f>
        <v>0</v>
      </c>
      <c r="P293" s="3">
        <f>+IF(F293="Pasajero",'2.2 OPEX LAP 2023'!K294*'2.1 OPEX TUUA'!$P$7,'2.2 OPEX LAP 2023'!K294*'2.1 OPEX TUUA'!$P$8)</f>
        <v>0</v>
      </c>
      <c r="Q293" s="3">
        <f>+IF(F293="Pasajero",'2.2 OPEX LAP 2023'!L294*'2.1 OPEX TUUA'!$Q$7,'2.2 OPEX LAP 2023'!L294*'2.1 OPEX TUUA'!$Q$8)</f>
        <v>0</v>
      </c>
      <c r="R293" s="3">
        <f>+IF(F293="Pasajero",'2.2 OPEX LAP 2023'!M294*'2.1 OPEX TUUA'!$R$7,'2.2 OPEX LAP 2023'!M294*'2.1 OPEX TUUA'!$R$8)</f>
        <v>0</v>
      </c>
      <c r="S293" s="3">
        <f>+IF(F293="Pasajero",'2.2 OPEX LAP 2023'!N294*'2.1 OPEX TUUA'!$S$7,'2.2 OPEX LAP 2023'!N294*'2.1 OPEX TUUA'!$S$8)</f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7">
        <f t="shared" si="27"/>
        <v>0</v>
      </c>
      <c r="AB293" s="7">
        <f t="shared" si="28"/>
        <v>0</v>
      </c>
      <c r="AC293" s="7">
        <f t="shared" si="29"/>
        <v>0</v>
      </c>
      <c r="AD293" s="7">
        <f t="shared" si="30"/>
        <v>0</v>
      </c>
      <c r="AE293" s="7">
        <f t="shared" si="31"/>
        <v>0</v>
      </c>
      <c r="AF293" s="7">
        <f t="shared" si="32"/>
        <v>0</v>
      </c>
    </row>
    <row r="294" spans="2:32" x14ac:dyDescent="0.25">
      <c r="B294" s="17">
        <v>6410000002</v>
      </c>
      <c r="C294" s="193" t="s">
        <v>176</v>
      </c>
      <c r="D294" s="193" t="s">
        <v>38</v>
      </c>
      <c r="E294" s="193" t="s">
        <v>142</v>
      </c>
      <c r="F294" s="163" t="s">
        <v>190</v>
      </c>
      <c r="G294" s="3">
        <f>+IF(F294="Pasajero",'2.2 OPEX LAP 2023'!I295*'2.1 OPEX TUUA'!$G$7,'2.2 OPEX LAP 2023'!I295*'2.1 OPEX TUUA'!$G$8)</f>
        <v>0</v>
      </c>
      <c r="H294" s="3">
        <f>+IF(F294="Pasajero",'2.2 OPEX LAP 2023'!J295*'2.1 OPEX TUUA'!$H$7,'2.2 OPEX LAP 2023'!J295*'2.1 OPEX TUUA'!$H$8)</f>
        <v>0</v>
      </c>
      <c r="I294" s="3">
        <f>+IF(F294="Pasajero",'2.2 OPEX LAP 2023'!K295*'2.1 OPEX TUUA'!$I$7,'2.2 OPEX LAP 2023'!K295*'2.1 OPEX TUUA'!$I$8)</f>
        <v>0</v>
      </c>
      <c r="J294" s="3">
        <f>+IF(F294="Pasajero",'2.2 OPEX LAP 2023'!L295*'2.1 OPEX TUUA'!$J$7,'2.2 OPEX LAP 2023'!L295*'2.1 OPEX TUUA'!$J$8)</f>
        <v>0</v>
      </c>
      <c r="K294" s="3">
        <f>+IF(F294="Pasajero",'2.2 OPEX LAP 2023'!M295*'2.1 OPEX TUUA'!$K$7,'2.2 OPEX LAP 2023'!M295*'2.1 OPEX TUUA'!$K$8)</f>
        <v>0</v>
      </c>
      <c r="L294" s="3">
        <f>+IF(F294="Pasajero",'2.2 OPEX LAP 2023'!N295*'2.1 OPEX TUUA'!$L$7,'2.2 OPEX LAP 2023'!N295*'2.1 OPEX TUUA'!$L$8)</f>
        <v>0</v>
      </c>
      <c r="M294" s="3"/>
      <c r="N294" s="3">
        <f>+IF(F294="Pasajero",'2.2 OPEX LAP 2023'!I295*'2.1 OPEX TUUA'!$N$7,'2.2 OPEX LAP 2023'!I295*'2.1 OPEX TUUA'!$N$8)</f>
        <v>0</v>
      </c>
      <c r="O294" s="3">
        <f>+IF(F294="Pasajero",'2.2 OPEX LAP 2023'!J295*'2.1 OPEX TUUA'!$O$7,'2.2 OPEX LAP 2023'!J295*'2.1 OPEX TUUA'!$O$8)</f>
        <v>0</v>
      </c>
      <c r="P294" s="3">
        <f>+IF(F294="Pasajero",'2.2 OPEX LAP 2023'!K295*'2.1 OPEX TUUA'!$P$7,'2.2 OPEX LAP 2023'!K295*'2.1 OPEX TUUA'!$P$8)</f>
        <v>0</v>
      </c>
      <c r="Q294" s="3">
        <f>+IF(F294="Pasajero",'2.2 OPEX LAP 2023'!L295*'2.1 OPEX TUUA'!$Q$7,'2.2 OPEX LAP 2023'!L295*'2.1 OPEX TUUA'!$Q$8)</f>
        <v>0</v>
      </c>
      <c r="R294" s="3">
        <f>+IF(F294="Pasajero",'2.2 OPEX LAP 2023'!M295*'2.1 OPEX TUUA'!$R$7,'2.2 OPEX LAP 2023'!M295*'2.1 OPEX TUUA'!$R$8)</f>
        <v>0</v>
      </c>
      <c r="S294" s="3">
        <f>+IF(F294="Pasajero",'2.2 OPEX LAP 2023'!N295*'2.1 OPEX TUUA'!$S$7,'2.2 OPEX LAP 2023'!N295*'2.1 OPEX TUUA'!$S$8)</f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7">
        <f t="shared" si="27"/>
        <v>0</v>
      </c>
      <c r="AB294" s="7">
        <f t="shared" si="28"/>
        <v>0</v>
      </c>
      <c r="AC294" s="7">
        <f t="shared" si="29"/>
        <v>0</v>
      </c>
      <c r="AD294" s="7">
        <f t="shared" si="30"/>
        <v>0</v>
      </c>
      <c r="AE294" s="7">
        <f t="shared" si="31"/>
        <v>0</v>
      </c>
      <c r="AF294" s="7">
        <f t="shared" si="32"/>
        <v>0</v>
      </c>
    </row>
    <row r="295" spans="2:32" x14ac:dyDescent="0.25">
      <c r="B295" s="17">
        <v>6430000001</v>
      </c>
      <c r="C295" s="193" t="s">
        <v>176</v>
      </c>
      <c r="D295" s="193" t="s">
        <v>38</v>
      </c>
      <c r="E295" s="193" t="s">
        <v>143</v>
      </c>
      <c r="F295" s="163" t="s">
        <v>192</v>
      </c>
      <c r="G295" s="3">
        <f>+IF(F295="Pasajero",'2.2 OPEX LAP 2023'!I296*'2.1 OPEX TUUA'!$G$7,'2.2 OPEX LAP 2023'!I296*'2.1 OPEX TUUA'!$G$8)</f>
        <v>1695.9015916957735</v>
      </c>
      <c r="H295" s="3">
        <f>+IF(F295="Pasajero",'2.2 OPEX LAP 2023'!J296*'2.1 OPEX TUUA'!$H$7,'2.2 OPEX LAP 2023'!J296*'2.1 OPEX TUUA'!$H$8)</f>
        <v>1695.9015916957735</v>
      </c>
      <c r="I295" s="3">
        <f>+IF(F295="Pasajero",'2.2 OPEX LAP 2023'!K296*'2.1 OPEX TUUA'!$I$7,'2.2 OPEX LAP 2023'!K296*'2.1 OPEX TUUA'!$I$8)</f>
        <v>1695.9015916957735</v>
      </c>
      <c r="J295" s="3">
        <f>+IF(F295="Pasajero",'2.2 OPEX LAP 2023'!L296*'2.1 OPEX TUUA'!$J$7,'2.2 OPEX LAP 2023'!L296*'2.1 OPEX TUUA'!$J$8)</f>
        <v>1695.9015916957735</v>
      </c>
      <c r="K295" s="3">
        <f>+IF(F295="Pasajero",'2.2 OPEX LAP 2023'!M296*'2.1 OPEX TUUA'!$K$7,'2.2 OPEX LAP 2023'!M296*'2.1 OPEX TUUA'!$K$8)</f>
        <v>1695.9015916957735</v>
      </c>
      <c r="L295" s="3">
        <f>+IF(F295="Pasajero",'2.2 OPEX LAP 2023'!N296*'2.1 OPEX TUUA'!$L$7,'2.2 OPEX LAP 2023'!N296*'2.1 OPEX TUUA'!$L$8)</f>
        <v>1695.9015916957735</v>
      </c>
      <c r="M295" s="3"/>
      <c r="N295" s="3">
        <f>+IF(F295="Pasajero",'2.2 OPEX LAP 2023'!I296*'2.1 OPEX TUUA'!$N$7,'2.2 OPEX LAP 2023'!I296*'2.1 OPEX TUUA'!$N$8)</f>
        <v>325.20327205071374</v>
      </c>
      <c r="O295" s="3">
        <f>+IF(F295="Pasajero",'2.2 OPEX LAP 2023'!J296*'2.1 OPEX TUUA'!$O$7,'2.2 OPEX LAP 2023'!J296*'2.1 OPEX TUUA'!$O$8)</f>
        <v>325.20327205071374</v>
      </c>
      <c r="P295" s="3">
        <f>+IF(F295="Pasajero",'2.2 OPEX LAP 2023'!K296*'2.1 OPEX TUUA'!$P$7,'2.2 OPEX LAP 2023'!K296*'2.1 OPEX TUUA'!$P$8)</f>
        <v>325.20327205071374</v>
      </c>
      <c r="Q295" s="3">
        <f>+IF(F295="Pasajero",'2.2 OPEX LAP 2023'!L296*'2.1 OPEX TUUA'!$Q$7,'2.2 OPEX LAP 2023'!L296*'2.1 OPEX TUUA'!$Q$8)</f>
        <v>325.20327205071374</v>
      </c>
      <c r="R295" s="3">
        <f>+IF(F295="Pasajero",'2.2 OPEX LAP 2023'!M296*'2.1 OPEX TUUA'!$R$7,'2.2 OPEX LAP 2023'!M296*'2.1 OPEX TUUA'!$R$8)</f>
        <v>325.20327205071374</v>
      </c>
      <c r="S295" s="3">
        <f>+IF(F295="Pasajero",'2.2 OPEX LAP 2023'!N296*'2.1 OPEX TUUA'!$S$7,'2.2 OPEX LAP 2023'!N296*'2.1 OPEX TUUA'!$S$8)</f>
        <v>325.20327205071374</v>
      </c>
      <c r="U295" s="1">
        <v>1727.9457396414696</v>
      </c>
      <c r="V295" s="1">
        <v>1727.9457396414696</v>
      </c>
      <c r="W295" s="1">
        <v>1727.9457396414696</v>
      </c>
      <c r="X295" s="1">
        <v>1727.9457396414696</v>
      </c>
      <c r="Y295" s="1">
        <v>1727.9457396414696</v>
      </c>
      <c r="Z295" s="1">
        <v>1727.9457396414696</v>
      </c>
      <c r="AA295" s="7">
        <f t="shared" si="27"/>
        <v>-32.044147945696068</v>
      </c>
      <c r="AB295" s="7">
        <f t="shared" si="28"/>
        <v>-32.044147945696068</v>
      </c>
      <c r="AC295" s="7">
        <f t="shared" si="29"/>
        <v>-32.044147945696068</v>
      </c>
      <c r="AD295" s="7">
        <f t="shared" si="30"/>
        <v>-32.044147945696068</v>
      </c>
      <c r="AE295" s="7">
        <f t="shared" si="31"/>
        <v>-32.044147945696068</v>
      </c>
      <c r="AF295" s="7">
        <f t="shared" si="32"/>
        <v>-32.044147945696068</v>
      </c>
    </row>
    <row r="296" spans="2:32" x14ac:dyDescent="0.25">
      <c r="B296" s="17">
        <v>6430000002</v>
      </c>
      <c r="C296" s="193" t="s">
        <v>176</v>
      </c>
      <c r="D296" s="193" t="s">
        <v>38</v>
      </c>
      <c r="E296" s="193" t="s">
        <v>144</v>
      </c>
      <c r="F296" s="163" t="s">
        <v>192</v>
      </c>
      <c r="G296" s="3">
        <f>+IF(F296="Pasajero",'2.2 OPEX LAP 2023'!I297*'2.1 OPEX TUUA'!$G$7,'2.2 OPEX LAP 2023'!I297*'2.1 OPEX TUUA'!$G$8)</f>
        <v>127.2848764977165</v>
      </c>
      <c r="H296" s="3">
        <f>+IF(F296="Pasajero",'2.2 OPEX LAP 2023'!J297*'2.1 OPEX TUUA'!$H$7,'2.2 OPEX LAP 2023'!J297*'2.1 OPEX TUUA'!$H$8)</f>
        <v>127.2848764977165</v>
      </c>
      <c r="I296" s="3">
        <f>+IF(F296="Pasajero",'2.2 OPEX LAP 2023'!K297*'2.1 OPEX TUUA'!$I$7,'2.2 OPEX LAP 2023'!K297*'2.1 OPEX TUUA'!$I$8)</f>
        <v>127.2848764977165</v>
      </c>
      <c r="J296" s="3">
        <f>+IF(F296="Pasajero",'2.2 OPEX LAP 2023'!L297*'2.1 OPEX TUUA'!$J$7,'2.2 OPEX LAP 2023'!L297*'2.1 OPEX TUUA'!$J$8)</f>
        <v>127.2848764977165</v>
      </c>
      <c r="K296" s="3">
        <f>+IF(F296="Pasajero",'2.2 OPEX LAP 2023'!M297*'2.1 OPEX TUUA'!$K$7,'2.2 OPEX LAP 2023'!M297*'2.1 OPEX TUUA'!$K$8)</f>
        <v>127.2848764977165</v>
      </c>
      <c r="L296" s="3">
        <f>+IF(F296="Pasajero",'2.2 OPEX LAP 2023'!N297*'2.1 OPEX TUUA'!$L$7,'2.2 OPEX LAP 2023'!N297*'2.1 OPEX TUUA'!$L$8)</f>
        <v>127.2848764977165</v>
      </c>
      <c r="M296" s="3"/>
      <c r="N296" s="3">
        <f>+IF(F296="Pasajero",'2.2 OPEX LAP 2023'!I297*'2.1 OPEX TUUA'!$N$7,'2.2 OPEX LAP 2023'!I297*'2.1 OPEX TUUA'!$N$8)</f>
        <v>24.407936475982705</v>
      </c>
      <c r="O296" s="3">
        <f>+IF(F296="Pasajero",'2.2 OPEX LAP 2023'!J297*'2.1 OPEX TUUA'!$O$7,'2.2 OPEX LAP 2023'!J297*'2.1 OPEX TUUA'!$O$8)</f>
        <v>24.407936475982705</v>
      </c>
      <c r="P296" s="3">
        <f>+IF(F296="Pasajero",'2.2 OPEX LAP 2023'!K297*'2.1 OPEX TUUA'!$P$7,'2.2 OPEX LAP 2023'!K297*'2.1 OPEX TUUA'!$P$8)</f>
        <v>24.407936475982705</v>
      </c>
      <c r="Q296" s="3">
        <f>+IF(F296="Pasajero",'2.2 OPEX LAP 2023'!L297*'2.1 OPEX TUUA'!$Q$7,'2.2 OPEX LAP 2023'!L297*'2.1 OPEX TUUA'!$Q$8)</f>
        <v>24.407936475982705</v>
      </c>
      <c r="R296" s="3">
        <f>+IF(F296="Pasajero",'2.2 OPEX LAP 2023'!M297*'2.1 OPEX TUUA'!$R$7,'2.2 OPEX LAP 2023'!M297*'2.1 OPEX TUUA'!$R$8)</f>
        <v>24.407936475982705</v>
      </c>
      <c r="S296" s="3">
        <f>+IF(F296="Pasajero",'2.2 OPEX LAP 2023'!N297*'2.1 OPEX TUUA'!$S$7,'2.2 OPEX LAP 2023'!N297*'2.1 OPEX TUUA'!$S$8)</f>
        <v>24.407936475982705</v>
      </c>
      <c r="U296" s="1">
        <v>129.68993079668914</v>
      </c>
      <c r="V296" s="1">
        <v>129.68993079668914</v>
      </c>
      <c r="W296" s="1">
        <v>129.68993079668914</v>
      </c>
      <c r="X296" s="1">
        <v>129.68993079668914</v>
      </c>
      <c r="Y296" s="1">
        <v>129.68993079668914</v>
      </c>
      <c r="Z296" s="1">
        <v>129.68993079668914</v>
      </c>
      <c r="AA296" s="7">
        <f t="shared" si="27"/>
        <v>-2.4050542989726438</v>
      </c>
      <c r="AB296" s="7">
        <f t="shared" si="28"/>
        <v>-2.4050542989726438</v>
      </c>
      <c r="AC296" s="7">
        <f t="shared" si="29"/>
        <v>-2.4050542989726438</v>
      </c>
      <c r="AD296" s="7">
        <f t="shared" si="30"/>
        <v>-2.4050542989726438</v>
      </c>
      <c r="AE296" s="7">
        <f t="shared" si="31"/>
        <v>-2.4050542989726438</v>
      </c>
      <c r="AF296" s="7">
        <f t="shared" si="32"/>
        <v>-2.4050542989726438</v>
      </c>
    </row>
    <row r="297" spans="2:32" x14ac:dyDescent="0.25">
      <c r="B297" s="17">
        <v>6430000003</v>
      </c>
      <c r="C297" s="193" t="s">
        <v>176</v>
      </c>
      <c r="D297" s="193" t="s">
        <v>38</v>
      </c>
      <c r="E297" s="193" t="s">
        <v>145</v>
      </c>
      <c r="F297" s="163" t="s">
        <v>190</v>
      </c>
      <c r="G297" s="3">
        <f>+IF(F297="Pasajero",'2.2 OPEX LAP 2023'!I298*'2.1 OPEX TUUA'!$G$7,'2.2 OPEX LAP 2023'!I298*'2.1 OPEX TUUA'!$G$8)</f>
        <v>0</v>
      </c>
      <c r="H297" s="3">
        <f>+IF(F297="Pasajero",'2.2 OPEX LAP 2023'!J298*'2.1 OPEX TUUA'!$H$7,'2.2 OPEX LAP 2023'!J298*'2.1 OPEX TUUA'!$H$8)</f>
        <v>0</v>
      </c>
      <c r="I297" s="3">
        <f>+IF(F297="Pasajero",'2.2 OPEX LAP 2023'!K298*'2.1 OPEX TUUA'!$I$7,'2.2 OPEX LAP 2023'!K298*'2.1 OPEX TUUA'!$I$8)</f>
        <v>0</v>
      </c>
      <c r="J297" s="3">
        <f>+IF(F297="Pasajero",'2.2 OPEX LAP 2023'!L298*'2.1 OPEX TUUA'!$J$7,'2.2 OPEX LAP 2023'!L298*'2.1 OPEX TUUA'!$J$8)</f>
        <v>0</v>
      </c>
      <c r="K297" s="3">
        <f>+IF(F297="Pasajero",'2.2 OPEX LAP 2023'!M298*'2.1 OPEX TUUA'!$K$7,'2.2 OPEX LAP 2023'!M298*'2.1 OPEX TUUA'!$K$8)</f>
        <v>0</v>
      </c>
      <c r="L297" s="3">
        <f>+IF(F297="Pasajero",'2.2 OPEX LAP 2023'!N298*'2.1 OPEX TUUA'!$L$7,'2.2 OPEX LAP 2023'!N298*'2.1 OPEX TUUA'!$L$8)</f>
        <v>0</v>
      </c>
      <c r="M297" s="3"/>
      <c r="N297" s="3">
        <f>+IF(F297="Pasajero",'2.2 OPEX LAP 2023'!I298*'2.1 OPEX TUUA'!$N$7,'2.2 OPEX LAP 2023'!I298*'2.1 OPEX TUUA'!$N$8)</f>
        <v>0</v>
      </c>
      <c r="O297" s="3">
        <f>+IF(F297="Pasajero",'2.2 OPEX LAP 2023'!J298*'2.1 OPEX TUUA'!$O$7,'2.2 OPEX LAP 2023'!J298*'2.1 OPEX TUUA'!$O$8)</f>
        <v>0</v>
      </c>
      <c r="P297" s="3">
        <f>+IF(F297="Pasajero",'2.2 OPEX LAP 2023'!K298*'2.1 OPEX TUUA'!$P$7,'2.2 OPEX LAP 2023'!K298*'2.1 OPEX TUUA'!$P$8)</f>
        <v>0</v>
      </c>
      <c r="Q297" s="3">
        <f>+IF(F297="Pasajero",'2.2 OPEX LAP 2023'!L298*'2.1 OPEX TUUA'!$Q$7,'2.2 OPEX LAP 2023'!L298*'2.1 OPEX TUUA'!$Q$8)</f>
        <v>0</v>
      </c>
      <c r="R297" s="3">
        <f>+IF(F297="Pasajero",'2.2 OPEX LAP 2023'!M298*'2.1 OPEX TUUA'!$R$7,'2.2 OPEX LAP 2023'!M298*'2.1 OPEX TUUA'!$R$8)</f>
        <v>0</v>
      </c>
      <c r="S297" s="3">
        <f>+IF(F297="Pasajero",'2.2 OPEX LAP 2023'!N298*'2.1 OPEX TUUA'!$S$7,'2.2 OPEX LAP 2023'!N298*'2.1 OPEX TUUA'!$S$8)</f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7">
        <f t="shared" si="27"/>
        <v>0</v>
      </c>
      <c r="AB297" s="7">
        <f t="shared" si="28"/>
        <v>0</v>
      </c>
      <c r="AC297" s="7">
        <f t="shared" si="29"/>
        <v>0</v>
      </c>
      <c r="AD297" s="7">
        <f t="shared" si="30"/>
        <v>0</v>
      </c>
      <c r="AE297" s="7">
        <f t="shared" si="31"/>
        <v>0</v>
      </c>
      <c r="AF297" s="7">
        <f t="shared" si="32"/>
        <v>0</v>
      </c>
    </row>
    <row r="298" spans="2:32" x14ac:dyDescent="0.25">
      <c r="B298" s="17">
        <v>6510000001</v>
      </c>
      <c r="C298" s="193" t="s">
        <v>176</v>
      </c>
      <c r="D298" s="193" t="s">
        <v>38</v>
      </c>
      <c r="E298" s="193" t="s">
        <v>146</v>
      </c>
      <c r="F298" s="163" t="s">
        <v>192</v>
      </c>
      <c r="G298" s="3">
        <f>+IF(F298="Pasajero",'2.2 OPEX LAP 2023'!I299*'2.1 OPEX TUUA'!$G$7,'2.2 OPEX LAP 2023'!I299*'2.1 OPEX TUUA'!$G$8)</f>
        <v>4123.1668070377964</v>
      </c>
      <c r="H298" s="3">
        <f>+IF(F298="Pasajero",'2.2 OPEX LAP 2023'!J299*'2.1 OPEX TUUA'!$H$7,'2.2 OPEX LAP 2023'!J299*'2.1 OPEX TUUA'!$H$8)</f>
        <v>4123.1668070377964</v>
      </c>
      <c r="I298" s="3">
        <f>+IF(F298="Pasajero",'2.2 OPEX LAP 2023'!K299*'2.1 OPEX TUUA'!$I$7,'2.2 OPEX LAP 2023'!K299*'2.1 OPEX TUUA'!$I$8)</f>
        <v>4123.1668070377964</v>
      </c>
      <c r="J298" s="3">
        <f>+IF(F298="Pasajero",'2.2 OPEX LAP 2023'!L299*'2.1 OPEX TUUA'!$J$7,'2.2 OPEX LAP 2023'!L299*'2.1 OPEX TUUA'!$J$8)</f>
        <v>4123.1668070377964</v>
      </c>
      <c r="K298" s="3">
        <f>+IF(F298="Pasajero",'2.2 OPEX LAP 2023'!M299*'2.1 OPEX TUUA'!$K$7,'2.2 OPEX LAP 2023'!M299*'2.1 OPEX TUUA'!$K$8)</f>
        <v>4123.1668070377964</v>
      </c>
      <c r="L298" s="3">
        <f>+IF(F298="Pasajero",'2.2 OPEX LAP 2023'!N299*'2.1 OPEX TUUA'!$L$7,'2.2 OPEX LAP 2023'!N299*'2.1 OPEX TUUA'!$L$8)</f>
        <v>4123.1668070377964</v>
      </c>
      <c r="M298" s="3"/>
      <c r="N298" s="3">
        <f>+IF(F298="Pasajero",'2.2 OPEX LAP 2023'!I299*'2.1 OPEX TUUA'!$N$7,'2.2 OPEX LAP 2023'!I299*'2.1 OPEX TUUA'!$N$8)</f>
        <v>790.65161765596258</v>
      </c>
      <c r="O298" s="3">
        <f>+IF(F298="Pasajero",'2.2 OPEX LAP 2023'!J299*'2.1 OPEX TUUA'!$O$7,'2.2 OPEX LAP 2023'!J299*'2.1 OPEX TUUA'!$O$8)</f>
        <v>790.65161765596258</v>
      </c>
      <c r="P298" s="3">
        <f>+IF(F298="Pasajero",'2.2 OPEX LAP 2023'!K299*'2.1 OPEX TUUA'!$P$7,'2.2 OPEX LAP 2023'!K299*'2.1 OPEX TUUA'!$P$8)</f>
        <v>790.65161765596258</v>
      </c>
      <c r="Q298" s="3">
        <f>+IF(F298="Pasajero",'2.2 OPEX LAP 2023'!L299*'2.1 OPEX TUUA'!$Q$7,'2.2 OPEX LAP 2023'!L299*'2.1 OPEX TUUA'!$Q$8)</f>
        <v>790.65161765596258</v>
      </c>
      <c r="R298" s="3">
        <f>+IF(F298="Pasajero",'2.2 OPEX LAP 2023'!M299*'2.1 OPEX TUUA'!$R$7,'2.2 OPEX LAP 2023'!M299*'2.1 OPEX TUUA'!$R$8)</f>
        <v>790.65161765596258</v>
      </c>
      <c r="S298" s="3">
        <f>+IF(F298="Pasajero",'2.2 OPEX LAP 2023'!N299*'2.1 OPEX TUUA'!$S$7,'2.2 OPEX LAP 2023'!N299*'2.1 OPEX TUUA'!$S$8)</f>
        <v>790.65161765596258</v>
      </c>
      <c r="U298" s="1">
        <v>4201.0742562768692</v>
      </c>
      <c r="V298" s="1">
        <v>4201.0742562768692</v>
      </c>
      <c r="W298" s="1">
        <v>4201.0742562768692</v>
      </c>
      <c r="X298" s="1">
        <v>4201.0742562768692</v>
      </c>
      <c r="Y298" s="1">
        <v>4201.0742562768692</v>
      </c>
      <c r="Z298" s="1">
        <v>4201.0742562768692</v>
      </c>
      <c r="AA298" s="7">
        <f t="shared" si="27"/>
        <v>-77.907449239072776</v>
      </c>
      <c r="AB298" s="7">
        <f t="shared" si="28"/>
        <v>-77.907449239072776</v>
      </c>
      <c r="AC298" s="7">
        <f t="shared" si="29"/>
        <v>-77.907449239072776</v>
      </c>
      <c r="AD298" s="7">
        <f t="shared" si="30"/>
        <v>-77.907449239072776</v>
      </c>
      <c r="AE298" s="7">
        <f t="shared" si="31"/>
        <v>-77.907449239072776</v>
      </c>
      <c r="AF298" s="7">
        <f t="shared" si="32"/>
        <v>-77.907449239072776</v>
      </c>
    </row>
    <row r="299" spans="2:32" x14ac:dyDescent="0.25">
      <c r="B299" s="17">
        <v>6530000001</v>
      </c>
      <c r="C299" s="193" t="s">
        <v>176</v>
      </c>
      <c r="D299" s="193" t="s">
        <v>38</v>
      </c>
      <c r="E299" s="193" t="s">
        <v>147</v>
      </c>
      <c r="F299" s="163" t="s">
        <v>190</v>
      </c>
      <c r="G299" s="3">
        <f>+IF(F299="Pasajero",'2.2 OPEX LAP 2023'!I300*'2.1 OPEX TUUA'!$G$7,'2.2 OPEX LAP 2023'!I300*'2.1 OPEX TUUA'!$G$8)</f>
        <v>79.496351449063056</v>
      </c>
      <c r="H299" s="3">
        <f>+IF(F299="Pasajero",'2.2 OPEX LAP 2023'!J300*'2.1 OPEX TUUA'!$H$7,'2.2 OPEX LAP 2023'!J300*'2.1 OPEX TUUA'!$H$8)</f>
        <v>93.249624348756939</v>
      </c>
      <c r="I299" s="3">
        <f>+IF(F299="Pasajero",'2.2 OPEX LAP 2023'!K300*'2.1 OPEX TUUA'!$I$7,'2.2 OPEX LAP 2023'!K300*'2.1 OPEX TUUA'!$I$8)</f>
        <v>104.82741391166616</v>
      </c>
      <c r="J299" s="3">
        <f>+IF(F299="Pasajero",'2.2 OPEX LAP 2023'!L300*'2.1 OPEX TUUA'!$J$7,'2.2 OPEX LAP 2023'!L300*'2.1 OPEX TUUA'!$J$8)</f>
        <v>111.06635311470585</v>
      </c>
      <c r="K299" s="3">
        <f>+IF(F299="Pasajero",'2.2 OPEX LAP 2023'!M300*'2.1 OPEX TUUA'!$K$7,'2.2 OPEX LAP 2023'!M300*'2.1 OPEX TUUA'!$K$8)</f>
        <v>115.62477549452699</v>
      </c>
      <c r="L299" s="3">
        <f>+IF(F299="Pasajero",'2.2 OPEX LAP 2023'!N300*'2.1 OPEX TUUA'!$L$7,'2.2 OPEX LAP 2023'!N300*'2.1 OPEX TUUA'!$L$8)</f>
        <v>120.68927091629051</v>
      </c>
      <c r="M299" s="3"/>
      <c r="N299" s="3">
        <f>+IF(F299="Pasajero",'2.2 OPEX LAP 2023'!I300*'2.1 OPEX TUUA'!$N$7,'2.2 OPEX LAP 2023'!I300*'2.1 OPEX TUUA'!$N$8)</f>
        <v>39.208969774128526</v>
      </c>
      <c r="O299" s="3">
        <f>+IF(F299="Pasajero",'2.2 OPEX LAP 2023'!J300*'2.1 OPEX TUUA'!$O$7,'2.2 OPEX LAP 2023'!J300*'2.1 OPEX TUUA'!$O$8)</f>
        <v>38.620565227244811</v>
      </c>
      <c r="P299" s="3">
        <f>+IF(F299="Pasajero",'2.2 OPEX LAP 2023'!K300*'2.1 OPEX TUUA'!$P$7,'2.2 OPEX LAP 2023'!K300*'2.1 OPEX TUUA'!$P$8)</f>
        <v>38.380322297222271</v>
      </c>
      <c r="Q299" s="3">
        <f>+IF(F299="Pasajero",'2.2 OPEX LAP 2023'!L300*'2.1 OPEX TUUA'!$Q$7,'2.2 OPEX LAP 2023'!L300*'2.1 OPEX TUUA'!$Q$8)</f>
        <v>38.130289711290231</v>
      </c>
      <c r="R299" s="3">
        <f>+IF(F299="Pasajero",'2.2 OPEX LAP 2023'!M300*'2.1 OPEX TUUA'!$R$7,'2.2 OPEX LAP 2023'!M300*'2.1 OPEX TUUA'!$R$8)</f>
        <v>38.334881917672639</v>
      </c>
      <c r="S299" s="3">
        <f>+IF(F299="Pasajero",'2.2 OPEX LAP 2023'!N300*'2.1 OPEX TUUA'!$S$7,'2.2 OPEX LAP 2023'!N300*'2.1 OPEX TUUA'!$S$8)</f>
        <v>38.359351701301094</v>
      </c>
      <c r="U299" s="1">
        <v>80.998439105239868</v>
      </c>
      <c r="V299" s="1">
        <v>95.011580804923881</v>
      </c>
      <c r="W299" s="1">
        <v>106.80813329809665</v>
      </c>
      <c r="X299" s="1">
        <v>113.16495757879967</v>
      </c>
      <c r="Y299" s="1">
        <v>117.80951158433143</v>
      </c>
      <c r="Z299" s="1">
        <v>122.96970090800528</v>
      </c>
      <c r="AA299" s="7">
        <f t="shared" si="27"/>
        <v>-1.5020876561768119</v>
      </c>
      <c r="AB299" s="7">
        <f t="shared" si="28"/>
        <v>-1.7619564561669421</v>
      </c>
      <c r="AC299" s="7">
        <f t="shared" si="29"/>
        <v>-1.9807193864304935</v>
      </c>
      <c r="AD299" s="7">
        <f t="shared" si="30"/>
        <v>-2.0986044640938246</v>
      </c>
      <c r="AE299" s="7">
        <f t="shared" si="31"/>
        <v>-2.1847360898044457</v>
      </c>
      <c r="AF299" s="7">
        <f t="shared" si="32"/>
        <v>-2.2804299917147688</v>
      </c>
    </row>
    <row r="300" spans="2:32" x14ac:dyDescent="0.25">
      <c r="B300" s="17">
        <v>6530000002</v>
      </c>
      <c r="C300" s="193" t="s">
        <v>176</v>
      </c>
      <c r="D300" s="193" t="s">
        <v>38</v>
      </c>
      <c r="E300" s="193" t="s">
        <v>148</v>
      </c>
      <c r="F300" s="163" t="s">
        <v>190</v>
      </c>
      <c r="G300" s="3">
        <f>+IF(F300="Pasajero",'2.2 OPEX LAP 2023'!I301*'2.1 OPEX TUUA'!$G$7,'2.2 OPEX LAP 2023'!I301*'2.1 OPEX TUUA'!$G$8)</f>
        <v>451.14249602240835</v>
      </c>
      <c r="H300" s="3">
        <f>+IF(F300="Pasajero",'2.2 OPEX LAP 2023'!J301*'2.1 OPEX TUUA'!$H$7,'2.2 OPEX LAP 2023'!J301*'2.1 OPEX TUUA'!$H$8)</f>
        <v>529.19244109970998</v>
      </c>
      <c r="I300" s="3">
        <f>+IF(F300="Pasajero",'2.2 OPEX LAP 2023'!K301*'2.1 OPEX TUUA'!$I$7,'2.2 OPEX LAP 2023'!K301*'2.1 OPEX TUUA'!$I$8)</f>
        <v>594.89649904229145</v>
      </c>
      <c r="J300" s="3">
        <f>+IF(F300="Pasajero",'2.2 OPEX LAP 2023'!L301*'2.1 OPEX TUUA'!$J$7,'2.2 OPEX LAP 2023'!L301*'2.1 OPEX TUUA'!$J$8)</f>
        <v>630.30253407768373</v>
      </c>
      <c r="K300" s="3">
        <f>+IF(F300="Pasajero",'2.2 OPEX LAP 2023'!M301*'2.1 OPEX TUUA'!$K$7,'2.2 OPEX LAP 2023'!M301*'2.1 OPEX TUUA'!$K$8)</f>
        <v>656.17162131088355</v>
      </c>
      <c r="L300" s="3">
        <f>+IF(F300="Pasajero",'2.2 OPEX LAP 2023'!N301*'2.1 OPEX TUUA'!$L$7,'2.2 OPEX LAP 2023'!N301*'2.1 OPEX TUUA'!$L$8)</f>
        <v>684.9126775231606</v>
      </c>
      <c r="M300" s="3"/>
      <c r="N300" s="3">
        <f>+IF(F300="Pasajero",'2.2 OPEX LAP 2023'!I301*'2.1 OPEX TUUA'!$N$7,'2.2 OPEX LAP 2023'!I301*'2.1 OPEX TUUA'!$N$8)</f>
        <v>222.51124948421753</v>
      </c>
      <c r="O300" s="3">
        <f>+IF(F300="Pasajero",'2.2 OPEX LAP 2023'!J301*'2.1 OPEX TUUA'!$O$7,'2.2 OPEX LAP 2023'!J301*'2.1 OPEX TUUA'!$O$8)</f>
        <v>219.17204848802911</v>
      </c>
      <c r="P300" s="3">
        <f>+IF(F300="Pasajero",'2.2 OPEX LAP 2023'!K301*'2.1 OPEX TUUA'!$P$7,'2.2 OPEX LAP 2023'!K301*'2.1 OPEX TUUA'!$P$8)</f>
        <v>217.80866774002649</v>
      </c>
      <c r="Q300" s="3">
        <f>+IF(F300="Pasajero",'2.2 OPEX LAP 2023'!L301*'2.1 OPEX TUUA'!$Q$7,'2.2 OPEX LAP 2023'!L301*'2.1 OPEX TUUA'!$Q$8)</f>
        <v>216.38973060834454</v>
      </c>
      <c r="R300" s="3">
        <f>+IF(F300="Pasajero",'2.2 OPEX LAP 2023'!M301*'2.1 OPEX TUUA'!$R$7,'2.2 OPEX LAP 2023'!M301*'2.1 OPEX TUUA'!$R$8)</f>
        <v>217.55079318507464</v>
      </c>
      <c r="S300" s="3">
        <f>+IF(F300="Pasajero",'2.2 OPEX LAP 2023'!N301*'2.1 OPEX TUUA'!$S$7,'2.2 OPEX LAP 2023'!N301*'2.1 OPEX TUUA'!$S$8)</f>
        <v>217.68965942311004</v>
      </c>
      <c r="U300" s="1">
        <v>459.66685672701578</v>
      </c>
      <c r="V300" s="1">
        <v>539.19155953758286</v>
      </c>
      <c r="W300" s="1">
        <v>606.1370990399754</v>
      </c>
      <c r="X300" s="1">
        <v>642.21213293143342</v>
      </c>
      <c r="Y300" s="1">
        <v>668.57001790064567</v>
      </c>
      <c r="Z300" s="1">
        <v>697.85413785075491</v>
      </c>
      <c r="AA300" s="7">
        <f t="shared" si="27"/>
        <v>-8.5243607046074317</v>
      </c>
      <c r="AB300" s="7">
        <f t="shared" si="28"/>
        <v>-9.9991184378728803</v>
      </c>
      <c r="AC300" s="7">
        <f t="shared" si="29"/>
        <v>-11.240599997683944</v>
      </c>
      <c r="AD300" s="7">
        <f t="shared" si="30"/>
        <v>-11.909598853749685</v>
      </c>
      <c r="AE300" s="7">
        <f t="shared" si="31"/>
        <v>-12.398396589762115</v>
      </c>
      <c r="AF300" s="7">
        <f t="shared" si="32"/>
        <v>-12.941460327594314</v>
      </c>
    </row>
    <row r="301" spans="2:32" x14ac:dyDescent="0.25">
      <c r="B301" s="17">
        <v>6540000001</v>
      </c>
      <c r="C301" s="193" t="s">
        <v>176</v>
      </c>
      <c r="D301" s="193" t="s">
        <v>38</v>
      </c>
      <c r="E301" s="193" t="s">
        <v>149</v>
      </c>
      <c r="F301" s="163" t="s">
        <v>190</v>
      </c>
      <c r="G301" s="3">
        <f>+IF(F301="Pasajero",'2.2 OPEX LAP 2023'!I302*'2.1 OPEX TUUA'!$G$7,'2.2 OPEX LAP 2023'!I302*'2.1 OPEX TUUA'!$G$8)</f>
        <v>41.611280615562173</v>
      </c>
      <c r="H301" s="3">
        <f>+IF(F301="Pasajero",'2.2 OPEX LAP 2023'!J302*'2.1 OPEX TUUA'!$H$7,'2.2 OPEX LAP 2023'!J302*'2.1 OPEX TUUA'!$H$8)</f>
        <v>48.810243682166075</v>
      </c>
      <c r="I301" s="3">
        <f>+IF(F301="Pasajero",'2.2 OPEX LAP 2023'!K302*'2.1 OPEX TUUA'!$I$7,'2.2 OPEX LAP 2023'!K302*'2.1 OPEX TUUA'!$I$8)</f>
        <v>54.870479675749166</v>
      </c>
      <c r="J301" s="3">
        <f>+IF(F301="Pasajero",'2.2 OPEX LAP 2023'!L302*'2.1 OPEX TUUA'!$J$7,'2.2 OPEX LAP 2023'!L302*'2.1 OPEX TUUA'!$J$8)</f>
        <v>58.13616728516682</v>
      </c>
      <c r="K301" s="3">
        <f>+IF(F301="Pasajero",'2.2 OPEX LAP 2023'!M302*'2.1 OPEX TUUA'!$K$7,'2.2 OPEX LAP 2023'!M302*'2.1 OPEX TUUA'!$K$8)</f>
        <v>60.522211290375466</v>
      </c>
      <c r="L301" s="3">
        <f>+IF(F301="Pasajero",'2.2 OPEX LAP 2023'!N302*'2.1 OPEX TUUA'!$L$7,'2.2 OPEX LAP 2023'!N302*'2.1 OPEX TUUA'!$L$8)</f>
        <v>63.173152325150667</v>
      </c>
      <c r="M301" s="3"/>
      <c r="N301" s="3">
        <f>+IF(F301="Pasajero",'2.2 OPEX LAP 2023'!I302*'2.1 OPEX TUUA'!$N$7,'2.2 OPEX LAP 2023'!I302*'2.1 OPEX TUUA'!$N$8)</f>
        <v>20.523400309305472</v>
      </c>
      <c r="O301" s="3">
        <f>+IF(F301="Pasajero",'2.2 OPEX LAP 2023'!J302*'2.1 OPEX TUUA'!$O$7,'2.2 OPEX LAP 2023'!J302*'2.1 OPEX TUUA'!$O$8)</f>
        <v>20.215407976707176</v>
      </c>
      <c r="P301" s="3">
        <f>+IF(F301="Pasajero",'2.2 OPEX LAP 2023'!K302*'2.1 OPEX TUUA'!$P$7,'2.2 OPEX LAP 2023'!K302*'2.1 OPEX TUUA'!$P$8)</f>
        <v>20.089656092565953</v>
      </c>
      <c r="Q301" s="3">
        <f>+IF(F301="Pasajero",'2.2 OPEX LAP 2023'!L302*'2.1 OPEX TUUA'!$Q$7,'2.2 OPEX LAP 2023'!L302*'2.1 OPEX TUUA'!$Q$8)</f>
        <v>19.95877994659693</v>
      </c>
      <c r="R301" s="3">
        <f>+IF(F301="Pasajero",'2.2 OPEX LAP 2023'!M302*'2.1 OPEX TUUA'!$R$7,'2.2 OPEX LAP 2023'!M302*'2.1 OPEX TUUA'!$R$8)</f>
        <v>20.065870945823356</v>
      </c>
      <c r="S301" s="3">
        <f>+IF(F301="Pasajero",'2.2 OPEX LAP 2023'!N302*'2.1 OPEX TUUA'!$S$7,'2.2 OPEX LAP 2023'!N302*'2.1 OPEX TUUA'!$S$8)</f>
        <v>20.078679320228037</v>
      </c>
      <c r="U301" s="1">
        <v>42.397527906551296</v>
      </c>
      <c r="V301" s="1">
        <v>49.732515751179726</v>
      </c>
      <c r="W301" s="1">
        <v>55.907260216076892</v>
      </c>
      <c r="X301" s="1">
        <v>59.234653161118402</v>
      </c>
      <c r="Y301" s="1">
        <v>61.665781590731292</v>
      </c>
      <c r="Z301" s="1">
        <v>64.366812292931542</v>
      </c>
      <c r="AA301" s="7">
        <f t="shared" si="27"/>
        <v>-0.78624729098912383</v>
      </c>
      <c r="AB301" s="7">
        <f t="shared" si="28"/>
        <v>-0.92227206901365122</v>
      </c>
      <c r="AC301" s="7">
        <f t="shared" si="29"/>
        <v>-1.0367805403277259</v>
      </c>
      <c r="AD301" s="7">
        <f t="shared" si="30"/>
        <v>-1.0984858759515816</v>
      </c>
      <c r="AE301" s="7">
        <f t="shared" si="31"/>
        <v>-1.143570300355826</v>
      </c>
      <c r="AF301" s="7">
        <f t="shared" si="32"/>
        <v>-1.1936599677808744</v>
      </c>
    </row>
    <row r="302" spans="2:32" x14ac:dyDescent="0.25">
      <c r="B302" s="17">
        <v>6561000001</v>
      </c>
      <c r="C302" s="193" t="s">
        <v>176</v>
      </c>
      <c r="D302" s="193" t="s">
        <v>38</v>
      </c>
      <c r="E302" s="193" t="s">
        <v>150</v>
      </c>
      <c r="F302" s="163" t="s">
        <v>190</v>
      </c>
      <c r="G302" s="3">
        <f>+IF(F302="Pasajero",'2.2 OPEX LAP 2023'!I303*'2.1 OPEX TUUA'!$G$7,'2.2 OPEX LAP 2023'!I303*'2.1 OPEX TUUA'!$G$8)</f>
        <v>1600.9697991426171</v>
      </c>
      <c r="H302" s="3">
        <f>+IF(F302="Pasajero",'2.2 OPEX LAP 2023'!J303*'2.1 OPEX TUUA'!$H$7,'2.2 OPEX LAP 2023'!J303*'2.1 OPEX TUUA'!$H$8)</f>
        <v>1877.9457125074564</v>
      </c>
      <c r="I302" s="3">
        <f>+IF(F302="Pasajero",'2.2 OPEX LAP 2023'!K303*'2.1 OPEX TUUA'!$I$7,'2.2 OPEX LAP 2023'!K303*'2.1 OPEX TUUA'!$I$8)</f>
        <v>2111.1097646076705</v>
      </c>
      <c r="J302" s="3">
        <f>+IF(F302="Pasajero",'2.2 OPEX LAP 2023'!L303*'2.1 OPEX TUUA'!$J$7,'2.2 OPEX LAP 2023'!L303*'2.1 OPEX TUUA'!$J$8)</f>
        <v>2236.7551943750159</v>
      </c>
      <c r="K302" s="3">
        <f>+IF(F302="Pasajero",'2.2 OPEX LAP 2023'!M303*'2.1 OPEX TUUA'!$K$7,'2.2 OPEX LAP 2023'!M303*'2.1 OPEX TUUA'!$K$8)</f>
        <v>2328.556848523956</v>
      </c>
      <c r="L302" s="3">
        <f>+IF(F302="Pasajero",'2.2 OPEX LAP 2023'!N303*'2.1 OPEX TUUA'!$L$7,'2.2 OPEX LAP 2023'!N303*'2.1 OPEX TUUA'!$L$8)</f>
        <v>2430.5502616849949</v>
      </c>
      <c r="M302" s="3"/>
      <c r="N302" s="3">
        <f>+IF(F302="Pasajero",'2.2 OPEX LAP 2023'!I303*'2.1 OPEX TUUA'!$N$7,'2.2 OPEX LAP 2023'!I303*'2.1 OPEX TUUA'!$N$8)</f>
        <v>789.62587992603176</v>
      </c>
      <c r="O302" s="3">
        <f>+IF(F302="Pasajero",'2.2 OPEX LAP 2023'!J303*'2.1 OPEX TUUA'!$O$7,'2.2 OPEX LAP 2023'!J303*'2.1 OPEX TUUA'!$O$8)</f>
        <v>777.77605421619876</v>
      </c>
      <c r="P302" s="3">
        <f>+IF(F302="Pasajero",'2.2 OPEX LAP 2023'!K303*'2.1 OPEX TUUA'!$P$7,'2.2 OPEX LAP 2023'!K303*'2.1 OPEX TUUA'!$P$8)</f>
        <v>772.93782367589461</v>
      </c>
      <c r="Q302" s="3">
        <f>+IF(F302="Pasajero",'2.2 OPEX LAP 2023'!L303*'2.1 OPEX TUUA'!$Q$7,'2.2 OPEX LAP 2023'!L303*'2.1 OPEX TUUA'!$Q$8)</f>
        <v>767.90244014467419</v>
      </c>
      <c r="R302" s="3">
        <f>+IF(F302="Pasajero",'2.2 OPEX LAP 2023'!M303*'2.1 OPEX TUUA'!$R$7,'2.2 OPEX LAP 2023'!M303*'2.1 OPEX TUUA'!$R$8)</f>
        <v>772.02270400065834</v>
      </c>
      <c r="S302" s="3">
        <f>+IF(F302="Pasajero",'2.2 OPEX LAP 2023'!N303*'2.1 OPEX TUUA'!$S$7,'2.2 OPEX LAP 2023'!N303*'2.1 OPEX TUUA'!$S$8)</f>
        <v>772.51549874993452</v>
      </c>
      <c r="U302" s="1">
        <v>1631.220205977261</v>
      </c>
      <c r="V302" s="1">
        <v>1913.429593494561</v>
      </c>
      <c r="W302" s="1">
        <v>2150.9992923715122</v>
      </c>
      <c r="X302" s="1">
        <v>2279.0187990073978</v>
      </c>
      <c r="Y302" s="1">
        <v>2372.5550501409816</v>
      </c>
      <c r="Z302" s="1">
        <v>2476.475634098264</v>
      </c>
      <c r="AA302" s="7">
        <f t="shared" si="27"/>
        <v>-30.250406834643854</v>
      </c>
      <c r="AB302" s="7">
        <f t="shared" si="28"/>
        <v>-35.483880987104612</v>
      </c>
      <c r="AC302" s="7">
        <f t="shared" si="29"/>
        <v>-39.88952776384167</v>
      </c>
      <c r="AD302" s="7">
        <f t="shared" si="30"/>
        <v>-42.263604632381885</v>
      </c>
      <c r="AE302" s="7">
        <f t="shared" si="31"/>
        <v>-43.998201617025643</v>
      </c>
      <c r="AF302" s="7">
        <f t="shared" si="32"/>
        <v>-45.925372413269088</v>
      </c>
    </row>
    <row r="303" spans="2:32" x14ac:dyDescent="0.25">
      <c r="B303" s="17">
        <v>6561000002</v>
      </c>
      <c r="C303" s="193" t="s">
        <v>176</v>
      </c>
      <c r="D303" s="193" t="s">
        <v>38</v>
      </c>
      <c r="E303" s="193" t="s">
        <v>151</v>
      </c>
      <c r="F303" s="163" t="s">
        <v>190</v>
      </c>
      <c r="G303" s="3">
        <f>+IF(F303="Pasajero",'2.2 OPEX LAP 2023'!I304*'2.1 OPEX TUUA'!$G$7,'2.2 OPEX LAP 2023'!I304*'2.1 OPEX TUUA'!$G$8)</f>
        <v>9141.783697940502</v>
      </c>
      <c r="H303" s="3">
        <f>+IF(F303="Pasajero",'2.2 OPEX LAP 2023'!J304*'2.1 OPEX TUUA'!$H$7,'2.2 OPEX LAP 2023'!J304*'2.1 OPEX TUUA'!$H$8)</f>
        <v>10723.358747561602</v>
      </c>
      <c r="I303" s="3">
        <f>+IF(F303="Pasajero",'2.2 OPEX LAP 2023'!K304*'2.1 OPEX TUUA'!$I$7,'2.2 OPEX LAP 2023'!K304*'2.1 OPEX TUUA'!$I$8)</f>
        <v>12054.761333404889</v>
      </c>
      <c r="J303" s="3">
        <f>+IF(F303="Pasajero",'2.2 OPEX LAP 2023'!L304*'2.1 OPEX TUUA'!$J$7,'2.2 OPEX LAP 2023'!L304*'2.1 OPEX TUUA'!$J$8)</f>
        <v>12772.216055026109</v>
      </c>
      <c r="K303" s="3">
        <f>+IF(F303="Pasajero",'2.2 OPEX LAP 2023'!M304*'2.1 OPEX TUUA'!$K$7,'2.2 OPEX LAP 2023'!M304*'2.1 OPEX TUUA'!$K$8)</f>
        <v>13296.417614476008</v>
      </c>
      <c r="L303" s="3">
        <f>+IF(F303="Pasajero",'2.2 OPEX LAP 2023'!N304*'2.1 OPEX TUUA'!$L$7,'2.2 OPEX LAP 2023'!N304*'2.1 OPEX TUUA'!$L$8)</f>
        <v>13878.815684840754</v>
      </c>
      <c r="M303" s="3"/>
      <c r="N303" s="3">
        <f>+IF(F303="Pasajero",'2.2 OPEX LAP 2023'!I304*'2.1 OPEX TUUA'!$N$7,'2.2 OPEX LAP 2023'!I304*'2.1 OPEX TUUA'!$N$8)</f>
        <v>4508.8851772504158</v>
      </c>
      <c r="O303" s="3">
        <f>+IF(F303="Pasajero",'2.2 OPEX LAP 2023'!J304*'2.1 OPEX TUUA'!$O$7,'2.2 OPEX LAP 2023'!J304*'2.1 OPEX TUUA'!$O$8)</f>
        <v>4441.2208505681747</v>
      </c>
      <c r="P303" s="3">
        <f>+IF(F303="Pasajero",'2.2 OPEX LAP 2023'!K304*'2.1 OPEX TUUA'!$P$7,'2.2 OPEX LAP 2023'!K304*'2.1 OPEX TUUA'!$P$8)</f>
        <v>4413.5938103179969</v>
      </c>
      <c r="Q303" s="3">
        <f>+IF(F303="Pasajero",'2.2 OPEX LAP 2023'!L304*'2.1 OPEX TUUA'!$Q$7,'2.2 OPEX LAP 2023'!L304*'2.1 OPEX TUUA'!$Q$8)</f>
        <v>4384.8409961779425</v>
      </c>
      <c r="R303" s="3">
        <f>+IF(F303="Pasajero",'2.2 OPEX LAP 2023'!M304*'2.1 OPEX TUUA'!$R$7,'2.2 OPEX LAP 2023'!M304*'2.1 OPEX TUUA'!$R$8)</f>
        <v>4408.3683362751899</v>
      </c>
      <c r="S303" s="3">
        <f>+IF(F303="Pasajero",'2.2 OPEX LAP 2023'!N304*'2.1 OPEX TUUA'!$S$7,'2.2 OPEX LAP 2023'!N304*'2.1 OPEX TUUA'!$S$8)</f>
        <v>4411.1822700594348</v>
      </c>
      <c r="U303" s="1">
        <v>9314.5181718856802</v>
      </c>
      <c r="V303" s="1">
        <v>10925.977163550026</v>
      </c>
      <c r="W303" s="1">
        <v>12282.53666984492</v>
      </c>
      <c r="X303" s="1">
        <v>13013.547735393489</v>
      </c>
      <c r="Y303" s="1">
        <v>13547.654110315365</v>
      </c>
      <c r="Z303" s="1">
        <v>14141.056622224034</v>
      </c>
      <c r="AA303" s="7">
        <f t="shared" si="27"/>
        <v>-172.73447394517825</v>
      </c>
      <c r="AB303" s="7">
        <f t="shared" si="28"/>
        <v>-202.61841598842329</v>
      </c>
      <c r="AC303" s="7">
        <f t="shared" si="29"/>
        <v>-227.77533644003051</v>
      </c>
      <c r="AD303" s="7">
        <f t="shared" si="30"/>
        <v>-241.33168036738061</v>
      </c>
      <c r="AE303" s="7">
        <f t="shared" si="31"/>
        <v>-251.2364958393573</v>
      </c>
      <c r="AF303" s="7">
        <f t="shared" si="32"/>
        <v>-262.24093738327974</v>
      </c>
    </row>
    <row r="304" spans="2:32" x14ac:dyDescent="0.25">
      <c r="B304" s="17">
        <v>6561000003</v>
      </c>
      <c r="C304" s="193" t="s">
        <v>176</v>
      </c>
      <c r="D304" s="193" t="s">
        <v>38</v>
      </c>
      <c r="E304" s="193" t="s">
        <v>152</v>
      </c>
      <c r="F304" s="163" t="s">
        <v>190</v>
      </c>
      <c r="G304" s="3">
        <f>+IF(F304="Pasajero",'2.2 OPEX LAP 2023'!I305*'2.1 OPEX TUUA'!$G$7,'2.2 OPEX LAP 2023'!I305*'2.1 OPEX TUUA'!$G$8)</f>
        <v>30816.344768238941</v>
      </c>
      <c r="H304" s="3">
        <f>+IF(F304="Pasajero",'2.2 OPEX LAP 2023'!J305*'2.1 OPEX TUUA'!$H$7,'2.2 OPEX LAP 2023'!J305*'2.1 OPEX TUUA'!$H$8)</f>
        <v>36147.729060009973</v>
      </c>
      <c r="I304" s="3">
        <f>+IF(F304="Pasajero",'2.2 OPEX LAP 2023'!K305*'2.1 OPEX TUUA'!$I$7,'2.2 OPEX LAP 2023'!K305*'2.1 OPEX TUUA'!$I$8)</f>
        <v>40635.798616929671</v>
      </c>
      <c r="J304" s="3">
        <f>+IF(F304="Pasajero",'2.2 OPEX LAP 2023'!L305*'2.1 OPEX TUUA'!$J$7,'2.2 OPEX LAP 2023'!L305*'2.1 OPEX TUUA'!$J$8)</f>
        <v>43054.290761089818</v>
      </c>
      <c r="K304" s="3">
        <f>+IF(F304="Pasajero",'2.2 OPEX LAP 2023'!M305*'2.1 OPEX TUUA'!$K$7,'2.2 OPEX LAP 2023'!M305*'2.1 OPEX TUUA'!$K$8)</f>
        <v>44821.339350053458</v>
      </c>
      <c r="L304" s="3">
        <f>+IF(F304="Pasajero",'2.2 OPEX LAP 2023'!N305*'2.1 OPEX TUUA'!$L$7,'2.2 OPEX LAP 2023'!N305*'2.1 OPEX TUUA'!$L$8)</f>
        <v>46784.564506295166</v>
      </c>
      <c r="M304" s="3"/>
      <c r="N304" s="3">
        <f>+IF(F304="Pasajero",'2.2 OPEX LAP 2023'!I305*'2.1 OPEX TUUA'!$N$7,'2.2 OPEX LAP 2023'!I305*'2.1 OPEX TUUA'!$N$8)</f>
        <v>15199.15201820555</v>
      </c>
      <c r="O304" s="3">
        <f>+IF(F304="Pasajero",'2.2 OPEX LAP 2023'!J305*'2.1 OPEX TUUA'!$O$7,'2.2 OPEX LAP 2023'!J305*'2.1 OPEX TUUA'!$O$8)</f>
        <v>14971.060073739563</v>
      </c>
      <c r="P304" s="3">
        <f>+IF(F304="Pasajero",'2.2 OPEX LAP 2023'!K305*'2.1 OPEX TUUA'!$P$7,'2.2 OPEX LAP 2023'!K305*'2.1 OPEX TUUA'!$P$8)</f>
        <v>14877.931158704387</v>
      </c>
      <c r="Q304" s="3">
        <f>+IF(F304="Pasajero",'2.2 OPEX LAP 2023'!L305*'2.1 OPEX TUUA'!$Q$7,'2.2 OPEX LAP 2023'!L305*'2.1 OPEX TUUA'!$Q$8)</f>
        <v>14781.007334768734</v>
      </c>
      <c r="R304" s="3">
        <f>+IF(F304="Pasajero",'2.2 OPEX LAP 2023'!M305*'2.1 OPEX TUUA'!$R$7,'2.2 OPEX LAP 2023'!M305*'2.1 OPEX TUUA'!$R$8)</f>
        <v>14860.316433285217</v>
      </c>
      <c r="S304" s="3">
        <f>+IF(F304="Pasajero",'2.2 OPEX LAP 2023'!N305*'2.1 OPEX TUUA'!$S$7,'2.2 OPEX LAP 2023'!N305*'2.1 OPEX TUUA'!$S$8)</f>
        <v>14869.802016899481</v>
      </c>
      <c r="U304" s="1">
        <v>31398.621190252095</v>
      </c>
      <c r="V304" s="1">
        <v>36830.742262881999</v>
      </c>
      <c r="W304" s="1">
        <v>41403.614125299093</v>
      </c>
      <c r="X304" s="1">
        <v>43867.80380312066</v>
      </c>
      <c r="Y304" s="1">
        <v>45668.240866208769</v>
      </c>
      <c r="Z304" s="1">
        <v>47668.561262920426</v>
      </c>
      <c r="AA304" s="7">
        <f t="shared" si="27"/>
        <v>-582.27642201315393</v>
      </c>
      <c r="AB304" s="7">
        <f t="shared" si="28"/>
        <v>-683.01320287202543</v>
      </c>
      <c r="AC304" s="7">
        <f t="shared" si="29"/>
        <v>-767.81550836942188</v>
      </c>
      <c r="AD304" s="7">
        <f t="shared" si="30"/>
        <v>-813.51304203084146</v>
      </c>
      <c r="AE304" s="7">
        <f t="shared" si="31"/>
        <v>-846.90151615531067</v>
      </c>
      <c r="AF304" s="7">
        <f t="shared" si="32"/>
        <v>-883.99675662525988</v>
      </c>
    </row>
    <row r="305" spans="2:32" x14ac:dyDescent="0.25">
      <c r="B305" s="17">
        <v>6561000004</v>
      </c>
      <c r="C305" s="193" t="s">
        <v>176</v>
      </c>
      <c r="D305" s="193" t="s">
        <v>38</v>
      </c>
      <c r="E305" s="193" t="s">
        <v>153</v>
      </c>
      <c r="F305" s="163" t="s">
        <v>190</v>
      </c>
      <c r="G305" s="3">
        <f>+IF(F305="Pasajero",'2.2 OPEX LAP 2023'!I306*'2.1 OPEX TUUA'!$G$7,'2.2 OPEX LAP 2023'!I306*'2.1 OPEX TUUA'!$G$8)</f>
        <v>11694.668614402011</v>
      </c>
      <c r="H305" s="3">
        <f>+IF(F305="Pasajero",'2.2 OPEX LAP 2023'!J306*'2.1 OPEX TUUA'!$H$7,'2.2 OPEX LAP 2023'!J306*'2.1 OPEX TUUA'!$H$8)</f>
        <v>13717.905731496792</v>
      </c>
      <c r="I305" s="3">
        <f>+IF(F305="Pasajero",'2.2 OPEX LAP 2023'!K306*'2.1 OPEX TUUA'!$I$7,'2.2 OPEX LAP 2023'!K306*'2.1 OPEX TUUA'!$I$8)</f>
        <v>15421.108579897471</v>
      </c>
      <c r="J305" s="3">
        <f>+IF(F305="Pasajero",'2.2 OPEX LAP 2023'!L306*'2.1 OPEX TUUA'!$J$7,'2.2 OPEX LAP 2023'!L306*'2.1 OPEX TUUA'!$J$8)</f>
        <v>16338.91581450623</v>
      </c>
      <c r="K305" s="3">
        <f>+IF(F305="Pasajero",'2.2 OPEX LAP 2023'!M306*'2.1 OPEX TUUA'!$K$7,'2.2 OPEX LAP 2023'!M306*'2.1 OPEX TUUA'!$K$8)</f>
        <v>17009.503057376613</v>
      </c>
      <c r="L305" s="3">
        <f>+IF(F305="Pasajero",'2.2 OPEX LAP 2023'!N306*'2.1 OPEX TUUA'!$L$7,'2.2 OPEX LAP 2023'!N306*'2.1 OPEX TUUA'!$L$8)</f>
        <v>17754.538453052981</v>
      </c>
      <c r="M305" s="3"/>
      <c r="N305" s="3">
        <f>+IF(F305="Pasajero",'2.2 OPEX LAP 2023'!I306*'2.1 OPEX TUUA'!$N$7,'2.2 OPEX LAP 2023'!I306*'2.1 OPEX TUUA'!$N$8)</f>
        <v>5768.0119887557721</v>
      </c>
      <c r="O305" s="3">
        <f>+IF(F305="Pasajero",'2.2 OPEX LAP 2023'!J306*'2.1 OPEX TUUA'!$O$7,'2.2 OPEX LAP 2023'!J306*'2.1 OPEX TUUA'!$O$8)</f>
        <v>5681.4520893191093</v>
      </c>
      <c r="P305" s="3">
        <f>+IF(F305="Pasajero",'2.2 OPEX LAP 2023'!K306*'2.1 OPEX TUUA'!$P$7,'2.2 OPEX LAP 2023'!K306*'2.1 OPEX TUUA'!$P$8)</f>
        <v>5646.1100717000145</v>
      </c>
      <c r="Q305" s="3">
        <f>+IF(F305="Pasajero",'2.2 OPEX LAP 2023'!L306*'2.1 OPEX TUUA'!$Q$7,'2.2 OPEX LAP 2023'!L306*'2.1 OPEX TUUA'!$Q$8)</f>
        <v>5609.3279026824757</v>
      </c>
      <c r="R305" s="3">
        <f>+IF(F305="Pasajero",'2.2 OPEX LAP 2023'!M306*'2.1 OPEX TUUA'!$R$7,'2.2 OPEX LAP 2023'!M306*'2.1 OPEX TUUA'!$R$8)</f>
        <v>5639.4253601269802</v>
      </c>
      <c r="S305" s="3">
        <f>+IF(F305="Pasajero",'2.2 OPEX LAP 2023'!N306*'2.1 OPEX TUUA'!$S$7,'2.2 OPEX LAP 2023'!N306*'2.1 OPEX TUUA'!$S$8)</f>
        <v>5643.0250977927308</v>
      </c>
      <c r="U305" s="1">
        <v>11915.63998036498</v>
      </c>
      <c r="V305" s="1">
        <v>13977.106267021763</v>
      </c>
      <c r="W305" s="1">
        <v>15712.49122098973</v>
      </c>
      <c r="X305" s="1">
        <v>16647.640470580634</v>
      </c>
      <c r="Y305" s="1">
        <v>17330.89849395282</v>
      </c>
      <c r="Z305" s="1">
        <v>18090.011371813736</v>
      </c>
      <c r="AA305" s="7">
        <f t="shared" si="27"/>
        <v>-220.97136596296878</v>
      </c>
      <c r="AB305" s="7">
        <f t="shared" si="28"/>
        <v>-259.2005355249712</v>
      </c>
      <c r="AC305" s="7">
        <f t="shared" si="29"/>
        <v>-291.38264109225929</v>
      </c>
      <c r="AD305" s="7">
        <f t="shared" si="30"/>
        <v>-308.72465607440427</v>
      </c>
      <c r="AE305" s="7">
        <f t="shared" si="31"/>
        <v>-321.39543657620743</v>
      </c>
      <c r="AF305" s="7">
        <f t="shared" si="32"/>
        <v>-335.47291876075542</v>
      </c>
    </row>
    <row r="306" spans="2:32" x14ac:dyDescent="0.25">
      <c r="B306" s="17">
        <v>6561000005</v>
      </c>
      <c r="C306" s="193" t="s">
        <v>176</v>
      </c>
      <c r="D306" s="193" t="s">
        <v>38</v>
      </c>
      <c r="E306" s="193" t="s">
        <v>154</v>
      </c>
      <c r="F306" s="163" t="s">
        <v>190</v>
      </c>
      <c r="G306" s="3">
        <f>+IF(F306="Pasajero",'2.2 OPEX LAP 2023'!I307*'2.1 OPEX TUUA'!$G$7,'2.2 OPEX LAP 2023'!I307*'2.1 OPEX TUUA'!$G$8)</f>
        <v>66.076275905974825</v>
      </c>
      <c r="H306" s="3">
        <f>+IF(F306="Pasajero",'2.2 OPEX LAP 2023'!J307*'2.1 OPEX TUUA'!$H$7,'2.2 OPEX LAP 2023'!J307*'2.1 OPEX TUUA'!$H$8)</f>
        <v>77.507807519254285</v>
      </c>
      <c r="I306" s="3">
        <f>+IF(F306="Pasajero",'2.2 OPEX LAP 2023'!K307*'2.1 OPEX TUUA'!$I$7,'2.2 OPEX LAP 2023'!K307*'2.1 OPEX TUUA'!$I$8)</f>
        <v>87.131107250566956</v>
      </c>
      <c r="J306" s="3">
        <f>+IF(F306="Pasajero",'2.2 OPEX LAP 2023'!L307*'2.1 OPEX TUUA'!$J$7,'2.2 OPEX LAP 2023'!L307*'2.1 OPEX TUUA'!$J$8)</f>
        <v>92.316827860710916</v>
      </c>
      <c r="K306" s="3">
        <f>+IF(F306="Pasajero",'2.2 OPEX LAP 2023'!M307*'2.1 OPEX TUUA'!$K$7,'2.2 OPEX LAP 2023'!M307*'2.1 OPEX TUUA'!$K$8)</f>
        <v>96.105725959487515</v>
      </c>
      <c r="L306" s="3">
        <f>+IF(F306="Pasajero",'2.2 OPEX LAP 2023'!N307*'2.1 OPEX TUUA'!$L$7,'2.2 OPEX LAP 2023'!N307*'2.1 OPEX TUUA'!$L$8)</f>
        <v>100.3152650227666</v>
      </c>
      <c r="M306" s="3"/>
      <c r="N306" s="3">
        <f>+IF(F306="Pasajero",'2.2 OPEX LAP 2023'!I307*'2.1 OPEX TUUA'!$N$7,'2.2 OPEX LAP 2023'!I307*'2.1 OPEX TUUA'!$N$8)</f>
        <v>32.589957369859626</v>
      </c>
      <c r="O306" s="3">
        <f>+IF(F306="Pasajero",'2.2 OPEX LAP 2023'!J307*'2.1 OPEX TUUA'!$O$7,'2.2 OPEX LAP 2023'!J307*'2.1 OPEX TUUA'!$O$8)</f>
        <v>32.100883588792698</v>
      </c>
      <c r="P306" s="3">
        <f>+IF(F306="Pasajero",'2.2 OPEX LAP 2023'!K307*'2.1 OPEX TUUA'!$P$7,'2.2 OPEX LAP 2023'!K307*'2.1 OPEX TUUA'!$P$8)</f>
        <v>31.901196963692676</v>
      </c>
      <c r="Q306" s="3">
        <f>+IF(F306="Pasajero",'2.2 OPEX LAP 2023'!L307*'2.1 OPEX TUUA'!$Q$7,'2.2 OPEX LAP 2023'!L307*'2.1 OPEX TUUA'!$Q$8)</f>
        <v>31.693373311004475</v>
      </c>
      <c r="R306" s="3">
        <f>+IF(F306="Pasajero",'2.2 OPEX LAP 2023'!M307*'2.1 OPEX TUUA'!$R$7,'2.2 OPEX LAP 2023'!M307*'2.1 OPEX TUUA'!$R$8)</f>
        <v>31.86342754406947</v>
      </c>
      <c r="S306" s="3">
        <f>+IF(F306="Pasajero",'2.2 OPEX LAP 2023'!N307*'2.1 OPEX TUUA'!$S$7,'2.2 OPEX LAP 2023'!N307*'2.1 OPEX TUUA'!$S$8)</f>
        <v>31.883766492271761</v>
      </c>
      <c r="U306" s="1">
        <v>67.324790543380459</v>
      </c>
      <c r="V306" s="1">
        <v>78.972321535430211</v>
      </c>
      <c r="W306" s="1">
        <v>88.777454010945689</v>
      </c>
      <c r="X306" s="1">
        <v>94.06115907917976</v>
      </c>
      <c r="Y306" s="1">
        <v>97.921648602731764</v>
      </c>
      <c r="Z306" s="1">
        <v>102.21072712348138</v>
      </c>
      <c r="AA306" s="7">
        <f t="shared" si="27"/>
        <v>-1.2485146374056342</v>
      </c>
      <c r="AB306" s="7">
        <f t="shared" si="28"/>
        <v>-1.4645140161759258</v>
      </c>
      <c r="AC306" s="7">
        <f t="shared" si="29"/>
        <v>-1.6463467603787336</v>
      </c>
      <c r="AD306" s="7">
        <f t="shared" si="30"/>
        <v>-1.7443312184688438</v>
      </c>
      <c r="AE306" s="7">
        <f t="shared" si="31"/>
        <v>-1.8159226432442495</v>
      </c>
      <c r="AF306" s="7">
        <f t="shared" si="32"/>
        <v>-1.8954621007147807</v>
      </c>
    </row>
    <row r="307" spans="2:32" x14ac:dyDescent="0.25">
      <c r="B307" s="17">
        <v>6562000001</v>
      </c>
      <c r="C307" s="193" t="s">
        <v>176</v>
      </c>
      <c r="D307" s="193" t="s">
        <v>38</v>
      </c>
      <c r="E307" s="193" t="s">
        <v>155</v>
      </c>
      <c r="F307" s="163" t="s">
        <v>190</v>
      </c>
      <c r="G307" s="3">
        <f>+IF(F307="Pasajero",'2.2 OPEX LAP 2023'!I308*'2.1 OPEX TUUA'!$G$7,'2.2 OPEX LAP 2023'!I308*'2.1 OPEX TUUA'!$G$8)</f>
        <v>0</v>
      </c>
      <c r="H307" s="3">
        <f>+IF(F307="Pasajero",'2.2 OPEX LAP 2023'!J308*'2.1 OPEX TUUA'!$H$7,'2.2 OPEX LAP 2023'!J308*'2.1 OPEX TUUA'!$H$8)</f>
        <v>0</v>
      </c>
      <c r="I307" s="3">
        <f>+IF(F307="Pasajero",'2.2 OPEX LAP 2023'!K308*'2.1 OPEX TUUA'!$I$7,'2.2 OPEX LAP 2023'!K308*'2.1 OPEX TUUA'!$I$8)</f>
        <v>0</v>
      </c>
      <c r="J307" s="3">
        <f>+IF(F307="Pasajero",'2.2 OPEX LAP 2023'!L308*'2.1 OPEX TUUA'!$J$7,'2.2 OPEX LAP 2023'!L308*'2.1 OPEX TUUA'!$J$8)</f>
        <v>0</v>
      </c>
      <c r="K307" s="3">
        <f>+IF(F307="Pasajero",'2.2 OPEX LAP 2023'!M308*'2.1 OPEX TUUA'!$K$7,'2.2 OPEX LAP 2023'!M308*'2.1 OPEX TUUA'!$K$8)</f>
        <v>0</v>
      </c>
      <c r="L307" s="3">
        <f>+IF(F307="Pasajero",'2.2 OPEX LAP 2023'!N308*'2.1 OPEX TUUA'!$L$7,'2.2 OPEX LAP 2023'!N308*'2.1 OPEX TUUA'!$L$8)</f>
        <v>0</v>
      </c>
      <c r="M307" s="3"/>
      <c r="N307" s="3">
        <f>+IF(F307="Pasajero",'2.2 OPEX LAP 2023'!I308*'2.1 OPEX TUUA'!$N$7,'2.2 OPEX LAP 2023'!I308*'2.1 OPEX TUUA'!$N$8)</f>
        <v>0</v>
      </c>
      <c r="O307" s="3">
        <f>+IF(F307="Pasajero",'2.2 OPEX LAP 2023'!J308*'2.1 OPEX TUUA'!$O$7,'2.2 OPEX LAP 2023'!J308*'2.1 OPEX TUUA'!$O$8)</f>
        <v>0</v>
      </c>
      <c r="P307" s="3">
        <f>+IF(F307="Pasajero",'2.2 OPEX LAP 2023'!K308*'2.1 OPEX TUUA'!$P$7,'2.2 OPEX LAP 2023'!K308*'2.1 OPEX TUUA'!$P$8)</f>
        <v>0</v>
      </c>
      <c r="Q307" s="3">
        <f>+IF(F307="Pasajero",'2.2 OPEX LAP 2023'!L308*'2.1 OPEX TUUA'!$Q$7,'2.2 OPEX LAP 2023'!L308*'2.1 OPEX TUUA'!$Q$8)</f>
        <v>0</v>
      </c>
      <c r="R307" s="3">
        <f>+IF(F307="Pasajero",'2.2 OPEX LAP 2023'!M308*'2.1 OPEX TUUA'!$R$7,'2.2 OPEX LAP 2023'!M308*'2.1 OPEX TUUA'!$R$8)</f>
        <v>0</v>
      </c>
      <c r="S307" s="3">
        <f>+IF(F307="Pasajero",'2.2 OPEX LAP 2023'!N308*'2.1 OPEX TUUA'!$S$7,'2.2 OPEX LAP 2023'!N308*'2.1 OPEX TUUA'!$S$8)</f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7">
        <f t="shared" si="27"/>
        <v>0</v>
      </c>
      <c r="AB307" s="7">
        <f t="shared" si="28"/>
        <v>0</v>
      </c>
      <c r="AC307" s="7">
        <f t="shared" si="29"/>
        <v>0</v>
      </c>
      <c r="AD307" s="7">
        <f t="shared" si="30"/>
        <v>0</v>
      </c>
      <c r="AE307" s="7">
        <f t="shared" si="31"/>
        <v>0</v>
      </c>
      <c r="AF307" s="7">
        <f t="shared" si="32"/>
        <v>0</v>
      </c>
    </row>
    <row r="308" spans="2:32" x14ac:dyDescent="0.25">
      <c r="B308" s="17">
        <v>6562000002</v>
      </c>
      <c r="C308" s="193" t="s">
        <v>176</v>
      </c>
      <c r="D308" s="193" t="s">
        <v>38</v>
      </c>
      <c r="E308" s="193" t="s">
        <v>156</v>
      </c>
      <c r="F308" s="163" t="s">
        <v>190</v>
      </c>
      <c r="G308" s="3">
        <f>+IF(F308="Pasajero",'2.2 OPEX LAP 2023'!I309*'2.1 OPEX TUUA'!$G$7,'2.2 OPEX LAP 2023'!I309*'2.1 OPEX TUUA'!$G$8)</f>
        <v>0</v>
      </c>
      <c r="H308" s="3">
        <f>+IF(F308="Pasajero",'2.2 OPEX LAP 2023'!J309*'2.1 OPEX TUUA'!$H$7,'2.2 OPEX LAP 2023'!J309*'2.1 OPEX TUUA'!$H$8)</f>
        <v>0</v>
      </c>
      <c r="I308" s="3">
        <f>+IF(F308="Pasajero",'2.2 OPEX LAP 2023'!K309*'2.1 OPEX TUUA'!$I$7,'2.2 OPEX LAP 2023'!K309*'2.1 OPEX TUUA'!$I$8)</f>
        <v>0</v>
      </c>
      <c r="J308" s="3">
        <f>+IF(F308="Pasajero",'2.2 OPEX LAP 2023'!L309*'2.1 OPEX TUUA'!$J$7,'2.2 OPEX LAP 2023'!L309*'2.1 OPEX TUUA'!$J$8)</f>
        <v>0</v>
      </c>
      <c r="K308" s="3">
        <f>+IF(F308="Pasajero",'2.2 OPEX LAP 2023'!M309*'2.1 OPEX TUUA'!$K$7,'2.2 OPEX LAP 2023'!M309*'2.1 OPEX TUUA'!$K$8)</f>
        <v>0</v>
      </c>
      <c r="L308" s="3">
        <f>+IF(F308="Pasajero",'2.2 OPEX LAP 2023'!N309*'2.1 OPEX TUUA'!$L$7,'2.2 OPEX LAP 2023'!N309*'2.1 OPEX TUUA'!$L$8)</f>
        <v>0</v>
      </c>
      <c r="M308" s="3"/>
      <c r="N308" s="3">
        <f>+IF(F308="Pasajero",'2.2 OPEX LAP 2023'!I309*'2.1 OPEX TUUA'!$N$7,'2.2 OPEX LAP 2023'!I309*'2.1 OPEX TUUA'!$N$8)</f>
        <v>0</v>
      </c>
      <c r="O308" s="3">
        <f>+IF(F308="Pasajero",'2.2 OPEX LAP 2023'!J309*'2.1 OPEX TUUA'!$O$7,'2.2 OPEX LAP 2023'!J309*'2.1 OPEX TUUA'!$O$8)</f>
        <v>0</v>
      </c>
      <c r="P308" s="3">
        <f>+IF(F308="Pasajero",'2.2 OPEX LAP 2023'!K309*'2.1 OPEX TUUA'!$P$7,'2.2 OPEX LAP 2023'!K309*'2.1 OPEX TUUA'!$P$8)</f>
        <v>0</v>
      </c>
      <c r="Q308" s="3">
        <f>+IF(F308="Pasajero",'2.2 OPEX LAP 2023'!L309*'2.1 OPEX TUUA'!$Q$7,'2.2 OPEX LAP 2023'!L309*'2.1 OPEX TUUA'!$Q$8)</f>
        <v>0</v>
      </c>
      <c r="R308" s="3">
        <f>+IF(F308="Pasajero",'2.2 OPEX LAP 2023'!M309*'2.1 OPEX TUUA'!$R$7,'2.2 OPEX LAP 2023'!M309*'2.1 OPEX TUUA'!$R$8)</f>
        <v>0</v>
      </c>
      <c r="S308" s="3">
        <f>+IF(F308="Pasajero",'2.2 OPEX LAP 2023'!N309*'2.1 OPEX TUUA'!$S$7,'2.2 OPEX LAP 2023'!N309*'2.1 OPEX TUUA'!$S$8)</f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7">
        <f t="shared" si="27"/>
        <v>0</v>
      </c>
      <c r="AB308" s="7">
        <f t="shared" si="28"/>
        <v>0</v>
      </c>
      <c r="AC308" s="7">
        <f t="shared" si="29"/>
        <v>0</v>
      </c>
      <c r="AD308" s="7">
        <f t="shared" si="30"/>
        <v>0</v>
      </c>
      <c r="AE308" s="7">
        <f t="shared" si="31"/>
        <v>0</v>
      </c>
      <c r="AF308" s="7">
        <f t="shared" si="32"/>
        <v>0</v>
      </c>
    </row>
    <row r="309" spans="2:32" x14ac:dyDescent="0.25">
      <c r="B309" s="17">
        <v>6562000003</v>
      </c>
      <c r="C309" s="193" t="s">
        <v>176</v>
      </c>
      <c r="D309" s="193" t="s">
        <v>38</v>
      </c>
      <c r="E309" s="193" t="s">
        <v>157</v>
      </c>
      <c r="F309" s="163" t="s">
        <v>190</v>
      </c>
      <c r="G309" s="3">
        <f>+IF(F309="Pasajero",'2.2 OPEX LAP 2023'!I310*'2.1 OPEX TUUA'!$G$7,'2.2 OPEX LAP 2023'!I310*'2.1 OPEX TUUA'!$G$8)</f>
        <v>25.514167765970043</v>
      </c>
      <c r="H309" s="3">
        <f>+IF(F309="Pasajero",'2.2 OPEX LAP 2023'!J310*'2.1 OPEX TUUA'!$H$7,'2.2 OPEX LAP 2023'!J310*'2.1 OPEX TUUA'!$H$8)</f>
        <v>29.928248484112164</v>
      </c>
      <c r="I309" s="3">
        <f>+IF(F309="Pasajero",'2.2 OPEX LAP 2023'!K310*'2.1 OPEX TUUA'!$I$7,'2.2 OPEX LAP 2023'!K310*'2.1 OPEX TUUA'!$I$8)</f>
        <v>33.644112921695033</v>
      </c>
      <c r="J309" s="3">
        <f>+IF(F309="Pasajero",'2.2 OPEX LAP 2023'!L310*'2.1 OPEX TUUA'!$J$7,'2.2 OPEX LAP 2023'!L310*'2.1 OPEX TUUA'!$J$8)</f>
        <v>35.646485843300589</v>
      </c>
      <c r="K309" s="3">
        <f>+IF(F309="Pasajero",'2.2 OPEX LAP 2023'!M310*'2.1 OPEX TUUA'!$K$7,'2.2 OPEX LAP 2023'!M310*'2.1 OPEX TUUA'!$K$8)</f>
        <v>37.109500827345869</v>
      </c>
      <c r="L309" s="3">
        <f>+IF(F309="Pasajero",'2.2 OPEX LAP 2023'!N310*'2.1 OPEX TUUA'!$L$7,'2.2 OPEX LAP 2023'!N310*'2.1 OPEX TUUA'!$L$8)</f>
        <v>38.734938768653862</v>
      </c>
      <c r="M309" s="3"/>
      <c r="N309" s="3">
        <f>+IF(F309="Pasajero",'2.2 OPEX LAP 2023'!I310*'2.1 OPEX TUUA'!$N$7,'2.2 OPEX LAP 2023'!I310*'2.1 OPEX TUUA'!$N$8)</f>
        <v>12.584026996370463</v>
      </c>
      <c r="O309" s="3">
        <f>+IF(F309="Pasajero",'2.2 OPEX LAP 2023'!J310*'2.1 OPEX TUUA'!$O$7,'2.2 OPEX LAP 2023'!J310*'2.1 OPEX TUUA'!$O$8)</f>
        <v>12.395179935470189</v>
      </c>
      <c r="P309" s="3">
        <f>+IF(F309="Pasajero",'2.2 OPEX LAP 2023'!K310*'2.1 OPEX TUUA'!$P$7,'2.2 OPEX LAP 2023'!K310*'2.1 OPEX TUUA'!$P$8)</f>
        <v>12.318074529882981</v>
      </c>
      <c r="Q309" s="3">
        <f>+IF(F309="Pasajero",'2.2 OPEX LAP 2023'!L310*'2.1 OPEX TUUA'!$Q$7,'2.2 OPEX LAP 2023'!L310*'2.1 OPEX TUUA'!$Q$8)</f>
        <v>12.237827157165293</v>
      </c>
      <c r="R309" s="3">
        <f>+IF(F309="Pasajero",'2.2 OPEX LAP 2023'!M310*'2.1 OPEX TUUA'!$R$7,'2.2 OPEX LAP 2023'!M310*'2.1 OPEX TUUA'!$R$8)</f>
        <v>12.303490546517136</v>
      </c>
      <c r="S309" s="3">
        <f>+IF(F309="Pasajero",'2.2 OPEX LAP 2023'!N310*'2.1 OPEX TUUA'!$S$7,'2.2 OPEX LAP 2023'!N310*'2.1 OPEX TUUA'!$S$8)</f>
        <v>12.311344066248711</v>
      </c>
      <c r="U309" s="1">
        <v>25.996259280364185</v>
      </c>
      <c r="V309" s="1">
        <v>30.493744281083195</v>
      </c>
      <c r="W309" s="1">
        <v>34.279820168650609</v>
      </c>
      <c r="X309" s="1">
        <v>36.320028029769503</v>
      </c>
      <c r="Y309" s="1">
        <v>37.810686757310911</v>
      </c>
      <c r="Z309" s="1">
        <v>39.466837432260334</v>
      </c>
      <c r="AA309" s="7">
        <f t="shared" si="27"/>
        <v>-0.482091514394142</v>
      </c>
      <c r="AB309" s="7">
        <f t="shared" si="28"/>
        <v>-0.56549579697103169</v>
      </c>
      <c r="AC309" s="7">
        <f t="shared" si="29"/>
        <v>-0.63570724695557601</v>
      </c>
      <c r="AD309" s="7">
        <f t="shared" si="30"/>
        <v>-0.67354218646891439</v>
      </c>
      <c r="AE309" s="7">
        <f t="shared" si="31"/>
        <v>-0.70118592996504248</v>
      </c>
      <c r="AF309" s="7">
        <f t="shared" si="32"/>
        <v>-0.73189866360647216</v>
      </c>
    </row>
    <row r="310" spans="2:32" x14ac:dyDescent="0.25">
      <c r="B310" s="17">
        <v>6562000004</v>
      </c>
      <c r="C310" s="193" t="s">
        <v>176</v>
      </c>
      <c r="D310" s="193" t="s">
        <v>38</v>
      </c>
      <c r="E310" s="193" t="s">
        <v>158</v>
      </c>
      <c r="F310" s="163" t="s">
        <v>190</v>
      </c>
      <c r="G310" s="3">
        <f>+IF(F310="Pasajero",'2.2 OPEX LAP 2023'!I311*'2.1 OPEX TUUA'!$G$7,'2.2 OPEX LAP 2023'!I311*'2.1 OPEX TUUA'!$G$8)</f>
        <v>0</v>
      </c>
      <c r="H310" s="3">
        <f>+IF(F310="Pasajero",'2.2 OPEX LAP 2023'!J311*'2.1 OPEX TUUA'!$H$7,'2.2 OPEX LAP 2023'!J311*'2.1 OPEX TUUA'!$H$8)</f>
        <v>0</v>
      </c>
      <c r="I310" s="3">
        <f>+IF(F310="Pasajero",'2.2 OPEX LAP 2023'!K311*'2.1 OPEX TUUA'!$I$7,'2.2 OPEX LAP 2023'!K311*'2.1 OPEX TUUA'!$I$8)</f>
        <v>0</v>
      </c>
      <c r="J310" s="3">
        <f>+IF(F310="Pasajero",'2.2 OPEX LAP 2023'!L311*'2.1 OPEX TUUA'!$J$7,'2.2 OPEX LAP 2023'!L311*'2.1 OPEX TUUA'!$J$8)</f>
        <v>0</v>
      </c>
      <c r="K310" s="3">
        <f>+IF(F310="Pasajero",'2.2 OPEX LAP 2023'!M311*'2.1 OPEX TUUA'!$K$7,'2.2 OPEX LAP 2023'!M311*'2.1 OPEX TUUA'!$K$8)</f>
        <v>0</v>
      </c>
      <c r="L310" s="3">
        <f>+IF(F310="Pasajero",'2.2 OPEX LAP 2023'!N311*'2.1 OPEX TUUA'!$L$7,'2.2 OPEX LAP 2023'!N311*'2.1 OPEX TUUA'!$L$8)</f>
        <v>0</v>
      </c>
      <c r="M310" s="3"/>
      <c r="N310" s="3">
        <f>+IF(F310="Pasajero",'2.2 OPEX LAP 2023'!I311*'2.1 OPEX TUUA'!$N$7,'2.2 OPEX LAP 2023'!I311*'2.1 OPEX TUUA'!$N$8)</f>
        <v>0</v>
      </c>
      <c r="O310" s="3">
        <f>+IF(F310="Pasajero",'2.2 OPEX LAP 2023'!J311*'2.1 OPEX TUUA'!$O$7,'2.2 OPEX LAP 2023'!J311*'2.1 OPEX TUUA'!$O$8)</f>
        <v>0</v>
      </c>
      <c r="P310" s="3">
        <f>+IF(F310="Pasajero",'2.2 OPEX LAP 2023'!K311*'2.1 OPEX TUUA'!$P$7,'2.2 OPEX LAP 2023'!K311*'2.1 OPEX TUUA'!$P$8)</f>
        <v>0</v>
      </c>
      <c r="Q310" s="3">
        <f>+IF(F310="Pasajero",'2.2 OPEX LAP 2023'!L311*'2.1 OPEX TUUA'!$Q$7,'2.2 OPEX LAP 2023'!L311*'2.1 OPEX TUUA'!$Q$8)</f>
        <v>0</v>
      </c>
      <c r="R310" s="3">
        <f>+IF(F310="Pasajero",'2.2 OPEX LAP 2023'!M311*'2.1 OPEX TUUA'!$R$7,'2.2 OPEX LAP 2023'!M311*'2.1 OPEX TUUA'!$R$8)</f>
        <v>0</v>
      </c>
      <c r="S310" s="3">
        <f>+IF(F310="Pasajero",'2.2 OPEX LAP 2023'!N311*'2.1 OPEX TUUA'!$S$7,'2.2 OPEX LAP 2023'!N311*'2.1 OPEX TUUA'!$S$8)</f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7">
        <f t="shared" si="27"/>
        <v>0</v>
      </c>
      <c r="AB310" s="7">
        <f t="shared" si="28"/>
        <v>0</v>
      </c>
      <c r="AC310" s="7">
        <f t="shared" si="29"/>
        <v>0</v>
      </c>
      <c r="AD310" s="7">
        <f t="shared" si="30"/>
        <v>0</v>
      </c>
      <c r="AE310" s="7">
        <f t="shared" si="31"/>
        <v>0</v>
      </c>
      <c r="AF310" s="7">
        <f t="shared" si="32"/>
        <v>0</v>
      </c>
    </row>
    <row r="311" spans="2:32" x14ac:dyDescent="0.25">
      <c r="B311" s="17">
        <v>6562000005</v>
      </c>
      <c r="C311" s="193" t="s">
        <v>176</v>
      </c>
      <c r="D311" s="193" t="s">
        <v>38</v>
      </c>
      <c r="E311" s="193" t="s">
        <v>159</v>
      </c>
      <c r="F311" s="163" t="s">
        <v>190</v>
      </c>
      <c r="G311" s="3">
        <f>+IF(F311="Pasajero",'2.2 OPEX LAP 2023'!I312*'2.1 OPEX TUUA'!$G$7,'2.2 OPEX LAP 2023'!I312*'2.1 OPEX TUUA'!$G$8)</f>
        <v>2.0775624096421596E-2</v>
      </c>
      <c r="H311" s="3">
        <f>+IF(F311="Pasajero",'2.2 OPEX LAP 2023'!J312*'2.1 OPEX TUUA'!$H$7,'2.2 OPEX LAP 2023'!J312*'2.1 OPEX TUUA'!$H$8)</f>
        <v>2.4369912672578757E-2</v>
      </c>
      <c r="I311" s="3">
        <f>+IF(F311="Pasajero",'2.2 OPEX LAP 2023'!K312*'2.1 OPEX TUUA'!$I$7,'2.2 OPEX LAP 2023'!K312*'2.1 OPEX TUUA'!$I$8)</f>
        <v>2.7395659130648568E-2</v>
      </c>
      <c r="J311" s="3">
        <f>+IF(F311="Pasajero",'2.2 OPEX LAP 2023'!L312*'2.1 OPEX TUUA'!$J$7,'2.2 OPEX LAP 2023'!L312*'2.1 OPEX TUUA'!$J$8)</f>
        <v>2.902614723834283E-2</v>
      </c>
      <c r="K311" s="3">
        <f>+IF(F311="Pasajero",'2.2 OPEX LAP 2023'!M312*'2.1 OPEX TUUA'!$K$7,'2.2 OPEX LAP 2023'!M312*'2.1 OPEX TUUA'!$K$8)</f>
        <v>3.0217448073030333E-2</v>
      </c>
      <c r="L311" s="3">
        <f>+IF(F311="Pasajero",'2.2 OPEX LAP 2023'!N312*'2.1 OPEX TUUA'!$L$7,'2.2 OPEX LAP 2023'!N312*'2.1 OPEX TUUA'!$L$8)</f>
        <v>3.1541006339575746E-2</v>
      </c>
      <c r="M311" s="3"/>
      <c r="N311" s="3">
        <f>+IF(F311="Pasajero",'2.2 OPEX LAP 2023'!I312*'2.1 OPEX TUUA'!$N$7,'2.2 OPEX LAP 2023'!I312*'2.1 OPEX TUUA'!$N$8)</f>
        <v>1.0246895642213167E-2</v>
      </c>
      <c r="O311" s="3">
        <f>+IF(F311="Pasajero",'2.2 OPEX LAP 2023'!J312*'2.1 OPEX TUUA'!$O$7,'2.2 OPEX LAP 2023'!J312*'2.1 OPEX TUUA'!$O$8)</f>
        <v>1.0093121645547242E-2</v>
      </c>
      <c r="P311" s="3">
        <f>+IF(F311="Pasajero",'2.2 OPEX LAP 2023'!K312*'2.1 OPEX TUUA'!$P$7,'2.2 OPEX LAP 2023'!K312*'2.1 OPEX TUUA'!$P$8)</f>
        <v>1.0030336414338622E-2</v>
      </c>
      <c r="Q311" s="3">
        <f>+IF(F311="Pasajero",'2.2 OPEX LAP 2023'!L312*'2.1 OPEX TUUA'!$Q$7,'2.2 OPEX LAP 2023'!L312*'2.1 OPEX TUUA'!$Q$8)</f>
        <v>9.9649927485917916E-3</v>
      </c>
      <c r="R311" s="3">
        <f>+IF(F311="Pasajero",'2.2 OPEX LAP 2023'!M312*'2.1 OPEX TUUA'!$R$7,'2.2 OPEX LAP 2023'!M312*'2.1 OPEX TUUA'!$R$8)</f>
        <v>1.0018460998333818E-2</v>
      </c>
      <c r="S311" s="3">
        <f>+IF(F311="Pasajero",'2.2 OPEX LAP 2023'!N312*'2.1 OPEX TUUA'!$S$7,'2.2 OPEX LAP 2023'!N312*'2.1 OPEX TUUA'!$S$8)</f>
        <v>1.0024855946241727E-2</v>
      </c>
      <c r="U311" s="1">
        <v>2.1168180584056125E-2</v>
      </c>
      <c r="V311" s="1">
        <v>2.4830383428032763E-2</v>
      </c>
      <c r="W311" s="1">
        <v>2.791330152131025E-2</v>
      </c>
      <c r="X311" s="1">
        <v>2.9574597785799985E-2</v>
      </c>
      <c r="Y311" s="1">
        <v>3.0788408311133147E-2</v>
      </c>
      <c r="Z311" s="1">
        <v>3.2136975279312911E-2</v>
      </c>
      <c r="AA311" s="7">
        <f t="shared" si="27"/>
        <v>-3.9255648763452874E-4</v>
      </c>
      <c r="AB311" s="7">
        <f t="shared" si="28"/>
        <v>-4.6047075545400593E-4</v>
      </c>
      <c r="AC311" s="7">
        <f t="shared" si="29"/>
        <v>-5.1764239066168227E-4</v>
      </c>
      <c r="AD311" s="7">
        <f t="shared" si="30"/>
        <v>-5.4845054745715494E-4</v>
      </c>
      <c r="AE311" s="7">
        <f t="shared" si="31"/>
        <v>-5.7096023810281407E-4</v>
      </c>
      <c r="AF311" s="7">
        <f t="shared" si="32"/>
        <v>-5.9596893973716536E-4</v>
      </c>
    </row>
    <row r="312" spans="2:32" x14ac:dyDescent="0.25">
      <c r="B312" s="17">
        <v>6563000001</v>
      </c>
      <c r="C312" s="193" t="s">
        <v>176</v>
      </c>
      <c r="D312" s="193" t="s">
        <v>38</v>
      </c>
      <c r="E312" s="193" t="s">
        <v>160</v>
      </c>
      <c r="F312" s="163" t="s">
        <v>190</v>
      </c>
      <c r="G312" s="3">
        <f>+IF(F312="Pasajero",'2.2 OPEX LAP 2023'!I313*'2.1 OPEX TUUA'!$G$7,'2.2 OPEX LAP 2023'!I313*'2.1 OPEX TUUA'!$G$8)</f>
        <v>0</v>
      </c>
      <c r="H312" s="3">
        <f>+IF(F312="Pasajero",'2.2 OPEX LAP 2023'!J313*'2.1 OPEX TUUA'!$H$7,'2.2 OPEX LAP 2023'!J313*'2.1 OPEX TUUA'!$H$8)</f>
        <v>0</v>
      </c>
      <c r="I312" s="3">
        <f>+IF(F312="Pasajero",'2.2 OPEX LAP 2023'!K313*'2.1 OPEX TUUA'!$I$7,'2.2 OPEX LAP 2023'!K313*'2.1 OPEX TUUA'!$I$8)</f>
        <v>0</v>
      </c>
      <c r="J312" s="3">
        <f>+IF(F312="Pasajero",'2.2 OPEX LAP 2023'!L313*'2.1 OPEX TUUA'!$J$7,'2.2 OPEX LAP 2023'!L313*'2.1 OPEX TUUA'!$J$8)</f>
        <v>0</v>
      </c>
      <c r="K312" s="3">
        <f>+IF(F312="Pasajero",'2.2 OPEX LAP 2023'!M313*'2.1 OPEX TUUA'!$K$7,'2.2 OPEX LAP 2023'!M313*'2.1 OPEX TUUA'!$K$8)</f>
        <v>0</v>
      </c>
      <c r="L312" s="3">
        <f>+IF(F312="Pasajero",'2.2 OPEX LAP 2023'!N313*'2.1 OPEX TUUA'!$L$7,'2.2 OPEX LAP 2023'!N313*'2.1 OPEX TUUA'!$L$8)</f>
        <v>0</v>
      </c>
      <c r="M312" s="3"/>
      <c r="N312" s="3">
        <f>+IF(F312="Pasajero",'2.2 OPEX LAP 2023'!I313*'2.1 OPEX TUUA'!$N$7,'2.2 OPEX LAP 2023'!I313*'2.1 OPEX TUUA'!$N$8)</f>
        <v>0</v>
      </c>
      <c r="O312" s="3">
        <f>+IF(F312="Pasajero",'2.2 OPEX LAP 2023'!J313*'2.1 OPEX TUUA'!$O$7,'2.2 OPEX LAP 2023'!J313*'2.1 OPEX TUUA'!$O$8)</f>
        <v>0</v>
      </c>
      <c r="P312" s="3">
        <f>+IF(F312="Pasajero",'2.2 OPEX LAP 2023'!K313*'2.1 OPEX TUUA'!$P$7,'2.2 OPEX LAP 2023'!K313*'2.1 OPEX TUUA'!$P$8)</f>
        <v>0</v>
      </c>
      <c r="Q312" s="3">
        <f>+IF(F312="Pasajero",'2.2 OPEX LAP 2023'!L313*'2.1 OPEX TUUA'!$Q$7,'2.2 OPEX LAP 2023'!L313*'2.1 OPEX TUUA'!$Q$8)</f>
        <v>0</v>
      </c>
      <c r="R312" s="3">
        <f>+IF(F312="Pasajero",'2.2 OPEX LAP 2023'!M313*'2.1 OPEX TUUA'!$R$7,'2.2 OPEX LAP 2023'!M313*'2.1 OPEX TUUA'!$R$8)</f>
        <v>0</v>
      </c>
      <c r="S312" s="3">
        <f>+IF(F312="Pasajero",'2.2 OPEX LAP 2023'!N313*'2.1 OPEX TUUA'!$S$7,'2.2 OPEX LAP 2023'!N313*'2.1 OPEX TUUA'!$S$8)</f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7">
        <f t="shared" si="27"/>
        <v>0</v>
      </c>
      <c r="AB312" s="7">
        <f t="shared" si="28"/>
        <v>0</v>
      </c>
      <c r="AC312" s="7">
        <f t="shared" si="29"/>
        <v>0</v>
      </c>
      <c r="AD312" s="7">
        <f t="shared" si="30"/>
        <v>0</v>
      </c>
      <c r="AE312" s="7">
        <f t="shared" si="31"/>
        <v>0</v>
      </c>
      <c r="AF312" s="7">
        <f t="shared" si="32"/>
        <v>0</v>
      </c>
    </row>
    <row r="313" spans="2:32" x14ac:dyDescent="0.25">
      <c r="B313" s="17">
        <v>6563000002</v>
      </c>
      <c r="C313" s="193" t="s">
        <v>176</v>
      </c>
      <c r="D313" s="193" t="s">
        <v>38</v>
      </c>
      <c r="E313" s="193" t="s">
        <v>161</v>
      </c>
      <c r="F313" s="163" t="s">
        <v>190</v>
      </c>
      <c r="G313" s="3">
        <f>+IF(F313="Pasajero",'2.2 OPEX LAP 2023'!I314*'2.1 OPEX TUUA'!$G$7,'2.2 OPEX LAP 2023'!I314*'2.1 OPEX TUUA'!$G$8)</f>
        <v>0</v>
      </c>
      <c r="H313" s="3">
        <f>+IF(F313="Pasajero",'2.2 OPEX LAP 2023'!J314*'2.1 OPEX TUUA'!$H$7,'2.2 OPEX LAP 2023'!J314*'2.1 OPEX TUUA'!$H$8)</f>
        <v>0</v>
      </c>
      <c r="I313" s="3">
        <f>+IF(F313="Pasajero",'2.2 OPEX LAP 2023'!K314*'2.1 OPEX TUUA'!$I$7,'2.2 OPEX LAP 2023'!K314*'2.1 OPEX TUUA'!$I$8)</f>
        <v>0</v>
      </c>
      <c r="J313" s="3">
        <f>+IF(F313="Pasajero",'2.2 OPEX LAP 2023'!L314*'2.1 OPEX TUUA'!$J$7,'2.2 OPEX LAP 2023'!L314*'2.1 OPEX TUUA'!$J$8)</f>
        <v>0</v>
      </c>
      <c r="K313" s="3">
        <f>+IF(F313="Pasajero",'2.2 OPEX LAP 2023'!M314*'2.1 OPEX TUUA'!$K$7,'2.2 OPEX LAP 2023'!M314*'2.1 OPEX TUUA'!$K$8)</f>
        <v>0</v>
      </c>
      <c r="L313" s="3">
        <f>+IF(F313="Pasajero",'2.2 OPEX LAP 2023'!N314*'2.1 OPEX TUUA'!$L$7,'2.2 OPEX LAP 2023'!N314*'2.1 OPEX TUUA'!$L$8)</f>
        <v>0</v>
      </c>
      <c r="M313" s="3"/>
      <c r="N313" s="3">
        <f>+IF(F313="Pasajero",'2.2 OPEX LAP 2023'!I314*'2.1 OPEX TUUA'!$N$7,'2.2 OPEX LAP 2023'!I314*'2.1 OPEX TUUA'!$N$8)</f>
        <v>0</v>
      </c>
      <c r="O313" s="3">
        <f>+IF(F313="Pasajero",'2.2 OPEX LAP 2023'!J314*'2.1 OPEX TUUA'!$O$7,'2.2 OPEX LAP 2023'!J314*'2.1 OPEX TUUA'!$O$8)</f>
        <v>0</v>
      </c>
      <c r="P313" s="3">
        <f>+IF(F313="Pasajero",'2.2 OPEX LAP 2023'!K314*'2.1 OPEX TUUA'!$P$7,'2.2 OPEX LAP 2023'!K314*'2.1 OPEX TUUA'!$P$8)</f>
        <v>0</v>
      </c>
      <c r="Q313" s="3">
        <f>+IF(F313="Pasajero",'2.2 OPEX LAP 2023'!L314*'2.1 OPEX TUUA'!$Q$7,'2.2 OPEX LAP 2023'!L314*'2.1 OPEX TUUA'!$Q$8)</f>
        <v>0</v>
      </c>
      <c r="R313" s="3">
        <f>+IF(F313="Pasajero",'2.2 OPEX LAP 2023'!M314*'2.1 OPEX TUUA'!$R$7,'2.2 OPEX LAP 2023'!M314*'2.1 OPEX TUUA'!$R$8)</f>
        <v>0</v>
      </c>
      <c r="S313" s="3">
        <f>+IF(F313="Pasajero",'2.2 OPEX LAP 2023'!N314*'2.1 OPEX TUUA'!$S$7,'2.2 OPEX LAP 2023'!N314*'2.1 OPEX TUUA'!$S$8)</f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7">
        <f t="shared" si="27"/>
        <v>0</v>
      </c>
      <c r="AB313" s="7">
        <f t="shared" si="28"/>
        <v>0</v>
      </c>
      <c r="AC313" s="7">
        <f t="shared" si="29"/>
        <v>0</v>
      </c>
      <c r="AD313" s="7">
        <f t="shared" si="30"/>
        <v>0</v>
      </c>
      <c r="AE313" s="7">
        <f t="shared" si="31"/>
        <v>0</v>
      </c>
      <c r="AF313" s="7">
        <f t="shared" si="32"/>
        <v>0</v>
      </c>
    </row>
    <row r="314" spans="2:32" x14ac:dyDescent="0.25">
      <c r="B314" s="17">
        <v>6563000003</v>
      </c>
      <c r="C314" s="193" t="s">
        <v>176</v>
      </c>
      <c r="D314" s="193" t="s">
        <v>38</v>
      </c>
      <c r="E314" s="193" t="s">
        <v>162</v>
      </c>
      <c r="F314" s="163" t="s">
        <v>190</v>
      </c>
      <c r="G314" s="3">
        <f>+IF(F314="Pasajero",'2.2 OPEX LAP 2023'!I315*'2.1 OPEX TUUA'!$G$7,'2.2 OPEX LAP 2023'!I315*'2.1 OPEX TUUA'!$G$8)</f>
        <v>0</v>
      </c>
      <c r="H314" s="3">
        <f>+IF(F314="Pasajero",'2.2 OPEX LAP 2023'!J315*'2.1 OPEX TUUA'!$H$7,'2.2 OPEX LAP 2023'!J315*'2.1 OPEX TUUA'!$H$8)</f>
        <v>0</v>
      </c>
      <c r="I314" s="3">
        <f>+IF(F314="Pasajero",'2.2 OPEX LAP 2023'!K315*'2.1 OPEX TUUA'!$I$7,'2.2 OPEX LAP 2023'!K315*'2.1 OPEX TUUA'!$I$8)</f>
        <v>0</v>
      </c>
      <c r="J314" s="3">
        <f>+IF(F314="Pasajero",'2.2 OPEX LAP 2023'!L315*'2.1 OPEX TUUA'!$J$7,'2.2 OPEX LAP 2023'!L315*'2.1 OPEX TUUA'!$J$8)</f>
        <v>0</v>
      </c>
      <c r="K314" s="3">
        <f>+IF(F314="Pasajero",'2.2 OPEX LAP 2023'!M315*'2.1 OPEX TUUA'!$K$7,'2.2 OPEX LAP 2023'!M315*'2.1 OPEX TUUA'!$K$8)</f>
        <v>0</v>
      </c>
      <c r="L314" s="3">
        <f>+IF(F314="Pasajero",'2.2 OPEX LAP 2023'!N315*'2.1 OPEX TUUA'!$L$7,'2.2 OPEX LAP 2023'!N315*'2.1 OPEX TUUA'!$L$8)</f>
        <v>0</v>
      </c>
      <c r="M314" s="3"/>
      <c r="N314" s="3">
        <f>+IF(F314="Pasajero",'2.2 OPEX LAP 2023'!I315*'2.1 OPEX TUUA'!$N$7,'2.2 OPEX LAP 2023'!I315*'2.1 OPEX TUUA'!$N$8)</f>
        <v>0</v>
      </c>
      <c r="O314" s="3">
        <f>+IF(F314="Pasajero",'2.2 OPEX LAP 2023'!J315*'2.1 OPEX TUUA'!$O$7,'2.2 OPEX LAP 2023'!J315*'2.1 OPEX TUUA'!$O$8)</f>
        <v>0</v>
      </c>
      <c r="P314" s="3">
        <f>+IF(F314="Pasajero",'2.2 OPEX LAP 2023'!K315*'2.1 OPEX TUUA'!$P$7,'2.2 OPEX LAP 2023'!K315*'2.1 OPEX TUUA'!$P$8)</f>
        <v>0</v>
      </c>
      <c r="Q314" s="3">
        <f>+IF(F314="Pasajero",'2.2 OPEX LAP 2023'!L315*'2.1 OPEX TUUA'!$Q$7,'2.2 OPEX LAP 2023'!L315*'2.1 OPEX TUUA'!$Q$8)</f>
        <v>0</v>
      </c>
      <c r="R314" s="3">
        <f>+IF(F314="Pasajero",'2.2 OPEX LAP 2023'!M315*'2.1 OPEX TUUA'!$R$7,'2.2 OPEX LAP 2023'!M315*'2.1 OPEX TUUA'!$R$8)</f>
        <v>0</v>
      </c>
      <c r="S314" s="3">
        <f>+IF(F314="Pasajero",'2.2 OPEX LAP 2023'!N315*'2.1 OPEX TUUA'!$S$7,'2.2 OPEX LAP 2023'!N315*'2.1 OPEX TUUA'!$S$8)</f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7">
        <f t="shared" si="27"/>
        <v>0</v>
      </c>
      <c r="AB314" s="7">
        <f t="shared" si="28"/>
        <v>0</v>
      </c>
      <c r="AC314" s="7">
        <f t="shared" si="29"/>
        <v>0</v>
      </c>
      <c r="AD314" s="7">
        <f t="shared" si="30"/>
        <v>0</v>
      </c>
      <c r="AE314" s="7">
        <f t="shared" si="31"/>
        <v>0</v>
      </c>
      <c r="AF314" s="7">
        <f t="shared" si="32"/>
        <v>0</v>
      </c>
    </row>
    <row r="315" spans="2:32" x14ac:dyDescent="0.25">
      <c r="B315" s="17">
        <v>6563000004</v>
      </c>
      <c r="C315" s="193" t="s">
        <v>176</v>
      </c>
      <c r="D315" s="193" t="s">
        <v>38</v>
      </c>
      <c r="E315" s="193" t="s">
        <v>163</v>
      </c>
      <c r="F315" s="163" t="s">
        <v>190</v>
      </c>
      <c r="G315" s="3">
        <f>+IF(F315="Pasajero",'2.2 OPEX LAP 2023'!I316*'2.1 OPEX TUUA'!$G$7,'2.2 OPEX LAP 2023'!I316*'2.1 OPEX TUUA'!$G$8)</f>
        <v>0</v>
      </c>
      <c r="H315" s="3">
        <f>+IF(F315="Pasajero",'2.2 OPEX LAP 2023'!J316*'2.1 OPEX TUUA'!$H$7,'2.2 OPEX LAP 2023'!J316*'2.1 OPEX TUUA'!$H$8)</f>
        <v>0</v>
      </c>
      <c r="I315" s="3">
        <f>+IF(F315="Pasajero",'2.2 OPEX LAP 2023'!K316*'2.1 OPEX TUUA'!$I$7,'2.2 OPEX LAP 2023'!K316*'2.1 OPEX TUUA'!$I$8)</f>
        <v>0</v>
      </c>
      <c r="J315" s="3">
        <f>+IF(F315="Pasajero",'2.2 OPEX LAP 2023'!L316*'2.1 OPEX TUUA'!$J$7,'2.2 OPEX LAP 2023'!L316*'2.1 OPEX TUUA'!$J$8)</f>
        <v>0</v>
      </c>
      <c r="K315" s="3">
        <f>+IF(F315="Pasajero",'2.2 OPEX LAP 2023'!M316*'2.1 OPEX TUUA'!$K$7,'2.2 OPEX LAP 2023'!M316*'2.1 OPEX TUUA'!$K$8)</f>
        <v>0</v>
      </c>
      <c r="L315" s="3">
        <f>+IF(F315="Pasajero",'2.2 OPEX LAP 2023'!N316*'2.1 OPEX TUUA'!$L$7,'2.2 OPEX LAP 2023'!N316*'2.1 OPEX TUUA'!$L$8)</f>
        <v>0</v>
      </c>
      <c r="M315" s="3"/>
      <c r="N315" s="3">
        <f>+IF(F315="Pasajero",'2.2 OPEX LAP 2023'!I316*'2.1 OPEX TUUA'!$N$7,'2.2 OPEX LAP 2023'!I316*'2.1 OPEX TUUA'!$N$8)</f>
        <v>0</v>
      </c>
      <c r="O315" s="3">
        <f>+IF(F315="Pasajero",'2.2 OPEX LAP 2023'!J316*'2.1 OPEX TUUA'!$O$7,'2.2 OPEX LAP 2023'!J316*'2.1 OPEX TUUA'!$O$8)</f>
        <v>0</v>
      </c>
      <c r="P315" s="3">
        <f>+IF(F315="Pasajero",'2.2 OPEX LAP 2023'!K316*'2.1 OPEX TUUA'!$P$7,'2.2 OPEX LAP 2023'!K316*'2.1 OPEX TUUA'!$P$8)</f>
        <v>0</v>
      </c>
      <c r="Q315" s="3">
        <f>+IF(F315="Pasajero",'2.2 OPEX LAP 2023'!L316*'2.1 OPEX TUUA'!$Q$7,'2.2 OPEX LAP 2023'!L316*'2.1 OPEX TUUA'!$Q$8)</f>
        <v>0</v>
      </c>
      <c r="R315" s="3">
        <f>+IF(F315="Pasajero",'2.2 OPEX LAP 2023'!M316*'2.1 OPEX TUUA'!$R$7,'2.2 OPEX LAP 2023'!M316*'2.1 OPEX TUUA'!$R$8)</f>
        <v>0</v>
      </c>
      <c r="S315" s="3">
        <f>+IF(F315="Pasajero",'2.2 OPEX LAP 2023'!N316*'2.1 OPEX TUUA'!$S$7,'2.2 OPEX LAP 2023'!N316*'2.1 OPEX TUUA'!$S$8)</f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7">
        <f t="shared" si="27"/>
        <v>0</v>
      </c>
      <c r="AB315" s="7">
        <f t="shared" si="28"/>
        <v>0</v>
      </c>
      <c r="AC315" s="7">
        <f t="shared" si="29"/>
        <v>0</v>
      </c>
      <c r="AD315" s="7">
        <f t="shared" si="30"/>
        <v>0</v>
      </c>
      <c r="AE315" s="7">
        <f t="shared" si="31"/>
        <v>0</v>
      </c>
      <c r="AF315" s="7">
        <f t="shared" si="32"/>
        <v>0</v>
      </c>
    </row>
    <row r="316" spans="2:32" x14ac:dyDescent="0.25">
      <c r="B316" s="17">
        <v>6563000005</v>
      </c>
      <c r="C316" s="193" t="s">
        <v>176</v>
      </c>
      <c r="D316" s="193" t="s">
        <v>38</v>
      </c>
      <c r="E316" s="193" t="s">
        <v>164</v>
      </c>
      <c r="F316" s="163" t="s">
        <v>190</v>
      </c>
      <c r="G316" s="3">
        <f>+IF(F316="Pasajero",'2.2 OPEX LAP 2023'!I317*'2.1 OPEX TUUA'!$G$7,'2.2 OPEX LAP 2023'!I317*'2.1 OPEX TUUA'!$G$8)</f>
        <v>0</v>
      </c>
      <c r="H316" s="3">
        <f>+IF(F316="Pasajero",'2.2 OPEX LAP 2023'!J317*'2.1 OPEX TUUA'!$H$7,'2.2 OPEX LAP 2023'!J317*'2.1 OPEX TUUA'!$H$8)</f>
        <v>0</v>
      </c>
      <c r="I316" s="3">
        <f>+IF(F316="Pasajero",'2.2 OPEX LAP 2023'!K317*'2.1 OPEX TUUA'!$I$7,'2.2 OPEX LAP 2023'!K317*'2.1 OPEX TUUA'!$I$8)</f>
        <v>0</v>
      </c>
      <c r="J316" s="3">
        <f>+IF(F316="Pasajero",'2.2 OPEX LAP 2023'!L317*'2.1 OPEX TUUA'!$J$7,'2.2 OPEX LAP 2023'!L317*'2.1 OPEX TUUA'!$J$8)</f>
        <v>0</v>
      </c>
      <c r="K316" s="3">
        <f>+IF(F316="Pasajero",'2.2 OPEX LAP 2023'!M317*'2.1 OPEX TUUA'!$K$7,'2.2 OPEX LAP 2023'!M317*'2.1 OPEX TUUA'!$K$8)</f>
        <v>0</v>
      </c>
      <c r="L316" s="3">
        <f>+IF(F316="Pasajero",'2.2 OPEX LAP 2023'!N317*'2.1 OPEX TUUA'!$L$7,'2.2 OPEX LAP 2023'!N317*'2.1 OPEX TUUA'!$L$8)</f>
        <v>0</v>
      </c>
      <c r="M316" s="3"/>
      <c r="N316" s="3">
        <f>+IF(F316="Pasajero",'2.2 OPEX LAP 2023'!I317*'2.1 OPEX TUUA'!$N$7,'2.2 OPEX LAP 2023'!I317*'2.1 OPEX TUUA'!$N$8)</f>
        <v>0</v>
      </c>
      <c r="O316" s="3">
        <f>+IF(F316="Pasajero",'2.2 OPEX LAP 2023'!J317*'2.1 OPEX TUUA'!$O$7,'2.2 OPEX LAP 2023'!J317*'2.1 OPEX TUUA'!$O$8)</f>
        <v>0</v>
      </c>
      <c r="P316" s="3">
        <f>+IF(F316="Pasajero",'2.2 OPEX LAP 2023'!K317*'2.1 OPEX TUUA'!$P$7,'2.2 OPEX LAP 2023'!K317*'2.1 OPEX TUUA'!$P$8)</f>
        <v>0</v>
      </c>
      <c r="Q316" s="3">
        <f>+IF(F316="Pasajero",'2.2 OPEX LAP 2023'!L317*'2.1 OPEX TUUA'!$Q$7,'2.2 OPEX LAP 2023'!L317*'2.1 OPEX TUUA'!$Q$8)</f>
        <v>0</v>
      </c>
      <c r="R316" s="3">
        <f>+IF(F316="Pasajero",'2.2 OPEX LAP 2023'!M317*'2.1 OPEX TUUA'!$R$7,'2.2 OPEX LAP 2023'!M317*'2.1 OPEX TUUA'!$R$8)</f>
        <v>0</v>
      </c>
      <c r="S316" s="3">
        <f>+IF(F316="Pasajero",'2.2 OPEX LAP 2023'!N317*'2.1 OPEX TUUA'!$S$7,'2.2 OPEX LAP 2023'!N317*'2.1 OPEX TUUA'!$S$8)</f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7">
        <f t="shared" si="27"/>
        <v>0</v>
      </c>
      <c r="AB316" s="7">
        <f t="shared" si="28"/>
        <v>0</v>
      </c>
      <c r="AC316" s="7">
        <f t="shared" si="29"/>
        <v>0</v>
      </c>
      <c r="AD316" s="7">
        <f t="shared" si="30"/>
        <v>0</v>
      </c>
      <c r="AE316" s="7">
        <f t="shared" si="31"/>
        <v>0</v>
      </c>
      <c r="AF316" s="7">
        <f t="shared" si="32"/>
        <v>0</v>
      </c>
    </row>
    <row r="317" spans="2:32" x14ac:dyDescent="0.25">
      <c r="B317" s="17">
        <v>6590000001</v>
      </c>
      <c r="C317" s="193" t="s">
        <v>176</v>
      </c>
      <c r="D317" s="193" t="s">
        <v>38</v>
      </c>
      <c r="E317" s="193" t="s">
        <v>165</v>
      </c>
      <c r="F317" s="163" t="s">
        <v>190</v>
      </c>
      <c r="G317" s="3">
        <f>+IF(F317="Pasajero",'2.2 OPEX LAP 2023'!I318*'2.1 OPEX TUUA'!$G$7,'2.2 OPEX LAP 2023'!I318*'2.1 OPEX TUUA'!$G$8)</f>
        <v>0</v>
      </c>
      <c r="H317" s="3">
        <f>+IF(F317="Pasajero",'2.2 OPEX LAP 2023'!J318*'2.1 OPEX TUUA'!$H$7,'2.2 OPEX LAP 2023'!J318*'2.1 OPEX TUUA'!$H$8)</f>
        <v>0</v>
      </c>
      <c r="I317" s="3">
        <f>+IF(F317="Pasajero",'2.2 OPEX LAP 2023'!K318*'2.1 OPEX TUUA'!$I$7,'2.2 OPEX LAP 2023'!K318*'2.1 OPEX TUUA'!$I$8)</f>
        <v>0</v>
      </c>
      <c r="J317" s="3">
        <f>+IF(F317="Pasajero",'2.2 OPEX LAP 2023'!L318*'2.1 OPEX TUUA'!$J$7,'2.2 OPEX LAP 2023'!L318*'2.1 OPEX TUUA'!$J$8)</f>
        <v>0</v>
      </c>
      <c r="K317" s="3">
        <f>+IF(F317="Pasajero",'2.2 OPEX LAP 2023'!M318*'2.1 OPEX TUUA'!$K$7,'2.2 OPEX LAP 2023'!M318*'2.1 OPEX TUUA'!$K$8)</f>
        <v>0</v>
      </c>
      <c r="L317" s="3">
        <f>+IF(F317="Pasajero",'2.2 OPEX LAP 2023'!N318*'2.1 OPEX TUUA'!$L$7,'2.2 OPEX LAP 2023'!N318*'2.1 OPEX TUUA'!$L$8)</f>
        <v>0</v>
      </c>
      <c r="M317" s="3"/>
      <c r="N317" s="3">
        <f>+IF(F317="Pasajero",'2.2 OPEX LAP 2023'!I318*'2.1 OPEX TUUA'!$N$7,'2.2 OPEX LAP 2023'!I318*'2.1 OPEX TUUA'!$N$8)</f>
        <v>0</v>
      </c>
      <c r="O317" s="3">
        <f>+IF(F317="Pasajero",'2.2 OPEX LAP 2023'!J318*'2.1 OPEX TUUA'!$O$7,'2.2 OPEX LAP 2023'!J318*'2.1 OPEX TUUA'!$O$8)</f>
        <v>0</v>
      </c>
      <c r="P317" s="3">
        <f>+IF(F317="Pasajero",'2.2 OPEX LAP 2023'!K318*'2.1 OPEX TUUA'!$P$7,'2.2 OPEX LAP 2023'!K318*'2.1 OPEX TUUA'!$P$8)</f>
        <v>0</v>
      </c>
      <c r="Q317" s="3">
        <f>+IF(F317="Pasajero",'2.2 OPEX LAP 2023'!L318*'2.1 OPEX TUUA'!$Q$7,'2.2 OPEX LAP 2023'!L318*'2.1 OPEX TUUA'!$Q$8)</f>
        <v>0</v>
      </c>
      <c r="R317" s="3">
        <f>+IF(F317="Pasajero",'2.2 OPEX LAP 2023'!M318*'2.1 OPEX TUUA'!$R$7,'2.2 OPEX LAP 2023'!M318*'2.1 OPEX TUUA'!$R$8)</f>
        <v>0</v>
      </c>
      <c r="S317" s="3">
        <f>+IF(F317="Pasajero",'2.2 OPEX LAP 2023'!N318*'2.1 OPEX TUUA'!$S$7,'2.2 OPEX LAP 2023'!N318*'2.1 OPEX TUUA'!$S$8)</f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7">
        <f t="shared" si="27"/>
        <v>0</v>
      </c>
      <c r="AB317" s="7">
        <f t="shared" si="28"/>
        <v>0</v>
      </c>
      <c r="AC317" s="7">
        <f t="shared" si="29"/>
        <v>0</v>
      </c>
      <c r="AD317" s="7">
        <f t="shared" si="30"/>
        <v>0</v>
      </c>
      <c r="AE317" s="7">
        <f t="shared" si="31"/>
        <v>0</v>
      </c>
      <c r="AF317" s="7">
        <f t="shared" si="32"/>
        <v>0</v>
      </c>
    </row>
    <row r="318" spans="2:32" x14ac:dyDescent="0.25">
      <c r="B318" s="17">
        <v>6590000002</v>
      </c>
      <c r="C318" s="193" t="s">
        <v>176</v>
      </c>
      <c r="D318" s="193" t="s">
        <v>38</v>
      </c>
      <c r="E318" s="193" t="s">
        <v>166</v>
      </c>
      <c r="F318" s="163" t="s">
        <v>190</v>
      </c>
      <c r="G318" s="3">
        <f>+IF(F318="Pasajero",'2.2 OPEX LAP 2023'!I319*'2.1 OPEX TUUA'!$G$7,'2.2 OPEX LAP 2023'!I319*'2.1 OPEX TUUA'!$G$8)</f>
        <v>111.3041655228059</v>
      </c>
      <c r="H318" s="3">
        <f>+IF(F318="Pasajero",'2.2 OPEX LAP 2023'!J319*'2.1 OPEX TUUA'!$H$7,'2.2 OPEX LAP 2023'!J319*'2.1 OPEX TUUA'!$H$8)</f>
        <v>130.56035194399908</v>
      </c>
      <c r="I318" s="3">
        <f>+IF(F318="Pasajero",'2.2 OPEX LAP 2023'!K319*'2.1 OPEX TUUA'!$I$7,'2.2 OPEX LAP 2023'!K319*'2.1 OPEX TUUA'!$I$8)</f>
        <v>146.77060791686552</v>
      </c>
      <c r="J318" s="3">
        <f>+IF(F318="Pasajero",'2.2 OPEX LAP 2023'!L319*'2.1 OPEX TUUA'!$J$7,'2.2 OPEX LAP 2023'!L319*'2.1 OPEX TUUA'!$J$8)</f>
        <v>155.50585059258503</v>
      </c>
      <c r="K318" s="3">
        <f>+IF(F318="Pasajero",'2.2 OPEX LAP 2023'!M319*'2.1 OPEX TUUA'!$K$7,'2.2 OPEX LAP 2023'!M319*'2.1 OPEX TUUA'!$K$8)</f>
        <v>161.88817367833786</v>
      </c>
      <c r="L318" s="3">
        <f>+IF(F318="Pasajero",'2.2 OPEX LAP 2023'!N319*'2.1 OPEX TUUA'!$L$7,'2.2 OPEX LAP 2023'!N319*'2.1 OPEX TUUA'!$L$8)</f>
        <v>168.97905805778825</v>
      </c>
      <c r="M318" s="3"/>
      <c r="N318" s="3">
        <f>+IF(F318="Pasajero",'2.2 OPEX LAP 2023'!I319*'2.1 OPEX TUUA'!$N$7,'2.2 OPEX LAP 2023'!I319*'2.1 OPEX TUUA'!$N$8)</f>
        <v>54.897131530804749</v>
      </c>
      <c r="O318" s="3">
        <f>+IF(F318="Pasajero",'2.2 OPEX LAP 2023'!J319*'2.1 OPEX TUUA'!$O$7,'2.2 OPEX LAP 2023'!J319*'2.1 OPEX TUUA'!$O$8)</f>
        <v>54.073296525965802</v>
      </c>
      <c r="P318" s="3">
        <f>+IF(F318="Pasajero",'2.2 OPEX LAP 2023'!K319*'2.1 OPEX TUUA'!$P$7,'2.2 OPEX LAP 2023'!K319*'2.1 OPEX TUUA'!$P$8)</f>
        <v>53.736928398856904</v>
      </c>
      <c r="Q318" s="3">
        <f>+IF(F318="Pasajero",'2.2 OPEX LAP 2023'!L319*'2.1 OPEX TUUA'!$Q$7,'2.2 OPEX LAP 2023'!L319*'2.1 OPEX TUUA'!$Q$8)</f>
        <v>53.386853611481207</v>
      </c>
      <c r="R318" s="3">
        <f>+IF(F318="Pasajero",'2.2 OPEX LAP 2023'!M319*'2.1 OPEX TUUA'!$R$7,'2.2 OPEX LAP 2023'!M319*'2.1 OPEX TUUA'!$R$8)</f>
        <v>53.67330656672727</v>
      </c>
      <c r="S318" s="3">
        <f>+IF(F318="Pasajero",'2.2 OPEX LAP 2023'!N319*'2.1 OPEX TUUA'!$S$7,'2.2 OPEX LAP 2023'!N319*'2.1 OPEX TUUA'!$S$8)</f>
        <v>53.707567118282697</v>
      </c>
      <c r="U318" s="1">
        <v>113.40726346460255</v>
      </c>
      <c r="V318" s="1">
        <v>133.02729652027742</v>
      </c>
      <c r="W318" s="1">
        <v>149.54384611488209</v>
      </c>
      <c r="X318" s="1">
        <v>158.44414165098743</v>
      </c>
      <c r="Y318" s="1">
        <v>164.94705906025442</v>
      </c>
      <c r="Z318" s="1">
        <v>172.1719260653675</v>
      </c>
      <c r="AA318" s="7">
        <f t="shared" si="27"/>
        <v>-2.1030979417966478</v>
      </c>
      <c r="AB318" s="7">
        <f t="shared" si="28"/>
        <v>-2.4669445762783369</v>
      </c>
      <c r="AC318" s="7">
        <f t="shared" si="29"/>
        <v>-2.7732381980165712</v>
      </c>
      <c r="AD318" s="7">
        <f t="shared" si="30"/>
        <v>-2.9382910584023989</v>
      </c>
      <c r="AE318" s="7">
        <f t="shared" si="31"/>
        <v>-3.0588853819165536</v>
      </c>
      <c r="AF318" s="7">
        <f t="shared" si="32"/>
        <v>-3.1928680075792499</v>
      </c>
    </row>
    <row r="319" spans="2:32" x14ac:dyDescent="0.25">
      <c r="B319" s="17">
        <v>6590000003</v>
      </c>
      <c r="C319" s="193" t="s">
        <v>176</v>
      </c>
      <c r="D319" s="193" t="s">
        <v>38</v>
      </c>
      <c r="E319" s="193" t="s">
        <v>167</v>
      </c>
      <c r="F319" s="163" t="s">
        <v>190</v>
      </c>
      <c r="G319" s="3">
        <f>+IF(F319="Pasajero",'2.2 OPEX LAP 2023'!I320*'2.1 OPEX TUUA'!$G$7,'2.2 OPEX LAP 2023'!I320*'2.1 OPEX TUUA'!$G$8)</f>
        <v>0</v>
      </c>
      <c r="H319" s="3">
        <f>+IF(F319="Pasajero",'2.2 OPEX LAP 2023'!J320*'2.1 OPEX TUUA'!$H$7,'2.2 OPEX LAP 2023'!J320*'2.1 OPEX TUUA'!$H$8)</f>
        <v>0</v>
      </c>
      <c r="I319" s="3">
        <f>+IF(F319="Pasajero",'2.2 OPEX LAP 2023'!K320*'2.1 OPEX TUUA'!$I$7,'2.2 OPEX LAP 2023'!K320*'2.1 OPEX TUUA'!$I$8)</f>
        <v>0</v>
      </c>
      <c r="J319" s="3">
        <f>+IF(F319="Pasajero",'2.2 OPEX LAP 2023'!L320*'2.1 OPEX TUUA'!$J$7,'2.2 OPEX LAP 2023'!L320*'2.1 OPEX TUUA'!$J$8)</f>
        <v>0</v>
      </c>
      <c r="K319" s="3">
        <f>+IF(F319="Pasajero",'2.2 OPEX LAP 2023'!M320*'2.1 OPEX TUUA'!$K$7,'2.2 OPEX LAP 2023'!M320*'2.1 OPEX TUUA'!$K$8)</f>
        <v>0</v>
      </c>
      <c r="L319" s="3">
        <f>+IF(F319="Pasajero",'2.2 OPEX LAP 2023'!N320*'2.1 OPEX TUUA'!$L$7,'2.2 OPEX LAP 2023'!N320*'2.1 OPEX TUUA'!$L$8)</f>
        <v>0</v>
      </c>
      <c r="M319" s="3"/>
      <c r="N319" s="3">
        <f>+IF(F319="Pasajero",'2.2 OPEX LAP 2023'!I320*'2.1 OPEX TUUA'!$N$7,'2.2 OPEX LAP 2023'!I320*'2.1 OPEX TUUA'!$N$8)</f>
        <v>0</v>
      </c>
      <c r="O319" s="3">
        <f>+IF(F319="Pasajero",'2.2 OPEX LAP 2023'!J320*'2.1 OPEX TUUA'!$O$7,'2.2 OPEX LAP 2023'!J320*'2.1 OPEX TUUA'!$O$8)</f>
        <v>0</v>
      </c>
      <c r="P319" s="3">
        <f>+IF(F319="Pasajero",'2.2 OPEX LAP 2023'!K320*'2.1 OPEX TUUA'!$P$7,'2.2 OPEX LAP 2023'!K320*'2.1 OPEX TUUA'!$P$8)</f>
        <v>0</v>
      </c>
      <c r="Q319" s="3">
        <f>+IF(F319="Pasajero",'2.2 OPEX LAP 2023'!L320*'2.1 OPEX TUUA'!$Q$7,'2.2 OPEX LAP 2023'!L320*'2.1 OPEX TUUA'!$Q$8)</f>
        <v>0</v>
      </c>
      <c r="R319" s="3">
        <f>+IF(F319="Pasajero",'2.2 OPEX LAP 2023'!M320*'2.1 OPEX TUUA'!$R$7,'2.2 OPEX LAP 2023'!M320*'2.1 OPEX TUUA'!$R$8)</f>
        <v>0</v>
      </c>
      <c r="S319" s="3">
        <f>+IF(F319="Pasajero",'2.2 OPEX LAP 2023'!N320*'2.1 OPEX TUUA'!$S$7,'2.2 OPEX LAP 2023'!N320*'2.1 OPEX TUUA'!$S$8)</f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7">
        <f t="shared" si="27"/>
        <v>0</v>
      </c>
      <c r="AB319" s="7">
        <f t="shared" si="28"/>
        <v>0</v>
      </c>
      <c r="AC319" s="7">
        <f t="shared" si="29"/>
        <v>0</v>
      </c>
      <c r="AD319" s="7">
        <f t="shared" si="30"/>
        <v>0</v>
      </c>
      <c r="AE319" s="7">
        <f t="shared" si="31"/>
        <v>0</v>
      </c>
      <c r="AF319" s="7">
        <f t="shared" si="32"/>
        <v>0</v>
      </c>
    </row>
    <row r="320" spans="2:32" x14ac:dyDescent="0.25">
      <c r="B320" s="17">
        <v>6590000004</v>
      </c>
      <c r="C320" s="193" t="s">
        <v>176</v>
      </c>
      <c r="D320" s="193" t="s">
        <v>38</v>
      </c>
      <c r="E320" s="193" t="s">
        <v>168</v>
      </c>
      <c r="F320" s="163" t="s">
        <v>190</v>
      </c>
      <c r="G320" s="3">
        <f>+IF(F320="Pasajero",'2.2 OPEX LAP 2023'!I321*'2.1 OPEX TUUA'!$G$7,'2.2 OPEX LAP 2023'!I321*'2.1 OPEX TUUA'!$G$8)</f>
        <v>7.6891201765721746</v>
      </c>
      <c r="H320" s="3">
        <f>+IF(F320="Pasajero",'2.2 OPEX LAP 2023'!J321*'2.1 OPEX TUUA'!$H$7,'2.2 OPEX LAP 2023'!J321*'2.1 OPEX TUUA'!$H$8)</f>
        <v>9.0193770527597401</v>
      </c>
      <c r="I320" s="3">
        <f>+IF(F320="Pasajero",'2.2 OPEX LAP 2023'!K321*'2.1 OPEX TUUA'!$I$7,'2.2 OPEX LAP 2023'!K321*'2.1 OPEX TUUA'!$I$8)</f>
        <v>10.139214802613118</v>
      </c>
      <c r="J320" s="3">
        <f>+IF(F320="Pasajero",'2.2 OPEX LAP 2023'!L321*'2.1 OPEX TUUA'!$J$7,'2.2 OPEX LAP 2023'!L321*'2.1 OPEX TUUA'!$J$8)</f>
        <v>10.742663293418856</v>
      </c>
      <c r="K320" s="3">
        <f>+IF(F320="Pasajero",'2.2 OPEX LAP 2023'!M321*'2.1 OPEX TUUA'!$K$7,'2.2 OPEX LAP 2023'!M321*'2.1 OPEX TUUA'!$K$8)</f>
        <v>11.183567270206762</v>
      </c>
      <c r="L320" s="3">
        <f>+IF(F320="Pasajero",'2.2 OPEX LAP 2023'!N321*'2.1 OPEX TUUA'!$L$7,'2.2 OPEX LAP 2023'!N321*'2.1 OPEX TUUA'!$L$8)</f>
        <v>11.673420115297279</v>
      </c>
      <c r="M320" s="3"/>
      <c r="N320" s="3">
        <f>+IF(F320="Pasajero",'2.2 OPEX LAP 2023'!I321*'2.1 OPEX TUUA'!$N$7,'2.2 OPEX LAP 2023'!I321*'2.1 OPEX TUUA'!$N$8)</f>
        <v>3.7924065079393459</v>
      </c>
      <c r="O320" s="3">
        <f>+IF(F320="Pasajero",'2.2 OPEX LAP 2023'!J321*'2.1 OPEX TUUA'!$O$7,'2.2 OPEX LAP 2023'!J321*'2.1 OPEX TUUA'!$O$8)</f>
        <v>3.7354942951023915</v>
      </c>
      <c r="P320" s="3">
        <f>+IF(F320="Pasajero",'2.2 OPEX LAP 2023'!K321*'2.1 OPEX TUUA'!$P$7,'2.2 OPEX LAP 2023'!K321*'2.1 OPEX TUUA'!$P$8)</f>
        <v>3.7122572945754082</v>
      </c>
      <c r="Q320" s="3">
        <f>+IF(F320="Pasajero",'2.2 OPEX LAP 2023'!L321*'2.1 OPEX TUUA'!$Q$7,'2.2 OPEX LAP 2023'!L321*'2.1 OPEX TUUA'!$Q$8)</f>
        <v>3.6880734098279131</v>
      </c>
      <c r="R320" s="3">
        <f>+IF(F320="Pasajero",'2.2 OPEX LAP 2023'!M321*'2.1 OPEX TUUA'!$R$7,'2.2 OPEX LAP 2023'!M321*'2.1 OPEX TUUA'!$R$8)</f>
        <v>3.7078621678449695</v>
      </c>
      <c r="S320" s="3">
        <f>+IF(F320="Pasajero",'2.2 OPEX LAP 2023'!N321*'2.1 OPEX TUUA'!$S$7,'2.2 OPEX LAP 2023'!N321*'2.1 OPEX TUUA'!$S$8)</f>
        <v>3.7102289570571068</v>
      </c>
      <c r="U320" s="1">
        <v>7.8344064984417958</v>
      </c>
      <c r="V320" s="1">
        <v>9.189798646837998</v>
      </c>
      <c r="W320" s="1">
        <v>10.330795788667414</v>
      </c>
      <c r="X320" s="1">
        <v>10.945646469795793</v>
      </c>
      <c r="Y320" s="1">
        <v>11.394881349939894</v>
      </c>
      <c r="Z320" s="1">
        <v>11.893989989774969</v>
      </c>
      <c r="AA320" s="7">
        <f t="shared" si="27"/>
        <v>-0.1452863218696212</v>
      </c>
      <c r="AB320" s="7">
        <f t="shared" si="28"/>
        <v>-0.17042159407825785</v>
      </c>
      <c r="AC320" s="7">
        <f t="shared" si="29"/>
        <v>-0.19158098605429608</v>
      </c>
      <c r="AD320" s="7">
        <f t="shared" si="30"/>
        <v>-0.20298317637693764</v>
      </c>
      <c r="AE320" s="7">
        <f t="shared" si="31"/>
        <v>-0.21131407973313188</v>
      </c>
      <c r="AF320" s="7">
        <f t="shared" si="32"/>
        <v>-0.22056987447768961</v>
      </c>
    </row>
    <row r="321" spans="2:32" x14ac:dyDescent="0.25">
      <c r="B321" s="17">
        <v>6590000005</v>
      </c>
      <c r="C321" s="193" t="s">
        <v>176</v>
      </c>
      <c r="D321" s="193" t="s">
        <v>38</v>
      </c>
      <c r="E321" s="193" t="s">
        <v>169</v>
      </c>
      <c r="F321" s="163" t="s">
        <v>190</v>
      </c>
      <c r="G321" s="3">
        <f>+IF(F321="Pasajero",'2.2 OPEX LAP 2023'!I322*'2.1 OPEX TUUA'!$G$7,'2.2 OPEX LAP 2023'!I322*'2.1 OPEX TUUA'!$G$8)</f>
        <v>0</v>
      </c>
      <c r="H321" s="3">
        <f>+IF(F321="Pasajero",'2.2 OPEX LAP 2023'!J322*'2.1 OPEX TUUA'!$H$7,'2.2 OPEX LAP 2023'!J322*'2.1 OPEX TUUA'!$H$8)</f>
        <v>0</v>
      </c>
      <c r="I321" s="3">
        <f>+IF(F321="Pasajero",'2.2 OPEX LAP 2023'!K322*'2.1 OPEX TUUA'!$I$7,'2.2 OPEX LAP 2023'!K322*'2.1 OPEX TUUA'!$I$8)</f>
        <v>0</v>
      </c>
      <c r="J321" s="3">
        <f>+IF(F321="Pasajero",'2.2 OPEX LAP 2023'!L322*'2.1 OPEX TUUA'!$J$7,'2.2 OPEX LAP 2023'!L322*'2.1 OPEX TUUA'!$J$8)</f>
        <v>0</v>
      </c>
      <c r="K321" s="3">
        <f>+IF(F321="Pasajero",'2.2 OPEX LAP 2023'!M322*'2.1 OPEX TUUA'!$K$7,'2.2 OPEX LAP 2023'!M322*'2.1 OPEX TUUA'!$K$8)</f>
        <v>0</v>
      </c>
      <c r="L321" s="3">
        <f>+IF(F321="Pasajero",'2.2 OPEX LAP 2023'!N322*'2.1 OPEX TUUA'!$L$7,'2.2 OPEX LAP 2023'!N322*'2.1 OPEX TUUA'!$L$8)</f>
        <v>0</v>
      </c>
      <c r="M321" s="3"/>
      <c r="N321" s="3">
        <f>+IF(F321="Pasajero",'2.2 OPEX LAP 2023'!I322*'2.1 OPEX TUUA'!$N$7,'2.2 OPEX LAP 2023'!I322*'2.1 OPEX TUUA'!$N$8)</f>
        <v>0</v>
      </c>
      <c r="O321" s="3">
        <f>+IF(F321="Pasajero",'2.2 OPEX LAP 2023'!J322*'2.1 OPEX TUUA'!$O$7,'2.2 OPEX LAP 2023'!J322*'2.1 OPEX TUUA'!$O$8)</f>
        <v>0</v>
      </c>
      <c r="P321" s="3">
        <f>+IF(F321="Pasajero",'2.2 OPEX LAP 2023'!K322*'2.1 OPEX TUUA'!$P$7,'2.2 OPEX LAP 2023'!K322*'2.1 OPEX TUUA'!$P$8)</f>
        <v>0</v>
      </c>
      <c r="Q321" s="3">
        <f>+IF(F321="Pasajero",'2.2 OPEX LAP 2023'!L322*'2.1 OPEX TUUA'!$Q$7,'2.2 OPEX LAP 2023'!L322*'2.1 OPEX TUUA'!$Q$8)</f>
        <v>0</v>
      </c>
      <c r="R321" s="3">
        <f>+IF(F321="Pasajero",'2.2 OPEX LAP 2023'!M322*'2.1 OPEX TUUA'!$R$7,'2.2 OPEX LAP 2023'!M322*'2.1 OPEX TUUA'!$R$8)</f>
        <v>0</v>
      </c>
      <c r="S321" s="3">
        <f>+IF(F321="Pasajero",'2.2 OPEX LAP 2023'!N322*'2.1 OPEX TUUA'!$S$7,'2.2 OPEX LAP 2023'!N322*'2.1 OPEX TUUA'!$S$8)</f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7">
        <f t="shared" si="27"/>
        <v>0</v>
      </c>
      <c r="AB321" s="7">
        <f t="shared" si="28"/>
        <v>0</v>
      </c>
      <c r="AC321" s="7">
        <f t="shared" si="29"/>
        <v>0</v>
      </c>
      <c r="AD321" s="7">
        <f t="shared" si="30"/>
        <v>0</v>
      </c>
      <c r="AE321" s="7">
        <f t="shared" si="31"/>
        <v>0</v>
      </c>
      <c r="AF321" s="7">
        <f t="shared" si="32"/>
        <v>0</v>
      </c>
    </row>
    <row r="322" spans="2:32" x14ac:dyDescent="0.25">
      <c r="B322" s="17">
        <v>6590000006</v>
      </c>
      <c r="C322" s="193" t="s">
        <v>176</v>
      </c>
      <c r="D322" s="193" t="s">
        <v>38</v>
      </c>
      <c r="E322" s="193" t="s">
        <v>170</v>
      </c>
      <c r="F322" s="163" t="s">
        <v>190</v>
      </c>
      <c r="G322" s="3">
        <f>+IF(F322="Pasajero",'2.2 OPEX LAP 2023'!I323*'2.1 OPEX TUUA'!$G$7,'2.2 OPEX LAP 2023'!I323*'2.1 OPEX TUUA'!$G$8)</f>
        <v>0</v>
      </c>
      <c r="H322" s="3">
        <f>+IF(F322="Pasajero",'2.2 OPEX LAP 2023'!J323*'2.1 OPEX TUUA'!$H$7,'2.2 OPEX LAP 2023'!J323*'2.1 OPEX TUUA'!$H$8)</f>
        <v>0</v>
      </c>
      <c r="I322" s="3">
        <f>+IF(F322="Pasajero",'2.2 OPEX LAP 2023'!K323*'2.1 OPEX TUUA'!$I$7,'2.2 OPEX LAP 2023'!K323*'2.1 OPEX TUUA'!$I$8)</f>
        <v>0</v>
      </c>
      <c r="J322" s="3">
        <f>+IF(F322="Pasajero",'2.2 OPEX LAP 2023'!L323*'2.1 OPEX TUUA'!$J$7,'2.2 OPEX LAP 2023'!L323*'2.1 OPEX TUUA'!$J$8)</f>
        <v>0</v>
      </c>
      <c r="K322" s="3">
        <f>+IF(F322="Pasajero",'2.2 OPEX LAP 2023'!M323*'2.1 OPEX TUUA'!$K$7,'2.2 OPEX LAP 2023'!M323*'2.1 OPEX TUUA'!$K$8)</f>
        <v>0</v>
      </c>
      <c r="L322" s="3">
        <f>+IF(F322="Pasajero",'2.2 OPEX LAP 2023'!N323*'2.1 OPEX TUUA'!$L$7,'2.2 OPEX LAP 2023'!N323*'2.1 OPEX TUUA'!$L$8)</f>
        <v>0</v>
      </c>
      <c r="M322" s="3"/>
      <c r="N322" s="3">
        <f>+IF(F322="Pasajero",'2.2 OPEX LAP 2023'!I323*'2.1 OPEX TUUA'!$N$7,'2.2 OPEX LAP 2023'!I323*'2.1 OPEX TUUA'!$N$8)</f>
        <v>0</v>
      </c>
      <c r="O322" s="3">
        <f>+IF(F322="Pasajero",'2.2 OPEX LAP 2023'!J323*'2.1 OPEX TUUA'!$O$7,'2.2 OPEX LAP 2023'!J323*'2.1 OPEX TUUA'!$O$8)</f>
        <v>0</v>
      </c>
      <c r="P322" s="3">
        <f>+IF(F322="Pasajero",'2.2 OPEX LAP 2023'!K323*'2.1 OPEX TUUA'!$P$7,'2.2 OPEX LAP 2023'!K323*'2.1 OPEX TUUA'!$P$8)</f>
        <v>0</v>
      </c>
      <c r="Q322" s="3">
        <f>+IF(F322="Pasajero",'2.2 OPEX LAP 2023'!L323*'2.1 OPEX TUUA'!$Q$7,'2.2 OPEX LAP 2023'!L323*'2.1 OPEX TUUA'!$Q$8)</f>
        <v>0</v>
      </c>
      <c r="R322" s="3">
        <f>+IF(F322="Pasajero",'2.2 OPEX LAP 2023'!M323*'2.1 OPEX TUUA'!$R$7,'2.2 OPEX LAP 2023'!M323*'2.1 OPEX TUUA'!$R$8)</f>
        <v>0</v>
      </c>
      <c r="S322" s="3">
        <f>+IF(F322="Pasajero",'2.2 OPEX LAP 2023'!N323*'2.1 OPEX TUUA'!$S$7,'2.2 OPEX LAP 2023'!N323*'2.1 OPEX TUUA'!$S$8)</f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7">
        <f t="shared" si="27"/>
        <v>0</v>
      </c>
      <c r="AB322" s="7">
        <f t="shared" si="28"/>
        <v>0</v>
      </c>
      <c r="AC322" s="7">
        <f t="shared" si="29"/>
        <v>0</v>
      </c>
      <c r="AD322" s="7">
        <f t="shared" si="30"/>
        <v>0</v>
      </c>
      <c r="AE322" s="7">
        <f t="shared" si="31"/>
        <v>0</v>
      </c>
      <c r="AF322" s="7">
        <f t="shared" si="32"/>
        <v>0</v>
      </c>
    </row>
    <row r="323" spans="2:32" x14ac:dyDescent="0.25">
      <c r="B323" s="17">
        <v>6590000007</v>
      </c>
      <c r="C323" s="193" t="s">
        <v>176</v>
      </c>
      <c r="D323" s="193" t="s">
        <v>38</v>
      </c>
      <c r="E323" s="193" t="s">
        <v>171</v>
      </c>
      <c r="F323" s="163" t="s">
        <v>190</v>
      </c>
      <c r="G323" s="3">
        <f>+IF(F323="Pasajero",'2.2 OPEX LAP 2023'!I324*'2.1 OPEX TUUA'!$G$7,'2.2 OPEX LAP 2023'!I324*'2.1 OPEX TUUA'!$G$8)</f>
        <v>0</v>
      </c>
      <c r="H323" s="3">
        <f>+IF(F323="Pasajero",'2.2 OPEX LAP 2023'!J324*'2.1 OPEX TUUA'!$H$7,'2.2 OPEX LAP 2023'!J324*'2.1 OPEX TUUA'!$H$8)</f>
        <v>0</v>
      </c>
      <c r="I323" s="3">
        <f>+IF(F323="Pasajero",'2.2 OPEX LAP 2023'!K324*'2.1 OPEX TUUA'!$I$7,'2.2 OPEX LAP 2023'!K324*'2.1 OPEX TUUA'!$I$8)</f>
        <v>0</v>
      </c>
      <c r="J323" s="3">
        <f>+IF(F323="Pasajero",'2.2 OPEX LAP 2023'!L324*'2.1 OPEX TUUA'!$J$7,'2.2 OPEX LAP 2023'!L324*'2.1 OPEX TUUA'!$J$8)</f>
        <v>0</v>
      </c>
      <c r="K323" s="3">
        <f>+IF(F323="Pasajero",'2.2 OPEX LAP 2023'!M324*'2.1 OPEX TUUA'!$K$7,'2.2 OPEX LAP 2023'!M324*'2.1 OPEX TUUA'!$K$8)</f>
        <v>0</v>
      </c>
      <c r="L323" s="3">
        <f>+IF(F323="Pasajero",'2.2 OPEX LAP 2023'!N324*'2.1 OPEX TUUA'!$L$7,'2.2 OPEX LAP 2023'!N324*'2.1 OPEX TUUA'!$L$8)</f>
        <v>0</v>
      </c>
      <c r="M323" s="3"/>
      <c r="N323" s="3">
        <f>+IF(F323="Pasajero",'2.2 OPEX LAP 2023'!I324*'2.1 OPEX TUUA'!$N$7,'2.2 OPEX LAP 2023'!I324*'2.1 OPEX TUUA'!$N$8)</f>
        <v>0</v>
      </c>
      <c r="O323" s="3">
        <f>+IF(F323="Pasajero",'2.2 OPEX LAP 2023'!J324*'2.1 OPEX TUUA'!$O$7,'2.2 OPEX LAP 2023'!J324*'2.1 OPEX TUUA'!$O$8)</f>
        <v>0</v>
      </c>
      <c r="P323" s="3">
        <f>+IF(F323="Pasajero",'2.2 OPEX LAP 2023'!K324*'2.1 OPEX TUUA'!$P$7,'2.2 OPEX LAP 2023'!K324*'2.1 OPEX TUUA'!$P$8)</f>
        <v>0</v>
      </c>
      <c r="Q323" s="3">
        <f>+IF(F323="Pasajero",'2.2 OPEX LAP 2023'!L324*'2.1 OPEX TUUA'!$Q$7,'2.2 OPEX LAP 2023'!L324*'2.1 OPEX TUUA'!$Q$8)</f>
        <v>0</v>
      </c>
      <c r="R323" s="3">
        <f>+IF(F323="Pasajero",'2.2 OPEX LAP 2023'!M324*'2.1 OPEX TUUA'!$R$7,'2.2 OPEX LAP 2023'!M324*'2.1 OPEX TUUA'!$R$8)</f>
        <v>0</v>
      </c>
      <c r="S323" s="3">
        <f>+IF(F323="Pasajero",'2.2 OPEX LAP 2023'!N324*'2.1 OPEX TUUA'!$S$7,'2.2 OPEX LAP 2023'!N324*'2.1 OPEX TUUA'!$S$8)</f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7">
        <f t="shared" si="27"/>
        <v>0</v>
      </c>
      <c r="AB323" s="7">
        <f t="shared" si="28"/>
        <v>0</v>
      </c>
      <c r="AC323" s="7">
        <f t="shared" si="29"/>
        <v>0</v>
      </c>
      <c r="AD323" s="7">
        <f t="shared" si="30"/>
        <v>0</v>
      </c>
      <c r="AE323" s="7">
        <f t="shared" si="31"/>
        <v>0</v>
      </c>
      <c r="AF323" s="7">
        <f t="shared" si="32"/>
        <v>0</v>
      </c>
    </row>
    <row r="324" spans="2:32" x14ac:dyDescent="0.25">
      <c r="B324" s="17">
        <v>6590000010</v>
      </c>
      <c r="C324" s="193" t="s">
        <v>176</v>
      </c>
      <c r="D324" s="193" t="s">
        <v>38</v>
      </c>
      <c r="E324" s="193" t="s">
        <v>172</v>
      </c>
      <c r="F324" s="163" t="s">
        <v>190</v>
      </c>
      <c r="G324" s="3">
        <f>+IF(F324="Pasajero",'2.2 OPEX LAP 2023'!I325*'2.1 OPEX TUUA'!$G$7,'2.2 OPEX LAP 2023'!I325*'2.1 OPEX TUUA'!$G$8)</f>
        <v>0</v>
      </c>
      <c r="H324" s="3">
        <f>+IF(F324="Pasajero",'2.2 OPEX LAP 2023'!J325*'2.1 OPEX TUUA'!$H$7,'2.2 OPEX LAP 2023'!J325*'2.1 OPEX TUUA'!$H$8)</f>
        <v>0</v>
      </c>
      <c r="I324" s="3">
        <f>+IF(F324="Pasajero",'2.2 OPEX LAP 2023'!K325*'2.1 OPEX TUUA'!$I$7,'2.2 OPEX LAP 2023'!K325*'2.1 OPEX TUUA'!$I$8)</f>
        <v>0</v>
      </c>
      <c r="J324" s="3">
        <f>+IF(F324="Pasajero",'2.2 OPEX LAP 2023'!L325*'2.1 OPEX TUUA'!$J$7,'2.2 OPEX LAP 2023'!L325*'2.1 OPEX TUUA'!$J$8)</f>
        <v>0</v>
      </c>
      <c r="K324" s="3">
        <f>+IF(F324="Pasajero",'2.2 OPEX LAP 2023'!M325*'2.1 OPEX TUUA'!$K$7,'2.2 OPEX LAP 2023'!M325*'2.1 OPEX TUUA'!$K$8)</f>
        <v>0</v>
      </c>
      <c r="L324" s="3">
        <f>+IF(F324="Pasajero",'2.2 OPEX LAP 2023'!N325*'2.1 OPEX TUUA'!$L$7,'2.2 OPEX LAP 2023'!N325*'2.1 OPEX TUUA'!$L$8)</f>
        <v>0</v>
      </c>
      <c r="M324" s="3"/>
      <c r="N324" s="3">
        <f>+IF(F324="Pasajero",'2.2 OPEX LAP 2023'!I325*'2.1 OPEX TUUA'!$N$7,'2.2 OPEX LAP 2023'!I325*'2.1 OPEX TUUA'!$N$8)</f>
        <v>0</v>
      </c>
      <c r="O324" s="3">
        <f>+IF(F324="Pasajero",'2.2 OPEX LAP 2023'!J325*'2.1 OPEX TUUA'!$O$7,'2.2 OPEX LAP 2023'!J325*'2.1 OPEX TUUA'!$O$8)</f>
        <v>0</v>
      </c>
      <c r="P324" s="3">
        <f>+IF(F324="Pasajero",'2.2 OPEX LAP 2023'!K325*'2.1 OPEX TUUA'!$P$7,'2.2 OPEX LAP 2023'!K325*'2.1 OPEX TUUA'!$P$8)</f>
        <v>0</v>
      </c>
      <c r="Q324" s="3">
        <f>+IF(F324="Pasajero",'2.2 OPEX LAP 2023'!L325*'2.1 OPEX TUUA'!$Q$7,'2.2 OPEX LAP 2023'!L325*'2.1 OPEX TUUA'!$Q$8)</f>
        <v>0</v>
      </c>
      <c r="R324" s="3">
        <f>+IF(F324="Pasajero",'2.2 OPEX LAP 2023'!M325*'2.1 OPEX TUUA'!$R$7,'2.2 OPEX LAP 2023'!M325*'2.1 OPEX TUUA'!$R$8)</f>
        <v>0</v>
      </c>
      <c r="S324" s="3">
        <f>+IF(F324="Pasajero",'2.2 OPEX LAP 2023'!N325*'2.1 OPEX TUUA'!$S$7,'2.2 OPEX LAP 2023'!N325*'2.1 OPEX TUUA'!$S$8)</f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7">
        <f t="shared" si="27"/>
        <v>0</v>
      </c>
      <c r="AB324" s="7">
        <f t="shared" si="28"/>
        <v>0</v>
      </c>
      <c r="AC324" s="7">
        <f t="shared" si="29"/>
        <v>0</v>
      </c>
      <c r="AD324" s="7">
        <f t="shared" si="30"/>
        <v>0</v>
      </c>
      <c r="AE324" s="7">
        <f t="shared" si="31"/>
        <v>0</v>
      </c>
      <c r="AF324" s="7">
        <f t="shared" si="32"/>
        <v>0</v>
      </c>
    </row>
    <row r="325" spans="2:32" x14ac:dyDescent="0.25">
      <c r="B325" s="17">
        <v>6590000011</v>
      </c>
      <c r="C325" s="193" t="s">
        <v>176</v>
      </c>
      <c r="D325" s="193" t="s">
        <v>38</v>
      </c>
      <c r="E325" s="193" t="s">
        <v>173</v>
      </c>
      <c r="F325" s="163" t="s">
        <v>190</v>
      </c>
      <c r="G325" s="3">
        <f>+IF(F325="Pasajero",'2.2 OPEX LAP 2023'!I326*'2.1 OPEX TUUA'!$G$7,'2.2 OPEX LAP 2023'!I326*'2.1 OPEX TUUA'!$G$8)</f>
        <v>0</v>
      </c>
      <c r="H325" s="3">
        <f>+IF(F325="Pasajero",'2.2 OPEX LAP 2023'!J326*'2.1 OPEX TUUA'!$H$7,'2.2 OPEX LAP 2023'!J326*'2.1 OPEX TUUA'!$H$8)</f>
        <v>0</v>
      </c>
      <c r="I325" s="3">
        <f>+IF(F325="Pasajero",'2.2 OPEX LAP 2023'!K326*'2.1 OPEX TUUA'!$I$7,'2.2 OPEX LAP 2023'!K326*'2.1 OPEX TUUA'!$I$8)</f>
        <v>0</v>
      </c>
      <c r="J325" s="3">
        <f>+IF(F325="Pasajero",'2.2 OPEX LAP 2023'!L326*'2.1 OPEX TUUA'!$J$7,'2.2 OPEX LAP 2023'!L326*'2.1 OPEX TUUA'!$J$8)</f>
        <v>0</v>
      </c>
      <c r="K325" s="3">
        <f>+IF(F325="Pasajero",'2.2 OPEX LAP 2023'!M326*'2.1 OPEX TUUA'!$K$7,'2.2 OPEX LAP 2023'!M326*'2.1 OPEX TUUA'!$K$8)</f>
        <v>0</v>
      </c>
      <c r="L325" s="3">
        <f>+IF(F325="Pasajero",'2.2 OPEX LAP 2023'!N326*'2.1 OPEX TUUA'!$L$7,'2.2 OPEX LAP 2023'!N326*'2.1 OPEX TUUA'!$L$8)</f>
        <v>0</v>
      </c>
      <c r="M325" s="3"/>
      <c r="N325" s="3">
        <f>+IF(F325="Pasajero",'2.2 OPEX LAP 2023'!I326*'2.1 OPEX TUUA'!$N$7,'2.2 OPEX LAP 2023'!I326*'2.1 OPEX TUUA'!$N$8)</f>
        <v>0</v>
      </c>
      <c r="O325" s="3">
        <f>+IF(F325="Pasajero",'2.2 OPEX LAP 2023'!J326*'2.1 OPEX TUUA'!$O$7,'2.2 OPEX LAP 2023'!J326*'2.1 OPEX TUUA'!$O$8)</f>
        <v>0</v>
      </c>
      <c r="P325" s="3">
        <f>+IF(F325="Pasajero",'2.2 OPEX LAP 2023'!K326*'2.1 OPEX TUUA'!$P$7,'2.2 OPEX LAP 2023'!K326*'2.1 OPEX TUUA'!$P$8)</f>
        <v>0</v>
      </c>
      <c r="Q325" s="3">
        <f>+IF(F325="Pasajero",'2.2 OPEX LAP 2023'!L326*'2.1 OPEX TUUA'!$Q$7,'2.2 OPEX LAP 2023'!L326*'2.1 OPEX TUUA'!$Q$8)</f>
        <v>0</v>
      </c>
      <c r="R325" s="3">
        <f>+IF(F325="Pasajero",'2.2 OPEX LAP 2023'!M326*'2.1 OPEX TUUA'!$R$7,'2.2 OPEX LAP 2023'!M326*'2.1 OPEX TUUA'!$R$8)</f>
        <v>0</v>
      </c>
      <c r="S325" s="3">
        <f>+IF(F325="Pasajero",'2.2 OPEX LAP 2023'!N326*'2.1 OPEX TUUA'!$S$7,'2.2 OPEX LAP 2023'!N326*'2.1 OPEX TUUA'!$S$8)</f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7">
        <f t="shared" si="27"/>
        <v>0</v>
      </c>
      <c r="AB325" s="7">
        <f t="shared" si="28"/>
        <v>0</v>
      </c>
      <c r="AC325" s="7">
        <f t="shared" si="29"/>
        <v>0</v>
      </c>
      <c r="AD325" s="7">
        <f t="shared" si="30"/>
        <v>0</v>
      </c>
      <c r="AE325" s="7">
        <f t="shared" si="31"/>
        <v>0</v>
      </c>
      <c r="AF325" s="7">
        <f t="shared" si="32"/>
        <v>0</v>
      </c>
    </row>
    <row r="326" spans="2:32" x14ac:dyDescent="0.25">
      <c r="B326" s="17">
        <v>6840000001</v>
      </c>
      <c r="C326" s="193" t="s">
        <v>176</v>
      </c>
      <c r="D326" s="193" t="s">
        <v>38</v>
      </c>
      <c r="E326" s="193" t="s">
        <v>174</v>
      </c>
      <c r="F326" s="163" t="s">
        <v>190</v>
      </c>
      <c r="G326" s="3">
        <f>+IF(F326="Pasajero",'2.2 OPEX LAP 2023'!I327*'2.1 OPEX TUUA'!$G$7,'2.2 OPEX LAP 2023'!I327*'2.1 OPEX TUUA'!$G$8)</f>
        <v>0</v>
      </c>
      <c r="H326" s="3">
        <f>+IF(F326="Pasajero",'2.2 OPEX LAP 2023'!J327*'2.1 OPEX TUUA'!$H$7,'2.2 OPEX LAP 2023'!J327*'2.1 OPEX TUUA'!$H$8)</f>
        <v>0</v>
      </c>
      <c r="I326" s="3">
        <f>+IF(F326="Pasajero",'2.2 OPEX LAP 2023'!K327*'2.1 OPEX TUUA'!$I$7,'2.2 OPEX LAP 2023'!K327*'2.1 OPEX TUUA'!$I$8)</f>
        <v>0</v>
      </c>
      <c r="J326" s="3">
        <f>+IF(F326="Pasajero",'2.2 OPEX LAP 2023'!L327*'2.1 OPEX TUUA'!$J$7,'2.2 OPEX LAP 2023'!L327*'2.1 OPEX TUUA'!$J$8)</f>
        <v>0</v>
      </c>
      <c r="K326" s="3">
        <f>+IF(F326="Pasajero",'2.2 OPEX LAP 2023'!M327*'2.1 OPEX TUUA'!$K$7,'2.2 OPEX LAP 2023'!M327*'2.1 OPEX TUUA'!$K$8)</f>
        <v>0</v>
      </c>
      <c r="L326" s="3">
        <f>+IF(F326="Pasajero",'2.2 OPEX LAP 2023'!N327*'2.1 OPEX TUUA'!$L$7,'2.2 OPEX LAP 2023'!N327*'2.1 OPEX TUUA'!$L$8)</f>
        <v>0</v>
      </c>
      <c r="M326" s="3"/>
      <c r="N326" s="3">
        <f>+IF(F326="Pasajero",'2.2 OPEX LAP 2023'!I327*'2.1 OPEX TUUA'!$N$7,'2.2 OPEX LAP 2023'!I327*'2.1 OPEX TUUA'!$N$8)</f>
        <v>0</v>
      </c>
      <c r="O326" s="3">
        <f>+IF(F326="Pasajero",'2.2 OPEX LAP 2023'!J327*'2.1 OPEX TUUA'!$O$7,'2.2 OPEX LAP 2023'!J327*'2.1 OPEX TUUA'!$O$8)</f>
        <v>0</v>
      </c>
      <c r="P326" s="3">
        <f>+IF(F326="Pasajero",'2.2 OPEX LAP 2023'!K327*'2.1 OPEX TUUA'!$P$7,'2.2 OPEX LAP 2023'!K327*'2.1 OPEX TUUA'!$P$8)</f>
        <v>0</v>
      </c>
      <c r="Q326" s="3">
        <f>+IF(F326="Pasajero",'2.2 OPEX LAP 2023'!L327*'2.1 OPEX TUUA'!$Q$7,'2.2 OPEX LAP 2023'!L327*'2.1 OPEX TUUA'!$Q$8)</f>
        <v>0</v>
      </c>
      <c r="R326" s="3">
        <f>+IF(F326="Pasajero",'2.2 OPEX LAP 2023'!M327*'2.1 OPEX TUUA'!$R$7,'2.2 OPEX LAP 2023'!M327*'2.1 OPEX TUUA'!$R$8)</f>
        <v>0</v>
      </c>
      <c r="S326" s="3">
        <f>+IF(F326="Pasajero",'2.2 OPEX LAP 2023'!N327*'2.1 OPEX TUUA'!$S$7,'2.2 OPEX LAP 2023'!N327*'2.1 OPEX TUUA'!$S$8)</f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7">
        <f t="shared" si="27"/>
        <v>0</v>
      </c>
      <c r="AB326" s="7">
        <f t="shared" si="28"/>
        <v>0</v>
      </c>
      <c r="AC326" s="7">
        <f t="shared" si="29"/>
        <v>0</v>
      </c>
      <c r="AD326" s="7">
        <f t="shared" si="30"/>
        <v>0</v>
      </c>
      <c r="AE326" s="7">
        <f t="shared" si="31"/>
        <v>0</v>
      </c>
      <c r="AF326" s="7">
        <f t="shared" si="32"/>
        <v>0</v>
      </c>
    </row>
    <row r="327" spans="2:32" x14ac:dyDescent="0.25">
      <c r="B327" s="17">
        <v>8710000001</v>
      </c>
      <c r="C327" s="193" t="s">
        <v>176</v>
      </c>
      <c r="D327" s="193" t="s">
        <v>14</v>
      </c>
      <c r="E327" s="193" t="s">
        <v>175</v>
      </c>
      <c r="F327" s="163" t="s">
        <v>190</v>
      </c>
      <c r="G327" s="3">
        <f>+IF(F327="Pasajero",'2.2 OPEX LAP 2023'!I328*'2.1 OPEX TUUA'!$G$7,'2.2 OPEX LAP 2023'!I328*'2.1 OPEX TUUA'!$G$8)</f>
        <v>0</v>
      </c>
      <c r="H327" s="3">
        <f>+IF(F327="Pasajero",'2.2 OPEX LAP 2023'!J328*'2.1 OPEX TUUA'!$H$7,'2.2 OPEX LAP 2023'!J328*'2.1 OPEX TUUA'!$H$8)</f>
        <v>0</v>
      </c>
      <c r="I327" s="3">
        <f>+IF(F327="Pasajero",'2.2 OPEX LAP 2023'!K328*'2.1 OPEX TUUA'!$I$7,'2.2 OPEX LAP 2023'!K328*'2.1 OPEX TUUA'!$I$8)</f>
        <v>0</v>
      </c>
      <c r="J327" s="3">
        <f>+IF(F327="Pasajero",'2.2 OPEX LAP 2023'!L328*'2.1 OPEX TUUA'!$J$7,'2.2 OPEX LAP 2023'!L328*'2.1 OPEX TUUA'!$J$8)</f>
        <v>0</v>
      </c>
      <c r="K327" s="3">
        <f>+IF(F327="Pasajero",'2.2 OPEX LAP 2023'!M328*'2.1 OPEX TUUA'!$K$7,'2.2 OPEX LAP 2023'!M328*'2.1 OPEX TUUA'!$K$8)</f>
        <v>0</v>
      </c>
      <c r="L327" s="3">
        <f>+IF(F327="Pasajero",'2.2 OPEX LAP 2023'!N328*'2.1 OPEX TUUA'!$L$7,'2.2 OPEX LAP 2023'!N328*'2.1 OPEX TUUA'!$L$8)</f>
        <v>0</v>
      </c>
      <c r="M327" s="3"/>
      <c r="N327" s="3">
        <f>+IF(F327="Pasajero",'2.2 OPEX LAP 2023'!I328*'2.1 OPEX TUUA'!$N$7,'2.2 OPEX LAP 2023'!I328*'2.1 OPEX TUUA'!$N$8)</f>
        <v>0</v>
      </c>
      <c r="O327" s="3">
        <f>+IF(F327="Pasajero",'2.2 OPEX LAP 2023'!J328*'2.1 OPEX TUUA'!$O$7,'2.2 OPEX LAP 2023'!J328*'2.1 OPEX TUUA'!$O$8)</f>
        <v>0</v>
      </c>
      <c r="P327" s="3">
        <f>+IF(F327="Pasajero",'2.2 OPEX LAP 2023'!K328*'2.1 OPEX TUUA'!$P$7,'2.2 OPEX LAP 2023'!K328*'2.1 OPEX TUUA'!$P$8)</f>
        <v>0</v>
      </c>
      <c r="Q327" s="3">
        <f>+IF(F327="Pasajero",'2.2 OPEX LAP 2023'!L328*'2.1 OPEX TUUA'!$Q$7,'2.2 OPEX LAP 2023'!L328*'2.1 OPEX TUUA'!$Q$8)</f>
        <v>0</v>
      </c>
      <c r="R327" s="3">
        <f>+IF(F327="Pasajero",'2.2 OPEX LAP 2023'!M328*'2.1 OPEX TUUA'!$R$7,'2.2 OPEX LAP 2023'!M328*'2.1 OPEX TUUA'!$R$8)</f>
        <v>0</v>
      </c>
      <c r="S327" s="3">
        <f>+IF(F327="Pasajero",'2.2 OPEX LAP 2023'!N328*'2.1 OPEX TUUA'!$S$7,'2.2 OPEX LAP 2023'!N328*'2.1 OPEX TUUA'!$S$8)</f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7">
        <f t="shared" si="27"/>
        <v>0</v>
      </c>
      <c r="AB327" s="7">
        <f t="shared" si="28"/>
        <v>0</v>
      </c>
      <c r="AC327" s="7">
        <f t="shared" si="29"/>
        <v>0</v>
      </c>
      <c r="AD327" s="7">
        <f t="shared" si="30"/>
        <v>0</v>
      </c>
      <c r="AE327" s="7">
        <f t="shared" si="31"/>
        <v>0</v>
      </c>
      <c r="AF327" s="7">
        <f t="shared" si="32"/>
        <v>0</v>
      </c>
    </row>
    <row r="328" spans="2:32" x14ac:dyDescent="0.25">
      <c r="B328" s="17">
        <v>6211000001</v>
      </c>
      <c r="C328" s="193" t="s">
        <v>177</v>
      </c>
      <c r="D328" s="193" t="s">
        <v>14</v>
      </c>
      <c r="E328" s="193" t="s">
        <v>15</v>
      </c>
      <c r="F328" s="163" t="s">
        <v>190</v>
      </c>
      <c r="G328" s="3">
        <f>+IF(F328="Pasajero",'2.2 OPEX LAP 2023'!I329*'2.1 OPEX TUUA'!$G$7,'2.2 OPEX LAP 2023'!I329*'2.1 OPEX TUUA'!$G$8)</f>
        <v>140569.29575610024</v>
      </c>
      <c r="H328" s="3">
        <f>+IF(F328="Pasajero",'2.2 OPEX LAP 2023'!J329*'2.1 OPEX TUUA'!$H$7,'2.2 OPEX LAP 2023'!J329*'2.1 OPEX TUUA'!$H$8)</f>
        <v>161251.97772731658</v>
      </c>
      <c r="I328" s="3">
        <f>+IF(F328="Pasajero",'2.2 OPEX LAP 2023'!K329*'2.1 OPEX TUUA'!$I$7,'2.2 OPEX LAP 2023'!K329*'2.1 OPEX TUUA'!$I$8)</f>
        <v>178266.4250081045</v>
      </c>
      <c r="J328" s="3">
        <f>+IF(F328="Pasajero",'2.2 OPEX LAP 2023'!L329*'2.1 OPEX TUUA'!$J$7,'2.2 OPEX LAP 2023'!L329*'2.1 OPEX TUUA'!$J$8)</f>
        <v>185774.76797427351</v>
      </c>
      <c r="K328" s="3">
        <f>+IF(F328="Pasajero",'2.2 OPEX LAP 2023'!M329*'2.1 OPEX TUUA'!$K$7,'2.2 OPEX LAP 2023'!M329*'2.1 OPEX TUUA'!$K$8)</f>
        <v>189930.55387543037</v>
      </c>
      <c r="L328" s="3">
        <f>+IF(F328="Pasajero",'2.2 OPEX LAP 2023'!N329*'2.1 OPEX TUUA'!$L$7,'2.2 OPEX LAP 2023'!N329*'2.1 OPEX TUUA'!$L$8)</f>
        <v>195002.95356108816</v>
      </c>
      <c r="M328" s="3"/>
      <c r="N328" s="3">
        <f>+IF(F328="Pasajero",'2.2 OPEX LAP 2023'!I329*'2.1 OPEX TUUA'!$N$7,'2.2 OPEX LAP 2023'!I329*'2.1 OPEX TUUA'!$N$8)</f>
        <v>69331.197822367816</v>
      </c>
      <c r="O328" s="3">
        <f>+IF(F328="Pasajero",'2.2 OPEX LAP 2023'!J329*'2.1 OPEX TUUA'!$O$7,'2.2 OPEX LAP 2023'!J329*'2.1 OPEX TUUA'!$O$8)</f>
        <v>66784.639266196406</v>
      </c>
      <c r="P328" s="3">
        <f>+IF(F328="Pasajero",'2.2 OPEX LAP 2023'!K329*'2.1 OPEX TUUA'!$P$7,'2.2 OPEX LAP 2023'!K329*'2.1 OPEX TUUA'!$P$8)</f>
        <v>65268.450219997489</v>
      </c>
      <c r="Q328" s="3">
        <f>+IF(F328="Pasajero",'2.2 OPEX LAP 2023'!L329*'2.1 OPEX TUUA'!$Q$7,'2.2 OPEX LAP 2023'!L329*'2.1 OPEX TUUA'!$Q$8)</f>
        <v>63778.502897191596</v>
      </c>
      <c r="R328" s="3">
        <f>+IF(F328="Pasajero",'2.2 OPEX LAP 2023'!M329*'2.1 OPEX TUUA'!$R$7,'2.2 OPEX LAP 2023'!M329*'2.1 OPEX TUUA'!$R$8)</f>
        <v>62970.633449726556</v>
      </c>
      <c r="S328" s="3">
        <f>+IF(F328="Pasajero",'2.2 OPEX LAP 2023'!N329*'2.1 OPEX TUUA'!$S$7,'2.2 OPEX LAP 2023'!N329*'2.1 OPEX TUUA'!$S$8)</f>
        <v>61978.888609166323</v>
      </c>
      <c r="U328" s="1">
        <v>143225.35984135573</v>
      </c>
      <c r="V328" s="1">
        <v>164298.84215396259</v>
      </c>
      <c r="W328" s="1">
        <v>181634.77829268281</v>
      </c>
      <c r="X328" s="1">
        <v>189284.99178601746</v>
      </c>
      <c r="Y328" s="1">
        <v>193519.30147587726</v>
      </c>
      <c r="Z328" s="1">
        <v>198687.54441491887</v>
      </c>
      <c r="AA328" s="7">
        <f t="shared" si="27"/>
        <v>-2656.0640852554934</v>
      </c>
      <c r="AB328" s="7">
        <f t="shared" si="28"/>
        <v>-3046.8644266460033</v>
      </c>
      <c r="AC328" s="7">
        <f t="shared" si="29"/>
        <v>-3368.3532845783047</v>
      </c>
      <c r="AD328" s="7">
        <f t="shared" si="30"/>
        <v>-3510.2238117439556</v>
      </c>
      <c r="AE328" s="7">
        <f t="shared" si="31"/>
        <v>-3588.7476004468917</v>
      </c>
      <c r="AF328" s="7">
        <f t="shared" si="32"/>
        <v>-3684.5908538307121</v>
      </c>
    </row>
    <row r="329" spans="2:32" x14ac:dyDescent="0.25">
      <c r="B329" s="17">
        <v>6212000001</v>
      </c>
      <c r="C329" s="193" t="s">
        <v>177</v>
      </c>
      <c r="D329" s="193" t="s">
        <v>14</v>
      </c>
      <c r="E329" s="193" t="s">
        <v>16</v>
      </c>
      <c r="F329" s="163" t="s">
        <v>190</v>
      </c>
      <c r="G329" s="3">
        <f>+IF(F329="Pasajero",'2.2 OPEX LAP 2023'!I330*'2.1 OPEX TUUA'!$G$7,'2.2 OPEX LAP 2023'!I330*'2.1 OPEX TUUA'!$G$8)</f>
        <v>33901.600941740318</v>
      </c>
      <c r="H329" s="3">
        <f>+IF(F329="Pasajero",'2.2 OPEX LAP 2023'!J330*'2.1 OPEX TUUA'!$H$7,'2.2 OPEX LAP 2023'!J330*'2.1 OPEX TUUA'!$H$8)</f>
        <v>38889.717491813266</v>
      </c>
      <c r="I329" s="3">
        <f>+IF(F329="Pasajero",'2.2 OPEX LAP 2023'!K330*'2.1 OPEX TUUA'!$I$7,'2.2 OPEX LAP 2023'!K330*'2.1 OPEX TUUA'!$I$8)</f>
        <v>42993.152732453425</v>
      </c>
      <c r="J329" s="3">
        <f>+IF(F329="Pasajero",'2.2 OPEX LAP 2023'!L330*'2.1 OPEX TUUA'!$J$7,'2.2 OPEX LAP 2023'!L330*'2.1 OPEX TUUA'!$J$8)</f>
        <v>44803.966719986245</v>
      </c>
      <c r="K329" s="3">
        <f>+IF(F329="Pasajero",'2.2 OPEX LAP 2023'!M330*'2.1 OPEX TUUA'!$K$7,'2.2 OPEX LAP 2023'!M330*'2.1 OPEX TUUA'!$K$8)</f>
        <v>45806.232502584906</v>
      </c>
      <c r="L329" s="3">
        <f>+IF(F329="Pasajero",'2.2 OPEX LAP 2023'!N330*'2.1 OPEX TUUA'!$L$7,'2.2 OPEX LAP 2023'!N330*'2.1 OPEX TUUA'!$L$8)</f>
        <v>47029.56131728246</v>
      </c>
      <c r="M329" s="3"/>
      <c r="N329" s="3">
        <f>+IF(F329="Pasajero",'2.2 OPEX LAP 2023'!I330*'2.1 OPEX TUUA'!$N$7,'2.2 OPEX LAP 2023'!I330*'2.1 OPEX TUUA'!$N$8)</f>
        <v>16720.85350320728</v>
      </c>
      <c r="O329" s="3">
        <f>+IF(F329="Pasajero",'2.2 OPEX LAP 2023'!J330*'2.1 OPEX TUUA'!$O$7,'2.2 OPEX LAP 2023'!J330*'2.1 OPEX TUUA'!$O$8)</f>
        <v>16106.690847829877</v>
      </c>
      <c r="P329" s="3">
        <f>+IF(F329="Pasajero",'2.2 OPEX LAP 2023'!K330*'2.1 OPEX TUUA'!$P$7,'2.2 OPEX LAP 2023'!K330*'2.1 OPEX TUUA'!$P$8)</f>
        <v>15741.026100631749</v>
      </c>
      <c r="Q329" s="3">
        <f>+IF(F329="Pasajero",'2.2 OPEX LAP 2023'!L330*'2.1 OPEX TUUA'!$Q$7,'2.2 OPEX LAP 2023'!L330*'2.1 OPEX TUUA'!$Q$8)</f>
        <v>15381.690163930312</v>
      </c>
      <c r="R329" s="3">
        <f>+IF(F329="Pasajero",'2.2 OPEX LAP 2023'!M330*'2.1 OPEX TUUA'!$R$7,'2.2 OPEX LAP 2023'!M330*'2.1 OPEX TUUA'!$R$8)</f>
        <v>15186.853393398967</v>
      </c>
      <c r="S329" s="3">
        <f>+IF(F329="Pasajero",'2.2 OPEX LAP 2023'!N330*'2.1 OPEX TUUA'!$S$7,'2.2 OPEX LAP 2023'!N330*'2.1 OPEX TUUA'!$S$8)</f>
        <v>14947.670735195716</v>
      </c>
      <c r="U329" s="1">
        <v>34542.173438100086</v>
      </c>
      <c r="V329" s="1">
        <v>39624.540707367822</v>
      </c>
      <c r="W329" s="1">
        <v>43805.510568283433</v>
      </c>
      <c r="X329" s="1">
        <v>45650.539979401423</v>
      </c>
      <c r="Y329" s="1">
        <v>46671.743625597694</v>
      </c>
      <c r="Z329" s="1">
        <v>47918.187301273232</v>
      </c>
      <c r="AA329" s="7">
        <f t="shared" si="27"/>
        <v>-640.57249635976768</v>
      </c>
      <c r="AB329" s="7">
        <f t="shared" si="28"/>
        <v>-734.82321555455565</v>
      </c>
      <c r="AC329" s="7">
        <f t="shared" si="29"/>
        <v>-812.35783583000739</v>
      </c>
      <c r="AD329" s="7">
        <f t="shared" si="30"/>
        <v>-846.57325941517774</v>
      </c>
      <c r="AE329" s="7">
        <f t="shared" si="31"/>
        <v>-865.51112301278772</v>
      </c>
      <c r="AF329" s="7">
        <f t="shared" si="32"/>
        <v>-888.62598399077251</v>
      </c>
    </row>
    <row r="330" spans="2:32" x14ac:dyDescent="0.25">
      <c r="B330" s="17">
        <v>6213000001</v>
      </c>
      <c r="C330" s="193" t="s">
        <v>177</v>
      </c>
      <c r="D330" s="193" t="s">
        <v>14</v>
      </c>
      <c r="E330" s="193" t="s">
        <v>17</v>
      </c>
      <c r="F330" s="163" t="s">
        <v>190</v>
      </c>
      <c r="G330" s="3">
        <f>+IF(F330="Pasajero",'2.2 OPEX LAP 2023'!I331*'2.1 OPEX TUUA'!$G$7,'2.2 OPEX LAP 2023'!I331*'2.1 OPEX TUUA'!$G$8)</f>
        <v>12658.803745506939</v>
      </c>
      <c r="H330" s="3">
        <f>+IF(F330="Pasajero",'2.2 OPEX LAP 2023'!J331*'2.1 OPEX TUUA'!$H$7,'2.2 OPEX LAP 2023'!J331*'2.1 OPEX TUUA'!$H$8)</f>
        <v>14521.358513218365</v>
      </c>
      <c r="I330" s="3">
        <f>+IF(F330="Pasajero",'2.2 OPEX LAP 2023'!K331*'2.1 OPEX TUUA'!$I$7,'2.2 OPEX LAP 2023'!K331*'2.1 OPEX TUUA'!$I$8)</f>
        <v>16053.574690351925</v>
      </c>
      <c r="J330" s="3">
        <f>+IF(F330="Pasajero",'2.2 OPEX LAP 2023'!L331*'2.1 OPEX TUUA'!$J$7,'2.2 OPEX LAP 2023'!L331*'2.1 OPEX TUUA'!$J$8)</f>
        <v>16729.729746485984</v>
      </c>
      <c r="K330" s="3">
        <f>+IF(F330="Pasajero",'2.2 OPEX LAP 2023'!M331*'2.1 OPEX TUUA'!$K$7,'2.2 OPEX LAP 2023'!M331*'2.1 OPEX TUUA'!$K$8)</f>
        <v>17103.974191890102</v>
      </c>
      <c r="L330" s="3">
        <f>+IF(F330="Pasajero",'2.2 OPEX LAP 2023'!N331*'2.1 OPEX TUUA'!$L$7,'2.2 OPEX LAP 2023'!N331*'2.1 OPEX TUUA'!$L$8)</f>
        <v>17560.763221059911</v>
      </c>
      <c r="M330" s="3"/>
      <c r="N330" s="3">
        <f>+IF(F330="Pasajero",'2.2 OPEX LAP 2023'!I331*'2.1 OPEX TUUA'!$N$7,'2.2 OPEX LAP 2023'!I331*'2.1 OPEX TUUA'!$N$8)</f>
        <v>6243.5400416110087</v>
      </c>
      <c r="O330" s="3">
        <f>+IF(F330="Pasajero",'2.2 OPEX LAP 2023'!J331*'2.1 OPEX TUUA'!$O$7,'2.2 OPEX LAP 2023'!J331*'2.1 OPEX TUUA'!$O$8)</f>
        <v>6014.2126851949361</v>
      </c>
      <c r="P330" s="3">
        <f>+IF(F330="Pasajero",'2.2 OPEX LAP 2023'!K331*'2.1 OPEX TUUA'!$P$7,'2.2 OPEX LAP 2023'!K331*'2.1 OPEX TUUA'!$P$8)</f>
        <v>5877.6740515361234</v>
      </c>
      <c r="Q330" s="3">
        <f>+IF(F330="Pasajero",'2.2 OPEX LAP 2023'!L331*'2.1 OPEX TUUA'!$Q$7,'2.2 OPEX LAP 2023'!L331*'2.1 OPEX TUUA'!$Q$8)</f>
        <v>5743.4985856273479</v>
      </c>
      <c r="R330" s="3">
        <f>+IF(F330="Pasajero",'2.2 OPEX LAP 2023'!M331*'2.1 OPEX TUUA'!$R$7,'2.2 OPEX LAP 2023'!M331*'2.1 OPEX TUUA'!$R$8)</f>
        <v>5670.746846120911</v>
      </c>
      <c r="S330" s="3">
        <f>+IF(F330="Pasajero",'2.2 OPEX LAP 2023'!N331*'2.1 OPEX TUUA'!$S$7,'2.2 OPEX LAP 2023'!N331*'2.1 OPEX TUUA'!$S$8)</f>
        <v>5581.436422854269</v>
      </c>
      <c r="U330" s="1">
        <v>12897.9924944431</v>
      </c>
      <c r="V330" s="1">
        <v>14795.74033044679</v>
      </c>
      <c r="W330" s="1">
        <v>16356.907811185036</v>
      </c>
      <c r="X330" s="1">
        <v>17045.838851939359</v>
      </c>
      <c r="Y330" s="1">
        <v>17427.15466541997</v>
      </c>
      <c r="Z330" s="1">
        <v>17892.574746829108</v>
      </c>
      <c r="AA330" s="7">
        <f t="shared" si="27"/>
        <v>-239.18874893616157</v>
      </c>
      <c r="AB330" s="7">
        <f t="shared" si="28"/>
        <v>-274.38181722842455</v>
      </c>
      <c r="AC330" s="7">
        <f t="shared" si="29"/>
        <v>-303.33312083311102</v>
      </c>
      <c r="AD330" s="7">
        <f t="shared" si="30"/>
        <v>-316.10910545337538</v>
      </c>
      <c r="AE330" s="7">
        <f t="shared" si="31"/>
        <v>-323.18047352986832</v>
      </c>
      <c r="AF330" s="7">
        <f t="shared" si="32"/>
        <v>-331.81152576919703</v>
      </c>
    </row>
    <row r="331" spans="2:32" x14ac:dyDescent="0.25">
      <c r="B331" s="17">
        <v>6214000001</v>
      </c>
      <c r="C331" s="193" t="s">
        <v>177</v>
      </c>
      <c r="D331" s="193" t="s">
        <v>14</v>
      </c>
      <c r="E331" s="193" t="s">
        <v>18</v>
      </c>
      <c r="F331" s="163" t="s">
        <v>190</v>
      </c>
      <c r="G331" s="3">
        <f>+IF(F331="Pasajero",'2.2 OPEX LAP 2023'!I332*'2.1 OPEX TUUA'!$G$7,'2.2 OPEX LAP 2023'!I332*'2.1 OPEX TUUA'!$G$8)</f>
        <v>411.67557212783714</v>
      </c>
      <c r="H331" s="3">
        <f>+IF(F331="Pasajero",'2.2 OPEX LAP 2023'!J332*'2.1 OPEX TUUA'!$H$7,'2.2 OPEX LAP 2023'!J332*'2.1 OPEX TUUA'!$H$8)</f>
        <v>472.24751202296238</v>
      </c>
      <c r="I331" s="3">
        <f>+IF(F331="Pasajero",'2.2 OPEX LAP 2023'!K332*'2.1 OPEX TUUA'!$I$7,'2.2 OPEX LAP 2023'!K332*'2.1 OPEX TUUA'!$I$8)</f>
        <v>522.07654674268224</v>
      </c>
      <c r="J331" s="3">
        <f>+IF(F331="Pasajero",'2.2 OPEX LAP 2023'!L332*'2.1 OPEX TUUA'!$J$7,'2.2 OPEX LAP 2023'!L332*'2.1 OPEX TUUA'!$J$8)</f>
        <v>544.06571137286437</v>
      </c>
      <c r="K331" s="3">
        <f>+IF(F331="Pasajero",'2.2 OPEX LAP 2023'!M332*'2.1 OPEX TUUA'!$K$7,'2.2 OPEX LAP 2023'!M332*'2.1 OPEX TUUA'!$K$8)</f>
        <v>556.23647405113798</v>
      </c>
      <c r="L331" s="3">
        <f>+IF(F331="Pasajero",'2.2 OPEX LAP 2023'!N332*'2.1 OPEX TUUA'!$L$7,'2.2 OPEX LAP 2023'!N332*'2.1 OPEX TUUA'!$L$8)</f>
        <v>571.09166011024308</v>
      </c>
      <c r="M331" s="3"/>
      <c r="N331" s="3">
        <f>+IF(F331="Pasajero",'2.2 OPEX LAP 2023'!I332*'2.1 OPEX TUUA'!$N$7,'2.2 OPEX LAP 2023'!I332*'2.1 OPEX TUUA'!$N$8)</f>
        <v>203.04548284395102</v>
      </c>
      <c r="O331" s="3">
        <f>+IF(F331="Pasajero",'2.2 OPEX LAP 2023'!J332*'2.1 OPEX TUUA'!$O$7,'2.2 OPEX LAP 2023'!J332*'2.1 OPEX TUUA'!$O$8)</f>
        <v>195.58755296723103</v>
      </c>
      <c r="P331" s="3">
        <f>+IF(F331="Pasajero",'2.2 OPEX LAP 2023'!K332*'2.1 OPEX TUUA'!$P$7,'2.2 OPEX LAP 2023'!K332*'2.1 OPEX TUUA'!$P$8)</f>
        <v>191.14719499509678</v>
      </c>
      <c r="Q331" s="3">
        <f>+IF(F331="Pasajero",'2.2 OPEX LAP 2023'!L332*'2.1 OPEX TUUA'!$Q$7,'2.2 OPEX LAP 2023'!L332*'2.1 OPEX TUUA'!$Q$8)</f>
        <v>186.78368934290435</v>
      </c>
      <c r="R331" s="3">
        <f>+IF(F331="Pasajero",'2.2 OPEX LAP 2023'!M332*'2.1 OPEX TUUA'!$R$7,'2.2 OPEX LAP 2023'!M332*'2.1 OPEX TUUA'!$R$8)</f>
        <v>184.41773797919527</v>
      </c>
      <c r="S331" s="3">
        <f>+IF(F331="Pasajero",'2.2 OPEX LAP 2023'!N332*'2.1 OPEX TUUA'!$S$7,'2.2 OPEX LAP 2023'!N332*'2.1 OPEX TUUA'!$S$8)</f>
        <v>181.51328347192603</v>
      </c>
      <c r="U331" s="1">
        <v>419.454203272173</v>
      </c>
      <c r="V331" s="1">
        <v>481.17065309220271</v>
      </c>
      <c r="W331" s="1">
        <v>531.9412099900776</v>
      </c>
      <c r="X331" s="1">
        <v>554.34586101879972</v>
      </c>
      <c r="Y331" s="1">
        <v>566.7465908849008</v>
      </c>
      <c r="Z331" s="1">
        <v>581.88246644991216</v>
      </c>
      <c r="AA331" s="7">
        <f t="shared" si="27"/>
        <v>-7.7786311443358613</v>
      </c>
      <c r="AB331" s="7">
        <f t="shared" si="28"/>
        <v>-8.9231410692403301</v>
      </c>
      <c r="AC331" s="7">
        <f t="shared" si="29"/>
        <v>-9.8646632473953559</v>
      </c>
      <c r="AD331" s="7">
        <f t="shared" si="30"/>
        <v>-10.280149645935353</v>
      </c>
      <c r="AE331" s="7">
        <f t="shared" si="31"/>
        <v>-10.510116833762822</v>
      </c>
      <c r="AF331" s="7">
        <f t="shared" si="32"/>
        <v>-10.790806339669075</v>
      </c>
    </row>
    <row r="332" spans="2:32" x14ac:dyDescent="0.25">
      <c r="B332" s="17">
        <v>6221000001</v>
      </c>
      <c r="C332" s="193" t="s">
        <v>177</v>
      </c>
      <c r="D332" s="193" t="s">
        <v>14</v>
      </c>
      <c r="E332" s="193" t="s">
        <v>19</v>
      </c>
      <c r="F332" s="163" t="s">
        <v>190</v>
      </c>
      <c r="G332" s="3">
        <f>+IF(F332="Pasajero",'2.2 OPEX LAP 2023'!I333*'2.1 OPEX TUUA'!$G$7,'2.2 OPEX LAP 2023'!I333*'2.1 OPEX TUUA'!$G$8)</f>
        <v>3492.4184422420176</v>
      </c>
      <c r="H332" s="3">
        <f>+IF(F332="Pasajero",'2.2 OPEX LAP 2023'!J333*'2.1 OPEX TUUA'!$H$7,'2.2 OPEX LAP 2023'!J333*'2.1 OPEX TUUA'!$H$8)</f>
        <v>4006.2758928522285</v>
      </c>
      <c r="I332" s="3">
        <f>+IF(F332="Pasajero",'2.2 OPEX LAP 2023'!K333*'2.1 OPEX TUUA'!$I$7,'2.2 OPEX LAP 2023'!K333*'2.1 OPEX TUUA'!$I$8)</f>
        <v>4428.9967235169834</v>
      </c>
      <c r="J332" s="3">
        <f>+IF(F332="Pasajero",'2.2 OPEX LAP 2023'!L333*'2.1 OPEX TUUA'!$J$7,'2.2 OPEX LAP 2023'!L333*'2.1 OPEX TUUA'!$J$8)</f>
        <v>4615.5401311984497</v>
      </c>
      <c r="K332" s="3">
        <f>+IF(F332="Pasajero",'2.2 OPEX LAP 2023'!M333*'2.1 OPEX TUUA'!$K$7,'2.2 OPEX LAP 2023'!M333*'2.1 OPEX TUUA'!$K$8)</f>
        <v>4718.7898717989301</v>
      </c>
      <c r="L332" s="3">
        <f>+IF(F332="Pasajero",'2.2 OPEX LAP 2023'!N333*'2.1 OPEX TUUA'!$L$7,'2.2 OPEX LAP 2023'!N333*'2.1 OPEX TUUA'!$L$8)</f>
        <v>4844.8127142221492</v>
      </c>
      <c r="M332" s="3"/>
      <c r="N332" s="3">
        <f>+IF(F332="Pasajero",'2.2 OPEX LAP 2023'!I333*'2.1 OPEX TUUA'!$N$7,'2.2 OPEX LAP 2023'!I333*'2.1 OPEX TUUA'!$N$8)</f>
        <v>1722.5209288783051</v>
      </c>
      <c r="O332" s="3">
        <f>+IF(F332="Pasajero",'2.2 OPEX LAP 2023'!J333*'2.1 OPEX TUUA'!$O$7,'2.2 OPEX LAP 2023'!J333*'2.1 OPEX TUUA'!$O$8)</f>
        <v>1659.2521473283605</v>
      </c>
      <c r="P332" s="3">
        <f>+IF(F332="Pasajero",'2.2 OPEX LAP 2023'!K333*'2.1 OPEX TUUA'!$P$7,'2.2 OPEX LAP 2023'!K333*'2.1 OPEX TUUA'!$P$8)</f>
        <v>1621.5827077940116</v>
      </c>
      <c r="Q332" s="3">
        <f>+IF(F332="Pasajero",'2.2 OPEX LAP 2023'!L333*'2.1 OPEX TUUA'!$Q$7,'2.2 OPEX LAP 2023'!L333*'2.1 OPEX TUUA'!$Q$8)</f>
        <v>1584.5652390776215</v>
      </c>
      <c r="R332" s="3">
        <f>+IF(F332="Pasajero",'2.2 OPEX LAP 2023'!M333*'2.1 OPEX TUUA'!$R$7,'2.2 OPEX LAP 2023'!M333*'2.1 OPEX TUUA'!$R$8)</f>
        <v>1564.4938704186636</v>
      </c>
      <c r="S332" s="3">
        <f>+IF(F332="Pasajero",'2.2 OPEX LAP 2023'!N333*'2.1 OPEX TUUA'!$S$7,'2.2 OPEX LAP 2023'!N333*'2.1 OPEX TUUA'!$S$8)</f>
        <v>1539.854151249973</v>
      </c>
      <c r="U332" s="1">
        <v>3558.407868632954</v>
      </c>
      <c r="V332" s="1">
        <v>4081.9746822457005</v>
      </c>
      <c r="W332" s="1">
        <v>4512.6828447838834</v>
      </c>
      <c r="X332" s="1">
        <v>4702.75099976396</v>
      </c>
      <c r="Y332" s="1">
        <v>4807.9516495323769</v>
      </c>
      <c r="Z332" s="1">
        <v>4936.3557000557121</v>
      </c>
      <c r="AA332" s="7">
        <f t="shared" si="27"/>
        <v>-65.989426390936387</v>
      </c>
      <c r="AB332" s="7">
        <f t="shared" si="28"/>
        <v>-75.698789393471998</v>
      </c>
      <c r="AC332" s="7">
        <f t="shared" si="29"/>
        <v>-83.686121266900045</v>
      </c>
      <c r="AD332" s="7">
        <f t="shared" si="30"/>
        <v>-87.210868565510282</v>
      </c>
      <c r="AE332" s="7">
        <f t="shared" si="31"/>
        <v>-89.161777733446797</v>
      </c>
      <c r="AF332" s="7">
        <f t="shared" si="32"/>
        <v>-91.542985833562852</v>
      </c>
    </row>
    <row r="333" spans="2:32" x14ac:dyDescent="0.25">
      <c r="B333" s="17">
        <v>6231000001</v>
      </c>
      <c r="C333" s="193" t="s">
        <v>177</v>
      </c>
      <c r="D333" s="193" t="s">
        <v>14</v>
      </c>
      <c r="E333" s="193" t="s">
        <v>20</v>
      </c>
      <c r="F333" s="163" t="s">
        <v>190</v>
      </c>
      <c r="G333" s="3">
        <f>+IF(F333="Pasajero",'2.2 OPEX LAP 2023'!I334*'2.1 OPEX TUUA'!$G$7,'2.2 OPEX LAP 2023'!I334*'2.1 OPEX TUUA'!$G$8)</f>
        <v>0</v>
      </c>
      <c r="H333" s="3">
        <f>+IF(F333="Pasajero",'2.2 OPEX LAP 2023'!J334*'2.1 OPEX TUUA'!$H$7,'2.2 OPEX LAP 2023'!J334*'2.1 OPEX TUUA'!$H$8)</f>
        <v>0</v>
      </c>
      <c r="I333" s="3">
        <f>+IF(F333="Pasajero",'2.2 OPEX LAP 2023'!K334*'2.1 OPEX TUUA'!$I$7,'2.2 OPEX LAP 2023'!K334*'2.1 OPEX TUUA'!$I$8)</f>
        <v>0</v>
      </c>
      <c r="J333" s="3">
        <f>+IF(F333="Pasajero",'2.2 OPEX LAP 2023'!L334*'2.1 OPEX TUUA'!$J$7,'2.2 OPEX LAP 2023'!L334*'2.1 OPEX TUUA'!$J$8)</f>
        <v>0</v>
      </c>
      <c r="K333" s="3">
        <f>+IF(F333="Pasajero",'2.2 OPEX LAP 2023'!M334*'2.1 OPEX TUUA'!$K$7,'2.2 OPEX LAP 2023'!M334*'2.1 OPEX TUUA'!$K$8)</f>
        <v>0</v>
      </c>
      <c r="L333" s="3">
        <f>+IF(F333="Pasajero",'2.2 OPEX LAP 2023'!N334*'2.1 OPEX TUUA'!$L$7,'2.2 OPEX LAP 2023'!N334*'2.1 OPEX TUUA'!$L$8)</f>
        <v>0</v>
      </c>
      <c r="M333" s="3"/>
      <c r="N333" s="3">
        <f>+IF(F333="Pasajero",'2.2 OPEX LAP 2023'!I334*'2.1 OPEX TUUA'!$N$7,'2.2 OPEX LAP 2023'!I334*'2.1 OPEX TUUA'!$N$8)</f>
        <v>0</v>
      </c>
      <c r="O333" s="3">
        <f>+IF(F333="Pasajero",'2.2 OPEX LAP 2023'!J334*'2.1 OPEX TUUA'!$O$7,'2.2 OPEX LAP 2023'!J334*'2.1 OPEX TUUA'!$O$8)</f>
        <v>0</v>
      </c>
      <c r="P333" s="3">
        <f>+IF(F333="Pasajero",'2.2 OPEX LAP 2023'!K334*'2.1 OPEX TUUA'!$P$7,'2.2 OPEX LAP 2023'!K334*'2.1 OPEX TUUA'!$P$8)</f>
        <v>0</v>
      </c>
      <c r="Q333" s="3">
        <f>+IF(F333="Pasajero",'2.2 OPEX LAP 2023'!L334*'2.1 OPEX TUUA'!$Q$7,'2.2 OPEX LAP 2023'!L334*'2.1 OPEX TUUA'!$Q$8)</f>
        <v>0</v>
      </c>
      <c r="R333" s="3">
        <f>+IF(F333="Pasajero",'2.2 OPEX LAP 2023'!M334*'2.1 OPEX TUUA'!$R$7,'2.2 OPEX LAP 2023'!M334*'2.1 OPEX TUUA'!$R$8)</f>
        <v>0</v>
      </c>
      <c r="S333" s="3">
        <f>+IF(F333="Pasajero",'2.2 OPEX LAP 2023'!N334*'2.1 OPEX TUUA'!$S$7,'2.2 OPEX LAP 2023'!N334*'2.1 OPEX TUUA'!$S$8)</f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7">
        <f t="shared" si="27"/>
        <v>0</v>
      </c>
      <c r="AB333" s="7">
        <f t="shared" si="28"/>
        <v>0</v>
      </c>
      <c r="AC333" s="7">
        <f t="shared" si="29"/>
        <v>0</v>
      </c>
      <c r="AD333" s="7">
        <f t="shared" si="30"/>
        <v>0</v>
      </c>
      <c r="AE333" s="7">
        <f t="shared" si="31"/>
        <v>0</v>
      </c>
      <c r="AF333" s="7">
        <f t="shared" si="32"/>
        <v>0</v>
      </c>
    </row>
    <row r="334" spans="2:32" x14ac:dyDescent="0.25">
      <c r="B334" s="17">
        <v>6240000001</v>
      </c>
      <c r="C334" s="193" t="s">
        <v>177</v>
      </c>
      <c r="D334" s="193" t="s">
        <v>14</v>
      </c>
      <c r="E334" s="193" t="s">
        <v>21</v>
      </c>
      <c r="F334" s="163" t="s">
        <v>190</v>
      </c>
      <c r="G334" s="3">
        <f>+IF(F334="Pasajero",'2.2 OPEX LAP 2023'!I335*'2.1 OPEX TUUA'!$G$7,'2.2 OPEX LAP 2023'!I335*'2.1 OPEX TUUA'!$G$8)</f>
        <v>1432.4706638341515</v>
      </c>
      <c r="H334" s="3">
        <f>+IF(F334="Pasajero",'2.2 OPEX LAP 2023'!J335*'2.1 OPEX TUUA'!$H$7,'2.2 OPEX LAP 2023'!J335*'2.1 OPEX TUUA'!$H$8)</f>
        <v>1643.2374249096631</v>
      </c>
      <c r="I334" s="3">
        <f>+IF(F334="Pasajero",'2.2 OPEX LAP 2023'!K335*'2.1 OPEX TUUA'!$I$7,'2.2 OPEX LAP 2023'!K335*'2.1 OPEX TUUA'!$I$8)</f>
        <v>1816.6230598022942</v>
      </c>
      <c r="J334" s="3">
        <f>+IF(F334="Pasajero",'2.2 OPEX LAP 2023'!L335*'2.1 OPEX TUUA'!$J$7,'2.2 OPEX LAP 2023'!L335*'2.1 OPEX TUUA'!$J$8)</f>
        <v>1893.1367890287979</v>
      </c>
      <c r="K334" s="3">
        <f>+IF(F334="Pasajero",'2.2 OPEX LAP 2023'!M335*'2.1 OPEX TUUA'!$K$7,'2.2 OPEX LAP 2023'!M335*'2.1 OPEX TUUA'!$K$8)</f>
        <v>1935.4863032421424</v>
      </c>
      <c r="L334" s="3">
        <f>+IF(F334="Pasajero",'2.2 OPEX LAP 2023'!N335*'2.1 OPEX TUUA'!$L$7,'2.2 OPEX LAP 2023'!N335*'2.1 OPEX TUUA'!$L$8)</f>
        <v>1987.1765653713176</v>
      </c>
      <c r="M334" s="3"/>
      <c r="N334" s="3">
        <f>+IF(F334="Pasajero",'2.2 OPEX LAP 2023'!I335*'2.1 OPEX TUUA'!$N$7,'2.2 OPEX LAP 2023'!I335*'2.1 OPEX TUUA'!$N$8)</f>
        <v>706.519204174886</v>
      </c>
      <c r="O334" s="3">
        <f>+IF(F334="Pasajero",'2.2 OPEX LAP 2023'!J335*'2.1 OPEX TUUA'!$O$7,'2.2 OPEX LAP 2023'!J335*'2.1 OPEX TUUA'!$O$8)</f>
        <v>680.56851269684955</v>
      </c>
      <c r="P334" s="3">
        <f>+IF(F334="Pasajero",'2.2 OPEX LAP 2023'!K335*'2.1 OPEX TUUA'!$P$7,'2.2 OPEX LAP 2023'!K335*'2.1 OPEX TUUA'!$P$8)</f>
        <v>665.11779625251984</v>
      </c>
      <c r="Q334" s="3">
        <f>+IF(F334="Pasajero",'2.2 OPEX LAP 2023'!L335*'2.1 OPEX TUUA'!$Q$7,'2.2 OPEX LAP 2023'!L335*'2.1 OPEX TUUA'!$Q$8)</f>
        <v>649.93449595142931</v>
      </c>
      <c r="R334" s="3">
        <f>+IF(F334="Pasajero",'2.2 OPEX LAP 2023'!M335*'2.1 OPEX TUUA'!$R$7,'2.2 OPEX LAP 2023'!M335*'2.1 OPEX TUUA'!$R$8)</f>
        <v>641.70190662616517</v>
      </c>
      <c r="S334" s="3">
        <f>+IF(F334="Pasajero",'2.2 OPEX LAP 2023'!N335*'2.1 OPEX TUUA'!$S$7,'2.2 OPEX LAP 2023'!N335*'2.1 OPEX TUUA'!$S$8)</f>
        <v>631.5955360815168</v>
      </c>
      <c r="U334" s="1">
        <v>1459.5372708262896</v>
      </c>
      <c r="V334" s="1">
        <v>1674.2864807107476</v>
      </c>
      <c r="W334" s="1">
        <v>1850.948246107273</v>
      </c>
      <c r="X334" s="1">
        <v>1928.9077061893979</v>
      </c>
      <c r="Y334" s="1">
        <v>1972.0574166555941</v>
      </c>
      <c r="Z334" s="1">
        <v>2024.7243689507138</v>
      </c>
      <c r="AA334" s="7">
        <f t="shared" si="27"/>
        <v>-27.066606992138077</v>
      </c>
      <c r="AB334" s="7">
        <f t="shared" si="28"/>
        <v>-31.049055801084478</v>
      </c>
      <c r="AC334" s="7">
        <f t="shared" si="29"/>
        <v>-34.325186304978843</v>
      </c>
      <c r="AD334" s="7">
        <f t="shared" si="30"/>
        <v>-35.770917160599993</v>
      </c>
      <c r="AE334" s="7">
        <f t="shared" si="31"/>
        <v>-36.571113413451712</v>
      </c>
      <c r="AF334" s="7">
        <f t="shared" si="32"/>
        <v>-37.547803579396259</v>
      </c>
    </row>
    <row r="335" spans="2:32" x14ac:dyDescent="0.25">
      <c r="B335" s="17">
        <v>6250000001</v>
      </c>
      <c r="C335" s="193" t="s">
        <v>177</v>
      </c>
      <c r="D335" s="193" t="s">
        <v>14</v>
      </c>
      <c r="E335" s="193" t="s">
        <v>22</v>
      </c>
      <c r="F335" s="163" t="s">
        <v>190</v>
      </c>
      <c r="G335" s="3">
        <f>+IF(F335="Pasajero",'2.2 OPEX LAP 2023'!I336*'2.1 OPEX TUUA'!$G$7,'2.2 OPEX LAP 2023'!I336*'2.1 OPEX TUUA'!$G$8)</f>
        <v>530.0678739788143</v>
      </c>
      <c r="H335" s="3">
        <f>+IF(F335="Pasajero",'2.2 OPEX LAP 2023'!J336*'2.1 OPEX TUUA'!$H$7,'2.2 OPEX LAP 2023'!J336*'2.1 OPEX TUUA'!$H$8)</f>
        <v>608.059480906153</v>
      </c>
      <c r="I335" s="3">
        <f>+IF(F335="Pasajero",'2.2 OPEX LAP 2023'!K336*'2.1 OPEX TUUA'!$I$7,'2.2 OPEX LAP 2023'!K336*'2.1 OPEX TUUA'!$I$8)</f>
        <v>672.21866907410322</v>
      </c>
      <c r="J335" s="3">
        <f>+IF(F335="Pasajero",'2.2 OPEX LAP 2023'!L336*'2.1 OPEX TUUA'!$J$7,'2.2 OPEX LAP 2023'!L336*'2.1 OPEX TUUA'!$J$8)</f>
        <v>700.53161872483281</v>
      </c>
      <c r="K335" s="3">
        <f>+IF(F335="Pasajero",'2.2 OPEX LAP 2023'!M336*'2.1 OPEX TUUA'!$K$7,'2.2 OPEX LAP 2023'!M336*'2.1 OPEX TUUA'!$K$8)</f>
        <v>716.20252740719172</v>
      </c>
      <c r="L335" s="3">
        <f>+IF(F335="Pasajero",'2.2 OPEX LAP 2023'!N336*'2.1 OPEX TUUA'!$L$7,'2.2 OPEX LAP 2023'!N336*'2.1 OPEX TUUA'!$L$8)</f>
        <v>735.32986316629365</v>
      </c>
      <c r="M335" s="3"/>
      <c r="N335" s="3">
        <f>+IF(F335="Pasajero",'2.2 OPEX LAP 2023'!I336*'2.1 OPEX TUUA'!$N$7,'2.2 OPEX LAP 2023'!I336*'2.1 OPEX TUUA'!$N$8)</f>
        <v>261.43860529736111</v>
      </c>
      <c r="O335" s="3">
        <f>+IF(F335="Pasajero",'2.2 OPEX LAP 2023'!J336*'2.1 OPEX TUUA'!$O$7,'2.2 OPEX LAP 2023'!J336*'2.1 OPEX TUUA'!$O$8)</f>
        <v>251.83587610552931</v>
      </c>
      <c r="P335" s="3">
        <f>+IF(F335="Pasajero",'2.2 OPEX LAP 2023'!K336*'2.1 OPEX TUUA'!$P$7,'2.2 OPEX LAP 2023'!K336*'2.1 OPEX TUUA'!$P$8)</f>
        <v>246.11853150373886</v>
      </c>
      <c r="Q335" s="3">
        <f>+IF(F335="Pasajero",'2.2 OPEX LAP 2023'!L336*'2.1 OPEX TUUA'!$Q$7,'2.2 OPEX LAP 2023'!L336*'2.1 OPEX TUUA'!$Q$8)</f>
        <v>240.50014090505172</v>
      </c>
      <c r="R335" s="3">
        <f>+IF(F335="Pasajero",'2.2 OPEX LAP 2023'!M336*'2.1 OPEX TUUA'!$R$7,'2.2 OPEX LAP 2023'!M336*'2.1 OPEX TUUA'!$R$8)</f>
        <v>237.45377407105093</v>
      </c>
      <c r="S335" s="3">
        <f>+IF(F335="Pasajero",'2.2 OPEX LAP 2023'!N336*'2.1 OPEX TUUA'!$S$7,'2.2 OPEX LAP 2023'!N336*'2.1 OPEX TUUA'!$S$8)</f>
        <v>233.71403790507236</v>
      </c>
      <c r="U335" s="1">
        <v>540.08353376603895</v>
      </c>
      <c r="V335" s="1">
        <v>619.54879612429409</v>
      </c>
      <c r="W335" s="1">
        <v>684.92027545807412</v>
      </c>
      <c r="X335" s="1">
        <v>713.76819975109993</v>
      </c>
      <c r="Y335" s="1">
        <v>729.73521106035651</v>
      </c>
      <c r="Z335" s="1">
        <v>749.22395881404168</v>
      </c>
      <c r="AA335" s="7">
        <f t="shared" ref="AA335:AA398" si="33">+G335-U335</f>
        <v>-10.015659787224649</v>
      </c>
      <c r="AB335" s="7">
        <f t="shared" ref="AB335:AB398" si="34">+H335-V335</f>
        <v>-11.489315218141087</v>
      </c>
      <c r="AC335" s="7">
        <f t="shared" ref="AC335:AC398" si="35">+I335-W335</f>
        <v>-12.701606383970898</v>
      </c>
      <c r="AD335" s="7">
        <f t="shared" ref="AD335:AD398" si="36">+J335-X335</f>
        <v>-13.236581026267118</v>
      </c>
      <c r="AE335" s="7">
        <f t="shared" ref="AE335:AE398" si="37">+K335-Y335</f>
        <v>-13.532683653164781</v>
      </c>
      <c r="AF335" s="7">
        <f t="shared" ref="AF335:AF398" si="38">+L335-Z335</f>
        <v>-13.894095647748031</v>
      </c>
    </row>
    <row r="336" spans="2:32" x14ac:dyDescent="0.25">
      <c r="B336" s="17">
        <v>6250000003</v>
      </c>
      <c r="C336" s="193" t="s">
        <v>177</v>
      </c>
      <c r="D336" s="193" t="s">
        <v>14</v>
      </c>
      <c r="E336" s="193" t="s">
        <v>23</v>
      </c>
      <c r="F336" s="163" t="s">
        <v>190</v>
      </c>
      <c r="G336" s="3">
        <f>+IF(F336="Pasajero",'2.2 OPEX LAP 2023'!I337*'2.1 OPEX TUUA'!$G$7,'2.2 OPEX LAP 2023'!I337*'2.1 OPEX TUUA'!$G$8)</f>
        <v>2045.5290816767636</v>
      </c>
      <c r="H336" s="3">
        <f>+IF(F336="Pasajero",'2.2 OPEX LAP 2023'!J337*'2.1 OPEX TUUA'!$H$7,'2.2 OPEX LAP 2023'!J337*'2.1 OPEX TUUA'!$H$8)</f>
        <v>2346.4982743559458</v>
      </c>
      <c r="I336" s="3">
        <f>+IF(F336="Pasajero",'2.2 OPEX LAP 2023'!K337*'2.1 OPEX TUUA'!$I$7,'2.2 OPEX LAP 2023'!K337*'2.1 OPEX TUUA'!$I$8)</f>
        <v>2594.0882372586198</v>
      </c>
      <c r="J336" s="3">
        <f>+IF(F336="Pasajero",'2.2 OPEX LAP 2023'!L337*'2.1 OPEX TUUA'!$J$7,'2.2 OPEX LAP 2023'!L337*'2.1 OPEX TUUA'!$J$8)</f>
        <v>2703.3477580514837</v>
      </c>
      <c r="K336" s="3">
        <f>+IF(F336="Pasajero",'2.2 OPEX LAP 2023'!M337*'2.1 OPEX TUUA'!$K$7,'2.2 OPEX LAP 2023'!M337*'2.1 OPEX TUUA'!$K$8)</f>
        <v>2763.8217105765657</v>
      </c>
      <c r="L336" s="3">
        <f>+IF(F336="Pasajero",'2.2 OPEX LAP 2023'!N337*'2.1 OPEX TUUA'!$L$7,'2.2 OPEX LAP 2023'!N337*'2.1 OPEX TUUA'!$L$8)</f>
        <v>2837.6339966458072</v>
      </c>
      <c r="M336" s="3"/>
      <c r="N336" s="3">
        <f>+IF(F336="Pasajero",'2.2 OPEX LAP 2023'!I337*'2.1 OPEX TUUA'!$N$7,'2.2 OPEX LAP 2023'!I337*'2.1 OPEX TUUA'!$N$8)</f>
        <v>1008.8901751290421</v>
      </c>
      <c r="O336" s="3">
        <f>+IF(F336="Pasajero",'2.2 OPEX LAP 2023'!J337*'2.1 OPEX TUUA'!$O$7,'2.2 OPEX LAP 2023'!J337*'2.1 OPEX TUUA'!$O$8)</f>
        <v>971.8332946999077</v>
      </c>
      <c r="P336" s="3">
        <f>+IF(F336="Pasajero",'2.2 OPEX LAP 2023'!K337*'2.1 OPEX TUUA'!$P$7,'2.2 OPEX LAP 2023'!K337*'2.1 OPEX TUUA'!$P$8)</f>
        <v>949.77009255723749</v>
      </c>
      <c r="Q336" s="3">
        <f>+IF(F336="Pasajero",'2.2 OPEX LAP 2023'!L337*'2.1 OPEX TUUA'!$Q$7,'2.2 OPEX LAP 2023'!L337*'2.1 OPEX TUUA'!$Q$8)</f>
        <v>928.08875338161863</v>
      </c>
      <c r="R336" s="3">
        <f>+IF(F336="Pasajero",'2.2 OPEX LAP 2023'!M337*'2.1 OPEX TUUA'!$R$7,'2.2 OPEX LAP 2023'!M337*'2.1 OPEX TUUA'!$R$8)</f>
        <v>916.33284011407875</v>
      </c>
      <c r="S336" s="3">
        <f>+IF(F336="Pasajero",'2.2 OPEX LAP 2023'!N337*'2.1 OPEX TUUA'!$S$7,'2.2 OPEX LAP 2023'!N337*'2.1 OPEX TUUA'!$S$8)</f>
        <v>901.90121831461613</v>
      </c>
      <c r="U336" s="1">
        <v>2084.1794590579957</v>
      </c>
      <c r="V336" s="1">
        <v>2390.8354801383857</v>
      </c>
      <c r="W336" s="1">
        <v>2643.1036681456126</v>
      </c>
      <c r="X336" s="1">
        <v>2754.4276532127633</v>
      </c>
      <c r="Y336" s="1">
        <v>2816.0442641863451</v>
      </c>
      <c r="Z336" s="1">
        <v>2891.2512372035762</v>
      </c>
      <c r="AA336" s="7">
        <f t="shared" si="33"/>
        <v>-38.650377381232147</v>
      </c>
      <c r="AB336" s="7">
        <f t="shared" si="34"/>
        <v>-44.337205782439923</v>
      </c>
      <c r="AC336" s="7">
        <f t="shared" si="35"/>
        <v>-49.015430886992817</v>
      </c>
      <c r="AD336" s="7">
        <f t="shared" si="36"/>
        <v>-51.079895161279637</v>
      </c>
      <c r="AE336" s="7">
        <f t="shared" si="37"/>
        <v>-52.222553609779425</v>
      </c>
      <c r="AF336" s="7">
        <f t="shared" si="38"/>
        <v>-53.617240557769037</v>
      </c>
    </row>
    <row r="337" spans="2:32" x14ac:dyDescent="0.25">
      <c r="B337" s="17">
        <v>6250000004</v>
      </c>
      <c r="C337" s="193" t="s">
        <v>177</v>
      </c>
      <c r="D337" s="193" t="s">
        <v>14</v>
      </c>
      <c r="E337" s="193" t="s">
        <v>24</v>
      </c>
      <c r="F337" s="163" t="s">
        <v>190</v>
      </c>
      <c r="G337" s="3">
        <f>+IF(F337="Pasajero",'2.2 OPEX LAP 2023'!I338*'2.1 OPEX TUUA'!$G$7,'2.2 OPEX LAP 2023'!I338*'2.1 OPEX TUUA'!$G$8)</f>
        <v>315.85636894953586</v>
      </c>
      <c r="H337" s="3">
        <f>+IF(F337="Pasajero",'2.2 OPEX LAP 2023'!J338*'2.1 OPEX TUUA'!$H$7,'2.2 OPEX LAP 2023'!J338*'2.1 OPEX TUUA'!$H$8)</f>
        <v>362.32993767894965</v>
      </c>
      <c r="I337" s="3">
        <f>+IF(F337="Pasajero",'2.2 OPEX LAP 2023'!K338*'2.1 OPEX TUUA'!$I$7,'2.2 OPEX LAP 2023'!K338*'2.1 OPEX TUUA'!$I$8)</f>
        <v>400.56105713420777</v>
      </c>
      <c r="J337" s="3">
        <f>+IF(F337="Pasajero",'2.2 OPEX LAP 2023'!L338*'2.1 OPEX TUUA'!$J$7,'2.2 OPEX LAP 2023'!L338*'2.1 OPEX TUUA'!$J$8)</f>
        <v>417.43215215795169</v>
      </c>
      <c r="K337" s="3">
        <f>+IF(F337="Pasajero",'2.2 OPEX LAP 2023'!M338*'2.1 OPEX TUUA'!$K$7,'2.2 OPEX LAP 2023'!M338*'2.1 OPEX TUUA'!$K$8)</f>
        <v>426.77011915715053</v>
      </c>
      <c r="L337" s="3">
        <f>+IF(F337="Pasajero",'2.2 OPEX LAP 2023'!N338*'2.1 OPEX TUUA'!$L$7,'2.2 OPEX LAP 2023'!N338*'2.1 OPEX TUUA'!$L$8)</f>
        <v>438.16769882029763</v>
      </c>
      <c r="M337" s="3"/>
      <c r="N337" s="3">
        <f>+IF(F337="Pasajero",'2.2 OPEX LAP 2023'!I338*'2.1 OPEX TUUA'!$N$7,'2.2 OPEX LAP 2023'!I338*'2.1 OPEX TUUA'!$N$8)</f>
        <v>155.78580145333578</v>
      </c>
      <c r="O337" s="3">
        <f>+IF(F337="Pasajero",'2.2 OPEX LAP 2023'!J338*'2.1 OPEX TUUA'!$O$7,'2.2 OPEX LAP 2023'!J338*'2.1 OPEX TUUA'!$O$8)</f>
        <v>150.06373580206235</v>
      </c>
      <c r="P337" s="3">
        <f>+IF(F337="Pasajero",'2.2 OPEX LAP 2023'!K338*'2.1 OPEX TUUA'!$P$7,'2.2 OPEX LAP 2023'!K338*'2.1 OPEX TUUA'!$P$8)</f>
        <v>146.65688963272265</v>
      </c>
      <c r="Q337" s="3">
        <f>+IF(F337="Pasajero",'2.2 OPEX LAP 2023'!L338*'2.1 OPEX TUUA'!$Q$7,'2.2 OPEX LAP 2023'!L338*'2.1 OPEX TUUA'!$Q$8)</f>
        <v>143.30900808592955</v>
      </c>
      <c r="R337" s="3">
        <f>+IF(F337="Pasajero",'2.2 OPEX LAP 2023'!M338*'2.1 OPEX TUUA'!$R$7,'2.2 OPEX LAP 2023'!M338*'2.1 OPEX TUUA'!$R$8)</f>
        <v>141.4937417513502</v>
      </c>
      <c r="S337" s="3">
        <f>+IF(F337="Pasajero",'2.2 OPEX LAP 2023'!N338*'2.1 OPEX TUUA'!$S$7,'2.2 OPEX LAP 2023'!N338*'2.1 OPEX TUUA'!$S$8)</f>
        <v>139.26531112161078</v>
      </c>
      <c r="U337" s="1">
        <v>321.82449131333925</v>
      </c>
      <c r="V337" s="1">
        <v>369.17618051815202</v>
      </c>
      <c r="W337" s="1">
        <v>408.12967894513395</v>
      </c>
      <c r="X337" s="1">
        <v>425.31955417852799</v>
      </c>
      <c r="Y337" s="1">
        <v>434.83396254525633</v>
      </c>
      <c r="Z337" s="1">
        <v>446.44690006332684</v>
      </c>
      <c r="AA337" s="7">
        <f t="shared" si="33"/>
        <v>-5.9681223638033885</v>
      </c>
      <c r="AB337" s="7">
        <f t="shared" si="34"/>
        <v>-6.8462428392023753</v>
      </c>
      <c r="AC337" s="7">
        <f t="shared" si="35"/>
        <v>-7.5686218109261745</v>
      </c>
      <c r="AD337" s="7">
        <f t="shared" si="36"/>
        <v>-7.8874020205763031</v>
      </c>
      <c r="AE337" s="7">
        <f t="shared" si="37"/>
        <v>-8.0638433881057949</v>
      </c>
      <c r="AF337" s="7">
        <f t="shared" si="38"/>
        <v>-8.2792012430292061</v>
      </c>
    </row>
    <row r="338" spans="2:32" x14ac:dyDescent="0.25">
      <c r="B338" s="17">
        <v>6250000005</v>
      </c>
      <c r="C338" s="193" t="s">
        <v>177</v>
      </c>
      <c r="D338" s="193" t="s">
        <v>14</v>
      </c>
      <c r="E338" s="193" t="s">
        <v>25</v>
      </c>
      <c r="F338" s="163" t="s">
        <v>190</v>
      </c>
      <c r="G338" s="3">
        <f>+IF(F338="Pasajero",'2.2 OPEX LAP 2023'!I339*'2.1 OPEX TUUA'!$G$7,'2.2 OPEX LAP 2023'!I339*'2.1 OPEX TUUA'!$G$8)</f>
        <v>14712.575290586841</v>
      </c>
      <c r="H338" s="3">
        <f>+IF(F338="Pasajero",'2.2 OPEX LAP 2023'!J339*'2.1 OPEX TUUA'!$H$7,'2.2 OPEX LAP 2023'!J339*'2.1 OPEX TUUA'!$H$8)</f>
        <v>16877.312006923261</v>
      </c>
      <c r="I338" s="3">
        <f>+IF(F338="Pasajero",'2.2 OPEX LAP 2023'!K339*'2.1 OPEX TUUA'!$I$7,'2.2 OPEX LAP 2023'!K339*'2.1 OPEX TUUA'!$I$8)</f>
        <v>18658.115811195355</v>
      </c>
      <c r="J338" s="3">
        <f>+IF(F338="Pasajero",'2.2 OPEX LAP 2023'!L339*'2.1 OPEX TUUA'!$J$7,'2.2 OPEX LAP 2023'!L339*'2.1 OPEX TUUA'!$J$8)</f>
        <v>19443.970649573286</v>
      </c>
      <c r="K338" s="3">
        <f>+IF(F338="Pasajero",'2.2 OPEX LAP 2023'!M339*'2.1 OPEX TUUA'!$K$7,'2.2 OPEX LAP 2023'!M339*'2.1 OPEX TUUA'!$K$8)</f>
        <v>19878.932727411513</v>
      </c>
      <c r="L338" s="3">
        <f>+IF(F338="Pasajero",'2.2 OPEX LAP 2023'!N339*'2.1 OPEX TUUA'!$L$7,'2.2 OPEX LAP 2023'!N339*'2.1 OPEX TUUA'!$L$8)</f>
        <v>20409.831469400484</v>
      </c>
      <c r="M338" s="3"/>
      <c r="N338" s="3">
        <f>+IF(F338="Pasajero",'2.2 OPEX LAP 2023'!I339*'2.1 OPEX TUUA'!$N$7,'2.2 OPEX LAP 2023'!I339*'2.1 OPEX TUUA'!$N$8)</f>
        <v>7256.495541658076</v>
      </c>
      <c r="O338" s="3">
        <f>+IF(F338="Pasajero",'2.2 OPEX LAP 2023'!J339*'2.1 OPEX TUUA'!$O$7,'2.2 OPEX LAP 2023'!J339*'2.1 OPEX TUUA'!$O$8)</f>
        <v>6989.9619840412861</v>
      </c>
      <c r="P338" s="3">
        <f>+IF(F338="Pasajero",'2.2 OPEX LAP 2023'!K339*'2.1 OPEX TUUA'!$P$7,'2.2 OPEX LAP 2023'!K339*'2.1 OPEX TUUA'!$P$8)</f>
        <v>6831.2712445239649</v>
      </c>
      <c r="Q338" s="3">
        <f>+IF(F338="Pasajero",'2.2 OPEX LAP 2023'!L339*'2.1 OPEX TUUA'!$Q$7,'2.2 OPEX LAP 2023'!L339*'2.1 OPEX TUUA'!$Q$8)</f>
        <v>6675.3270744412985</v>
      </c>
      <c r="R338" s="3">
        <f>+IF(F338="Pasajero",'2.2 OPEX LAP 2023'!M339*'2.1 OPEX TUUA'!$R$7,'2.2 OPEX LAP 2023'!M339*'2.1 OPEX TUUA'!$R$8)</f>
        <v>6590.7720511920033</v>
      </c>
      <c r="S338" s="3">
        <f>+IF(F338="Pasajero",'2.2 OPEX LAP 2023'!N339*'2.1 OPEX TUUA'!$S$7,'2.2 OPEX LAP 2023'!N339*'2.1 OPEX TUUA'!$S$8)</f>
        <v>6486.9718538778588</v>
      </c>
      <c r="U338" s="1">
        <v>14990.570158674876</v>
      </c>
      <c r="V338" s="1">
        <v>17196.20968679084</v>
      </c>
      <c r="W338" s="1">
        <v>19010.661870689313</v>
      </c>
      <c r="X338" s="1">
        <v>19811.365476724597</v>
      </c>
      <c r="Y338" s="1">
        <v>20254.546185432246</v>
      </c>
      <c r="Z338" s="1">
        <v>20795.4762865023</v>
      </c>
      <c r="AA338" s="7">
        <f t="shared" si="33"/>
        <v>-277.99486808803522</v>
      </c>
      <c r="AB338" s="7">
        <f t="shared" si="34"/>
        <v>-318.89767986757943</v>
      </c>
      <c r="AC338" s="7">
        <f t="shared" si="35"/>
        <v>-352.54605949395773</v>
      </c>
      <c r="AD338" s="7">
        <f t="shared" si="36"/>
        <v>-367.39482715131089</v>
      </c>
      <c r="AE338" s="7">
        <f t="shared" si="37"/>
        <v>-375.61345802073265</v>
      </c>
      <c r="AF338" s="7">
        <f t="shared" si="38"/>
        <v>-385.64481710181644</v>
      </c>
    </row>
    <row r="339" spans="2:32" x14ac:dyDescent="0.25">
      <c r="B339" s="17">
        <v>6250000006</v>
      </c>
      <c r="C339" s="193" t="s">
        <v>177</v>
      </c>
      <c r="D339" s="193" t="s">
        <v>14</v>
      </c>
      <c r="E339" s="193" t="s">
        <v>26</v>
      </c>
      <c r="F339" s="163" t="s">
        <v>190</v>
      </c>
      <c r="G339" s="3">
        <f>+IF(F339="Pasajero",'2.2 OPEX LAP 2023'!I340*'2.1 OPEX TUUA'!$G$7,'2.2 OPEX LAP 2023'!I340*'2.1 OPEX TUUA'!$G$8)</f>
        <v>612.06408665358083</v>
      </c>
      <c r="H339" s="3">
        <f>+IF(F339="Pasajero",'2.2 OPEX LAP 2023'!J340*'2.1 OPEX TUUA'!$H$7,'2.2 OPEX LAP 2023'!J340*'2.1 OPEX TUUA'!$H$8)</f>
        <v>702.12021720590053</v>
      </c>
      <c r="I339" s="3">
        <f>+IF(F339="Pasajero",'2.2 OPEX LAP 2023'!K340*'2.1 OPEX TUUA'!$I$7,'2.2 OPEX LAP 2023'!K340*'2.1 OPEX TUUA'!$I$8)</f>
        <v>776.20419179520229</v>
      </c>
      <c r="J339" s="3">
        <f>+IF(F339="Pasajero",'2.2 OPEX LAP 2023'!L340*'2.1 OPEX TUUA'!$J$7,'2.2 OPEX LAP 2023'!L340*'2.1 OPEX TUUA'!$J$8)</f>
        <v>808.89687233508209</v>
      </c>
      <c r="K339" s="3">
        <f>+IF(F339="Pasajero",'2.2 OPEX LAP 2023'!M340*'2.1 OPEX TUUA'!$K$7,'2.2 OPEX LAP 2023'!M340*'2.1 OPEX TUUA'!$K$8)</f>
        <v>826.99191427320761</v>
      </c>
      <c r="L339" s="3">
        <f>+IF(F339="Pasajero",'2.2 OPEX LAP 2023'!N340*'2.1 OPEX TUUA'!$L$7,'2.2 OPEX LAP 2023'!N340*'2.1 OPEX TUUA'!$L$8)</f>
        <v>849.07805807897046</v>
      </c>
      <c r="M339" s="3"/>
      <c r="N339" s="3">
        <f>+IF(F339="Pasajero",'2.2 OPEX LAP 2023'!I340*'2.1 OPEX TUUA'!$N$7,'2.2 OPEX LAP 2023'!I340*'2.1 OPEX TUUA'!$N$8)</f>
        <v>301.8805496854369</v>
      </c>
      <c r="O339" s="3">
        <f>+IF(F339="Pasajero",'2.2 OPEX LAP 2023'!J340*'2.1 OPEX TUUA'!$O$7,'2.2 OPEX LAP 2023'!J340*'2.1 OPEX TUUA'!$O$8)</f>
        <v>290.79237407490155</v>
      </c>
      <c r="P339" s="3">
        <f>+IF(F339="Pasajero",'2.2 OPEX LAP 2023'!K340*'2.1 OPEX TUUA'!$P$7,'2.2 OPEX LAP 2023'!K340*'2.1 OPEX TUUA'!$P$8)</f>
        <v>284.19061329375575</v>
      </c>
      <c r="Q339" s="3">
        <f>+IF(F339="Pasajero",'2.2 OPEX LAP 2023'!L340*'2.1 OPEX TUUA'!$Q$7,'2.2 OPEX LAP 2023'!L340*'2.1 OPEX TUUA'!$Q$8)</f>
        <v>277.70311371292672</v>
      </c>
      <c r="R339" s="3">
        <f>+IF(F339="Pasajero",'2.2 OPEX LAP 2023'!M340*'2.1 OPEX TUUA'!$R$7,'2.2 OPEX LAP 2023'!M340*'2.1 OPEX TUUA'!$R$8)</f>
        <v>274.18550431723077</v>
      </c>
      <c r="S339" s="3">
        <f>+IF(F339="Pasajero",'2.2 OPEX LAP 2023'!N340*'2.1 OPEX TUUA'!$S$7,'2.2 OPEX LAP 2023'!N340*'2.1 OPEX TUUA'!$S$8)</f>
        <v>269.86726827026274</v>
      </c>
      <c r="U339" s="1">
        <v>623.62906910363154</v>
      </c>
      <c r="V339" s="1">
        <v>715.38681488230998</v>
      </c>
      <c r="W339" s="1">
        <v>790.87060998818481</v>
      </c>
      <c r="X339" s="1">
        <v>824.18102041114935</v>
      </c>
      <c r="Y339" s="1">
        <v>842.61796909892826</v>
      </c>
      <c r="Z339" s="1">
        <v>865.12143172974993</v>
      </c>
      <c r="AA339" s="7">
        <f t="shared" si="33"/>
        <v>-11.564982450050707</v>
      </c>
      <c r="AB339" s="7">
        <f t="shared" si="34"/>
        <v>-13.266597676409447</v>
      </c>
      <c r="AC339" s="7">
        <f t="shared" si="35"/>
        <v>-14.666418192982519</v>
      </c>
      <c r="AD339" s="7">
        <f t="shared" si="36"/>
        <v>-15.284148076067254</v>
      </c>
      <c r="AE339" s="7">
        <f t="shared" si="37"/>
        <v>-15.626054825720644</v>
      </c>
      <c r="AF339" s="7">
        <f t="shared" si="38"/>
        <v>-16.043373650779472</v>
      </c>
    </row>
    <row r="340" spans="2:32" x14ac:dyDescent="0.25">
      <c r="B340" s="17">
        <v>6250000007</v>
      </c>
      <c r="C340" s="193" t="s">
        <v>177</v>
      </c>
      <c r="D340" s="193" t="s">
        <v>14</v>
      </c>
      <c r="E340" s="193" t="s">
        <v>27</v>
      </c>
      <c r="F340" s="163" t="s">
        <v>190</v>
      </c>
      <c r="G340" s="3">
        <f>+IF(F340="Pasajero",'2.2 OPEX LAP 2023'!I341*'2.1 OPEX TUUA'!$G$7,'2.2 OPEX LAP 2023'!I341*'2.1 OPEX TUUA'!$G$8)</f>
        <v>4277.808602376851</v>
      </c>
      <c r="H340" s="3">
        <f>+IF(F340="Pasajero",'2.2 OPEX LAP 2023'!J341*'2.1 OPEX TUUA'!$H$7,'2.2 OPEX LAP 2023'!J341*'2.1 OPEX TUUA'!$H$8)</f>
        <v>4907.2245383448899</v>
      </c>
      <c r="I340" s="3">
        <f>+IF(F340="Pasajero",'2.2 OPEX LAP 2023'!K341*'2.1 OPEX TUUA'!$I$7,'2.2 OPEX LAP 2023'!K341*'2.1 OPEX TUUA'!$I$8)</f>
        <v>5425.0086572091504</v>
      </c>
      <c r="J340" s="3">
        <f>+IF(F340="Pasajero",'2.2 OPEX LAP 2023'!L341*'2.1 OPEX TUUA'!$J$7,'2.2 OPEX LAP 2023'!L341*'2.1 OPEX TUUA'!$J$8)</f>
        <v>5653.5027530037478</v>
      </c>
      <c r="K340" s="3">
        <f>+IF(F340="Pasajero",'2.2 OPEX LAP 2023'!M341*'2.1 OPEX TUUA'!$K$7,'2.2 OPEX LAP 2023'!M341*'2.1 OPEX TUUA'!$K$8)</f>
        <v>5779.9717417112888</v>
      </c>
      <c r="L340" s="3">
        <f>+IF(F340="Pasajero",'2.2 OPEX LAP 2023'!N341*'2.1 OPEX TUUA'!$L$7,'2.2 OPEX LAP 2023'!N341*'2.1 OPEX TUUA'!$L$8)</f>
        <v>5934.3351458479201</v>
      </c>
      <c r="M340" s="3"/>
      <c r="N340" s="3">
        <f>+IF(F340="Pasajero",'2.2 OPEX LAP 2023'!I341*'2.1 OPEX TUUA'!$N$7,'2.2 OPEX LAP 2023'!I341*'2.1 OPEX TUUA'!$N$8)</f>
        <v>2109.8888833605433</v>
      </c>
      <c r="O340" s="3">
        <f>+IF(F340="Pasajero",'2.2 OPEX LAP 2023'!J341*'2.1 OPEX TUUA'!$O$7,'2.2 OPEX LAP 2023'!J341*'2.1 OPEX TUUA'!$O$8)</f>
        <v>2032.3919446482091</v>
      </c>
      <c r="P340" s="3">
        <f>+IF(F340="Pasajero",'2.2 OPEX LAP 2023'!K341*'2.1 OPEX TUUA'!$P$7,'2.2 OPEX LAP 2023'!K341*'2.1 OPEX TUUA'!$P$8)</f>
        <v>1986.2512386727522</v>
      </c>
      <c r="Q340" s="3">
        <f>+IF(F340="Pasajero",'2.2 OPEX LAP 2023'!L341*'2.1 OPEX TUUA'!$Q$7,'2.2 OPEX LAP 2023'!L341*'2.1 OPEX TUUA'!$Q$8)</f>
        <v>1940.9091215318488</v>
      </c>
      <c r="R340" s="3">
        <f>+IF(F340="Pasajero",'2.2 OPEX LAP 2023'!M341*'2.1 OPEX TUUA'!$R$7,'2.2 OPEX LAP 2023'!M341*'2.1 OPEX TUUA'!$R$8)</f>
        <v>1916.3240167024151</v>
      </c>
      <c r="S340" s="3">
        <f>+IF(F340="Pasajero",'2.2 OPEX LAP 2023'!N341*'2.1 OPEX TUUA'!$S$7,'2.2 OPEX LAP 2023'!N341*'2.1 OPEX TUUA'!$S$8)</f>
        <v>1886.1432109475613</v>
      </c>
      <c r="U340" s="1">
        <v>4358.6380163057966</v>
      </c>
      <c r="V340" s="1">
        <v>4999.9467988106262</v>
      </c>
      <c r="W340" s="1">
        <v>5527.5144752763799</v>
      </c>
      <c r="X340" s="1">
        <v>5760.3259787827292</v>
      </c>
      <c r="Y340" s="1">
        <v>5889.1846055474143</v>
      </c>
      <c r="Z340" s="1">
        <v>6046.4647141578052</v>
      </c>
      <c r="AA340" s="7">
        <f t="shared" si="33"/>
        <v>-80.829413928945542</v>
      </c>
      <c r="AB340" s="7">
        <f t="shared" si="34"/>
        <v>-92.722260465736326</v>
      </c>
      <c r="AC340" s="7">
        <f t="shared" si="35"/>
        <v>-102.50581806722948</v>
      </c>
      <c r="AD340" s="7">
        <f t="shared" si="36"/>
        <v>-106.8232257789814</v>
      </c>
      <c r="AE340" s="7">
        <f t="shared" si="37"/>
        <v>-109.21286383612551</v>
      </c>
      <c r="AF340" s="7">
        <f t="shared" si="38"/>
        <v>-112.12956830988514</v>
      </c>
    </row>
    <row r="341" spans="2:32" x14ac:dyDescent="0.25">
      <c r="B341" s="17">
        <v>6250000008</v>
      </c>
      <c r="C341" s="193" t="s">
        <v>177</v>
      </c>
      <c r="D341" s="193" t="s">
        <v>14</v>
      </c>
      <c r="E341" s="193" t="s">
        <v>28</v>
      </c>
      <c r="F341" s="163" t="s">
        <v>190</v>
      </c>
      <c r="G341" s="3">
        <f>+IF(F341="Pasajero",'2.2 OPEX LAP 2023'!I342*'2.1 OPEX TUUA'!$G$7,'2.2 OPEX LAP 2023'!I342*'2.1 OPEX TUUA'!$G$8)</f>
        <v>960.3289379100936</v>
      </c>
      <c r="H341" s="3">
        <f>+IF(F341="Pasajero",'2.2 OPEX LAP 2023'!J342*'2.1 OPEX TUUA'!$H$7,'2.2 OPEX LAP 2023'!J342*'2.1 OPEX TUUA'!$H$8)</f>
        <v>1101.6270635335795</v>
      </c>
      <c r="I341" s="3">
        <f>+IF(F341="Pasajero",'2.2 OPEX LAP 2023'!K342*'2.1 OPEX TUUA'!$I$7,'2.2 OPEX LAP 2023'!K342*'2.1 OPEX TUUA'!$I$8)</f>
        <v>1217.8648663794922</v>
      </c>
      <c r="J341" s="3">
        <f>+IF(F341="Pasajero",'2.2 OPEX LAP 2023'!L342*'2.1 OPEX TUUA'!$J$7,'2.2 OPEX LAP 2023'!L342*'2.1 OPEX TUUA'!$J$8)</f>
        <v>1269.1597027616606</v>
      </c>
      <c r="K341" s="3">
        <f>+IF(F341="Pasajero",'2.2 OPEX LAP 2023'!M342*'2.1 OPEX TUUA'!$K$7,'2.2 OPEX LAP 2023'!M342*'2.1 OPEX TUUA'!$K$8)</f>
        <v>1297.5508349728107</v>
      </c>
      <c r="L341" s="3">
        <f>+IF(F341="Pasajero",'2.2 OPEX LAP 2023'!N342*'2.1 OPEX TUUA'!$L$7,'2.2 OPEX LAP 2023'!N342*'2.1 OPEX TUUA'!$L$8)</f>
        <v>1332.204008530962</v>
      </c>
      <c r="M341" s="3"/>
      <c r="N341" s="3">
        <f>+IF(F341="Pasajero",'2.2 OPEX LAP 2023'!I342*'2.1 OPEX TUUA'!$N$7,'2.2 OPEX LAP 2023'!I342*'2.1 OPEX TUUA'!$N$8)</f>
        <v>473.65077281394645</v>
      </c>
      <c r="O341" s="3">
        <f>+IF(F341="Pasajero",'2.2 OPEX LAP 2023'!J342*'2.1 OPEX TUUA'!$O$7,'2.2 OPEX LAP 2023'!J342*'2.1 OPEX TUUA'!$O$8)</f>
        <v>456.2534182891207</v>
      </c>
      <c r="P341" s="3">
        <f>+IF(F341="Pasajero",'2.2 OPEX LAP 2023'!K342*'2.1 OPEX TUUA'!$P$7,'2.2 OPEX LAP 2023'!K342*'2.1 OPEX TUUA'!$P$8)</f>
        <v>445.89525146061584</v>
      </c>
      <c r="Q341" s="3">
        <f>+IF(F341="Pasajero",'2.2 OPEX LAP 2023'!L342*'2.1 OPEX TUUA'!$Q$7,'2.2 OPEX LAP 2023'!L342*'2.1 OPEX TUUA'!$Q$8)</f>
        <v>435.71636052745788</v>
      </c>
      <c r="R341" s="3">
        <f>+IF(F341="Pasajero",'2.2 OPEX LAP 2023'!M342*'2.1 OPEX TUUA'!$R$7,'2.2 OPEX LAP 2023'!M342*'2.1 OPEX TUUA'!$R$8)</f>
        <v>430.19722916750408</v>
      </c>
      <c r="S341" s="3">
        <f>+IF(F341="Pasajero",'2.2 OPEX LAP 2023'!N342*'2.1 OPEX TUUA'!$S$7,'2.2 OPEX LAP 2023'!N342*'2.1 OPEX TUUA'!$S$8)</f>
        <v>423.42191408685142</v>
      </c>
      <c r="U341" s="1">
        <v>978.47440266678007</v>
      </c>
      <c r="V341" s="1">
        <v>1122.4423636534143</v>
      </c>
      <c r="W341" s="1">
        <v>1240.876485772518</v>
      </c>
      <c r="X341" s="1">
        <v>1293.1405407307695</v>
      </c>
      <c r="Y341" s="1">
        <v>1322.0681248477231</v>
      </c>
      <c r="Z341" s="1">
        <v>1357.376071905541</v>
      </c>
      <c r="AA341" s="7">
        <f t="shared" si="33"/>
        <v>-18.145464756686465</v>
      </c>
      <c r="AB341" s="7">
        <f t="shared" si="34"/>
        <v>-20.815300119834774</v>
      </c>
      <c r="AC341" s="7">
        <f t="shared" si="35"/>
        <v>-23.01161939302574</v>
      </c>
      <c r="AD341" s="7">
        <f t="shared" si="36"/>
        <v>-23.980837969108961</v>
      </c>
      <c r="AE341" s="7">
        <f t="shared" si="37"/>
        <v>-24.517289874912422</v>
      </c>
      <c r="AF341" s="7">
        <f t="shared" si="38"/>
        <v>-25.172063374579011</v>
      </c>
    </row>
    <row r="342" spans="2:32" x14ac:dyDescent="0.25">
      <c r="B342" s="17">
        <v>6250000009</v>
      </c>
      <c r="C342" s="193" t="s">
        <v>177</v>
      </c>
      <c r="D342" s="193" t="s">
        <v>14</v>
      </c>
      <c r="E342" s="193" t="s">
        <v>29</v>
      </c>
      <c r="F342" s="163" t="s">
        <v>190</v>
      </c>
      <c r="G342" s="3">
        <f>+IF(F342="Pasajero",'2.2 OPEX LAP 2023'!I343*'2.1 OPEX TUUA'!$G$7,'2.2 OPEX LAP 2023'!I343*'2.1 OPEX TUUA'!$G$8)</f>
        <v>5408.104177842225</v>
      </c>
      <c r="H342" s="3">
        <f>+IF(F342="Pasajero",'2.2 OPEX LAP 2023'!J343*'2.1 OPEX TUUA'!$H$7,'2.2 OPEX LAP 2023'!J343*'2.1 OPEX TUUA'!$H$8)</f>
        <v>6203.8263031888127</v>
      </c>
      <c r="I342" s="3">
        <f>+IF(F342="Pasajero",'2.2 OPEX LAP 2023'!K343*'2.1 OPEX TUUA'!$I$7,'2.2 OPEX LAP 2023'!K343*'2.1 OPEX TUUA'!$I$8)</f>
        <v>6858.42091382527</v>
      </c>
      <c r="J342" s="3">
        <f>+IF(F342="Pasajero",'2.2 OPEX LAP 2023'!L343*'2.1 OPEX TUUA'!$J$7,'2.2 OPEX LAP 2023'!L343*'2.1 OPEX TUUA'!$J$8)</f>
        <v>7147.2884132717045</v>
      </c>
      <c r="K342" s="3">
        <f>+IF(F342="Pasajero",'2.2 OPEX LAP 2023'!M343*'2.1 OPEX TUUA'!$K$7,'2.2 OPEX LAP 2023'!M343*'2.1 OPEX TUUA'!$K$8)</f>
        <v>7307.1734221093393</v>
      </c>
      <c r="L342" s="3">
        <f>+IF(F342="Pasajero",'2.2 OPEX LAP 2023'!N343*'2.1 OPEX TUUA'!$L$7,'2.2 OPEX LAP 2023'!N343*'2.1 OPEX TUUA'!$L$8)</f>
        <v>7502.3231935024351</v>
      </c>
      <c r="M342" s="3"/>
      <c r="N342" s="3">
        <f>+IF(F342="Pasajero",'2.2 OPEX LAP 2023'!I343*'2.1 OPEX TUUA'!$N$7,'2.2 OPEX LAP 2023'!I343*'2.1 OPEX TUUA'!$N$8)</f>
        <v>2667.370129309918</v>
      </c>
      <c r="O342" s="3">
        <f>+IF(F342="Pasajero",'2.2 OPEX LAP 2023'!J343*'2.1 OPEX TUUA'!$O$7,'2.2 OPEX LAP 2023'!J343*'2.1 OPEX TUUA'!$O$8)</f>
        <v>2569.3967141862749</v>
      </c>
      <c r="P342" s="3">
        <f>+IF(F342="Pasajero",'2.2 OPEX LAP 2023'!K343*'2.1 OPEX TUUA'!$P$7,'2.2 OPEX LAP 2023'!K343*'2.1 OPEX TUUA'!$P$8)</f>
        <v>2511.064570804308</v>
      </c>
      <c r="Q342" s="3">
        <f>+IF(F342="Pasajero",'2.2 OPEX LAP 2023'!L343*'2.1 OPEX TUUA'!$Q$7,'2.2 OPEX LAP 2023'!L343*'2.1 OPEX TUUA'!$Q$8)</f>
        <v>2453.7420218231114</v>
      </c>
      <c r="R342" s="3">
        <f>+IF(F342="Pasajero",'2.2 OPEX LAP 2023'!M343*'2.1 OPEX TUUA'!$R$7,'2.2 OPEX LAP 2023'!M343*'2.1 OPEX TUUA'!$R$8)</f>
        <v>2422.6609659603332</v>
      </c>
      <c r="S342" s="3">
        <f>+IF(F342="Pasajero",'2.2 OPEX LAP 2023'!N343*'2.1 OPEX TUUA'!$S$7,'2.2 OPEX LAP 2023'!N343*'2.1 OPEX TUUA'!$S$8)</f>
        <v>2384.5056960862253</v>
      </c>
      <c r="U342" s="1">
        <v>5510.2905849009203</v>
      </c>
      <c r="V342" s="1">
        <v>6321.0479208004817</v>
      </c>
      <c r="W342" s="1">
        <v>6988.0111303287631</v>
      </c>
      <c r="X342" s="1">
        <v>7282.3367960593077</v>
      </c>
      <c r="Y342" s="1">
        <v>7445.2428403759941</v>
      </c>
      <c r="Z342" s="1">
        <v>7644.0799767534209</v>
      </c>
      <c r="AA342" s="7">
        <f t="shared" si="33"/>
        <v>-102.18640705869529</v>
      </c>
      <c r="AB342" s="7">
        <f t="shared" si="34"/>
        <v>-117.22161761166899</v>
      </c>
      <c r="AC342" s="7">
        <f t="shared" si="35"/>
        <v>-129.59021650349314</v>
      </c>
      <c r="AD342" s="7">
        <f t="shared" si="36"/>
        <v>-135.04838278760326</v>
      </c>
      <c r="AE342" s="7">
        <f t="shared" si="37"/>
        <v>-138.06941826665479</v>
      </c>
      <c r="AF342" s="7">
        <f t="shared" si="38"/>
        <v>-141.75678325098579</v>
      </c>
    </row>
    <row r="343" spans="2:32" x14ac:dyDescent="0.25">
      <c r="B343" s="17">
        <v>6270000001</v>
      </c>
      <c r="C343" s="193" t="s">
        <v>177</v>
      </c>
      <c r="D343" s="193" t="s">
        <v>14</v>
      </c>
      <c r="E343" s="193" t="s">
        <v>30</v>
      </c>
      <c r="F343" s="163" t="s">
        <v>190</v>
      </c>
      <c r="G343" s="3">
        <f>+IF(F343="Pasajero",'2.2 OPEX LAP 2023'!I344*'2.1 OPEX TUUA'!$G$7,'2.2 OPEX LAP 2023'!I344*'2.1 OPEX TUUA'!$G$8)</f>
        <v>3622.5244428614137</v>
      </c>
      <c r="H343" s="3">
        <f>+IF(F343="Pasajero",'2.2 OPEX LAP 2023'!J344*'2.1 OPEX TUUA'!$H$7,'2.2 OPEX LAP 2023'!J344*'2.1 OPEX TUUA'!$H$8)</f>
        <v>4155.5250571254201</v>
      </c>
      <c r="I343" s="3">
        <f>+IF(F343="Pasajero",'2.2 OPEX LAP 2023'!K344*'2.1 OPEX TUUA'!$I$7,'2.2 OPEX LAP 2023'!K344*'2.1 OPEX TUUA'!$I$8)</f>
        <v>4593.9938623143835</v>
      </c>
      <c r="J343" s="3">
        <f>+IF(F343="Pasajero",'2.2 OPEX LAP 2023'!L344*'2.1 OPEX TUUA'!$J$7,'2.2 OPEX LAP 2023'!L344*'2.1 OPEX TUUA'!$J$8)</f>
        <v>4787.486728406041</v>
      </c>
      <c r="K343" s="3">
        <f>+IF(F343="Pasajero",'2.2 OPEX LAP 2023'!M344*'2.1 OPEX TUUA'!$K$7,'2.2 OPEX LAP 2023'!M344*'2.1 OPEX TUUA'!$K$8)</f>
        <v>4894.5829184044624</v>
      </c>
      <c r="L343" s="3">
        <f>+IF(F343="Pasajero",'2.2 OPEX LAP 2023'!N344*'2.1 OPEX TUUA'!$L$7,'2.2 OPEX LAP 2023'!N344*'2.1 OPEX TUUA'!$L$8)</f>
        <v>5025.3005957352216</v>
      </c>
      <c r="M343" s="3"/>
      <c r="N343" s="3">
        <f>+IF(F343="Pasajero",'2.2 OPEX LAP 2023'!I344*'2.1 OPEX TUUA'!$N$7,'2.2 OPEX LAP 2023'!I344*'2.1 OPEX TUUA'!$N$8)</f>
        <v>1786.6914493202062</v>
      </c>
      <c r="O343" s="3">
        <f>+IF(F343="Pasajero",'2.2 OPEX LAP 2023'!J344*'2.1 OPEX TUUA'!$O$7,'2.2 OPEX LAP 2023'!J344*'2.1 OPEX TUUA'!$O$8)</f>
        <v>1721.0656626554216</v>
      </c>
      <c r="P343" s="3">
        <f>+IF(F343="Pasajero",'2.2 OPEX LAP 2023'!K344*'2.1 OPEX TUUA'!$P$7,'2.2 OPEX LAP 2023'!K344*'2.1 OPEX TUUA'!$P$8)</f>
        <v>1681.992891818011</v>
      </c>
      <c r="Q343" s="3">
        <f>+IF(F343="Pasajero",'2.2 OPEX LAP 2023'!L344*'2.1 OPEX TUUA'!$Q$7,'2.2 OPEX LAP 2023'!L344*'2.1 OPEX TUUA'!$Q$8)</f>
        <v>1643.5963802156114</v>
      </c>
      <c r="R343" s="3">
        <f>+IF(F343="Pasajero",'2.2 OPEX LAP 2023'!M344*'2.1 OPEX TUUA'!$R$7,'2.2 OPEX LAP 2023'!M344*'2.1 OPEX TUUA'!$R$8)</f>
        <v>1622.7772759841948</v>
      </c>
      <c r="S343" s="3">
        <f>+IF(F343="Pasajero",'2.2 OPEX LAP 2023'!N344*'2.1 OPEX TUUA'!$S$7,'2.2 OPEX LAP 2023'!N344*'2.1 OPEX TUUA'!$S$8)</f>
        <v>1597.219632640483</v>
      </c>
      <c r="U343" s="1">
        <v>3690.972228836943</v>
      </c>
      <c r="V343" s="1">
        <v>4234.0439171669541</v>
      </c>
      <c r="W343" s="1">
        <v>4680.7976130192947</v>
      </c>
      <c r="X343" s="1">
        <v>4877.9465367842504</v>
      </c>
      <c r="Y343" s="1">
        <v>4987.0663148101457</v>
      </c>
      <c r="Z343" s="1">
        <v>5120.2539093884707</v>
      </c>
      <c r="AA343" s="7">
        <f t="shared" si="33"/>
        <v>-68.447785975529314</v>
      </c>
      <c r="AB343" s="7">
        <f t="shared" si="34"/>
        <v>-78.518860041534026</v>
      </c>
      <c r="AC343" s="7">
        <f t="shared" si="35"/>
        <v>-86.803750704911181</v>
      </c>
      <c r="AD343" s="7">
        <f t="shared" si="36"/>
        <v>-90.459808378209345</v>
      </c>
      <c r="AE343" s="7">
        <f t="shared" si="37"/>
        <v>-92.483396405683379</v>
      </c>
      <c r="AF343" s="7">
        <f t="shared" si="38"/>
        <v>-94.953313653249097</v>
      </c>
    </row>
    <row r="344" spans="2:32" x14ac:dyDescent="0.25">
      <c r="B344" s="17">
        <v>6270000002</v>
      </c>
      <c r="C344" s="193" t="s">
        <v>177</v>
      </c>
      <c r="D344" s="193" t="s">
        <v>14</v>
      </c>
      <c r="E344" s="193" t="s">
        <v>31</v>
      </c>
      <c r="F344" s="163" t="s">
        <v>190</v>
      </c>
      <c r="G344" s="3">
        <f>+IF(F344="Pasajero",'2.2 OPEX LAP 2023'!I345*'2.1 OPEX TUUA'!$G$7,'2.2 OPEX LAP 2023'!I345*'2.1 OPEX TUUA'!$G$8)</f>
        <v>12107.497341974493</v>
      </c>
      <c r="H344" s="3">
        <f>+IF(F344="Pasajero",'2.2 OPEX LAP 2023'!J345*'2.1 OPEX TUUA'!$H$7,'2.2 OPEX LAP 2023'!J345*'2.1 OPEX TUUA'!$H$8)</f>
        <v>13888.935568896379</v>
      </c>
      <c r="I344" s="3">
        <f>+IF(F344="Pasajero",'2.2 OPEX LAP 2023'!K345*'2.1 OPEX TUUA'!$I$7,'2.2 OPEX LAP 2023'!K345*'2.1 OPEX TUUA'!$I$8)</f>
        <v>15354.421855352113</v>
      </c>
      <c r="J344" s="3">
        <f>+IF(F344="Pasajero",'2.2 OPEX LAP 2023'!L345*'2.1 OPEX TUUA'!$J$7,'2.2 OPEX LAP 2023'!L345*'2.1 OPEX TUUA'!$J$8)</f>
        <v>16001.129530855133</v>
      </c>
      <c r="K344" s="3">
        <f>+IF(F344="Pasajero",'2.2 OPEX LAP 2023'!M345*'2.1 OPEX TUUA'!$K$7,'2.2 OPEX LAP 2023'!M345*'2.1 OPEX TUUA'!$K$8)</f>
        <v>16359.07517240814</v>
      </c>
      <c r="L344" s="3">
        <f>+IF(F344="Pasajero",'2.2 OPEX LAP 2023'!N345*'2.1 OPEX TUUA'!$L$7,'2.2 OPEX LAP 2023'!N345*'2.1 OPEX TUUA'!$L$8)</f>
        <v>16795.97048002989</v>
      </c>
      <c r="M344" s="3"/>
      <c r="N344" s="3">
        <f>+IF(F344="Pasajero",'2.2 OPEX LAP 2023'!I345*'2.1 OPEX TUUA'!$N$7,'2.2 OPEX LAP 2023'!I345*'2.1 OPEX TUUA'!$N$8)</f>
        <v>5971.6262277268879</v>
      </c>
      <c r="O344" s="3">
        <f>+IF(F344="Pasajero",'2.2 OPEX LAP 2023'!J345*'2.1 OPEX TUUA'!$O$7,'2.2 OPEX LAP 2023'!J345*'2.1 OPEX TUUA'!$O$8)</f>
        <v>5752.2863584888373</v>
      </c>
      <c r="P344" s="3">
        <f>+IF(F344="Pasajero",'2.2 OPEX LAP 2023'!K345*'2.1 OPEX TUUA'!$P$7,'2.2 OPEX LAP 2023'!K345*'2.1 OPEX TUUA'!$P$8)</f>
        <v>5621.6941495143001</v>
      </c>
      <c r="Q344" s="3">
        <f>+IF(F344="Pasajero",'2.2 OPEX LAP 2023'!L345*'2.1 OPEX TUUA'!$Q$7,'2.2 OPEX LAP 2023'!L345*'2.1 OPEX TUUA'!$Q$8)</f>
        <v>5493.3621894406406</v>
      </c>
      <c r="R344" s="3">
        <f>+IF(F344="Pasajero",'2.2 OPEX LAP 2023'!M345*'2.1 OPEX TUUA'!$R$7,'2.2 OPEX LAP 2023'!M345*'2.1 OPEX TUUA'!$R$8)</f>
        <v>5423.7788772725498</v>
      </c>
      <c r="S344" s="3">
        <f>+IF(F344="Pasajero",'2.2 OPEX LAP 2023'!N345*'2.1 OPEX TUUA'!$S$7,'2.2 OPEX LAP 2023'!N345*'2.1 OPEX TUUA'!$S$8)</f>
        <v>5338.3580322977405</v>
      </c>
      <c r="U344" s="1">
        <v>12336.269128013331</v>
      </c>
      <c r="V344" s="1">
        <v>14151.367722010245</v>
      </c>
      <c r="W344" s="1">
        <v>15644.544447348471</v>
      </c>
      <c r="X344" s="1">
        <v>16303.471697697645</v>
      </c>
      <c r="Y344" s="1">
        <v>16668.180740588683</v>
      </c>
      <c r="Z344" s="1">
        <v>17113.33120755621</v>
      </c>
      <c r="AA344" s="7">
        <f t="shared" si="33"/>
        <v>-228.7717860388384</v>
      </c>
      <c r="AB344" s="7">
        <f t="shared" si="34"/>
        <v>-262.43215311386666</v>
      </c>
      <c r="AC344" s="7">
        <f t="shared" si="35"/>
        <v>-290.1225919963581</v>
      </c>
      <c r="AD344" s="7">
        <f t="shared" si="36"/>
        <v>-302.3421668425126</v>
      </c>
      <c r="AE344" s="7">
        <f t="shared" si="37"/>
        <v>-309.10556818054283</v>
      </c>
      <c r="AF344" s="7">
        <f t="shared" si="38"/>
        <v>-317.36072752632026</v>
      </c>
    </row>
    <row r="345" spans="2:32" x14ac:dyDescent="0.25">
      <c r="B345" s="17">
        <v>6270000003</v>
      </c>
      <c r="C345" s="193" t="s">
        <v>177</v>
      </c>
      <c r="D345" s="193" t="s">
        <v>14</v>
      </c>
      <c r="E345" s="193" t="s">
        <v>32</v>
      </c>
      <c r="F345" s="163" t="s">
        <v>190</v>
      </c>
      <c r="G345" s="3">
        <f>+IF(F345="Pasajero",'2.2 OPEX LAP 2023'!I346*'2.1 OPEX TUUA'!$G$7,'2.2 OPEX LAP 2023'!I346*'2.1 OPEX TUUA'!$G$8)</f>
        <v>319.79748675904813</v>
      </c>
      <c r="H345" s="3">
        <f>+IF(F345="Pasajero",'2.2 OPEX LAP 2023'!J346*'2.1 OPEX TUUA'!$H$7,'2.2 OPEX LAP 2023'!J346*'2.1 OPEX TUUA'!$H$8)</f>
        <v>366.85093237997506</v>
      </c>
      <c r="I345" s="3">
        <f>+IF(F345="Pasajero",'2.2 OPEX LAP 2023'!K346*'2.1 OPEX TUUA'!$I$7,'2.2 OPEX LAP 2023'!K346*'2.1 OPEX TUUA'!$I$8)</f>
        <v>405.55908304490555</v>
      </c>
      <c r="J345" s="3">
        <f>+IF(F345="Pasajero",'2.2 OPEX LAP 2023'!L346*'2.1 OPEX TUUA'!$J$7,'2.2 OPEX LAP 2023'!L346*'2.1 OPEX TUUA'!$J$8)</f>
        <v>422.64068822326561</v>
      </c>
      <c r="K345" s="3">
        <f>+IF(F345="Pasajero",'2.2 OPEX LAP 2023'!M346*'2.1 OPEX TUUA'!$K$7,'2.2 OPEX LAP 2023'!M346*'2.1 OPEX TUUA'!$K$8)</f>
        <v>432.09517029596941</v>
      </c>
      <c r="L345" s="3">
        <f>+IF(F345="Pasajero",'2.2 OPEX LAP 2023'!N346*'2.1 OPEX TUUA'!$L$7,'2.2 OPEX LAP 2023'!N346*'2.1 OPEX TUUA'!$L$8)</f>
        <v>443.6349639798284</v>
      </c>
      <c r="M345" s="3"/>
      <c r="N345" s="3">
        <f>+IF(F345="Pasajero",'2.2 OPEX LAP 2023'!I346*'2.1 OPEX TUUA'!$N$7,'2.2 OPEX LAP 2023'!I346*'2.1 OPEX TUUA'!$N$8)</f>
        <v>157.72962863851748</v>
      </c>
      <c r="O345" s="3">
        <f>+IF(F345="Pasajero",'2.2 OPEX LAP 2023'!J346*'2.1 OPEX TUUA'!$O$7,'2.2 OPEX LAP 2023'!J346*'2.1 OPEX TUUA'!$O$8)</f>
        <v>151.93616555137649</v>
      </c>
      <c r="P345" s="3">
        <f>+IF(F345="Pasajero",'2.2 OPEX LAP 2023'!K346*'2.1 OPEX TUUA'!$P$7,'2.2 OPEX LAP 2023'!K346*'2.1 OPEX TUUA'!$P$8)</f>
        <v>148.48681024360496</v>
      </c>
      <c r="Q345" s="3">
        <f>+IF(F345="Pasajero",'2.2 OPEX LAP 2023'!L346*'2.1 OPEX TUUA'!$Q$7,'2.2 OPEX LAP 2023'!L346*'2.1 OPEX TUUA'!$Q$8)</f>
        <v>145.0971552931851</v>
      </c>
      <c r="R345" s="3">
        <f>+IF(F345="Pasajero",'2.2 OPEX LAP 2023'!M346*'2.1 OPEX TUUA'!$R$7,'2.2 OPEX LAP 2023'!M346*'2.1 OPEX TUUA'!$R$8)</f>
        <v>143.25923885816925</v>
      </c>
      <c r="S345" s="3">
        <f>+IF(F345="Pasajero",'2.2 OPEX LAP 2023'!N346*'2.1 OPEX TUUA'!$S$7,'2.2 OPEX LAP 2023'!N346*'2.1 OPEX TUUA'!$S$8)</f>
        <v>141.00300284438347</v>
      </c>
      <c r="U345" s="1">
        <v>325.84007674690338</v>
      </c>
      <c r="V345" s="1">
        <v>373.78259964696895</v>
      </c>
      <c r="W345" s="1">
        <v>413.22214281290599</v>
      </c>
      <c r="X345" s="1">
        <v>430.62650580113279</v>
      </c>
      <c r="Y345" s="1">
        <v>440.25963079968272</v>
      </c>
      <c r="Z345" s="1">
        <v>452.0174694797131</v>
      </c>
      <c r="AA345" s="7">
        <f t="shared" si="33"/>
        <v>-6.0425899878552514</v>
      </c>
      <c r="AB345" s="7">
        <f t="shared" si="34"/>
        <v>-6.9316672669938839</v>
      </c>
      <c r="AC345" s="7">
        <f t="shared" si="35"/>
        <v>-7.6630597680004371</v>
      </c>
      <c r="AD345" s="7">
        <f t="shared" si="36"/>
        <v>-7.9858175778671807</v>
      </c>
      <c r="AE345" s="7">
        <f t="shared" si="37"/>
        <v>-8.1644605037133147</v>
      </c>
      <c r="AF345" s="7">
        <f t="shared" si="38"/>
        <v>-8.3825054998847008</v>
      </c>
    </row>
    <row r="346" spans="2:32" x14ac:dyDescent="0.25">
      <c r="B346" s="17">
        <v>6270000004</v>
      </c>
      <c r="C346" s="193" t="s">
        <v>177</v>
      </c>
      <c r="D346" s="193" t="s">
        <v>14</v>
      </c>
      <c r="E346" s="193" t="s">
        <v>33</v>
      </c>
      <c r="F346" s="163" t="s">
        <v>190</v>
      </c>
      <c r="G346" s="3">
        <f>+IF(F346="Pasajero",'2.2 OPEX LAP 2023'!I347*'2.1 OPEX TUUA'!$G$7,'2.2 OPEX LAP 2023'!I347*'2.1 OPEX TUUA'!$G$8)</f>
        <v>392.33678003081997</v>
      </c>
      <c r="H346" s="3">
        <f>+IF(F346="Pasajero",'2.2 OPEX LAP 2023'!J347*'2.1 OPEX TUUA'!$H$7,'2.2 OPEX LAP 2023'!J347*'2.1 OPEX TUUA'!$H$8)</f>
        <v>450.06330418633678</v>
      </c>
      <c r="I346" s="3">
        <f>+IF(F346="Pasajero",'2.2 OPEX LAP 2023'!K347*'2.1 OPEX TUUA'!$I$7,'2.2 OPEX LAP 2023'!K347*'2.1 OPEX TUUA'!$I$8)</f>
        <v>497.55157980330267</v>
      </c>
      <c r="J346" s="3">
        <f>+IF(F346="Pasajero",'2.2 OPEX LAP 2023'!L347*'2.1 OPEX TUUA'!$J$7,'2.2 OPEX LAP 2023'!L347*'2.1 OPEX TUUA'!$J$8)</f>
        <v>518.50778568644955</v>
      </c>
      <c r="K346" s="3">
        <f>+IF(F346="Pasajero",'2.2 OPEX LAP 2023'!M347*'2.1 OPEX TUUA'!$K$7,'2.2 OPEX LAP 2023'!M347*'2.1 OPEX TUUA'!$K$8)</f>
        <v>530.10681696982715</v>
      </c>
      <c r="L346" s="3">
        <f>+IF(F346="Pasajero",'2.2 OPEX LAP 2023'!N347*'2.1 OPEX TUUA'!$L$7,'2.2 OPEX LAP 2023'!N347*'2.1 OPEX TUUA'!$L$8)</f>
        <v>544.26416868021272</v>
      </c>
      <c r="M346" s="3"/>
      <c r="N346" s="3">
        <f>+IF(F346="Pasajero",'2.2 OPEX LAP 2023'!I347*'2.1 OPEX TUUA'!$N$7,'2.2 OPEX LAP 2023'!I347*'2.1 OPEX TUUA'!$N$8)</f>
        <v>193.50725749173534</v>
      </c>
      <c r="O346" s="3">
        <f>+IF(F346="Pasajero",'2.2 OPEX LAP 2023'!J347*'2.1 OPEX TUUA'!$O$7,'2.2 OPEX LAP 2023'!J347*'2.1 OPEX TUUA'!$O$8)</f>
        <v>186.39966988724333</v>
      </c>
      <c r="P346" s="3">
        <f>+IF(F346="Pasajero",'2.2 OPEX LAP 2023'!K347*'2.1 OPEX TUUA'!$P$7,'2.2 OPEX LAP 2023'!K347*'2.1 OPEX TUUA'!$P$8)</f>
        <v>182.16790131286126</v>
      </c>
      <c r="Q346" s="3">
        <f>+IF(F346="Pasajero",'2.2 OPEX LAP 2023'!L347*'2.1 OPEX TUUA'!$Q$7,'2.2 OPEX LAP 2023'!L347*'2.1 OPEX TUUA'!$Q$8)</f>
        <v>178.00937485869545</v>
      </c>
      <c r="R346" s="3">
        <f>+IF(F346="Pasajero",'2.2 OPEX LAP 2023'!M347*'2.1 OPEX TUUA'!$R$7,'2.2 OPEX LAP 2023'!M347*'2.1 OPEX TUUA'!$R$8)</f>
        <v>175.75456596889592</v>
      </c>
      <c r="S346" s="3">
        <f>+IF(F346="Pasajero",'2.2 OPEX LAP 2023'!N347*'2.1 OPEX TUUA'!$S$7,'2.2 OPEX LAP 2023'!N347*'2.1 OPEX TUUA'!$S$8)</f>
        <v>172.98655055511239</v>
      </c>
      <c r="U346" s="1">
        <v>399.75000370217373</v>
      </c>
      <c r="V346" s="1">
        <v>458.56727350560311</v>
      </c>
      <c r="W346" s="1">
        <v>506.95284253688459</v>
      </c>
      <c r="X346" s="1">
        <v>528.3050170098295</v>
      </c>
      <c r="Y346" s="1">
        <v>540.12321258687325</v>
      </c>
      <c r="Z346" s="1">
        <v>554.54806818719464</v>
      </c>
      <c r="AA346" s="7">
        <f t="shared" si="33"/>
        <v>-7.4132236713537623</v>
      </c>
      <c r="AB346" s="7">
        <f t="shared" si="34"/>
        <v>-8.5039693192663321</v>
      </c>
      <c r="AC346" s="7">
        <f t="shared" si="35"/>
        <v>-9.4012627335819161</v>
      </c>
      <c r="AD346" s="7">
        <f t="shared" si="36"/>
        <v>-9.7972313233799468</v>
      </c>
      <c r="AE346" s="7">
        <f t="shared" si="37"/>
        <v>-10.016395617046101</v>
      </c>
      <c r="AF346" s="7">
        <f t="shared" si="38"/>
        <v>-10.283899506981925</v>
      </c>
    </row>
    <row r="347" spans="2:32" x14ac:dyDescent="0.25">
      <c r="B347" s="17">
        <v>6270000005</v>
      </c>
      <c r="C347" s="193" t="s">
        <v>177</v>
      </c>
      <c r="D347" s="193" t="s">
        <v>14</v>
      </c>
      <c r="E347" s="193" t="s">
        <v>34</v>
      </c>
      <c r="F347" s="163" t="s">
        <v>190</v>
      </c>
      <c r="G347" s="3">
        <f>+IF(F347="Pasajero",'2.2 OPEX LAP 2023'!I348*'2.1 OPEX TUUA'!$G$7,'2.2 OPEX LAP 2023'!I348*'2.1 OPEX TUUA'!$G$8)</f>
        <v>723.38473797185907</v>
      </c>
      <c r="H347" s="3">
        <f>+IF(F347="Pasajero",'2.2 OPEX LAP 2023'!J348*'2.1 OPEX TUUA'!$H$7,'2.2 OPEX LAP 2023'!J348*'2.1 OPEX TUUA'!$H$8)</f>
        <v>829.82004731752988</v>
      </c>
      <c r="I347" s="3">
        <f>+IF(F347="Pasajero",'2.2 OPEX LAP 2023'!K348*'2.1 OPEX TUUA'!$I$7,'2.2 OPEX LAP 2023'!K348*'2.1 OPEX TUUA'!$I$8)</f>
        <v>917.378225806979</v>
      </c>
      <c r="J347" s="3">
        <f>+IF(F347="Pasajero",'2.2 OPEX LAP 2023'!L348*'2.1 OPEX TUUA'!$J$7,'2.2 OPEX LAP 2023'!L348*'2.1 OPEX TUUA'!$J$8)</f>
        <v>956.01696750352266</v>
      </c>
      <c r="K347" s="3">
        <f>+IF(F347="Pasajero",'2.2 OPEX LAP 2023'!M348*'2.1 OPEX TUUA'!$K$7,'2.2 OPEX LAP 2023'!M348*'2.1 OPEX TUUA'!$K$8)</f>
        <v>977.40308940877549</v>
      </c>
      <c r="L347" s="3">
        <f>+IF(F347="Pasajero",'2.2 OPEX LAP 2023'!N348*'2.1 OPEX TUUA'!$L$7,'2.2 OPEX LAP 2023'!N348*'2.1 OPEX TUUA'!$L$8)</f>
        <v>1003.5062045859664</v>
      </c>
      <c r="M347" s="3"/>
      <c r="N347" s="3">
        <f>+IF(F347="Pasajero",'2.2 OPEX LAP 2023'!I348*'2.1 OPEX TUUA'!$N$7,'2.2 OPEX LAP 2023'!I348*'2.1 OPEX TUUA'!$N$8)</f>
        <v>356.78581229451873</v>
      </c>
      <c r="O347" s="3">
        <f>+IF(F347="Pasajero",'2.2 OPEX LAP 2023'!J348*'2.1 OPEX TUUA'!$O$7,'2.2 OPEX LAP 2023'!J348*'2.1 OPEX TUUA'!$O$8)</f>
        <v>343.68094765123038</v>
      </c>
      <c r="P347" s="3">
        <f>+IF(F347="Pasajero",'2.2 OPEX LAP 2023'!K348*'2.1 OPEX TUUA'!$P$7,'2.2 OPEX LAP 2023'!K348*'2.1 OPEX TUUA'!$P$8)</f>
        <v>335.87847549683175</v>
      </c>
      <c r="Q347" s="3">
        <f>+IF(F347="Pasajero",'2.2 OPEX LAP 2023'!L348*'2.1 OPEX TUUA'!$Q$7,'2.2 OPEX LAP 2023'!L348*'2.1 OPEX TUUA'!$Q$8)</f>
        <v>328.21104607775078</v>
      </c>
      <c r="R347" s="3">
        <f>+IF(F347="Pasajero",'2.2 OPEX LAP 2023'!M348*'2.1 OPEX TUUA'!$R$7,'2.2 OPEX LAP 2023'!M348*'2.1 OPEX TUUA'!$R$8)</f>
        <v>324.05366287805151</v>
      </c>
      <c r="S347" s="3">
        <f>+IF(F347="Pasajero",'2.2 OPEX LAP 2023'!N348*'2.1 OPEX TUUA'!$S$7,'2.2 OPEX LAP 2023'!N348*'2.1 OPEX TUUA'!$S$8)</f>
        <v>318.95003709857559</v>
      </c>
      <c r="U347" s="1">
        <v>737.05312986366118</v>
      </c>
      <c r="V347" s="1">
        <v>845.49953986282469</v>
      </c>
      <c r="W347" s="1">
        <v>934.71213464571338</v>
      </c>
      <c r="X347" s="1">
        <v>974.08095735723009</v>
      </c>
      <c r="Y347" s="1">
        <v>995.87117113766737</v>
      </c>
      <c r="Z347" s="1">
        <v>1022.4675060209292</v>
      </c>
      <c r="AA347" s="7">
        <f t="shared" si="33"/>
        <v>-13.668391891802116</v>
      </c>
      <c r="AB347" s="7">
        <f t="shared" si="34"/>
        <v>-15.679492545294806</v>
      </c>
      <c r="AC347" s="7">
        <f t="shared" si="35"/>
        <v>-17.333908838734374</v>
      </c>
      <c r="AD347" s="7">
        <f t="shared" si="36"/>
        <v>-18.063989853707426</v>
      </c>
      <c r="AE347" s="7">
        <f t="shared" si="37"/>
        <v>-18.468081728891889</v>
      </c>
      <c r="AF347" s="7">
        <f t="shared" si="38"/>
        <v>-18.96130143496282</v>
      </c>
    </row>
    <row r="348" spans="2:32" x14ac:dyDescent="0.25">
      <c r="B348" s="17">
        <v>6270000006</v>
      </c>
      <c r="C348" s="193" t="s">
        <v>177</v>
      </c>
      <c r="D348" s="193" t="s">
        <v>14</v>
      </c>
      <c r="E348" s="193" t="s">
        <v>35</v>
      </c>
      <c r="F348" s="163" t="s">
        <v>190</v>
      </c>
      <c r="G348" s="3">
        <f>+IF(F348="Pasajero",'2.2 OPEX LAP 2023'!I349*'2.1 OPEX TUUA'!$G$7,'2.2 OPEX LAP 2023'!I349*'2.1 OPEX TUUA'!$G$8)</f>
        <v>3929.6585404290336</v>
      </c>
      <c r="H348" s="3">
        <f>+IF(F348="Pasajero",'2.2 OPEX LAP 2023'!J349*'2.1 OPEX TUUA'!$H$7,'2.2 OPEX LAP 2023'!J349*'2.1 OPEX TUUA'!$H$8)</f>
        <v>4507.8493708660617</v>
      </c>
      <c r="I348" s="3">
        <f>+IF(F348="Pasajero",'2.2 OPEX LAP 2023'!K349*'2.1 OPEX TUUA'!$I$7,'2.2 OPEX LAP 2023'!K349*'2.1 OPEX TUUA'!$I$8)</f>
        <v>4983.4935555224138</v>
      </c>
      <c r="J348" s="3">
        <f>+IF(F348="Pasajero",'2.2 OPEX LAP 2023'!L349*'2.1 OPEX TUUA'!$J$7,'2.2 OPEX LAP 2023'!L349*'2.1 OPEX TUUA'!$J$8)</f>
        <v>5193.3916268101175</v>
      </c>
      <c r="K348" s="3">
        <f>+IF(F348="Pasajero",'2.2 OPEX LAP 2023'!M349*'2.1 OPEX TUUA'!$K$7,'2.2 OPEX LAP 2023'!M349*'2.1 OPEX TUUA'!$K$8)</f>
        <v>5309.5679188718705</v>
      </c>
      <c r="L348" s="3">
        <f>+IF(F348="Pasajero",'2.2 OPEX LAP 2023'!N349*'2.1 OPEX TUUA'!$L$7,'2.2 OPEX LAP 2023'!N349*'2.1 OPEX TUUA'!$L$8)</f>
        <v>5451.3684353929166</v>
      </c>
      <c r="M348" s="3"/>
      <c r="N348" s="3">
        <f>+IF(F348="Pasajero",'2.2 OPEX LAP 2023'!I349*'2.1 OPEX TUUA'!$N$7,'2.2 OPEX LAP 2023'!I349*'2.1 OPEX TUUA'!$N$8)</f>
        <v>1938.1752762962049</v>
      </c>
      <c r="O348" s="3">
        <f>+IF(F348="Pasajero",'2.2 OPEX LAP 2023'!J349*'2.1 OPEX TUUA'!$O$7,'2.2 OPEX LAP 2023'!J349*'2.1 OPEX TUUA'!$O$8)</f>
        <v>1866.9854369708032</v>
      </c>
      <c r="P348" s="3">
        <f>+IF(F348="Pasajero",'2.2 OPEX LAP 2023'!K349*'2.1 OPEX TUUA'!$P$7,'2.2 OPEX LAP 2023'!K349*'2.1 OPEX TUUA'!$P$8)</f>
        <v>1824.5998989181808</v>
      </c>
      <c r="Q348" s="3">
        <f>+IF(F348="Pasajero",'2.2 OPEX LAP 2023'!L349*'2.1 OPEX TUUA'!$Q$7,'2.2 OPEX LAP 2023'!L349*'2.1 OPEX TUUA'!$Q$8)</f>
        <v>1782.9479564341518</v>
      </c>
      <c r="R348" s="3">
        <f>+IF(F348="Pasajero",'2.2 OPEX LAP 2023'!M349*'2.1 OPEX TUUA'!$R$7,'2.2 OPEX LAP 2023'!M349*'2.1 OPEX TUUA'!$R$8)</f>
        <v>1760.3637138603613</v>
      </c>
      <c r="S348" s="3">
        <f>+IF(F348="Pasajero",'2.2 OPEX LAP 2023'!N349*'2.1 OPEX TUUA'!$S$7,'2.2 OPEX LAP 2023'!N349*'2.1 OPEX TUUA'!$S$8)</f>
        <v>1732.6391772773795</v>
      </c>
      <c r="U348" s="1">
        <v>4003.9096410012448</v>
      </c>
      <c r="V348" s="1">
        <v>4593.025416967007</v>
      </c>
      <c r="W348" s="1">
        <v>5077.6569229969991</v>
      </c>
      <c r="X348" s="1">
        <v>5291.5210291553549</v>
      </c>
      <c r="Y348" s="1">
        <v>5409.8924782408631</v>
      </c>
      <c r="Z348" s="1">
        <v>5554.3723228269491</v>
      </c>
      <c r="AA348" s="7">
        <f t="shared" si="33"/>
        <v>-74.251100572211271</v>
      </c>
      <c r="AB348" s="7">
        <f t="shared" si="34"/>
        <v>-85.176046100945314</v>
      </c>
      <c r="AC348" s="7">
        <f t="shared" si="35"/>
        <v>-94.163367474585357</v>
      </c>
      <c r="AD348" s="7">
        <f t="shared" si="36"/>
        <v>-98.129402345237395</v>
      </c>
      <c r="AE348" s="7">
        <f t="shared" si="37"/>
        <v>-100.3245593689926</v>
      </c>
      <c r="AF348" s="7">
        <f t="shared" si="38"/>
        <v>-103.00388743403255</v>
      </c>
    </row>
    <row r="349" spans="2:32" x14ac:dyDescent="0.25">
      <c r="B349" s="17">
        <v>6270000007</v>
      </c>
      <c r="C349" s="193" t="s">
        <v>177</v>
      </c>
      <c r="D349" s="193" t="s">
        <v>14</v>
      </c>
      <c r="E349" s="193" t="s">
        <v>36</v>
      </c>
      <c r="F349" s="163" t="s">
        <v>190</v>
      </c>
      <c r="G349" s="3">
        <f>+IF(F349="Pasajero",'2.2 OPEX LAP 2023'!I350*'2.1 OPEX TUUA'!$G$7,'2.2 OPEX LAP 2023'!I350*'2.1 OPEX TUUA'!$G$8)</f>
        <v>0</v>
      </c>
      <c r="H349" s="3">
        <f>+IF(F349="Pasajero",'2.2 OPEX LAP 2023'!J350*'2.1 OPEX TUUA'!$H$7,'2.2 OPEX LAP 2023'!J350*'2.1 OPEX TUUA'!$H$8)</f>
        <v>0</v>
      </c>
      <c r="I349" s="3">
        <f>+IF(F349="Pasajero",'2.2 OPEX LAP 2023'!K350*'2.1 OPEX TUUA'!$I$7,'2.2 OPEX LAP 2023'!K350*'2.1 OPEX TUUA'!$I$8)</f>
        <v>0</v>
      </c>
      <c r="J349" s="3">
        <f>+IF(F349="Pasajero",'2.2 OPEX LAP 2023'!L350*'2.1 OPEX TUUA'!$J$7,'2.2 OPEX LAP 2023'!L350*'2.1 OPEX TUUA'!$J$8)</f>
        <v>0</v>
      </c>
      <c r="K349" s="3">
        <f>+IF(F349="Pasajero",'2.2 OPEX LAP 2023'!M350*'2.1 OPEX TUUA'!$K$7,'2.2 OPEX LAP 2023'!M350*'2.1 OPEX TUUA'!$K$8)</f>
        <v>0</v>
      </c>
      <c r="L349" s="3">
        <f>+IF(F349="Pasajero",'2.2 OPEX LAP 2023'!N350*'2.1 OPEX TUUA'!$L$7,'2.2 OPEX LAP 2023'!N350*'2.1 OPEX TUUA'!$L$8)</f>
        <v>0</v>
      </c>
      <c r="M349" s="3"/>
      <c r="N349" s="3">
        <f>+IF(F349="Pasajero",'2.2 OPEX LAP 2023'!I350*'2.1 OPEX TUUA'!$N$7,'2.2 OPEX LAP 2023'!I350*'2.1 OPEX TUUA'!$N$8)</f>
        <v>0</v>
      </c>
      <c r="O349" s="3">
        <f>+IF(F349="Pasajero",'2.2 OPEX LAP 2023'!J350*'2.1 OPEX TUUA'!$O$7,'2.2 OPEX LAP 2023'!J350*'2.1 OPEX TUUA'!$O$8)</f>
        <v>0</v>
      </c>
      <c r="P349" s="3">
        <f>+IF(F349="Pasajero",'2.2 OPEX LAP 2023'!K350*'2.1 OPEX TUUA'!$P$7,'2.2 OPEX LAP 2023'!K350*'2.1 OPEX TUUA'!$P$8)</f>
        <v>0</v>
      </c>
      <c r="Q349" s="3">
        <f>+IF(F349="Pasajero",'2.2 OPEX LAP 2023'!L350*'2.1 OPEX TUUA'!$Q$7,'2.2 OPEX LAP 2023'!L350*'2.1 OPEX TUUA'!$Q$8)</f>
        <v>0</v>
      </c>
      <c r="R349" s="3">
        <f>+IF(F349="Pasajero",'2.2 OPEX LAP 2023'!M350*'2.1 OPEX TUUA'!$R$7,'2.2 OPEX LAP 2023'!M350*'2.1 OPEX TUUA'!$R$8)</f>
        <v>0</v>
      </c>
      <c r="S349" s="3">
        <f>+IF(F349="Pasajero",'2.2 OPEX LAP 2023'!N350*'2.1 OPEX TUUA'!$S$7,'2.2 OPEX LAP 2023'!N350*'2.1 OPEX TUUA'!$S$8)</f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7">
        <f t="shared" si="33"/>
        <v>0</v>
      </c>
      <c r="AB349" s="7">
        <f t="shared" si="34"/>
        <v>0</v>
      </c>
      <c r="AC349" s="7">
        <f t="shared" si="35"/>
        <v>0</v>
      </c>
      <c r="AD349" s="7">
        <f t="shared" si="36"/>
        <v>0</v>
      </c>
      <c r="AE349" s="7">
        <f t="shared" si="37"/>
        <v>0</v>
      </c>
      <c r="AF349" s="7">
        <f t="shared" si="38"/>
        <v>0</v>
      </c>
    </row>
    <row r="350" spans="2:32" x14ac:dyDescent="0.25">
      <c r="B350" s="17">
        <v>6290000001</v>
      </c>
      <c r="C350" s="193" t="s">
        <v>177</v>
      </c>
      <c r="D350" s="193" t="s">
        <v>14</v>
      </c>
      <c r="E350" s="193" t="s">
        <v>37</v>
      </c>
      <c r="F350" s="163" t="s">
        <v>190</v>
      </c>
      <c r="G350" s="3">
        <f>+IF(F350="Pasajero",'2.2 OPEX LAP 2023'!I351*'2.1 OPEX TUUA'!$G$7,'2.2 OPEX LAP 2023'!I351*'2.1 OPEX TUUA'!$G$8)</f>
        <v>14606.446828616183</v>
      </c>
      <c r="H350" s="3">
        <f>+IF(F350="Pasajero",'2.2 OPEX LAP 2023'!J351*'2.1 OPEX TUUA'!$H$7,'2.2 OPEX LAP 2023'!J351*'2.1 OPEX TUUA'!$H$8)</f>
        <v>16755.568319627422</v>
      </c>
      <c r="I350" s="3">
        <f>+IF(F350="Pasajero",'2.2 OPEX LAP 2023'!K351*'2.1 OPEX TUUA'!$I$7,'2.2 OPEX LAP 2023'!K351*'2.1 OPEX TUUA'!$I$8)</f>
        <v>18523.526380371542</v>
      </c>
      <c r="J350" s="3">
        <f>+IF(F350="Pasajero",'2.2 OPEX LAP 2023'!L351*'2.1 OPEX TUUA'!$J$7,'2.2 OPEX LAP 2023'!L351*'2.1 OPEX TUUA'!$J$8)</f>
        <v>19303.712492256527</v>
      </c>
      <c r="K350" s="3">
        <f>+IF(F350="Pasajero",'2.2 OPEX LAP 2023'!M351*'2.1 OPEX TUUA'!$K$7,'2.2 OPEX LAP 2023'!M351*'2.1 OPEX TUUA'!$K$8)</f>
        <v>19735.536991837733</v>
      </c>
      <c r="L350" s="3">
        <f>+IF(F350="Pasajero",'2.2 OPEX LAP 2023'!N351*'2.1 OPEX TUUA'!$L$7,'2.2 OPEX LAP 2023'!N351*'2.1 OPEX TUUA'!$L$8)</f>
        <v>20262.606121006607</v>
      </c>
      <c r="M350" s="3"/>
      <c r="N350" s="3">
        <f>+IF(F350="Pasajero",'2.2 OPEX LAP 2023'!I351*'2.1 OPEX TUUA'!$N$7,'2.2 OPEX LAP 2023'!I351*'2.1 OPEX TUUA'!$N$8)</f>
        <v>7204.1511562651376</v>
      </c>
      <c r="O350" s="3">
        <f>+IF(F350="Pasajero",'2.2 OPEX LAP 2023'!J351*'2.1 OPEX TUUA'!$O$7,'2.2 OPEX LAP 2023'!J351*'2.1 OPEX TUUA'!$O$8)</f>
        <v>6939.5402257870192</v>
      </c>
      <c r="P350" s="3">
        <f>+IF(F350="Pasajero",'2.2 OPEX LAP 2023'!K351*'2.1 OPEX TUUA'!$P$7,'2.2 OPEX LAP 2023'!K351*'2.1 OPEX TUUA'!$P$8)</f>
        <v>6781.9941943701715</v>
      </c>
      <c r="Q350" s="3">
        <f>+IF(F350="Pasajero",'2.2 OPEX LAP 2023'!L351*'2.1 OPEX TUUA'!$Q$7,'2.2 OPEX LAP 2023'!L351*'2.1 OPEX TUUA'!$Q$8)</f>
        <v>6627.174920140018</v>
      </c>
      <c r="R350" s="3">
        <f>+IF(F350="Pasajero",'2.2 OPEX LAP 2023'!M351*'2.1 OPEX TUUA'!$R$7,'2.2 OPEX LAP 2023'!M351*'2.1 OPEX TUUA'!$R$8)</f>
        <v>6543.2298305285867</v>
      </c>
      <c r="S350" s="3">
        <f>+IF(F350="Pasajero",'2.2 OPEX LAP 2023'!N351*'2.1 OPEX TUUA'!$S$7,'2.2 OPEX LAP 2023'!N351*'2.1 OPEX TUUA'!$S$8)</f>
        <v>6440.1783909999167</v>
      </c>
      <c r="U350" s="1">
        <v>14882.436393947684</v>
      </c>
      <c r="V350" s="1">
        <v>17072.165646251473</v>
      </c>
      <c r="W350" s="1">
        <v>18873.529365636216</v>
      </c>
      <c r="X350" s="1">
        <v>19668.45713429942</v>
      </c>
      <c r="Y350" s="1">
        <v>20108.440980047239</v>
      </c>
      <c r="Z350" s="1">
        <v>20645.469107565663</v>
      </c>
      <c r="AA350" s="7">
        <f t="shared" si="33"/>
        <v>-275.98956533150158</v>
      </c>
      <c r="AB350" s="7">
        <f t="shared" si="34"/>
        <v>-316.59732662405077</v>
      </c>
      <c r="AC350" s="7">
        <f t="shared" si="35"/>
        <v>-350.00298526467304</v>
      </c>
      <c r="AD350" s="7">
        <f t="shared" si="36"/>
        <v>-364.74464204289325</v>
      </c>
      <c r="AE350" s="7">
        <f t="shared" si="37"/>
        <v>-372.90398820950577</v>
      </c>
      <c r="AF350" s="7">
        <f t="shared" si="38"/>
        <v>-382.86298655905557</v>
      </c>
    </row>
    <row r="351" spans="2:32" x14ac:dyDescent="0.25">
      <c r="B351" s="17">
        <v>6310000001</v>
      </c>
      <c r="C351" s="193" t="s">
        <v>177</v>
      </c>
      <c r="D351" s="193" t="s">
        <v>38</v>
      </c>
      <c r="E351" s="193" t="s">
        <v>39</v>
      </c>
      <c r="F351" s="163" t="s">
        <v>190</v>
      </c>
      <c r="G351" s="3">
        <f>+IF(F351="Pasajero",'2.2 OPEX LAP 2023'!I352*'2.1 OPEX TUUA'!$G$7,'2.2 OPEX LAP 2023'!I352*'2.1 OPEX TUUA'!$G$8)</f>
        <v>3326.818221422056</v>
      </c>
      <c r="H351" s="3">
        <f>+IF(F351="Pasajero",'2.2 OPEX LAP 2023'!J352*'2.1 OPEX TUUA'!$H$7,'2.2 OPEX LAP 2023'!J352*'2.1 OPEX TUUA'!$H$8)</f>
        <v>3816.3100615825624</v>
      </c>
      <c r="I351" s="3">
        <f>+IF(F351="Pasajero",'2.2 OPEX LAP 2023'!K352*'2.1 OPEX TUUA'!$I$7,'2.2 OPEX LAP 2023'!K352*'2.1 OPEX TUUA'!$I$8)</f>
        <v>4218.9867125303126</v>
      </c>
      <c r="J351" s="3">
        <f>+IF(F351="Pasajero",'2.2 OPEX LAP 2023'!L352*'2.1 OPEX TUUA'!$J$7,'2.2 OPEX LAP 2023'!L352*'2.1 OPEX TUUA'!$J$8)</f>
        <v>4396.6847799367088</v>
      </c>
      <c r="K351" s="3">
        <f>+IF(F351="Pasajero",'2.2 OPEX LAP 2023'!M352*'2.1 OPEX TUUA'!$K$7,'2.2 OPEX LAP 2023'!M352*'2.1 OPEX TUUA'!$K$8)</f>
        <v>4495.0387212147962</v>
      </c>
      <c r="L351" s="3">
        <f>+IF(F351="Pasajero",'2.2 OPEX LAP 2023'!N352*'2.1 OPEX TUUA'!$L$7,'2.2 OPEX LAP 2023'!N352*'2.1 OPEX TUUA'!$L$8)</f>
        <v>4615.0859307409883</v>
      </c>
      <c r="M351" s="3"/>
      <c r="N351" s="3">
        <f>+IF(F351="Pasajero",'2.2 OPEX LAP 2023'!I352*'2.1 OPEX TUUA'!$N$7,'2.2 OPEX LAP 2023'!I352*'2.1 OPEX TUUA'!$N$8)</f>
        <v>1640.8440476835847</v>
      </c>
      <c r="O351" s="3">
        <f>+IF(F351="Pasajero",'2.2 OPEX LAP 2023'!J352*'2.1 OPEX TUUA'!$O$7,'2.2 OPEX LAP 2023'!J352*'2.1 OPEX TUUA'!$O$8)</f>
        <v>1580.5752858531998</v>
      </c>
      <c r="P351" s="3">
        <f>+IF(F351="Pasajero",'2.2 OPEX LAP 2023'!K352*'2.1 OPEX TUUA'!$P$7,'2.2 OPEX LAP 2023'!K352*'2.1 OPEX TUUA'!$P$8)</f>
        <v>1544.6920204581238</v>
      </c>
      <c r="Q351" s="3">
        <f>+IF(F351="Pasajero",'2.2 OPEX LAP 2023'!L352*'2.1 OPEX TUUA'!$Q$7,'2.2 OPEX LAP 2023'!L352*'2.1 OPEX TUUA'!$Q$8)</f>
        <v>1509.4298113404934</v>
      </c>
      <c r="R351" s="3">
        <f>+IF(F351="Pasajero",'2.2 OPEX LAP 2023'!M352*'2.1 OPEX TUUA'!$R$7,'2.2 OPEX LAP 2023'!M352*'2.1 OPEX TUUA'!$R$8)</f>
        <v>1490.3101680079967</v>
      </c>
      <c r="S351" s="3">
        <f>+IF(F351="Pasajero",'2.2 OPEX LAP 2023'!N352*'2.1 OPEX TUUA'!$S$7,'2.2 OPEX LAP 2023'!N352*'2.1 OPEX TUUA'!$S$8)</f>
        <v>1466.8387919238355</v>
      </c>
      <c r="U351" s="1">
        <v>3389.678623109096</v>
      </c>
      <c r="V351" s="1">
        <v>3888.4194368074063</v>
      </c>
      <c r="W351" s="1">
        <v>4298.7046838201823</v>
      </c>
      <c r="X351" s="1">
        <v>4479.7603653649912</v>
      </c>
      <c r="Y351" s="1">
        <v>4579.9727094305927</v>
      </c>
      <c r="Z351" s="1">
        <v>4702.2882171654555</v>
      </c>
      <c r="AA351" s="7">
        <f t="shared" si="33"/>
        <v>-62.860401687039939</v>
      </c>
      <c r="AB351" s="7">
        <f t="shared" si="34"/>
        <v>-72.109375224843916</v>
      </c>
      <c r="AC351" s="7">
        <f t="shared" si="35"/>
        <v>-79.717971289869638</v>
      </c>
      <c r="AD351" s="7">
        <f t="shared" si="36"/>
        <v>-83.075585428282466</v>
      </c>
      <c r="AE351" s="7">
        <f t="shared" si="37"/>
        <v>-84.933988215796489</v>
      </c>
      <c r="AF351" s="7">
        <f t="shared" si="38"/>
        <v>-87.202286424467275</v>
      </c>
    </row>
    <row r="352" spans="2:32" x14ac:dyDescent="0.25">
      <c r="B352" s="17">
        <v>6311300001</v>
      </c>
      <c r="C352" s="193" t="s">
        <v>177</v>
      </c>
      <c r="D352" s="193" t="s">
        <v>40</v>
      </c>
      <c r="E352" s="193" t="s">
        <v>41</v>
      </c>
      <c r="F352" s="163" t="s">
        <v>190</v>
      </c>
      <c r="G352" s="3">
        <f>+IF(F352="Pasajero",'2.2 OPEX LAP 2023'!I353*'2.1 OPEX TUUA'!$G$7,'2.2 OPEX LAP 2023'!I353*'2.1 OPEX TUUA'!$G$8)</f>
        <v>40.465225794523271</v>
      </c>
      <c r="H352" s="3">
        <f>+IF(F352="Pasajero",'2.2 OPEX LAP 2023'!J353*'2.1 OPEX TUUA'!$H$7,'2.2 OPEX LAP 2023'!J353*'2.1 OPEX TUUA'!$H$8)</f>
        <v>46.419082157677629</v>
      </c>
      <c r="I352" s="3">
        <f>+IF(F352="Pasajero",'2.2 OPEX LAP 2023'!K353*'2.1 OPEX TUUA'!$I$7,'2.2 OPEX LAP 2023'!K353*'2.1 OPEX TUUA'!$I$8)</f>
        <v>51.316975735950166</v>
      </c>
      <c r="J352" s="3">
        <f>+IF(F352="Pasajero",'2.2 OPEX LAP 2023'!L353*'2.1 OPEX TUUA'!$J$7,'2.2 OPEX LAP 2023'!L353*'2.1 OPEX TUUA'!$J$8)</f>
        <v>53.478377995487094</v>
      </c>
      <c r="K352" s="3">
        <f>+IF(F352="Pasajero",'2.2 OPEX LAP 2023'!M353*'2.1 OPEX TUUA'!$K$7,'2.2 OPEX LAP 2023'!M353*'2.1 OPEX TUUA'!$K$8)</f>
        <v>54.67469056104045</v>
      </c>
      <c r="L352" s="3">
        <f>+IF(F352="Pasajero",'2.2 OPEX LAP 2023'!N353*'2.1 OPEX TUUA'!$L$7,'2.2 OPEX LAP 2023'!N353*'2.1 OPEX TUUA'!$L$8)</f>
        <v>56.134865754322682</v>
      </c>
      <c r="M352" s="3"/>
      <c r="N352" s="3">
        <f>+IF(F352="Pasajero",'2.2 OPEX LAP 2023'!I353*'2.1 OPEX TUUA'!$N$7,'2.2 OPEX LAP 2023'!I353*'2.1 OPEX TUUA'!$N$8)</f>
        <v>19.958146332003121</v>
      </c>
      <c r="O352" s="3">
        <f>+IF(F352="Pasajero",'2.2 OPEX LAP 2023'!J353*'2.1 OPEX TUUA'!$O$7,'2.2 OPEX LAP 2023'!J353*'2.1 OPEX TUUA'!$O$8)</f>
        <v>19.225076806256567</v>
      </c>
      <c r="P352" s="3">
        <f>+IF(F352="Pasajero",'2.2 OPEX LAP 2023'!K353*'2.1 OPEX TUUA'!$P$7,'2.2 OPEX LAP 2023'!K353*'2.1 OPEX TUUA'!$P$8)</f>
        <v>18.788616398799775</v>
      </c>
      <c r="Q352" s="3">
        <f>+IF(F352="Pasajero",'2.2 OPEX LAP 2023'!L353*'2.1 OPEX TUUA'!$Q$7,'2.2 OPEX LAP 2023'!L353*'2.1 OPEX TUUA'!$Q$8)</f>
        <v>18.359710110872602</v>
      </c>
      <c r="R352" s="3">
        <f>+IF(F352="Pasajero",'2.2 OPEX LAP 2023'!M353*'2.1 OPEX TUUA'!$R$7,'2.2 OPEX LAP 2023'!M353*'2.1 OPEX TUUA'!$R$8)</f>
        <v>18.127151361621337</v>
      </c>
      <c r="S352" s="3">
        <f>+IF(F352="Pasajero",'2.2 OPEX LAP 2023'!N353*'2.1 OPEX TUUA'!$S$7,'2.2 OPEX LAP 2023'!N353*'2.1 OPEX TUUA'!$S$8)</f>
        <v>17.841661001240968</v>
      </c>
      <c r="U352" s="1">
        <v>41.22981832062564</v>
      </c>
      <c r="V352" s="1">
        <v>47.296173106496596</v>
      </c>
      <c r="W352" s="1">
        <v>52.286612636263584</v>
      </c>
      <c r="X352" s="1">
        <v>54.488854702847043</v>
      </c>
      <c r="Y352" s="1">
        <v>55.707771655958972</v>
      </c>
      <c r="Z352" s="1">
        <v>57.195536934744567</v>
      </c>
      <c r="AA352" s="7">
        <f t="shared" si="33"/>
        <v>-0.76459252610236916</v>
      </c>
      <c r="AB352" s="7">
        <f t="shared" si="34"/>
        <v>-0.87709094881896732</v>
      </c>
      <c r="AC352" s="7">
        <f t="shared" si="35"/>
        <v>-0.96963690031341798</v>
      </c>
      <c r="AD352" s="7">
        <f t="shared" si="36"/>
        <v>-1.010476707359949</v>
      </c>
      <c r="AE352" s="7">
        <f t="shared" si="37"/>
        <v>-1.0330810949185221</v>
      </c>
      <c r="AF352" s="7">
        <f t="shared" si="38"/>
        <v>-1.0606711804218847</v>
      </c>
    </row>
    <row r="353" spans="2:32" x14ac:dyDescent="0.25">
      <c r="B353" s="17">
        <v>6311300002</v>
      </c>
      <c r="C353" s="193" t="s">
        <v>177</v>
      </c>
      <c r="D353" s="193" t="s">
        <v>40</v>
      </c>
      <c r="E353" s="193" t="s">
        <v>42</v>
      </c>
      <c r="F353" s="163" t="s">
        <v>190</v>
      </c>
      <c r="G353" s="3">
        <f>+IF(F353="Pasajero",'2.2 OPEX LAP 2023'!I354*'2.1 OPEX TUUA'!$G$7,'2.2 OPEX LAP 2023'!I354*'2.1 OPEX TUUA'!$G$8)</f>
        <v>22.165906241510694</v>
      </c>
      <c r="H353" s="3">
        <f>+IF(F353="Pasajero",'2.2 OPEX LAP 2023'!J354*'2.1 OPEX TUUA'!$H$7,'2.2 OPEX LAP 2023'!J354*'2.1 OPEX TUUA'!$H$8)</f>
        <v>25.427289795657646</v>
      </c>
      <c r="I353" s="3">
        <f>+IF(F353="Pasajero",'2.2 OPEX LAP 2023'!K354*'2.1 OPEX TUUA'!$I$7,'2.2 OPEX LAP 2023'!K354*'2.1 OPEX TUUA'!$I$8)</f>
        <v>28.110241582166154</v>
      </c>
      <c r="J353" s="3">
        <f>+IF(F353="Pasajero",'2.2 OPEX LAP 2023'!L354*'2.1 OPEX TUUA'!$J$7,'2.2 OPEX LAP 2023'!L354*'2.1 OPEX TUUA'!$J$8)</f>
        <v>29.2942072933267</v>
      </c>
      <c r="K353" s="3">
        <f>+IF(F353="Pasajero",'2.2 OPEX LAP 2023'!M354*'2.1 OPEX TUUA'!$K$7,'2.2 OPEX LAP 2023'!M354*'2.1 OPEX TUUA'!$K$8)</f>
        <v>29.949519395086572</v>
      </c>
      <c r="L353" s="3">
        <f>+IF(F353="Pasajero",'2.2 OPEX LAP 2023'!N354*'2.1 OPEX TUUA'!$L$7,'2.2 OPEX LAP 2023'!N354*'2.1 OPEX TUUA'!$L$8)</f>
        <v>30.749369285825459</v>
      </c>
      <c r="M353" s="3"/>
      <c r="N353" s="3">
        <f>+IF(F353="Pasajero",'2.2 OPEX LAP 2023'!I354*'2.1 OPEX TUUA'!$N$7,'2.2 OPEX LAP 2023'!I354*'2.1 OPEX TUUA'!$N$8)</f>
        <v>10.932606742290973</v>
      </c>
      <c r="O353" s="3">
        <f>+IF(F353="Pasajero",'2.2 OPEX LAP 2023'!J354*'2.1 OPEX TUUA'!$O$7,'2.2 OPEX LAP 2023'!J354*'2.1 OPEX TUUA'!$O$8)</f>
        <v>10.531048365755087</v>
      </c>
      <c r="P353" s="3">
        <f>+IF(F353="Pasajero",'2.2 OPEX LAP 2023'!K354*'2.1 OPEX TUUA'!$P$7,'2.2 OPEX LAP 2023'!K354*'2.1 OPEX TUUA'!$P$8)</f>
        <v>10.291965541432178</v>
      </c>
      <c r="Q353" s="3">
        <f>+IF(F353="Pasajero",'2.2 OPEX LAP 2023'!L354*'2.1 OPEX TUUA'!$Q$7,'2.2 OPEX LAP 2023'!L354*'2.1 OPEX TUUA'!$Q$8)</f>
        <v>10.057020687476246</v>
      </c>
      <c r="R353" s="3">
        <f>+IF(F353="Pasajero",'2.2 OPEX LAP 2023'!M354*'2.1 OPEX TUUA'!$R$7,'2.2 OPEX LAP 2023'!M354*'2.1 OPEX TUUA'!$R$8)</f>
        <v>9.9296304325022042</v>
      </c>
      <c r="S353" s="3">
        <f>+IF(F353="Pasajero",'2.2 OPEX LAP 2023'!N354*'2.1 OPEX TUUA'!$S$7,'2.2 OPEX LAP 2023'!N354*'2.1 OPEX TUUA'!$S$8)</f>
        <v>9.7732454763628311</v>
      </c>
      <c r="U353" s="1">
        <v>22.584732181902176</v>
      </c>
      <c r="V353" s="1">
        <v>25.9077397463269</v>
      </c>
      <c r="W353" s="1">
        <v>28.641386045063612</v>
      </c>
      <c r="X353" s="1">
        <v>29.847722849332882</v>
      </c>
      <c r="Y353" s="1">
        <v>30.515417107016319</v>
      </c>
      <c r="Z353" s="1">
        <v>31.330380202647923</v>
      </c>
      <c r="AA353" s="7">
        <f t="shared" si="33"/>
        <v>-0.41882594039148202</v>
      </c>
      <c r="AB353" s="7">
        <f t="shared" si="34"/>
        <v>-0.48044995066925367</v>
      </c>
      <c r="AC353" s="7">
        <f t="shared" si="35"/>
        <v>-0.53114446289745842</v>
      </c>
      <c r="AD353" s="7">
        <f t="shared" si="36"/>
        <v>-0.55351555600618241</v>
      </c>
      <c r="AE353" s="7">
        <f t="shared" si="37"/>
        <v>-0.56589771192974681</v>
      </c>
      <c r="AF353" s="7">
        <f t="shared" si="38"/>
        <v>-0.5810109168224642</v>
      </c>
    </row>
    <row r="354" spans="2:32" x14ac:dyDescent="0.25">
      <c r="B354" s="17">
        <v>6320000001</v>
      </c>
      <c r="C354" s="193" t="s">
        <v>177</v>
      </c>
      <c r="D354" s="193" t="s">
        <v>40</v>
      </c>
      <c r="E354" s="193" t="s">
        <v>43</v>
      </c>
      <c r="F354" s="163" t="s">
        <v>190</v>
      </c>
      <c r="G354" s="3">
        <f>+IF(F354="Pasajero",'2.2 OPEX LAP 2023'!I355*'2.1 OPEX TUUA'!$G$7,'2.2 OPEX LAP 2023'!I355*'2.1 OPEX TUUA'!$G$8)</f>
        <v>84708.14282884002</v>
      </c>
      <c r="H354" s="3">
        <f>+IF(F354="Pasajero",'2.2 OPEX LAP 2023'!J355*'2.1 OPEX TUUA'!$H$7,'2.2 OPEX LAP 2023'!J355*'2.1 OPEX TUUA'!$H$8)</f>
        <v>97171.686656655176</v>
      </c>
      <c r="I354" s="3">
        <f>+IF(F354="Pasajero",'2.2 OPEX LAP 2023'!K355*'2.1 OPEX TUUA'!$I$7,'2.2 OPEX LAP 2023'!K355*'2.1 OPEX TUUA'!$I$8)</f>
        <v>107424.72394095278</v>
      </c>
      <c r="J354" s="3">
        <f>+IF(F354="Pasajero",'2.2 OPEX LAP 2023'!L355*'2.1 OPEX TUUA'!$J$7,'2.2 OPEX LAP 2023'!L355*'2.1 OPEX TUUA'!$J$8)</f>
        <v>111949.30937737487</v>
      </c>
      <c r="K354" s="3">
        <f>+IF(F354="Pasajero",'2.2 OPEX LAP 2023'!M355*'2.1 OPEX TUUA'!$K$7,'2.2 OPEX LAP 2023'!M355*'2.1 OPEX TUUA'!$K$8)</f>
        <v>114453.61804441178</v>
      </c>
      <c r="L354" s="3">
        <f>+IF(F354="Pasajero",'2.2 OPEX LAP 2023'!N355*'2.1 OPEX TUUA'!$L$7,'2.2 OPEX LAP 2023'!N355*'2.1 OPEX TUUA'!$L$8)</f>
        <v>117510.28525432071</v>
      </c>
      <c r="M354" s="3"/>
      <c r="N354" s="3">
        <f>+IF(F354="Pasajero",'2.2 OPEX LAP 2023'!I355*'2.1 OPEX TUUA'!$N$7,'2.2 OPEX LAP 2023'!I355*'2.1 OPEX TUUA'!$N$8)</f>
        <v>41779.515050155111</v>
      </c>
      <c r="O354" s="3">
        <f>+IF(F354="Pasajero",'2.2 OPEX LAP 2023'!J355*'2.1 OPEX TUUA'!$O$7,'2.2 OPEX LAP 2023'!J355*'2.1 OPEX TUUA'!$O$8)</f>
        <v>40244.939204570343</v>
      </c>
      <c r="P354" s="3">
        <f>+IF(F354="Pasajero",'2.2 OPEX LAP 2023'!K355*'2.1 OPEX TUUA'!$P$7,'2.2 OPEX LAP 2023'!K355*'2.1 OPEX TUUA'!$P$8)</f>
        <v>39331.271980230093</v>
      </c>
      <c r="Q354" s="3">
        <f>+IF(F354="Pasajero",'2.2 OPEX LAP 2023'!L355*'2.1 OPEX TUUA'!$Q$7,'2.2 OPEX LAP 2023'!L355*'2.1 OPEX TUUA'!$Q$8)</f>
        <v>38433.418220994674</v>
      </c>
      <c r="R354" s="3">
        <f>+IF(F354="Pasajero",'2.2 OPEX LAP 2023'!M355*'2.1 OPEX TUUA'!$R$7,'2.2 OPEX LAP 2023'!M355*'2.1 OPEX TUUA'!$R$8)</f>
        <v>37946.589855135448</v>
      </c>
      <c r="S354" s="3">
        <f>+IF(F354="Pasajero",'2.2 OPEX LAP 2023'!N355*'2.1 OPEX TUUA'!$S$7,'2.2 OPEX LAP 2023'!N355*'2.1 OPEX TUUA'!$S$8)</f>
        <v>37348.956757864304</v>
      </c>
      <c r="U354" s="1">
        <v>86308.707551642306</v>
      </c>
      <c r="V354" s="1">
        <v>99007.750682189304</v>
      </c>
      <c r="W354" s="1">
        <v>109454.51963419662</v>
      </c>
      <c r="X354" s="1">
        <v>114064.59734554056</v>
      </c>
      <c r="Y354" s="1">
        <v>116616.22505385979</v>
      </c>
      <c r="Z354" s="1">
        <v>119730.6481481754</v>
      </c>
      <c r="AA354" s="7">
        <f t="shared" si="33"/>
        <v>-1600.5647228022863</v>
      </c>
      <c r="AB354" s="7">
        <f t="shared" si="34"/>
        <v>-1836.0640255341277</v>
      </c>
      <c r="AC354" s="7">
        <f t="shared" si="35"/>
        <v>-2029.7956932438392</v>
      </c>
      <c r="AD354" s="7">
        <f t="shared" si="36"/>
        <v>-2115.2879681656923</v>
      </c>
      <c r="AE354" s="7">
        <f t="shared" si="37"/>
        <v>-2162.6070094480092</v>
      </c>
      <c r="AF354" s="7">
        <f t="shared" si="38"/>
        <v>-2220.3628938546899</v>
      </c>
    </row>
    <row r="355" spans="2:32" x14ac:dyDescent="0.25">
      <c r="B355" s="17">
        <v>6320000002</v>
      </c>
      <c r="C355" s="193" t="s">
        <v>177</v>
      </c>
      <c r="D355" s="193" t="s">
        <v>40</v>
      </c>
      <c r="E355" s="193" t="s">
        <v>44</v>
      </c>
      <c r="F355" s="163" t="s">
        <v>190</v>
      </c>
      <c r="G355" s="3">
        <f>+IF(F355="Pasajero",'2.2 OPEX LAP 2023'!I356*'2.1 OPEX TUUA'!$G$7,'2.2 OPEX LAP 2023'!I356*'2.1 OPEX TUUA'!$G$8)</f>
        <v>2499.4323701519306</v>
      </c>
      <c r="H355" s="3">
        <f>+IF(F355="Pasajero",'2.2 OPEX LAP 2023'!J356*'2.1 OPEX TUUA'!$H$7,'2.2 OPEX LAP 2023'!J356*'2.1 OPEX TUUA'!$H$8)</f>
        <v>2867.186683370594</v>
      </c>
      <c r="I355" s="3">
        <f>+IF(F355="Pasajero",'2.2 OPEX LAP 2023'!K356*'2.1 OPEX TUUA'!$I$7,'2.2 OPEX LAP 2023'!K356*'2.1 OPEX TUUA'!$I$8)</f>
        <v>3169.7169056719986</v>
      </c>
      <c r="J355" s="3">
        <f>+IF(F355="Pasajero",'2.2 OPEX LAP 2023'!L356*'2.1 OPEX TUUA'!$J$7,'2.2 OPEX LAP 2023'!L356*'2.1 OPEX TUUA'!$J$8)</f>
        <v>3303.2211347065308</v>
      </c>
      <c r="K355" s="3">
        <f>+IF(F355="Pasajero",'2.2 OPEX LAP 2023'!M356*'2.1 OPEX TUUA'!$K$7,'2.2 OPEX LAP 2023'!M356*'2.1 OPEX TUUA'!$K$8)</f>
        <v>3377.1142686864791</v>
      </c>
      <c r="L355" s="3">
        <f>+IF(F355="Pasajero",'2.2 OPEX LAP 2023'!N356*'2.1 OPEX TUUA'!$L$7,'2.2 OPEX LAP 2023'!N356*'2.1 OPEX TUUA'!$L$8)</f>
        <v>3467.3055149361521</v>
      </c>
      <c r="M355" s="3"/>
      <c r="N355" s="3">
        <f>+IF(F355="Pasajero",'2.2 OPEX LAP 2023'!I356*'2.1 OPEX TUUA'!$N$7,'2.2 OPEX LAP 2023'!I356*'2.1 OPEX TUUA'!$N$8)</f>
        <v>1232.7630950026512</v>
      </c>
      <c r="O355" s="3">
        <f>+IF(F355="Pasajero",'2.2 OPEX LAP 2023'!J356*'2.1 OPEX TUUA'!$O$7,'2.2 OPEX LAP 2023'!J356*'2.1 OPEX TUUA'!$O$8)</f>
        <v>1187.4832858270688</v>
      </c>
      <c r="P355" s="3">
        <f>+IF(F355="Pasajero",'2.2 OPEX LAP 2023'!K356*'2.1 OPEX TUUA'!$P$7,'2.2 OPEX LAP 2023'!K356*'2.1 OPEX TUUA'!$P$8)</f>
        <v>1160.5242549735981</v>
      </c>
      <c r="Q355" s="3">
        <f>+IF(F355="Pasajero",'2.2 OPEX LAP 2023'!L356*'2.1 OPEX TUUA'!$Q$7,'2.2 OPEX LAP 2023'!L356*'2.1 OPEX TUUA'!$Q$8)</f>
        <v>1134.031822551487</v>
      </c>
      <c r="R355" s="3">
        <f>+IF(F355="Pasajero",'2.2 OPEX LAP 2023'!M356*'2.1 OPEX TUUA'!$R$7,'2.2 OPEX LAP 2023'!M356*'2.1 OPEX TUUA'!$R$8)</f>
        <v>1119.6672699157934</v>
      </c>
      <c r="S355" s="3">
        <f>+IF(F355="Pasajero",'2.2 OPEX LAP 2023'!N356*'2.1 OPEX TUUA'!$S$7,'2.2 OPEX LAP 2023'!N356*'2.1 OPEX TUUA'!$S$8)</f>
        <v>1102.0332685210055</v>
      </c>
      <c r="U355" s="1">
        <v>2546.6592735533973</v>
      </c>
      <c r="V355" s="1">
        <v>2921.3623234665429</v>
      </c>
      <c r="W355" s="1">
        <v>3229.6088699042884</v>
      </c>
      <c r="X355" s="1">
        <v>3365.63566822439</v>
      </c>
      <c r="Y355" s="1">
        <v>3440.9250167777654</v>
      </c>
      <c r="Z355" s="1">
        <v>3532.8204312718599</v>
      </c>
      <c r="AA355" s="7">
        <f t="shared" si="33"/>
        <v>-47.226903401466643</v>
      </c>
      <c r="AB355" s="7">
        <f t="shared" si="34"/>
        <v>-54.175640095948893</v>
      </c>
      <c r="AC355" s="7">
        <f t="shared" si="35"/>
        <v>-59.891964232289865</v>
      </c>
      <c r="AD355" s="7">
        <f t="shared" si="36"/>
        <v>-62.414533517859127</v>
      </c>
      <c r="AE355" s="7">
        <f t="shared" si="37"/>
        <v>-63.810748091286314</v>
      </c>
      <c r="AF355" s="7">
        <f t="shared" si="38"/>
        <v>-65.514916335707767</v>
      </c>
    </row>
    <row r="356" spans="2:32" x14ac:dyDescent="0.25">
      <c r="B356" s="17">
        <v>6320000003</v>
      </c>
      <c r="C356" s="193" t="s">
        <v>177</v>
      </c>
      <c r="D356" s="193" t="s">
        <v>40</v>
      </c>
      <c r="E356" s="193" t="s">
        <v>45</v>
      </c>
      <c r="F356" s="163" t="s">
        <v>190</v>
      </c>
      <c r="G356" s="3">
        <f>+IF(F356="Pasajero",'2.2 OPEX LAP 2023'!I357*'2.1 OPEX TUUA'!$G$7,'2.2 OPEX LAP 2023'!I357*'2.1 OPEX TUUA'!$G$8)</f>
        <v>0</v>
      </c>
      <c r="H356" s="3">
        <f>+IF(F356="Pasajero",'2.2 OPEX LAP 2023'!J357*'2.1 OPEX TUUA'!$H$7,'2.2 OPEX LAP 2023'!J357*'2.1 OPEX TUUA'!$H$8)</f>
        <v>0</v>
      </c>
      <c r="I356" s="3">
        <f>+IF(F356="Pasajero",'2.2 OPEX LAP 2023'!K357*'2.1 OPEX TUUA'!$I$7,'2.2 OPEX LAP 2023'!K357*'2.1 OPEX TUUA'!$I$8)</f>
        <v>0</v>
      </c>
      <c r="J356" s="3">
        <f>+IF(F356="Pasajero",'2.2 OPEX LAP 2023'!L357*'2.1 OPEX TUUA'!$J$7,'2.2 OPEX LAP 2023'!L357*'2.1 OPEX TUUA'!$J$8)</f>
        <v>0</v>
      </c>
      <c r="K356" s="3">
        <f>+IF(F356="Pasajero",'2.2 OPEX LAP 2023'!M357*'2.1 OPEX TUUA'!$K$7,'2.2 OPEX LAP 2023'!M357*'2.1 OPEX TUUA'!$K$8)</f>
        <v>0</v>
      </c>
      <c r="L356" s="3">
        <f>+IF(F356="Pasajero",'2.2 OPEX LAP 2023'!N357*'2.1 OPEX TUUA'!$L$7,'2.2 OPEX LAP 2023'!N357*'2.1 OPEX TUUA'!$L$8)</f>
        <v>0</v>
      </c>
      <c r="M356" s="3"/>
      <c r="N356" s="3">
        <f>+IF(F356="Pasajero",'2.2 OPEX LAP 2023'!I357*'2.1 OPEX TUUA'!$N$7,'2.2 OPEX LAP 2023'!I357*'2.1 OPEX TUUA'!$N$8)</f>
        <v>0</v>
      </c>
      <c r="O356" s="3">
        <f>+IF(F356="Pasajero",'2.2 OPEX LAP 2023'!J357*'2.1 OPEX TUUA'!$O$7,'2.2 OPEX LAP 2023'!J357*'2.1 OPEX TUUA'!$O$8)</f>
        <v>0</v>
      </c>
      <c r="P356" s="3">
        <f>+IF(F356="Pasajero",'2.2 OPEX LAP 2023'!K357*'2.1 OPEX TUUA'!$P$7,'2.2 OPEX LAP 2023'!K357*'2.1 OPEX TUUA'!$P$8)</f>
        <v>0</v>
      </c>
      <c r="Q356" s="3">
        <f>+IF(F356="Pasajero",'2.2 OPEX LAP 2023'!L357*'2.1 OPEX TUUA'!$Q$7,'2.2 OPEX LAP 2023'!L357*'2.1 OPEX TUUA'!$Q$8)</f>
        <v>0</v>
      </c>
      <c r="R356" s="3">
        <f>+IF(F356="Pasajero",'2.2 OPEX LAP 2023'!M357*'2.1 OPEX TUUA'!$R$7,'2.2 OPEX LAP 2023'!M357*'2.1 OPEX TUUA'!$R$8)</f>
        <v>0</v>
      </c>
      <c r="S356" s="3">
        <f>+IF(F356="Pasajero",'2.2 OPEX LAP 2023'!N357*'2.1 OPEX TUUA'!$S$7,'2.2 OPEX LAP 2023'!N357*'2.1 OPEX TUUA'!$S$8)</f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7">
        <f t="shared" si="33"/>
        <v>0</v>
      </c>
      <c r="AB356" s="7">
        <f t="shared" si="34"/>
        <v>0</v>
      </c>
      <c r="AC356" s="7">
        <f t="shared" si="35"/>
        <v>0</v>
      </c>
      <c r="AD356" s="7">
        <f t="shared" si="36"/>
        <v>0</v>
      </c>
      <c r="AE356" s="7">
        <f t="shared" si="37"/>
        <v>0</v>
      </c>
      <c r="AF356" s="7">
        <f t="shared" si="38"/>
        <v>0</v>
      </c>
    </row>
    <row r="357" spans="2:32" x14ac:dyDescent="0.25">
      <c r="B357" s="17">
        <v>6320000004</v>
      </c>
      <c r="C357" s="193" t="s">
        <v>177</v>
      </c>
      <c r="D357" s="193" t="s">
        <v>40</v>
      </c>
      <c r="E357" s="193" t="s">
        <v>46</v>
      </c>
      <c r="F357" s="163" t="s">
        <v>190</v>
      </c>
      <c r="G357" s="3">
        <f>+IF(F357="Pasajero",'2.2 OPEX LAP 2023'!I358*'2.1 OPEX TUUA'!$G$7,'2.2 OPEX LAP 2023'!I358*'2.1 OPEX TUUA'!$G$8)</f>
        <v>48276.618449619826</v>
      </c>
      <c r="H357" s="3">
        <f>+IF(F357="Pasajero",'2.2 OPEX LAP 2023'!J358*'2.1 OPEX TUUA'!$H$7,'2.2 OPEX LAP 2023'!J358*'2.1 OPEX TUUA'!$H$8)</f>
        <v>55379.805106908818</v>
      </c>
      <c r="I357" s="3">
        <f>+IF(F357="Pasajero",'2.2 OPEX LAP 2023'!K358*'2.1 OPEX TUUA'!$I$7,'2.2 OPEX LAP 2023'!K358*'2.1 OPEX TUUA'!$I$8)</f>
        <v>61223.186302550363</v>
      </c>
      <c r="J357" s="3">
        <f>+IF(F357="Pasajero",'2.2 OPEX LAP 2023'!L358*'2.1 OPEX TUUA'!$J$7,'2.2 OPEX LAP 2023'!L358*'2.1 OPEX TUUA'!$J$8)</f>
        <v>63801.824878043808</v>
      </c>
      <c r="K357" s="3">
        <f>+IF(F357="Pasajero",'2.2 OPEX LAP 2023'!M358*'2.1 OPEX TUUA'!$K$7,'2.2 OPEX LAP 2023'!M358*'2.1 OPEX TUUA'!$K$8)</f>
        <v>65229.073191619806</v>
      </c>
      <c r="L357" s="3">
        <f>+IF(F357="Pasajero",'2.2 OPEX LAP 2023'!N358*'2.1 OPEX TUUA'!$L$7,'2.2 OPEX LAP 2023'!N358*'2.1 OPEX TUUA'!$L$8)</f>
        <v>66971.120079820466</v>
      </c>
      <c r="M357" s="3"/>
      <c r="N357" s="3">
        <f>+IF(F357="Pasajero",'2.2 OPEX LAP 2023'!I358*'2.1 OPEX TUUA'!$N$7,'2.2 OPEX LAP 2023'!I358*'2.1 OPEX TUUA'!$N$8)</f>
        <v>23810.859732363082</v>
      </c>
      <c r="O357" s="3">
        <f>+IF(F357="Pasajero",'2.2 OPEX LAP 2023'!J358*'2.1 OPEX TUUA'!$O$7,'2.2 OPEX LAP 2023'!J358*'2.1 OPEX TUUA'!$O$8)</f>
        <v>22936.278728633701</v>
      </c>
      <c r="P357" s="3">
        <f>+IF(F357="Pasajero",'2.2 OPEX LAP 2023'!K358*'2.1 OPEX TUUA'!$P$7,'2.2 OPEX LAP 2023'!K358*'2.1 OPEX TUUA'!$P$8)</f>
        <v>22415.564160867492</v>
      </c>
      <c r="Q357" s="3">
        <f>+IF(F357="Pasajero",'2.2 OPEX LAP 2023'!L358*'2.1 OPEX TUUA'!$Q$7,'2.2 OPEX LAP 2023'!L358*'2.1 OPEX TUUA'!$Q$8)</f>
        <v>21903.861957151992</v>
      </c>
      <c r="R357" s="3">
        <f>+IF(F357="Pasajero",'2.2 OPEX LAP 2023'!M358*'2.1 OPEX TUUA'!$R$7,'2.2 OPEX LAP 2023'!M358*'2.1 OPEX TUUA'!$R$8)</f>
        <v>21626.4101504641</v>
      </c>
      <c r="S357" s="3">
        <f>+IF(F357="Pasajero",'2.2 OPEX LAP 2023'!N358*'2.1 OPEX TUUA'!$S$7,'2.2 OPEX LAP 2023'!N358*'2.1 OPEX TUUA'!$S$8)</f>
        <v>21285.808833444069</v>
      </c>
      <c r="U357" s="1">
        <v>49188.807642372849</v>
      </c>
      <c r="V357" s="1">
        <v>56426.209377498089</v>
      </c>
      <c r="W357" s="1">
        <v>62380.001561874546</v>
      </c>
      <c r="X357" s="1">
        <v>65007.363646099984</v>
      </c>
      <c r="Y357" s="1">
        <v>66461.579890090943</v>
      </c>
      <c r="Z357" s="1">
        <v>68236.542843992109</v>
      </c>
      <c r="AA357" s="7">
        <f t="shared" si="33"/>
        <v>-912.18919275302324</v>
      </c>
      <c r="AB357" s="7">
        <f t="shared" si="34"/>
        <v>-1046.4042705892716</v>
      </c>
      <c r="AC357" s="7">
        <f t="shared" si="35"/>
        <v>-1156.815259324183</v>
      </c>
      <c r="AD357" s="7">
        <f t="shared" si="36"/>
        <v>-1205.5387680561762</v>
      </c>
      <c r="AE357" s="7">
        <f t="shared" si="37"/>
        <v>-1232.5066984711375</v>
      </c>
      <c r="AF357" s="7">
        <f t="shared" si="38"/>
        <v>-1265.4227641716425</v>
      </c>
    </row>
    <row r="358" spans="2:32" x14ac:dyDescent="0.25">
      <c r="B358" s="17">
        <v>6320000005</v>
      </c>
      <c r="C358" s="193" t="s">
        <v>177</v>
      </c>
      <c r="D358" s="193" t="s">
        <v>40</v>
      </c>
      <c r="E358" s="193" t="s">
        <v>47</v>
      </c>
      <c r="F358" s="163" t="s">
        <v>190</v>
      </c>
      <c r="G358" s="3">
        <f>+IF(F358="Pasajero",'2.2 OPEX LAP 2023'!I359*'2.1 OPEX TUUA'!$G$7,'2.2 OPEX LAP 2023'!I359*'2.1 OPEX TUUA'!$G$8)</f>
        <v>0</v>
      </c>
      <c r="H358" s="3">
        <f>+IF(F358="Pasajero",'2.2 OPEX LAP 2023'!J359*'2.1 OPEX TUUA'!$H$7,'2.2 OPEX LAP 2023'!J359*'2.1 OPEX TUUA'!$H$8)</f>
        <v>0</v>
      </c>
      <c r="I358" s="3">
        <f>+IF(F358="Pasajero",'2.2 OPEX LAP 2023'!K359*'2.1 OPEX TUUA'!$I$7,'2.2 OPEX LAP 2023'!K359*'2.1 OPEX TUUA'!$I$8)</f>
        <v>0</v>
      </c>
      <c r="J358" s="3">
        <f>+IF(F358="Pasajero",'2.2 OPEX LAP 2023'!L359*'2.1 OPEX TUUA'!$J$7,'2.2 OPEX LAP 2023'!L359*'2.1 OPEX TUUA'!$J$8)</f>
        <v>0</v>
      </c>
      <c r="K358" s="3">
        <f>+IF(F358="Pasajero",'2.2 OPEX LAP 2023'!M359*'2.1 OPEX TUUA'!$K$7,'2.2 OPEX LAP 2023'!M359*'2.1 OPEX TUUA'!$K$8)</f>
        <v>0</v>
      </c>
      <c r="L358" s="3">
        <f>+IF(F358="Pasajero",'2.2 OPEX LAP 2023'!N359*'2.1 OPEX TUUA'!$L$7,'2.2 OPEX LAP 2023'!N359*'2.1 OPEX TUUA'!$L$8)</f>
        <v>0</v>
      </c>
      <c r="M358" s="3"/>
      <c r="N358" s="3">
        <f>+IF(F358="Pasajero",'2.2 OPEX LAP 2023'!I359*'2.1 OPEX TUUA'!$N$7,'2.2 OPEX LAP 2023'!I359*'2.1 OPEX TUUA'!$N$8)</f>
        <v>0</v>
      </c>
      <c r="O358" s="3">
        <f>+IF(F358="Pasajero",'2.2 OPEX LAP 2023'!J359*'2.1 OPEX TUUA'!$O$7,'2.2 OPEX LAP 2023'!J359*'2.1 OPEX TUUA'!$O$8)</f>
        <v>0</v>
      </c>
      <c r="P358" s="3">
        <f>+IF(F358="Pasajero",'2.2 OPEX LAP 2023'!K359*'2.1 OPEX TUUA'!$P$7,'2.2 OPEX LAP 2023'!K359*'2.1 OPEX TUUA'!$P$8)</f>
        <v>0</v>
      </c>
      <c r="Q358" s="3">
        <f>+IF(F358="Pasajero",'2.2 OPEX LAP 2023'!L359*'2.1 OPEX TUUA'!$Q$7,'2.2 OPEX LAP 2023'!L359*'2.1 OPEX TUUA'!$Q$8)</f>
        <v>0</v>
      </c>
      <c r="R358" s="3">
        <f>+IF(F358="Pasajero",'2.2 OPEX LAP 2023'!M359*'2.1 OPEX TUUA'!$R$7,'2.2 OPEX LAP 2023'!M359*'2.1 OPEX TUUA'!$R$8)</f>
        <v>0</v>
      </c>
      <c r="S358" s="3">
        <f>+IF(F358="Pasajero",'2.2 OPEX LAP 2023'!N359*'2.1 OPEX TUUA'!$S$7,'2.2 OPEX LAP 2023'!N359*'2.1 OPEX TUUA'!$S$8)</f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7">
        <f t="shared" si="33"/>
        <v>0</v>
      </c>
      <c r="AB358" s="7">
        <f t="shared" si="34"/>
        <v>0</v>
      </c>
      <c r="AC358" s="7">
        <f t="shared" si="35"/>
        <v>0</v>
      </c>
      <c r="AD358" s="7">
        <f t="shared" si="36"/>
        <v>0</v>
      </c>
      <c r="AE358" s="7">
        <f t="shared" si="37"/>
        <v>0</v>
      </c>
      <c r="AF358" s="7">
        <f t="shared" si="38"/>
        <v>0</v>
      </c>
    </row>
    <row r="359" spans="2:32" x14ac:dyDescent="0.25">
      <c r="B359" s="17">
        <v>6320000006</v>
      </c>
      <c r="C359" s="193" t="s">
        <v>177</v>
      </c>
      <c r="D359" s="193" t="s">
        <v>40</v>
      </c>
      <c r="E359" s="193" t="s">
        <v>48</v>
      </c>
      <c r="F359" s="163" t="s">
        <v>190</v>
      </c>
      <c r="G359" s="3">
        <f>+IF(F359="Pasajero",'2.2 OPEX LAP 2023'!I360*'2.1 OPEX TUUA'!$G$7,'2.2 OPEX LAP 2023'!I360*'2.1 OPEX TUUA'!$G$8)</f>
        <v>0</v>
      </c>
      <c r="H359" s="3">
        <f>+IF(F359="Pasajero",'2.2 OPEX LAP 2023'!J360*'2.1 OPEX TUUA'!$H$7,'2.2 OPEX LAP 2023'!J360*'2.1 OPEX TUUA'!$H$8)</f>
        <v>0</v>
      </c>
      <c r="I359" s="3">
        <f>+IF(F359="Pasajero",'2.2 OPEX LAP 2023'!K360*'2.1 OPEX TUUA'!$I$7,'2.2 OPEX LAP 2023'!K360*'2.1 OPEX TUUA'!$I$8)</f>
        <v>0</v>
      </c>
      <c r="J359" s="3">
        <f>+IF(F359="Pasajero",'2.2 OPEX LAP 2023'!L360*'2.1 OPEX TUUA'!$J$7,'2.2 OPEX LAP 2023'!L360*'2.1 OPEX TUUA'!$J$8)</f>
        <v>0</v>
      </c>
      <c r="K359" s="3">
        <f>+IF(F359="Pasajero",'2.2 OPEX LAP 2023'!M360*'2.1 OPEX TUUA'!$K$7,'2.2 OPEX LAP 2023'!M360*'2.1 OPEX TUUA'!$K$8)</f>
        <v>0</v>
      </c>
      <c r="L359" s="3">
        <f>+IF(F359="Pasajero",'2.2 OPEX LAP 2023'!N360*'2.1 OPEX TUUA'!$L$7,'2.2 OPEX LAP 2023'!N360*'2.1 OPEX TUUA'!$L$8)</f>
        <v>0</v>
      </c>
      <c r="M359" s="3"/>
      <c r="N359" s="3">
        <f>+IF(F359="Pasajero",'2.2 OPEX LAP 2023'!I360*'2.1 OPEX TUUA'!$N$7,'2.2 OPEX LAP 2023'!I360*'2.1 OPEX TUUA'!$N$8)</f>
        <v>0</v>
      </c>
      <c r="O359" s="3">
        <f>+IF(F359="Pasajero",'2.2 OPEX LAP 2023'!J360*'2.1 OPEX TUUA'!$O$7,'2.2 OPEX LAP 2023'!J360*'2.1 OPEX TUUA'!$O$8)</f>
        <v>0</v>
      </c>
      <c r="P359" s="3">
        <f>+IF(F359="Pasajero",'2.2 OPEX LAP 2023'!K360*'2.1 OPEX TUUA'!$P$7,'2.2 OPEX LAP 2023'!K360*'2.1 OPEX TUUA'!$P$8)</f>
        <v>0</v>
      </c>
      <c r="Q359" s="3">
        <f>+IF(F359="Pasajero",'2.2 OPEX LAP 2023'!L360*'2.1 OPEX TUUA'!$Q$7,'2.2 OPEX LAP 2023'!L360*'2.1 OPEX TUUA'!$Q$8)</f>
        <v>0</v>
      </c>
      <c r="R359" s="3">
        <f>+IF(F359="Pasajero",'2.2 OPEX LAP 2023'!M360*'2.1 OPEX TUUA'!$R$7,'2.2 OPEX LAP 2023'!M360*'2.1 OPEX TUUA'!$R$8)</f>
        <v>0</v>
      </c>
      <c r="S359" s="3">
        <f>+IF(F359="Pasajero",'2.2 OPEX LAP 2023'!N360*'2.1 OPEX TUUA'!$S$7,'2.2 OPEX LAP 2023'!N360*'2.1 OPEX TUUA'!$S$8)</f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7">
        <f t="shared" si="33"/>
        <v>0</v>
      </c>
      <c r="AB359" s="7">
        <f t="shared" si="34"/>
        <v>0</v>
      </c>
      <c r="AC359" s="7">
        <f t="shared" si="35"/>
        <v>0</v>
      </c>
      <c r="AD359" s="7">
        <f t="shared" si="36"/>
        <v>0</v>
      </c>
      <c r="AE359" s="7">
        <f t="shared" si="37"/>
        <v>0</v>
      </c>
      <c r="AF359" s="7">
        <f t="shared" si="38"/>
        <v>0</v>
      </c>
    </row>
    <row r="360" spans="2:32" x14ac:dyDescent="0.25">
      <c r="B360" s="17">
        <v>6320000007</v>
      </c>
      <c r="C360" s="193" t="s">
        <v>177</v>
      </c>
      <c r="D360" s="193" t="s">
        <v>49</v>
      </c>
      <c r="E360" s="193" t="s">
        <v>50</v>
      </c>
      <c r="F360" s="163" t="s">
        <v>190</v>
      </c>
      <c r="G360" s="3">
        <f>+IF(F360="Pasajero",'2.2 OPEX LAP 2023'!I361*'2.1 OPEX TUUA'!$G$7,'2.2 OPEX LAP 2023'!I361*'2.1 OPEX TUUA'!$G$8)</f>
        <v>0</v>
      </c>
      <c r="H360" s="3">
        <f>+IF(F360="Pasajero",'2.2 OPEX LAP 2023'!J361*'2.1 OPEX TUUA'!$H$7,'2.2 OPEX LAP 2023'!J361*'2.1 OPEX TUUA'!$H$8)</f>
        <v>0</v>
      </c>
      <c r="I360" s="3">
        <f>+IF(F360="Pasajero",'2.2 OPEX LAP 2023'!K361*'2.1 OPEX TUUA'!$I$7,'2.2 OPEX LAP 2023'!K361*'2.1 OPEX TUUA'!$I$8)</f>
        <v>0</v>
      </c>
      <c r="J360" s="3">
        <f>+IF(F360="Pasajero",'2.2 OPEX LAP 2023'!L361*'2.1 OPEX TUUA'!$J$7,'2.2 OPEX LAP 2023'!L361*'2.1 OPEX TUUA'!$J$8)</f>
        <v>0</v>
      </c>
      <c r="K360" s="3">
        <f>+IF(F360="Pasajero",'2.2 OPEX LAP 2023'!M361*'2.1 OPEX TUUA'!$K$7,'2.2 OPEX LAP 2023'!M361*'2.1 OPEX TUUA'!$K$8)</f>
        <v>0</v>
      </c>
      <c r="L360" s="3">
        <f>+IF(F360="Pasajero",'2.2 OPEX LAP 2023'!N361*'2.1 OPEX TUUA'!$L$7,'2.2 OPEX LAP 2023'!N361*'2.1 OPEX TUUA'!$L$8)</f>
        <v>0</v>
      </c>
      <c r="M360" s="3"/>
      <c r="N360" s="3">
        <f>+IF(F360="Pasajero",'2.2 OPEX LAP 2023'!I361*'2.1 OPEX TUUA'!$N$7,'2.2 OPEX LAP 2023'!I361*'2.1 OPEX TUUA'!$N$8)</f>
        <v>0</v>
      </c>
      <c r="O360" s="3">
        <f>+IF(F360="Pasajero",'2.2 OPEX LAP 2023'!J361*'2.1 OPEX TUUA'!$O$7,'2.2 OPEX LAP 2023'!J361*'2.1 OPEX TUUA'!$O$8)</f>
        <v>0</v>
      </c>
      <c r="P360" s="3">
        <f>+IF(F360="Pasajero",'2.2 OPEX LAP 2023'!K361*'2.1 OPEX TUUA'!$P$7,'2.2 OPEX LAP 2023'!K361*'2.1 OPEX TUUA'!$P$8)</f>
        <v>0</v>
      </c>
      <c r="Q360" s="3">
        <f>+IF(F360="Pasajero",'2.2 OPEX LAP 2023'!L361*'2.1 OPEX TUUA'!$Q$7,'2.2 OPEX LAP 2023'!L361*'2.1 OPEX TUUA'!$Q$8)</f>
        <v>0</v>
      </c>
      <c r="R360" s="3">
        <f>+IF(F360="Pasajero",'2.2 OPEX LAP 2023'!M361*'2.1 OPEX TUUA'!$R$7,'2.2 OPEX LAP 2023'!M361*'2.1 OPEX TUUA'!$R$8)</f>
        <v>0</v>
      </c>
      <c r="S360" s="3">
        <f>+IF(F360="Pasajero",'2.2 OPEX LAP 2023'!N361*'2.1 OPEX TUUA'!$S$7,'2.2 OPEX LAP 2023'!N361*'2.1 OPEX TUUA'!$S$8)</f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7">
        <f t="shared" si="33"/>
        <v>0</v>
      </c>
      <c r="AB360" s="7">
        <f t="shared" si="34"/>
        <v>0</v>
      </c>
      <c r="AC360" s="7">
        <f t="shared" si="35"/>
        <v>0</v>
      </c>
      <c r="AD360" s="7">
        <f t="shared" si="36"/>
        <v>0</v>
      </c>
      <c r="AE360" s="7">
        <f t="shared" si="37"/>
        <v>0</v>
      </c>
      <c r="AF360" s="7">
        <f t="shared" si="38"/>
        <v>0</v>
      </c>
    </row>
    <row r="361" spans="2:32" x14ac:dyDescent="0.25">
      <c r="B361" s="17">
        <v>6329000003</v>
      </c>
      <c r="C361" s="193" t="s">
        <v>177</v>
      </c>
      <c r="D361" s="193" t="s">
        <v>40</v>
      </c>
      <c r="E361" s="193" t="s">
        <v>51</v>
      </c>
      <c r="F361" s="163" t="s">
        <v>190</v>
      </c>
      <c r="G361" s="3">
        <f>+IF(F361="Pasajero",'2.2 OPEX LAP 2023'!I362*'2.1 OPEX TUUA'!$G$7,'2.2 OPEX LAP 2023'!I362*'2.1 OPEX TUUA'!$G$8)</f>
        <v>0</v>
      </c>
      <c r="H361" s="3">
        <f>+IF(F361="Pasajero",'2.2 OPEX LAP 2023'!J362*'2.1 OPEX TUUA'!$H$7,'2.2 OPEX LAP 2023'!J362*'2.1 OPEX TUUA'!$H$8)</f>
        <v>0</v>
      </c>
      <c r="I361" s="3">
        <f>+IF(F361="Pasajero",'2.2 OPEX LAP 2023'!K362*'2.1 OPEX TUUA'!$I$7,'2.2 OPEX LAP 2023'!K362*'2.1 OPEX TUUA'!$I$8)</f>
        <v>0</v>
      </c>
      <c r="J361" s="3">
        <f>+IF(F361="Pasajero",'2.2 OPEX LAP 2023'!L362*'2.1 OPEX TUUA'!$J$7,'2.2 OPEX LAP 2023'!L362*'2.1 OPEX TUUA'!$J$8)</f>
        <v>0</v>
      </c>
      <c r="K361" s="3">
        <f>+IF(F361="Pasajero",'2.2 OPEX LAP 2023'!M362*'2.1 OPEX TUUA'!$K$7,'2.2 OPEX LAP 2023'!M362*'2.1 OPEX TUUA'!$K$8)</f>
        <v>0</v>
      </c>
      <c r="L361" s="3">
        <f>+IF(F361="Pasajero",'2.2 OPEX LAP 2023'!N362*'2.1 OPEX TUUA'!$L$7,'2.2 OPEX LAP 2023'!N362*'2.1 OPEX TUUA'!$L$8)</f>
        <v>0</v>
      </c>
      <c r="M361" s="3"/>
      <c r="N361" s="3">
        <f>+IF(F361="Pasajero",'2.2 OPEX LAP 2023'!I362*'2.1 OPEX TUUA'!$N$7,'2.2 OPEX LAP 2023'!I362*'2.1 OPEX TUUA'!$N$8)</f>
        <v>0</v>
      </c>
      <c r="O361" s="3">
        <f>+IF(F361="Pasajero",'2.2 OPEX LAP 2023'!J362*'2.1 OPEX TUUA'!$O$7,'2.2 OPEX LAP 2023'!J362*'2.1 OPEX TUUA'!$O$8)</f>
        <v>0</v>
      </c>
      <c r="P361" s="3">
        <f>+IF(F361="Pasajero",'2.2 OPEX LAP 2023'!K362*'2.1 OPEX TUUA'!$P$7,'2.2 OPEX LAP 2023'!K362*'2.1 OPEX TUUA'!$P$8)</f>
        <v>0</v>
      </c>
      <c r="Q361" s="3">
        <f>+IF(F361="Pasajero",'2.2 OPEX LAP 2023'!L362*'2.1 OPEX TUUA'!$Q$7,'2.2 OPEX LAP 2023'!L362*'2.1 OPEX TUUA'!$Q$8)</f>
        <v>0</v>
      </c>
      <c r="R361" s="3">
        <f>+IF(F361="Pasajero",'2.2 OPEX LAP 2023'!M362*'2.1 OPEX TUUA'!$R$7,'2.2 OPEX LAP 2023'!M362*'2.1 OPEX TUUA'!$R$8)</f>
        <v>0</v>
      </c>
      <c r="S361" s="3">
        <f>+IF(F361="Pasajero",'2.2 OPEX LAP 2023'!N362*'2.1 OPEX TUUA'!$S$7,'2.2 OPEX LAP 2023'!N362*'2.1 OPEX TUUA'!$S$8)</f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7">
        <f t="shared" si="33"/>
        <v>0</v>
      </c>
      <c r="AB361" s="7">
        <f t="shared" si="34"/>
        <v>0</v>
      </c>
      <c r="AC361" s="7">
        <f t="shared" si="35"/>
        <v>0</v>
      </c>
      <c r="AD361" s="7">
        <f t="shared" si="36"/>
        <v>0</v>
      </c>
      <c r="AE361" s="7">
        <f t="shared" si="37"/>
        <v>0</v>
      </c>
      <c r="AF361" s="7">
        <f t="shared" si="38"/>
        <v>0</v>
      </c>
    </row>
    <row r="362" spans="2:32" x14ac:dyDescent="0.25">
      <c r="B362" s="17">
        <v>6341100001</v>
      </c>
      <c r="C362" s="193" t="s">
        <v>177</v>
      </c>
      <c r="D362" s="193" t="s">
        <v>52</v>
      </c>
      <c r="E362" s="193" t="s">
        <v>53</v>
      </c>
      <c r="F362" s="163" t="s">
        <v>190</v>
      </c>
      <c r="G362" s="3">
        <f>+IF(F362="Pasajero",'2.2 OPEX LAP 2023'!I363*'2.1 OPEX TUUA'!$G$7,'2.2 OPEX LAP 2023'!I363*'2.1 OPEX TUUA'!$G$8)</f>
        <v>808.14925848380562</v>
      </c>
      <c r="H362" s="3">
        <f>+IF(F362="Pasajero",'2.2 OPEX LAP 2023'!J363*'2.1 OPEX TUUA'!$H$7,'2.2 OPEX LAP 2023'!J363*'2.1 OPEX TUUA'!$H$8)</f>
        <v>927.05640679517148</v>
      </c>
      <c r="I362" s="3">
        <f>+IF(F362="Pasajero",'2.2 OPEX LAP 2023'!K363*'2.1 OPEX TUUA'!$I$7,'2.2 OPEX LAP 2023'!K363*'2.1 OPEX TUUA'!$I$8)</f>
        <v>1024.8744464995061</v>
      </c>
      <c r="J362" s="3">
        <f>+IF(F362="Pasajero",'2.2 OPEX LAP 2023'!L363*'2.1 OPEX TUUA'!$J$7,'2.2 OPEX LAP 2023'!L363*'2.1 OPEX TUUA'!$J$8)</f>
        <v>1068.0407849798512</v>
      </c>
      <c r="K362" s="3">
        <f>+IF(F362="Pasajero",'2.2 OPEX LAP 2023'!M363*'2.1 OPEX TUUA'!$K$7,'2.2 OPEX LAP 2023'!M363*'2.1 OPEX TUUA'!$K$8)</f>
        <v>1091.9328823000558</v>
      </c>
      <c r="L362" s="3">
        <f>+IF(F362="Pasajero",'2.2 OPEX LAP 2023'!N363*'2.1 OPEX TUUA'!$L$7,'2.2 OPEX LAP 2023'!N363*'2.1 OPEX TUUA'!$L$8)</f>
        <v>1121.0946990584637</v>
      </c>
      <c r="M362" s="3"/>
      <c r="N362" s="3">
        <f>+IF(F362="Pasajero",'2.2 OPEX LAP 2023'!I363*'2.1 OPEX TUUA'!$N$7,'2.2 OPEX LAP 2023'!I363*'2.1 OPEX TUUA'!$N$8)</f>
        <v>398.59313378902721</v>
      </c>
      <c r="O362" s="3">
        <f>+IF(F362="Pasajero",'2.2 OPEX LAP 2023'!J363*'2.1 OPEX TUUA'!$O$7,'2.2 OPEX LAP 2023'!J363*'2.1 OPEX TUUA'!$O$8)</f>
        <v>383.95267195996371</v>
      </c>
      <c r="P362" s="3">
        <f>+IF(F362="Pasajero",'2.2 OPEX LAP 2023'!K363*'2.1 OPEX TUUA'!$P$7,'2.2 OPEX LAP 2023'!K363*'2.1 OPEX TUUA'!$P$8)</f>
        <v>375.23592448807671</v>
      </c>
      <c r="Q362" s="3">
        <f>+IF(F362="Pasajero",'2.2 OPEX LAP 2023'!L363*'2.1 OPEX TUUA'!$Q$7,'2.2 OPEX LAP 2023'!L363*'2.1 OPEX TUUA'!$Q$8)</f>
        <v>366.67004374129732</v>
      </c>
      <c r="R362" s="3">
        <f>+IF(F362="Pasajero",'2.2 OPEX LAP 2023'!M363*'2.1 OPEX TUUA'!$R$7,'2.2 OPEX LAP 2023'!M363*'2.1 OPEX TUUA'!$R$8)</f>
        <v>362.02550816609323</v>
      </c>
      <c r="S362" s="3">
        <f>+IF(F362="Pasajero",'2.2 OPEX LAP 2023'!N363*'2.1 OPEX TUUA'!$S$7,'2.2 OPEX LAP 2023'!N363*'2.1 OPEX TUUA'!$S$8)</f>
        <v>356.32385153337788</v>
      </c>
      <c r="U362" s="1">
        <v>823.41928035763692</v>
      </c>
      <c r="V362" s="1">
        <v>944.57318536228479</v>
      </c>
      <c r="W362" s="1">
        <v>1044.2395019662886</v>
      </c>
      <c r="X362" s="1">
        <v>1088.2214706360926</v>
      </c>
      <c r="Y362" s="1">
        <v>1112.5650103660516</v>
      </c>
      <c r="Z362" s="1">
        <v>1142.2778411544878</v>
      </c>
      <c r="AA362" s="7">
        <f t="shared" si="33"/>
        <v>-15.270021873831297</v>
      </c>
      <c r="AB362" s="7">
        <f t="shared" si="34"/>
        <v>-17.516778567113306</v>
      </c>
      <c r="AC362" s="7">
        <f t="shared" si="35"/>
        <v>-19.365055466782451</v>
      </c>
      <c r="AD362" s="7">
        <f t="shared" si="36"/>
        <v>-20.180685656241394</v>
      </c>
      <c r="AE362" s="7">
        <f t="shared" si="37"/>
        <v>-20.632128065995857</v>
      </c>
      <c r="AF362" s="7">
        <f t="shared" si="38"/>
        <v>-21.183142096024085</v>
      </c>
    </row>
    <row r="363" spans="2:32" x14ac:dyDescent="0.25">
      <c r="B363" s="17">
        <v>6341100002</v>
      </c>
      <c r="C363" s="193" t="s">
        <v>177</v>
      </c>
      <c r="D363" s="193" t="s">
        <v>52</v>
      </c>
      <c r="E363" s="193" t="s">
        <v>54</v>
      </c>
      <c r="F363" s="163" t="s">
        <v>190</v>
      </c>
      <c r="G363" s="3">
        <f>+IF(F363="Pasajero",'2.2 OPEX LAP 2023'!I364*'2.1 OPEX TUUA'!$G$7,'2.2 OPEX LAP 2023'!I364*'2.1 OPEX TUUA'!$G$8)</f>
        <v>1844.5266952598251</v>
      </c>
      <c r="H363" s="3">
        <f>+IF(F363="Pasajero",'2.2 OPEX LAP 2023'!J364*'2.1 OPEX TUUA'!$H$7,'2.2 OPEX LAP 2023'!J364*'2.1 OPEX TUUA'!$H$8)</f>
        <v>2115.9213751596999</v>
      </c>
      <c r="I363" s="3">
        <f>+IF(F363="Pasajero",'2.2 OPEX LAP 2023'!K364*'2.1 OPEX TUUA'!$I$7,'2.2 OPEX LAP 2023'!K364*'2.1 OPEX TUUA'!$I$8)</f>
        <v>2339.182095402316</v>
      </c>
      <c r="J363" s="3">
        <f>+IF(F363="Pasajero",'2.2 OPEX LAP 2023'!L364*'2.1 OPEX TUUA'!$J$7,'2.2 OPEX LAP 2023'!L364*'2.1 OPEX TUUA'!$J$8)</f>
        <v>2437.7053110431971</v>
      </c>
      <c r="K363" s="3">
        <f>+IF(F363="Pasajero",'2.2 OPEX LAP 2023'!M364*'2.1 OPEX TUUA'!$K$7,'2.2 OPEX LAP 2023'!M364*'2.1 OPEX TUUA'!$K$8)</f>
        <v>2492.2368358206172</v>
      </c>
      <c r="L363" s="3">
        <f>+IF(F363="Pasajero",'2.2 OPEX LAP 2023'!N364*'2.1 OPEX TUUA'!$L$7,'2.2 OPEX LAP 2023'!N364*'2.1 OPEX TUUA'!$L$8)</f>
        <v>2558.7960127653255</v>
      </c>
      <c r="M363" s="3"/>
      <c r="N363" s="3">
        <f>+IF(F363="Pasajero",'2.2 OPEX LAP 2023'!I364*'2.1 OPEX TUUA'!$N$7,'2.2 OPEX LAP 2023'!I364*'2.1 OPEX TUUA'!$N$8)</f>
        <v>909.75233609753354</v>
      </c>
      <c r="O363" s="3">
        <f>+IF(F363="Pasajero",'2.2 OPEX LAP 2023'!J364*'2.1 OPEX TUUA'!$O$7,'2.2 OPEX LAP 2023'!J364*'2.1 OPEX TUUA'!$O$8)</f>
        <v>876.33682232807894</v>
      </c>
      <c r="P363" s="3">
        <f>+IF(F363="Pasajero",'2.2 OPEX LAP 2023'!K364*'2.1 OPEX TUUA'!$P$7,'2.2 OPEX LAP 2023'!K364*'2.1 OPEX TUUA'!$P$8)</f>
        <v>856.4416442542921</v>
      </c>
      <c r="Q363" s="3">
        <f>+IF(F363="Pasajero",'2.2 OPEX LAP 2023'!L364*'2.1 OPEX TUUA'!$Q$7,'2.2 OPEX LAP 2023'!L364*'2.1 OPEX TUUA'!$Q$8)</f>
        <v>836.89080566849725</v>
      </c>
      <c r="R363" s="3">
        <f>+IF(F363="Pasajero",'2.2 OPEX LAP 2023'!M364*'2.1 OPEX TUUA'!$R$7,'2.2 OPEX LAP 2023'!M364*'2.1 OPEX TUUA'!$R$8)</f>
        <v>826.29007843202032</v>
      </c>
      <c r="S363" s="3">
        <f>+IF(F363="Pasajero",'2.2 OPEX LAP 2023'!N364*'2.1 OPEX TUUA'!$S$7,'2.2 OPEX LAP 2023'!N364*'2.1 OPEX TUUA'!$S$8)</f>
        <v>813.27656916273042</v>
      </c>
      <c r="U363" s="1">
        <v>1879.3791221943325</v>
      </c>
      <c r="V363" s="1">
        <v>2155.9018185528098</v>
      </c>
      <c r="W363" s="1">
        <v>2383.381061606507</v>
      </c>
      <c r="X363" s="1">
        <v>2483.7658784827081</v>
      </c>
      <c r="Y363" s="1">
        <v>2539.3277792301892</v>
      </c>
      <c r="Z363" s="1">
        <v>2607.144595252309</v>
      </c>
      <c r="AA363" s="7">
        <f t="shared" si="33"/>
        <v>-34.852426934507321</v>
      </c>
      <c r="AB363" s="7">
        <f t="shared" si="34"/>
        <v>-39.980443393109908</v>
      </c>
      <c r="AC363" s="7">
        <f t="shared" si="35"/>
        <v>-44.198966204191038</v>
      </c>
      <c r="AD363" s="7">
        <f t="shared" si="36"/>
        <v>-46.060567439511033</v>
      </c>
      <c r="AE363" s="7">
        <f t="shared" si="37"/>
        <v>-47.090943409571992</v>
      </c>
      <c r="AF363" s="7">
        <f t="shared" si="38"/>
        <v>-48.34858248698356</v>
      </c>
    </row>
    <row r="364" spans="2:32" x14ac:dyDescent="0.25">
      <c r="B364" s="17">
        <v>6341100003</v>
      </c>
      <c r="C364" s="193" t="s">
        <v>177</v>
      </c>
      <c r="D364" s="193" t="s">
        <v>52</v>
      </c>
      <c r="E364" s="193" t="s">
        <v>55</v>
      </c>
      <c r="F364" s="163" t="s">
        <v>190</v>
      </c>
      <c r="G364" s="3">
        <f>+IF(F364="Pasajero",'2.2 OPEX LAP 2023'!I365*'2.1 OPEX TUUA'!$G$7,'2.2 OPEX LAP 2023'!I365*'2.1 OPEX TUUA'!$G$8)</f>
        <v>557.02881800108707</v>
      </c>
      <c r="H364" s="3">
        <f>+IF(F364="Pasajero",'2.2 OPEX LAP 2023'!J365*'2.1 OPEX TUUA'!$H$7,'2.2 OPEX LAP 2023'!J365*'2.1 OPEX TUUA'!$H$8)</f>
        <v>638.98732700228959</v>
      </c>
      <c r="I364" s="3">
        <f>+IF(F364="Pasajero",'2.2 OPEX LAP 2023'!K365*'2.1 OPEX TUUA'!$I$7,'2.2 OPEX LAP 2023'!K365*'2.1 OPEX TUUA'!$I$8)</f>
        <v>706.40985627357122</v>
      </c>
      <c r="J364" s="3">
        <f>+IF(F364="Pasajero",'2.2 OPEX LAP 2023'!L365*'2.1 OPEX TUUA'!$J$7,'2.2 OPEX LAP 2023'!L365*'2.1 OPEX TUUA'!$J$8)</f>
        <v>736.16289291713986</v>
      </c>
      <c r="K364" s="3">
        <f>+IF(F364="Pasajero",'2.2 OPEX LAP 2023'!M365*'2.1 OPEX TUUA'!$K$7,'2.2 OPEX LAP 2023'!M365*'2.1 OPEX TUUA'!$K$8)</f>
        <v>752.63087403588668</v>
      </c>
      <c r="L364" s="3">
        <f>+IF(F364="Pasajero",'2.2 OPEX LAP 2023'!N365*'2.1 OPEX TUUA'!$L$7,'2.2 OPEX LAP 2023'!N365*'2.1 OPEX TUUA'!$L$8)</f>
        <v>772.73108714525222</v>
      </c>
      <c r="M364" s="3"/>
      <c r="N364" s="3">
        <f>+IF(F364="Pasajero",'2.2 OPEX LAP 2023'!I365*'2.1 OPEX TUUA'!$N$7,'2.2 OPEX LAP 2023'!I365*'2.1 OPEX TUUA'!$N$8)</f>
        <v>274.7362072625105</v>
      </c>
      <c r="O364" s="3">
        <f>+IF(F364="Pasajero",'2.2 OPEX LAP 2023'!J365*'2.1 OPEX TUUA'!$O$7,'2.2 OPEX LAP 2023'!J365*'2.1 OPEX TUUA'!$O$8)</f>
        <v>264.64505261252242</v>
      </c>
      <c r="P364" s="3">
        <f>+IF(F364="Pasajero",'2.2 OPEX LAP 2023'!K365*'2.1 OPEX TUUA'!$P$7,'2.2 OPEX LAP 2023'!K365*'2.1 OPEX TUUA'!$P$8)</f>
        <v>258.63690561478995</v>
      </c>
      <c r="Q364" s="3">
        <f>+IF(F364="Pasajero",'2.2 OPEX LAP 2023'!L365*'2.1 OPEX TUUA'!$Q$7,'2.2 OPEX LAP 2023'!L365*'2.1 OPEX TUUA'!$Q$8)</f>
        <v>252.73274573661521</v>
      </c>
      <c r="R364" s="3">
        <f>+IF(F364="Pasajero",'2.2 OPEX LAP 2023'!M365*'2.1 OPEX TUUA'!$R$7,'2.2 OPEX LAP 2023'!M365*'2.1 OPEX TUUA'!$R$8)</f>
        <v>249.53143096157754</v>
      </c>
      <c r="S364" s="3">
        <f>+IF(F364="Pasajero",'2.2 OPEX LAP 2023'!N365*'2.1 OPEX TUUA'!$S$7,'2.2 OPEX LAP 2023'!N365*'2.1 OPEX TUUA'!$S$8)</f>
        <v>245.60147987713546</v>
      </c>
      <c r="U364" s="1">
        <v>567.55390621460481</v>
      </c>
      <c r="V364" s="1">
        <v>651.06102546577881</v>
      </c>
      <c r="W364" s="1">
        <v>719.7575069011607</v>
      </c>
      <c r="X364" s="1">
        <v>750.07272870494671</v>
      </c>
      <c r="Y364" s="1">
        <v>766.85187317534076</v>
      </c>
      <c r="Z364" s="1">
        <v>787.33188084694416</v>
      </c>
      <c r="AA364" s="7">
        <f t="shared" si="33"/>
        <v>-10.525088213517733</v>
      </c>
      <c r="AB364" s="7">
        <f t="shared" si="34"/>
        <v>-12.073698463489222</v>
      </c>
      <c r="AC364" s="7">
        <f t="shared" si="35"/>
        <v>-13.347650627589474</v>
      </c>
      <c r="AD364" s="7">
        <f t="shared" si="36"/>
        <v>-13.909835787806855</v>
      </c>
      <c r="AE364" s="7">
        <f t="shared" si="37"/>
        <v>-14.220999139454079</v>
      </c>
      <c r="AF364" s="7">
        <f t="shared" si="38"/>
        <v>-14.600793701691941</v>
      </c>
    </row>
    <row r="365" spans="2:32" x14ac:dyDescent="0.25">
      <c r="B365" s="17">
        <v>6341100004</v>
      </c>
      <c r="C365" s="193" t="s">
        <v>177</v>
      </c>
      <c r="D365" s="193" t="s">
        <v>52</v>
      </c>
      <c r="E365" s="193" t="s">
        <v>56</v>
      </c>
      <c r="F365" s="163" t="s">
        <v>190</v>
      </c>
      <c r="G365" s="3">
        <f>+IF(F365="Pasajero",'2.2 OPEX LAP 2023'!I366*'2.1 OPEX TUUA'!$G$7,'2.2 OPEX LAP 2023'!I366*'2.1 OPEX TUUA'!$G$8)</f>
        <v>515.3807367922509</v>
      </c>
      <c r="H365" s="3">
        <f>+IF(F365="Pasajero",'2.2 OPEX LAP 2023'!J366*'2.1 OPEX TUUA'!$H$7,'2.2 OPEX LAP 2023'!J366*'2.1 OPEX TUUA'!$H$8)</f>
        <v>591.21134984206196</v>
      </c>
      <c r="I365" s="3">
        <f>+IF(F365="Pasajero",'2.2 OPEX LAP 2023'!K366*'2.1 OPEX TUUA'!$I$7,'2.2 OPEX LAP 2023'!K366*'2.1 OPEX TUUA'!$I$8)</f>
        <v>653.59281322294294</v>
      </c>
      <c r="J365" s="3">
        <f>+IF(F365="Pasajero",'2.2 OPEX LAP 2023'!L366*'2.1 OPEX TUUA'!$J$7,'2.2 OPEX LAP 2023'!L366*'2.1 OPEX TUUA'!$J$8)</f>
        <v>681.12126678158688</v>
      </c>
      <c r="K365" s="3">
        <f>+IF(F365="Pasajero",'2.2 OPEX LAP 2023'!M366*'2.1 OPEX TUUA'!$K$7,'2.2 OPEX LAP 2023'!M366*'2.1 OPEX TUUA'!$K$8)</f>
        <v>696.35796543735376</v>
      </c>
      <c r="L365" s="3">
        <f>+IF(F365="Pasajero",'2.2 OPEX LAP 2023'!N366*'2.1 OPEX TUUA'!$L$7,'2.2 OPEX LAP 2023'!N366*'2.1 OPEX TUUA'!$L$8)</f>
        <v>714.95532038060537</v>
      </c>
      <c r="M365" s="3"/>
      <c r="N365" s="3">
        <f>+IF(F365="Pasajero",'2.2 OPEX LAP 2023'!I366*'2.1 OPEX TUUA'!$N$7,'2.2 OPEX LAP 2023'!I366*'2.1 OPEX TUUA'!$N$8)</f>
        <v>254.19465626675151</v>
      </c>
      <c r="O365" s="3">
        <f>+IF(F365="Pasajero",'2.2 OPEX LAP 2023'!J366*'2.1 OPEX TUUA'!$O$7,'2.2 OPEX LAP 2023'!J366*'2.1 OPEX TUUA'!$O$8)</f>
        <v>244.857999794904</v>
      </c>
      <c r="P365" s="3">
        <f>+IF(F365="Pasajero",'2.2 OPEX LAP 2023'!K366*'2.1 OPEX TUUA'!$P$7,'2.2 OPEX LAP 2023'!K366*'2.1 OPEX TUUA'!$P$8)</f>
        <v>239.29907155568057</v>
      </c>
      <c r="Q365" s="3">
        <f>+IF(F365="Pasajero",'2.2 OPEX LAP 2023'!L366*'2.1 OPEX TUUA'!$Q$7,'2.2 OPEX LAP 2023'!L366*'2.1 OPEX TUUA'!$Q$8)</f>
        <v>233.83635549895581</v>
      </c>
      <c r="R365" s="3">
        <f>+IF(F365="Pasajero",'2.2 OPEX LAP 2023'!M366*'2.1 OPEX TUUA'!$R$7,'2.2 OPEX LAP 2023'!M366*'2.1 OPEX TUUA'!$R$8)</f>
        <v>230.87439749221653</v>
      </c>
      <c r="S365" s="3">
        <f>+IF(F365="Pasajero",'2.2 OPEX LAP 2023'!N366*'2.1 OPEX TUUA'!$S$7,'2.2 OPEX LAP 2023'!N366*'2.1 OPEX TUUA'!$S$8)</f>
        <v>227.23828205257817</v>
      </c>
      <c r="U365" s="1">
        <v>525.11888236567358</v>
      </c>
      <c r="V365" s="1">
        <v>602.38231875575354</v>
      </c>
      <c r="W365" s="1">
        <v>665.94248310102671</v>
      </c>
      <c r="X365" s="1">
        <v>693.9910882078907</v>
      </c>
      <c r="Y365" s="1">
        <v>709.51568506973285</v>
      </c>
      <c r="Z365" s="1">
        <v>728.46443799274823</v>
      </c>
      <c r="AA365" s="7">
        <f t="shared" si="33"/>
        <v>-9.7381455734226847</v>
      </c>
      <c r="AB365" s="7">
        <f t="shared" si="34"/>
        <v>-11.170968913691581</v>
      </c>
      <c r="AC365" s="7">
        <f t="shared" si="35"/>
        <v>-12.349669878083773</v>
      </c>
      <c r="AD365" s="7">
        <f t="shared" si="36"/>
        <v>-12.869821426303815</v>
      </c>
      <c r="AE365" s="7">
        <f t="shared" si="37"/>
        <v>-13.157719632379099</v>
      </c>
      <c r="AF365" s="7">
        <f t="shared" si="38"/>
        <v>-13.509117612142859</v>
      </c>
    </row>
    <row r="366" spans="2:32" x14ac:dyDescent="0.25">
      <c r="B366" s="17">
        <v>6341100005</v>
      </c>
      <c r="C366" s="193" t="s">
        <v>177</v>
      </c>
      <c r="D366" s="193" t="s">
        <v>52</v>
      </c>
      <c r="E366" s="193" t="s">
        <v>57</v>
      </c>
      <c r="F366" s="163" t="s">
        <v>190</v>
      </c>
      <c r="G366" s="3">
        <f>+IF(F366="Pasajero",'2.2 OPEX LAP 2023'!I367*'2.1 OPEX TUUA'!$G$7,'2.2 OPEX LAP 2023'!I367*'2.1 OPEX TUUA'!$G$8)</f>
        <v>0</v>
      </c>
      <c r="H366" s="3">
        <f>+IF(F366="Pasajero",'2.2 OPEX LAP 2023'!J367*'2.1 OPEX TUUA'!$H$7,'2.2 OPEX LAP 2023'!J367*'2.1 OPEX TUUA'!$H$8)</f>
        <v>0</v>
      </c>
      <c r="I366" s="3">
        <f>+IF(F366="Pasajero",'2.2 OPEX LAP 2023'!K367*'2.1 OPEX TUUA'!$I$7,'2.2 OPEX LAP 2023'!K367*'2.1 OPEX TUUA'!$I$8)</f>
        <v>0</v>
      </c>
      <c r="J366" s="3">
        <f>+IF(F366="Pasajero",'2.2 OPEX LAP 2023'!L367*'2.1 OPEX TUUA'!$J$7,'2.2 OPEX LAP 2023'!L367*'2.1 OPEX TUUA'!$J$8)</f>
        <v>0</v>
      </c>
      <c r="K366" s="3">
        <f>+IF(F366="Pasajero",'2.2 OPEX LAP 2023'!M367*'2.1 OPEX TUUA'!$K$7,'2.2 OPEX LAP 2023'!M367*'2.1 OPEX TUUA'!$K$8)</f>
        <v>0</v>
      </c>
      <c r="L366" s="3">
        <f>+IF(F366="Pasajero",'2.2 OPEX LAP 2023'!N367*'2.1 OPEX TUUA'!$L$7,'2.2 OPEX LAP 2023'!N367*'2.1 OPEX TUUA'!$L$8)</f>
        <v>0</v>
      </c>
      <c r="M366" s="3"/>
      <c r="N366" s="3">
        <f>+IF(F366="Pasajero",'2.2 OPEX LAP 2023'!I367*'2.1 OPEX TUUA'!$N$7,'2.2 OPEX LAP 2023'!I367*'2.1 OPEX TUUA'!$N$8)</f>
        <v>0</v>
      </c>
      <c r="O366" s="3">
        <f>+IF(F366="Pasajero",'2.2 OPEX LAP 2023'!J367*'2.1 OPEX TUUA'!$O$7,'2.2 OPEX LAP 2023'!J367*'2.1 OPEX TUUA'!$O$8)</f>
        <v>0</v>
      </c>
      <c r="P366" s="3">
        <f>+IF(F366="Pasajero",'2.2 OPEX LAP 2023'!K367*'2.1 OPEX TUUA'!$P$7,'2.2 OPEX LAP 2023'!K367*'2.1 OPEX TUUA'!$P$8)</f>
        <v>0</v>
      </c>
      <c r="Q366" s="3">
        <f>+IF(F366="Pasajero",'2.2 OPEX LAP 2023'!L367*'2.1 OPEX TUUA'!$Q$7,'2.2 OPEX LAP 2023'!L367*'2.1 OPEX TUUA'!$Q$8)</f>
        <v>0</v>
      </c>
      <c r="R366" s="3">
        <f>+IF(F366="Pasajero",'2.2 OPEX LAP 2023'!M367*'2.1 OPEX TUUA'!$R$7,'2.2 OPEX LAP 2023'!M367*'2.1 OPEX TUUA'!$R$8)</f>
        <v>0</v>
      </c>
      <c r="S366" s="3">
        <f>+IF(F366="Pasajero",'2.2 OPEX LAP 2023'!N367*'2.1 OPEX TUUA'!$S$7,'2.2 OPEX LAP 2023'!N367*'2.1 OPEX TUUA'!$S$8)</f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7">
        <f t="shared" si="33"/>
        <v>0</v>
      </c>
      <c r="AB366" s="7">
        <f t="shared" si="34"/>
        <v>0</v>
      </c>
      <c r="AC366" s="7">
        <f t="shared" si="35"/>
        <v>0</v>
      </c>
      <c r="AD366" s="7">
        <f t="shared" si="36"/>
        <v>0</v>
      </c>
      <c r="AE366" s="7">
        <f t="shared" si="37"/>
        <v>0</v>
      </c>
      <c r="AF366" s="7">
        <f t="shared" si="38"/>
        <v>0</v>
      </c>
    </row>
    <row r="367" spans="2:32" x14ac:dyDescent="0.25">
      <c r="B367" s="17">
        <v>6341100007</v>
      </c>
      <c r="C367" s="193" t="s">
        <v>177</v>
      </c>
      <c r="D367" s="193" t="s">
        <v>52</v>
      </c>
      <c r="E367" s="193" t="s">
        <v>58</v>
      </c>
      <c r="F367" s="163" t="s">
        <v>190</v>
      </c>
      <c r="G367" s="3">
        <f>+IF(F367="Pasajero",'2.2 OPEX LAP 2023'!I368*'2.1 OPEX TUUA'!$G$7,'2.2 OPEX LAP 2023'!I368*'2.1 OPEX TUUA'!$G$8)</f>
        <v>0</v>
      </c>
      <c r="H367" s="3">
        <f>+IF(F367="Pasajero",'2.2 OPEX LAP 2023'!J368*'2.1 OPEX TUUA'!$H$7,'2.2 OPEX LAP 2023'!J368*'2.1 OPEX TUUA'!$H$8)</f>
        <v>0</v>
      </c>
      <c r="I367" s="3">
        <f>+IF(F367="Pasajero",'2.2 OPEX LAP 2023'!K368*'2.1 OPEX TUUA'!$I$7,'2.2 OPEX LAP 2023'!K368*'2.1 OPEX TUUA'!$I$8)</f>
        <v>0</v>
      </c>
      <c r="J367" s="3">
        <f>+IF(F367="Pasajero",'2.2 OPEX LAP 2023'!L368*'2.1 OPEX TUUA'!$J$7,'2.2 OPEX LAP 2023'!L368*'2.1 OPEX TUUA'!$J$8)</f>
        <v>0</v>
      </c>
      <c r="K367" s="3">
        <f>+IF(F367="Pasajero",'2.2 OPEX LAP 2023'!M368*'2.1 OPEX TUUA'!$K$7,'2.2 OPEX LAP 2023'!M368*'2.1 OPEX TUUA'!$K$8)</f>
        <v>0</v>
      </c>
      <c r="L367" s="3">
        <f>+IF(F367="Pasajero",'2.2 OPEX LAP 2023'!N368*'2.1 OPEX TUUA'!$L$7,'2.2 OPEX LAP 2023'!N368*'2.1 OPEX TUUA'!$L$8)</f>
        <v>0</v>
      </c>
      <c r="M367" s="3"/>
      <c r="N367" s="3">
        <f>+IF(F367="Pasajero",'2.2 OPEX LAP 2023'!I368*'2.1 OPEX TUUA'!$N$7,'2.2 OPEX LAP 2023'!I368*'2.1 OPEX TUUA'!$N$8)</f>
        <v>0</v>
      </c>
      <c r="O367" s="3">
        <f>+IF(F367="Pasajero",'2.2 OPEX LAP 2023'!J368*'2.1 OPEX TUUA'!$O$7,'2.2 OPEX LAP 2023'!J368*'2.1 OPEX TUUA'!$O$8)</f>
        <v>0</v>
      </c>
      <c r="P367" s="3">
        <f>+IF(F367="Pasajero",'2.2 OPEX LAP 2023'!K368*'2.1 OPEX TUUA'!$P$7,'2.2 OPEX LAP 2023'!K368*'2.1 OPEX TUUA'!$P$8)</f>
        <v>0</v>
      </c>
      <c r="Q367" s="3">
        <f>+IF(F367="Pasajero",'2.2 OPEX LAP 2023'!L368*'2.1 OPEX TUUA'!$Q$7,'2.2 OPEX LAP 2023'!L368*'2.1 OPEX TUUA'!$Q$8)</f>
        <v>0</v>
      </c>
      <c r="R367" s="3">
        <f>+IF(F367="Pasajero",'2.2 OPEX LAP 2023'!M368*'2.1 OPEX TUUA'!$R$7,'2.2 OPEX LAP 2023'!M368*'2.1 OPEX TUUA'!$R$8)</f>
        <v>0</v>
      </c>
      <c r="S367" s="3">
        <f>+IF(F367="Pasajero",'2.2 OPEX LAP 2023'!N368*'2.1 OPEX TUUA'!$S$7,'2.2 OPEX LAP 2023'!N368*'2.1 OPEX TUUA'!$S$8)</f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7">
        <f t="shared" si="33"/>
        <v>0</v>
      </c>
      <c r="AB367" s="7">
        <f t="shared" si="34"/>
        <v>0</v>
      </c>
      <c r="AC367" s="7">
        <f t="shared" si="35"/>
        <v>0</v>
      </c>
      <c r="AD367" s="7">
        <f t="shared" si="36"/>
        <v>0</v>
      </c>
      <c r="AE367" s="7">
        <f t="shared" si="37"/>
        <v>0</v>
      </c>
      <c r="AF367" s="7">
        <f t="shared" si="38"/>
        <v>0</v>
      </c>
    </row>
    <row r="368" spans="2:32" x14ac:dyDescent="0.25">
      <c r="B368" s="17">
        <v>6341100008</v>
      </c>
      <c r="C368" s="193" t="s">
        <v>177</v>
      </c>
      <c r="D368" s="193" t="s">
        <v>52</v>
      </c>
      <c r="E368" s="193" t="s">
        <v>59</v>
      </c>
      <c r="F368" s="163" t="s">
        <v>190</v>
      </c>
      <c r="G368" s="3">
        <f>+IF(F368="Pasajero",'2.2 OPEX LAP 2023'!I369*'2.1 OPEX TUUA'!$G$7,'2.2 OPEX LAP 2023'!I369*'2.1 OPEX TUUA'!$G$8)</f>
        <v>0</v>
      </c>
      <c r="H368" s="3">
        <f>+IF(F368="Pasajero",'2.2 OPEX LAP 2023'!J369*'2.1 OPEX TUUA'!$H$7,'2.2 OPEX LAP 2023'!J369*'2.1 OPEX TUUA'!$H$8)</f>
        <v>0</v>
      </c>
      <c r="I368" s="3">
        <f>+IF(F368="Pasajero",'2.2 OPEX LAP 2023'!K369*'2.1 OPEX TUUA'!$I$7,'2.2 OPEX LAP 2023'!K369*'2.1 OPEX TUUA'!$I$8)</f>
        <v>0</v>
      </c>
      <c r="J368" s="3">
        <f>+IF(F368="Pasajero",'2.2 OPEX LAP 2023'!L369*'2.1 OPEX TUUA'!$J$7,'2.2 OPEX LAP 2023'!L369*'2.1 OPEX TUUA'!$J$8)</f>
        <v>0</v>
      </c>
      <c r="K368" s="3">
        <f>+IF(F368="Pasajero",'2.2 OPEX LAP 2023'!M369*'2.1 OPEX TUUA'!$K$7,'2.2 OPEX LAP 2023'!M369*'2.1 OPEX TUUA'!$K$8)</f>
        <v>0</v>
      </c>
      <c r="L368" s="3">
        <f>+IF(F368="Pasajero",'2.2 OPEX LAP 2023'!N369*'2.1 OPEX TUUA'!$L$7,'2.2 OPEX LAP 2023'!N369*'2.1 OPEX TUUA'!$L$8)</f>
        <v>0</v>
      </c>
      <c r="M368" s="3"/>
      <c r="N368" s="3">
        <f>+IF(F368="Pasajero",'2.2 OPEX LAP 2023'!I369*'2.1 OPEX TUUA'!$N$7,'2.2 OPEX LAP 2023'!I369*'2.1 OPEX TUUA'!$N$8)</f>
        <v>0</v>
      </c>
      <c r="O368" s="3">
        <f>+IF(F368="Pasajero",'2.2 OPEX LAP 2023'!J369*'2.1 OPEX TUUA'!$O$7,'2.2 OPEX LAP 2023'!J369*'2.1 OPEX TUUA'!$O$8)</f>
        <v>0</v>
      </c>
      <c r="P368" s="3">
        <f>+IF(F368="Pasajero",'2.2 OPEX LAP 2023'!K369*'2.1 OPEX TUUA'!$P$7,'2.2 OPEX LAP 2023'!K369*'2.1 OPEX TUUA'!$P$8)</f>
        <v>0</v>
      </c>
      <c r="Q368" s="3">
        <f>+IF(F368="Pasajero",'2.2 OPEX LAP 2023'!L369*'2.1 OPEX TUUA'!$Q$7,'2.2 OPEX LAP 2023'!L369*'2.1 OPEX TUUA'!$Q$8)</f>
        <v>0</v>
      </c>
      <c r="R368" s="3">
        <f>+IF(F368="Pasajero",'2.2 OPEX LAP 2023'!M369*'2.1 OPEX TUUA'!$R$7,'2.2 OPEX LAP 2023'!M369*'2.1 OPEX TUUA'!$R$8)</f>
        <v>0</v>
      </c>
      <c r="S368" s="3">
        <f>+IF(F368="Pasajero",'2.2 OPEX LAP 2023'!N369*'2.1 OPEX TUUA'!$S$7,'2.2 OPEX LAP 2023'!N369*'2.1 OPEX TUUA'!$S$8)</f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7">
        <f t="shared" si="33"/>
        <v>0</v>
      </c>
      <c r="AB368" s="7">
        <f t="shared" si="34"/>
        <v>0</v>
      </c>
      <c r="AC368" s="7">
        <f t="shared" si="35"/>
        <v>0</v>
      </c>
      <c r="AD368" s="7">
        <f t="shared" si="36"/>
        <v>0</v>
      </c>
      <c r="AE368" s="7">
        <f t="shared" si="37"/>
        <v>0</v>
      </c>
      <c r="AF368" s="7">
        <f t="shared" si="38"/>
        <v>0</v>
      </c>
    </row>
    <row r="369" spans="2:32" x14ac:dyDescent="0.25">
      <c r="B369" s="17">
        <v>6341100009</v>
      </c>
      <c r="C369" s="193" t="s">
        <v>177</v>
      </c>
      <c r="D369" s="193" t="s">
        <v>52</v>
      </c>
      <c r="E369" s="193" t="s">
        <v>60</v>
      </c>
      <c r="F369" s="163" t="s">
        <v>190</v>
      </c>
      <c r="G369" s="3">
        <f>+IF(F369="Pasajero",'2.2 OPEX LAP 2023'!I370*'2.1 OPEX TUUA'!$G$7,'2.2 OPEX LAP 2023'!I370*'2.1 OPEX TUUA'!$G$8)</f>
        <v>0</v>
      </c>
      <c r="H369" s="3">
        <f>+IF(F369="Pasajero",'2.2 OPEX LAP 2023'!J370*'2.1 OPEX TUUA'!$H$7,'2.2 OPEX LAP 2023'!J370*'2.1 OPEX TUUA'!$H$8)</f>
        <v>0</v>
      </c>
      <c r="I369" s="3">
        <f>+IF(F369="Pasajero",'2.2 OPEX LAP 2023'!K370*'2.1 OPEX TUUA'!$I$7,'2.2 OPEX LAP 2023'!K370*'2.1 OPEX TUUA'!$I$8)</f>
        <v>0</v>
      </c>
      <c r="J369" s="3">
        <f>+IF(F369="Pasajero",'2.2 OPEX LAP 2023'!L370*'2.1 OPEX TUUA'!$J$7,'2.2 OPEX LAP 2023'!L370*'2.1 OPEX TUUA'!$J$8)</f>
        <v>0</v>
      </c>
      <c r="K369" s="3">
        <f>+IF(F369="Pasajero",'2.2 OPEX LAP 2023'!M370*'2.1 OPEX TUUA'!$K$7,'2.2 OPEX LAP 2023'!M370*'2.1 OPEX TUUA'!$K$8)</f>
        <v>0</v>
      </c>
      <c r="L369" s="3">
        <f>+IF(F369="Pasajero",'2.2 OPEX LAP 2023'!N370*'2.1 OPEX TUUA'!$L$7,'2.2 OPEX LAP 2023'!N370*'2.1 OPEX TUUA'!$L$8)</f>
        <v>0</v>
      </c>
      <c r="M369" s="3"/>
      <c r="N369" s="3">
        <f>+IF(F369="Pasajero",'2.2 OPEX LAP 2023'!I370*'2.1 OPEX TUUA'!$N$7,'2.2 OPEX LAP 2023'!I370*'2.1 OPEX TUUA'!$N$8)</f>
        <v>0</v>
      </c>
      <c r="O369" s="3">
        <f>+IF(F369="Pasajero",'2.2 OPEX LAP 2023'!J370*'2.1 OPEX TUUA'!$O$7,'2.2 OPEX LAP 2023'!J370*'2.1 OPEX TUUA'!$O$8)</f>
        <v>0</v>
      </c>
      <c r="P369" s="3">
        <f>+IF(F369="Pasajero",'2.2 OPEX LAP 2023'!K370*'2.1 OPEX TUUA'!$P$7,'2.2 OPEX LAP 2023'!K370*'2.1 OPEX TUUA'!$P$8)</f>
        <v>0</v>
      </c>
      <c r="Q369" s="3">
        <f>+IF(F369="Pasajero",'2.2 OPEX LAP 2023'!L370*'2.1 OPEX TUUA'!$Q$7,'2.2 OPEX LAP 2023'!L370*'2.1 OPEX TUUA'!$Q$8)</f>
        <v>0</v>
      </c>
      <c r="R369" s="3">
        <f>+IF(F369="Pasajero",'2.2 OPEX LAP 2023'!M370*'2.1 OPEX TUUA'!$R$7,'2.2 OPEX LAP 2023'!M370*'2.1 OPEX TUUA'!$R$8)</f>
        <v>0</v>
      </c>
      <c r="S369" s="3">
        <f>+IF(F369="Pasajero",'2.2 OPEX LAP 2023'!N370*'2.1 OPEX TUUA'!$S$7,'2.2 OPEX LAP 2023'!N370*'2.1 OPEX TUUA'!$S$8)</f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7">
        <f t="shared" si="33"/>
        <v>0</v>
      </c>
      <c r="AB369" s="7">
        <f t="shared" si="34"/>
        <v>0</v>
      </c>
      <c r="AC369" s="7">
        <f t="shared" si="35"/>
        <v>0</v>
      </c>
      <c r="AD369" s="7">
        <f t="shared" si="36"/>
        <v>0</v>
      </c>
      <c r="AE369" s="7">
        <f t="shared" si="37"/>
        <v>0</v>
      </c>
      <c r="AF369" s="7">
        <f t="shared" si="38"/>
        <v>0</v>
      </c>
    </row>
    <row r="370" spans="2:32" x14ac:dyDescent="0.25">
      <c r="B370" s="17">
        <v>6341100010</v>
      </c>
      <c r="C370" s="193" t="s">
        <v>177</v>
      </c>
      <c r="D370" s="193" t="s">
        <v>52</v>
      </c>
      <c r="E370" s="193" t="s">
        <v>61</v>
      </c>
      <c r="F370" s="163" t="s">
        <v>190</v>
      </c>
      <c r="G370" s="3">
        <f>+IF(F370="Pasajero",'2.2 OPEX LAP 2023'!I371*'2.1 OPEX TUUA'!$G$7,'2.2 OPEX LAP 2023'!I371*'2.1 OPEX TUUA'!$G$8)</f>
        <v>1791.2700908944933</v>
      </c>
      <c r="H370" s="3">
        <f>+IF(F370="Pasajero",'2.2 OPEX LAP 2023'!J371*'2.1 OPEX TUUA'!$H$7,'2.2 OPEX LAP 2023'!J371*'2.1 OPEX TUUA'!$H$8)</f>
        <v>2054.8288532490014</v>
      </c>
      <c r="I370" s="3">
        <f>+IF(F370="Pasajero",'2.2 OPEX LAP 2023'!K371*'2.1 OPEX TUUA'!$I$7,'2.2 OPEX LAP 2023'!K371*'2.1 OPEX TUUA'!$I$8)</f>
        <v>2271.6434169362064</v>
      </c>
      <c r="J370" s="3">
        <f>+IF(F370="Pasajero",'2.2 OPEX LAP 2023'!L371*'2.1 OPEX TUUA'!$J$7,'2.2 OPEX LAP 2023'!L371*'2.1 OPEX TUUA'!$J$8)</f>
        <v>2367.3219939336509</v>
      </c>
      <c r="K370" s="3">
        <f>+IF(F370="Pasajero",'2.2 OPEX LAP 2023'!M371*'2.1 OPEX TUUA'!$K$7,'2.2 OPEX LAP 2023'!M371*'2.1 OPEX TUUA'!$K$8)</f>
        <v>2420.2790422624657</v>
      </c>
      <c r="L370" s="3">
        <f>+IF(F370="Pasajero",'2.2 OPEX LAP 2023'!N371*'2.1 OPEX TUUA'!$L$7,'2.2 OPEX LAP 2023'!N371*'2.1 OPEX TUUA'!$L$8)</f>
        <v>2484.9164710630375</v>
      </c>
      <c r="M370" s="3"/>
      <c r="N370" s="3">
        <f>+IF(F370="Pasajero",'2.2 OPEX LAP 2023'!I371*'2.1 OPEX TUUA'!$N$7,'2.2 OPEX LAP 2023'!I371*'2.1 OPEX TUUA'!$N$8)</f>
        <v>883.48526153662135</v>
      </c>
      <c r="O370" s="3">
        <f>+IF(F370="Pasajero",'2.2 OPEX LAP 2023'!J371*'2.1 OPEX TUUA'!$O$7,'2.2 OPEX LAP 2023'!J371*'2.1 OPEX TUUA'!$O$8)</f>
        <v>851.03454637976336</v>
      </c>
      <c r="P370" s="3">
        <f>+IF(F370="Pasajero",'2.2 OPEX LAP 2023'!K371*'2.1 OPEX TUUA'!$P$7,'2.2 OPEX LAP 2023'!K371*'2.1 OPEX TUUA'!$P$8)</f>
        <v>831.71379730728961</v>
      </c>
      <c r="Q370" s="3">
        <f>+IF(F370="Pasajero",'2.2 OPEX LAP 2023'!L371*'2.1 OPEX TUUA'!$Q$7,'2.2 OPEX LAP 2023'!L371*'2.1 OPEX TUUA'!$Q$8)</f>
        <v>812.7274456862267</v>
      </c>
      <c r="R370" s="3">
        <f>+IF(F370="Pasajero",'2.2 OPEX LAP 2023'!M371*'2.1 OPEX TUUA'!$R$7,'2.2 OPEX LAP 2023'!M371*'2.1 OPEX TUUA'!$R$8)</f>
        <v>802.43279086272628</v>
      </c>
      <c r="S370" s="3">
        <f>+IF(F370="Pasajero",'2.2 OPEX LAP 2023'!N371*'2.1 OPEX TUUA'!$S$7,'2.2 OPEX LAP 2023'!N371*'2.1 OPEX TUUA'!$S$8)</f>
        <v>789.79501771931643</v>
      </c>
      <c r="U370" s="1">
        <v>1825.116231545808</v>
      </c>
      <c r="V370" s="1">
        <v>2093.654950293203</v>
      </c>
      <c r="W370" s="1">
        <v>2314.5662363312767</v>
      </c>
      <c r="X370" s="1">
        <v>2412.0526649703215</v>
      </c>
      <c r="Y370" s="1">
        <v>2466.0103394555867</v>
      </c>
      <c r="Z370" s="1">
        <v>2531.8690958033799</v>
      </c>
      <c r="AA370" s="7">
        <f t="shared" si="33"/>
        <v>-33.846140651314727</v>
      </c>
      <c r="AB370" s="7">
        <f t="shared" si="34"/>
        <v>-38.82609704420156</v>
      </c>
      <c r="AC370" s="7">
        <f t="shared" si="35"/>
        <v>-42.922819395070292</v>
      </c>
      <c r="AD370" s="7">
        <f t="shared" si="36"/>
        <v>-44.730671036670628</v>
      </c>
      <c r="AE370" s="7">
        <f t="shared" si="37"/>
        <v>-45.731297193121009</v>
      </c>
      <c r="AF370" s="7">
        <f t="shared" si="38"/>
        <v>-46.952624740342344</v>
      </c>
    </row>
    <row r="371" spans="2:32" x14ac:dyDescent="0.25">
      <c r="B371" s="17">
        <v>6342000001</v>
      </c>
      <c r="C371" s="193" t="s">
        <v>177</v>
      </c>
      <c r="D371" s="193" t="s">
        <v>52</v>
      </c>
      <c r="E371" s="193" t="s">
        <v>62</v>
      </c>
      <c r="F371" s="163" t="s">
        <v>190</v>
      </c>
      <c r="G371" s="3">
        <f>+IF(F371="Pasajero",'2.2 OPEX LAP 2023'!I372*'2.1 OPEX TUUA'!$G$7,'2.2 OPEX LAP 2023'!I372*'2.1 OPEX TUUA'!$G$8)</f>
        <v>56.447747092654922</v>
      </c>
      <c r="H371" s="3">
        <f>+IF(F371="Pasajero",'2.2 OPEX LAP 2023'!J372*'2.1 OPEX TUUA'!$H$7,'2.2 OPEX LAP 2023'!J372*'2.1 OPEX TUUA'!$H$8)</f>
        <v>64.753193846366557</v>
      </c>
      <c r="I371" s="3">
        <f>+IF(F371="Pasajero",'2.2 OPEX LAP 2023'!K372*'2.1 OPEX TUUA'!$I$7,'2.2 OPEX LAP 2023'!K372*'2.1 OPEX TUUA'!$I$8)</f>
        <v>71.585604949098766</v>
      </c>
      <c r="J371" s="3">
        <f>+IF(F371="Pasajero",'2.2 OPEX LAP 2023'!L372*'2.1 OPEX TUUA'!$J$7,'2.2 OPEX LAP 2023'!L372*'2.1 OPEX TUUA'!$J$8)</f>
        <v>74.600694713613208</v>
      </c>
      <c r="K371" s="3">
        <f>+IF(F371="Pasajero",'2.2 OPEX LAP 2023'!M372*'2.1 OPEX TUUA'!$K$7,'2.2 OPEX LAP 2023'!M372*'2.1 OPEX TUUA'!$K$8)</f>
        <v>76.269513997781416</v>
      </c>
      <c r="L371" s="3">
        <f>+IF(F371="Pasajero",'2.2 OPEX LAP 2023'!N372*'2.1 OPEX TUUA'!$L$7,'2.2 OPEX LAP 2023'!N372*'2.1 OPEX TUUA'!$L$8)</f>
        <v>78.306413543082357</v>
      </c>
      <c r="M371" s="3"/>
      <c r="N371" s="3">
        <f>+IF(F371="Pasajero",'2.2 OPEX LAP 2023'!I372*'2.1 OPEX TUUA'!$N$7,'2.2 OPEX LAP 2023'!I372*'2.1 OPEX TUUA'!$N$8)</f>
        <v>27.841001118041167</v>
      </c>
      <c r="O371" s="3">
        <f>+IF(F371="Pasajero",'2.2 OPEX LAP 2023'!J372*'2.1 OPEX TUUA'!$O$7,'2.2 OPEX LAP 2023'!J372*'2.1 OPEX TUUA'!$O$8)</f>
        <v>26.818391645878659</v>
      </c>
      <c r="P371" s="3">
        <f>+IF(F371="Pasajero",'2.2 OPEX LAP 2023'!K372*'2.1 OPEX TUUA'!$P$7,'2.2 OPEX LAP 2023'!K372*'2.1 OPEX TUUA'!$P$8)</f>
        <v>26.209542783371816</v>
      </c>
      <c r="Q371" s="3">
        <f>+IF(F371="Pasajero",'2.2 OPEX LAP 2023'!L372*'2.1 OPEX TUUA'!$Q$7,'2.2 OPEX LAP 2023'!L372*'2.1 OPEX TUUA'!$Q$8)</f>
        <v>25.611231685583768</v>
      </c>
      <c r="R371" s="3">
        <f>+IF(F371="Pasajero",'2.2 OPEX LAP 2023'!M372*'2.1 OPEX TUUA'!$R$7,'2.2 OPEX LAP 2023'!M372*'2.1 OPEX TUUA'!$R$8)</f>
        <v>25.286819373427679</v>
      </c>
      <c r="S371" s="3">
        <f>+IF(F371="Pasajero",'2.2 OPEX LAP 2023'!N372*'2.1 OPEX TUUA'!$S$7,'2.2 OPEX LAP 2023'!N372*'2.1 OPEX TUUA'!$S$8)</f>
        <v>24.888569089542621</v>
      </c>
      <c r="U371" s="1">
        <v>57.514330182083818</v>
      </c>
      <c r="V371" s="1">
        <v>65.976708780092451</v>
      </c>
      <c r="W371" s="1">
        <v>72.938218642607566</v>
      </c>
      <c r="X371" s="1">
        <v>76.010278683555939</v>
      </c>
      <c r="Y371" s="1">
        <v>77.71063039407386</v>
      </c>
      <c r="Z371" s="1">
        <v>79.78601726122163</v>
      </c>
      <c r="AA371" s="7">
        <f t="shared" si="33"/>
        <v>-1.0665830894288959</v>
      </c>
      <c r="AB371" s="7">
        <f t="shared" si="34"/>
        <v>-1.2235149337258946</v>
      </c>
      <c r="AC371" s="7">
        <f t="shared" si="35"/>
        <v>-1.3526136935088005</v>
      </c>
      <c r="AD371" s="7">
        <f t="shared" si="36"/>
        <v>-1.4095839699427302</v>
      </c>
      <c r="AE371" s="7">
        <f t="shared" si="37"/>
        <v>-1.4411163962924434</v>
      </c>
      <c r="AF371" s="7">
        <f t="shared" si="38"/>
        <v>-1.4796037181392734</v>
      </c>
    </row>
    <row r="372" spans="2:32" x14ac:dyDescent="0.25">
      <c r="B372" s="17">
        <v>6342000002</v>
      </c>
      <c r="C372" s="193" t="s">
        <v>177</v>
      </c>
      <c r="D372" s="193" t="s">
        <v>52</v>
      </c>
      <c r="E372" s="193" t="s">
        <v>63</v>
      </c>
      <c r="F372" s="163" t="s">
        <v>190</v>
      </c>
      <c r="G372" s="3">
        <f>+IF(F372="Pasajero",'2.2 OPEX LAP 2023'!I373*'2.1 OPEX TUUA'!$G$7,'2.2 OPEX LAP 2023'!I373*'2.1 OPEX TUUA'!$G$8)</f>
        <v>398.4397272946764</v>
      </c>
      <c r="H372" s="3">
        <f>+IF(F372="Pasajero",'2.2 OPEX LAP 2023'!J373*'2.1 OPEX TUUA'!$H$7,'2.2 OPEX LAP 2023'!J373*'2.1 OPEX TUUA'!$H$8)</f>
        <v>457.06420940513988</v>
      </c>
      <c r="I372" s="3">
        <f>+IF(F372="Pasajero",'2.2 OPEX LAP 2023'!K373*'2.1 OPEX TUUA'!$I$7,'2.2 OPEX LAP 2023'!K373*'2.1 OPEX TUUA'!$I$8)</f>
        <v>505.29118314191766</v>
      </c>
      <c r="J372" s="3">
        <f>+IF(F372="Pasajero",'2.2 OPEX LAP 2023'!L373*'2.1 OPEX TUUA'!$J$7,'2.2 OPEX LAP 2023'!L373*'2.1 OPEX TUUA'!$J$8)</f>
        <v>526.57337074756663</v>
      </c>
      <c r="K372" s="3">
        <f>+IF(F372="Pasajero",'2.2 OPEX LAP 2023'!M373*'2.1 OPEX TUUA'!$K$7,'2.2 OPEX LAP 2023'!M373*'2.1 OPEX TUUA'!$K$8)</f>
        <v>538.35282935725479</v>
      </c>
      <c r="L372" s="3">
        <f>+IF(F372="Pasajero",'2.2 OPEX LAP 2023'!N373*'2.1 OPEX TUUA'!$L$7,'2.2 OPEX LAP 2023'!N373*'2.1 OPEX TUUA'!$L$8)</f>
        <v>552.73040403750201</v>
      </c>
      <c r="M372" s="3"/>
      <c r="N372" s="3">
        <f>+IF(F372="Pasajero",'2.2 OPEX LAP 2023'!I373*'2.1 OPEX TUUA'!$N$7,'2.2 OPEX LAP 2023'!I373*'2.1 OPEX TUUA'!$N$8)</f>
        <v>196.51733619899488</v>
      </c>
      <c r="O372" s="3">
        <f>+IF(F372="Pasajero",'2.2 OPEX LAP 2023'!J373*'2.1 OPEX TUUA'!$O$7,'2.2 OPEX LAP 2023'!J373*'2.1 OPEX TUUA'!$O$8)</f>
        <v>189.29918737635745</v>
      </c>
      <c r="P372" s="3">
        <f>+IF(F372="Pasajero",'2.2 OPEX LAP 2023'!K373*'2.1 OPEX TUUA'!$P$7,'2.2 OPEX LAP 2023'!K373*'2.1 OPEX TUUA'!$P$8)</f>
        <v>185.00159203844774</v>
      </c>
      <c r="Q372" s="3">
        <f>+IF(F372="Pasajero",'2.2 OPEX LAP 2023'!L373*'2.1 OPEX TUUA'!$Q$7,'2.2 OPEX LAP 2023'!L373*'2.1 OPEX TUUA'!$Q$8)</f>
        <v>180.77837812968451</v>
      </c>
      <c r="R372" s="3">
        <f>+IF(F372="Pasajero",'2.2 OPEX LAP 2023'!M373*'2.1 OPEX TUUA'!$R$7,'2.2 OPEX LAP 2023'!M373*'2.1 OPEX TUUA'!$R$8)</f>
        <v>178.48849483329116</v>
      </c>
      <c r="S372" s="3">
        <f>+IF(F372="Pasajero",'2.2 OPEX LAP 2023'!N373*'2.1 OPEX TUUA'!$S$7,'2.2 OPEX LAP 2023'!N373*'2.1 OPEX TUUA'!$S$8)</f>
        <v>175.67742189098701</v>
      </c>
      <c r="U372" s="1">
        <v>405.96826646899643</v>
      </c>
      <c r="V372" s="1">
        <v>465.70046118919288</v>
      </c>
      <c r="W372" s="1">
        <v>514.83868607931686</v>
      </c>
      <c r="X372" s="1">
        <v>536.5230017162047</v>
      </c>
      <c r="Y372" s="1">
        <v>548.52503380318501</v>
      </c>
      <c r="Z372" s="1">
        <v>563.17427349772925</v>
      </c>
      <c r="AA372" s="7">
        <f t="shared" si="33"/>
        <v>-7.5285391743200307</v>
      </c>
      <c r="AB372" s="7">
        <f t="shared" si="34"/>
        <v>-8.6362517840530018</v>
      </c>
      <c r="AC372" s="7">
        <f t="shared" si="35"/>
        <v>-9.5475029373992015</v>
      </c>
      <c r="AD372" s="7">
        <f t="shared" si="36"/>
        <v>-9.9496309686380755</v>
      </c>
      <c r="AE372" s="7">
        <f t="shared" si="37"/>
        <v>-10.17220444593022</v>
      </c>
      <c r="AF372" s="7">
        <f t="shared" si="38"/>
        <v>-10.443869460227234</v>
      </c>
    </row>
    <row r="373" spans="2:32" x14ac:dyDescent="0.25">
      <c r="B373" s="17">
        <v>6343000001</v>
      </c>
      <c r="C373" s="193" t="s">
        <v>177</v>
      </c>
      <c r="D373" s="193" t="s">
        <v>52</v>
      </c>
      <c r="E373" s="193" t="s">
        <v>64</v>
      </c>
      <c r="F373" s="163" t="s">
        <v>190</v>
      </c>
      <c r="G373" s="3">
        <f>+IF(F373="Pasajero",'2.2 OPEX LAP 2023'!I374*'2.1 OPEX TUUA'!$G$7,'2.2 OPEX LAP 2023'!I374*'2.1 OPEX TUUA'!$G$8)</f>
        <v>13768.49981890763</v>
      </c>
      <c r="H373" s="3">
        <f>+IF(F373="Pasajero",'2.2 OPEX LAP 2023'!J374*'2.1 OPEX TUUA'!$H$7,'2.2 OPEX LAP 2023'!J374*'2.1 OPEX TUUA'!$H$8)</f>
        <v>15794.329865529729</v>
      </c>
      <c r="I373" s="3">
        <f>+IF(F373="Pasajero",'2.2 OPEX LAP 2023'!K374*'2.1 OPEX TUUA'!$I$7,'2.2 OPEX LAP 2023'!K374*'2.1 OPEX TUUA'!$I$8)</f>
        <v>17460.86317953885</v>
      </c>
      <c r="J373" s="3">
        <f>+IF(F373="Pasajero",'2.2 OPEX LAP 2023'!L374*'2.1 OPEX TUUA'!$J$7,'2.2 OPEX LAP 2023'!L374*'2.1 OPEX TUUA'!$J$8)</f>
        <v>18196.291341243275</v>
      </c>
      <c r="K373" s="3">
        <f>+IF(F373="Pasajero",'2.2 OPEX LAP 2023'!M374*'2.1 OPEX TUUA'!$K$7,'2.2 OPEX LAP 2023'!M374*'2.1 OPEX TUUA'!$K$8)</f>
        <v>18603.342803795786</v>
      </c>
      <c r="L373" s="3">
        <f>+IF(F373="Pasajero",'2.2 OPEX LAP 2023'!N374*'2.1 OPEX TUUA'!$L$7,'2.2 OPEX LAP 2023'!N374*'2.1 OPEX TUUA'!$L$8)</f>
        <v>19100.174873542965</v>
      </c>
      <c r="M373" s="3"/>
      <c r="N373" s="3">
        <f>+IF(F373="Pasajero",'2.2 OPEX LAP 2023'!I374*'2.1 OPEX TUUA'!$N$7,'2.2 OPEX LAP 2023'!I374*'2.1 OPEX TUUA'!$N$8)</f>
        <v>6790.8612583377371</v>
      </c>
      <c r="O373" s="3">
        <f>+IF(F373="Pasajero",'2.2 OPEX LAP 2023'!J374*'2.1 OPEX TUUA'!$O$7,'2.2 OPEX LAP 2023'!J374*'2.1 OPEX TUUA'!$O$8)</f>
        <v>6541.4306068509441</v>
      </c>
      <c r="P373" s="3">
        <f>+IF(F373="Pasajero",'2.2 OPEX LAP 2023'!K374*'2.1 OPEX TUUA'!$P$7,'2.2 OPEX LAP 2023'!K374*'2.1 OPEX TUUA'!$P$8)</f>
        <v>6392.9227232784133</v>
      </c>
      <c r="Q373" s="3">
        <f>+IF(F373="Pasajero",'2.2 OPEX LAP 2023'!L374*'2.1 OPEX TUUA'!$Q$7,'2.2 OPEX LAP 2023'!L374*'2.1 OPEX TUUA'!$Q$8)</f>
        <v>6246.985167470857</v>
      </c>
      <c r="R373" s="3">
        <f>+IF(F373="Pasajero",'2.2 OPEX LAP 2023'!M374*'2.1 OPEX TUUA'!$R$7,'2.2 OPEX LAP 2023'!M374*'2.1 OPEX TUUA'!$R$8)</f>
        <v>6167.8558648639564</v>
      </c>
      <c r="S373" s="3">
        <f>+IF(F373="Pasajero",'2.2 OPEX LAP 2023'!N374*'2.1 OPEX TUUA'!$S$7,'2.2 OPEX LAP 2023'!N374*'2.1 OPEX TUUA'!$S$8)</f>
        <v>6070.7163111356049</v>
      </c>
      <c r="U373" s="1">
        <v>14028.65633232077</v>
      </c>
      <c r="V373" s="1">
        <v>16092.764542041874</v>
      </c>
      <c r="W373" s="1">
        <v>17790.787088876787</v>
      </c>
      <c r="X373" s="1">
        <v>18540.111203584904</v>
      </c>
      <c r="Y373" s="1">
        <v>18954.853924493094</v>
      </c>
      <c r="Z373" s="1">
        <v>19461.073661794278</v>
      </c>
      <c r="AA373" s="7">
        <f t="shared" si="33"/>
        <v>-260.15651341313969</v>
      </c>
      <c r="AB373" s="7">
        <f t="shared" si="34"/>
        <v>-298.43467651214451</v>
      </c>
      <c r="AC373" s="7">
        <f t="shared" si="35"/>
        <v>-329.92390933793649</v>
      </c>
      <c r="AD373" s="7">
        <f t="shared" si="36"/>
        <v>-343.81986234162832</v>
      </c>
      <c r="AE373" s="7">
        <f t="shared" si="37"/>
        <v>-351.5111206973088</v>
      </c>
      <c r="AF373" s="7">
        <f t="shared" si="38"/>
        <v>-360.89878825131382</v>
      </c>
    </row>
    <row r="374" spans="2:32" x14ac:dyDescent="0.25">
      <c r="B374" s="17">
        <v>6343000002</v>
      </c>
      <c r="C374" s="193" t="s">
        <v>177</v>
      </c>
      <c r="D374" s="193" t="s">
        <v>52</v>
      </c>
      <c r="E374" s="193" t="s">
        <v>65</v>
      </c>
      <c r="F374" s="163" t="s">
        <v>190</v>
      </c>
      <c r="G374" s="3">
        <f>+IF(F374="Pasajero",'2.2 OPEX LAP 2023'!I375*'2.1 OPEX TUUA'!$G$7,'2.2 OPEX LAP 2023'!I375*'2.1 OPEX TUUA'!$G$8)</f>
        <v>3337.2824325529787</v>
      </c>
      <c r="H374" s="3">
        <f>+IF(F374="Pasajero",'2.2 OPEX LAP 2023'!J375*'2.1 OPEX TUUA'!$H$7,'2.2 OPEX LAP 2023'!J375*'2.1 OPEX TUUA'!$H$8)</f>
        <v>3828.3139258058363</v>
      </c>
      <c r="I374" s="3">
        <f>+IF(F374="Pasajero",'2.2 OPEX LAP 2023'!K375*'2.1 OPEX TUUA'!$I$7,'2.2 OPEX LAP 2023'!K375*'2.1 OPEX TUUA'!$I$8)</f>
        <v>4232.2571603817141</v>
      </c>
      <c r="J374" s="3">
        <f>+IF(F374="Pasajero",'2.2 OPEX LAP 2023'!L375*'2.1 OPEX TUUA'!$J$7,'2.2 OPEX LAP 2023'!L375*'2.1 OPEX TUUA'!$J$8)</f>
        <v>4410.5141612708367</v>
      </c>
      <c r="K374" s="3">
        <f>+IF(F374="Pasajero",'2.2 OPEX LAP 2023'!M375*'2.1 OPEX TUUA'!$K$7,'2.2 OPEX LAP 2023'!M375*'2.1 OPEX TUUA'!$K$8)</f>
        <v>4509.1774661325626</v>
      </c>
      <c r="L374" s="3">
        <f>+IF(F374="Pasajero",'2.2 OPEX LAP 2023'!N375*'2.1 OPEX TUUA'!$L$7,'2.2 OPEX LAP 2023'!N375*'2.1 OPEX TUUA'!$L$8)</f>
        <v>4629.6022734902417</v>
      </c>
      <c r="M374" s="3"/>
      <c r="N374" s="3">
        <f>+IF(F374="Pasajero",'2.2 OPEX LAP 2023'!I375*'2.1 OPEX TUUA'!$N$7,'2.2 OPEX LAP 2023'!I375*'2.1 OPEX TUUA'!$N$8)</f>
        <v>1646.0051768481769</v>
      </c>
      <c r="O374" s="3">
        <f>+IF(F374="Pasajero",'2.2 OPEX LAP 2023'!J375*'2.1 OPEX TUUA'!$O$7,'2.2 OPEX LAP 2023'!J375*'2.1 OPEX TUUA'!$O$8)</f>
        <v>1585.5468449822754</v>
      </c>
      <c r="P374" s="3">
        <f>+IF(F374="Pasajero",'2.2 OPEX LAP 2023'!K375*'2.1 OPEX TUUA'!$P$7,'2.2 OPEX LAP 2023'!K375*'2.1 OPEX TUUA'!$P$8)</f>
        <v>1549.5507119640924</v>
      </c>
      <c r="Q374" s="3">
        <f>+IF(F374="Pasajero",'2.2 OPEX LAP 2023'!L375*'2.1 OPEX TUUA'!$Q$7,'2.2 OPEX LAP 2023'!L375*'2.1 OPEX TUUA'!$Q$8)</f>
        <v>1514.1775887006954</v>
      </c>
      <c r="R374" s="3">
        <f>+IF(F374="Pasajero",'2.2 OPEX LAP 2023'!M375*'2.1 OPEX TUUA'!$R$7,'2.2 OPEX LAP 2023'!M375*'2.1 OPEX TUUA'!$R$8)</f>
        <v>1494.9978062288583</v>
      </c>
      <c r="S374" s="3">
        <f>+IF(F374="Pasajero",'2.2 OPEX LAP 2023'!N375*'2.1 OPEX TUUA'!$S$7,'2.2 OPEX LAP 2023'!N375*'2.1 OPEX TUUA'!$S$8)</f>
        <v>1471.4526030166332</v>
      </c>
      <c r="U374" s="1">
        <v>3400.3405560484389</v>
      </c>
      <c r="V374" s="1">
        <v>3900.6501146636015</v>
      </c>
      <c r="W374" s="1">
        <v>4312.225877467411</v>
      </c>
      <c r="X374" s="1">
        <v>4493.8510535718988</v>
      </c>
      <c r="Y374" s="1">
        <v>4594.3786066619896</v>
      </c>
      <c r="Z374" s="1">
        <v>4717.0788469588188</v>
      </c>
      <c r="AA374" s="7">
        <f t="shared" si="33"/>
        <v>-63.058123495460222</v>
      </c>
      <c r="AB374" s="7">
        <f t="shared" si="34"/>
        <v>-72.336188857765137</v>
      </c>
      <c r="AC374" s="7">
        <f t="shared" si="35"/>
        <v>-79.968717085696881</v>
      </c>
      <c r="AD374" s="7">
        <f t="shared" si="36"/>
        <v>-83.336892301062107</v>
      </c>
      <c r="AE374" s="7">
        <f t="shared" si="37"/>
        <v>-85.201140529426993</v>
      </c>
      <c r="AF374" s="7">
        <f t="shared" si="38"/>
        <v>-87.476573468577044</v>
      </c>
    </row>
    <row r="375" spans="2:32" x14ac:dyDescent="0.25">
      <c r="B375" s="17">
        <v>6343100001</v>
      </c>
      <c r="C375" s="193" t="s">
        <v>177</v>
      </c>
      <c r="D375" s="193" t="s">
        <v>52</v>
      </c>
      <c r="E375" s="193" t="s">
        <v>66</v>
      </c>
      <c r="F375" s="163" t="s">
        <v>190</v>
      </c>
      <c r="G375" s="3">
        <f>+IF(F375="Pasajero",'2.2 OPEX LAP 2023'!I376*'2.1 OPEX TUUA'!$G$7,'2.2 OPEX LAP 2023'!I376*'2.1 OPEX TUUA'!$G$8)</f>
        <v>78.566117381804915</v>
      </c>
      <c r="H375" s="3">
        <f>+IF(F375="Pasajero",'2.2 OPEX LAP 2023'!J376*'2.1 OPEX TUUA'!$H$7,'2.2 OPEX LAP 2023'!J376*'2.1 OPEX TUUA'!$H$8)</f>
        <v>90.125953481009418</v>
      </c>
      <c r="I375" s="3">
        <f>+IF(F375="Pasajero",'2.2 OPEX LAP 2023'!K376*'2.1 OPEX TUUA'!$I$7,'2.2 OPEX LAP 2023'!K376*'2.1 OPEX TUUA'!$I$8)</f>
        <v>99.635562638960295</v>
      </c>
      <c r="J375" s="3">
        <f>+IF(F375="Pasajero",'2.2 OPEX LAP 2023'!L376*'2.1 OPEX TUUA'!$J$7,'2.2 OPEX LAP 2023'!L376*'2.1 OPEX TUUA'!$J$8)</f>
        <v>103.83207903786445</v>
      </c>
      <c r="K375" s="3">
        <f>+IF(F375="Pasajero",'2.2 OPEX LAP 2023'!M376*'2.1 OPEX TUUA'!$K$7,'2.2 OPEX LAP 2023'!M376*'2.1 OPEX TUUA'!$K$8)</f>
        <v>106.15480507250612</v>
      </c>
      <c r="L375" s="3">
        <f>+IF(F375="Pasajero",'2.2 OPEX LAP 2023'!N376*'2.1 OPEX TUUA'!$L$7,'2.2 OPEX LAP 2023'!N376*'2.1 OPEX TUUA'!$L$8)</f>
        <v>108.98983918836514</v>
      </c>
      <c r="M375" s="3"/>
      <c r="N375" s="3">
        <f>+IF(F375="Pasajero",'2.2 OPEX LAP 2023'!I376*'2.1 OPEX TUUA'!$N$7,'2.2 OPEX LAP 2023'!I376*'2.1 OPEX TUUA'!$N$8)</f>
        <v>38.75016230987201</v>
      </c>
      <c r="O375" s="3">
        <f>+IF(F375="Pasajero",'2.2 OPEX LAP 2023'!J376*'2.1 OPEX TUUA'!$O$7,'2.2 OPEX LAP 2023'!J376*'2.1 OPEX TUUA'!$O$8)</f>
        <v>37.326855624243109</v>
      </c>
      <c r="P375" s="3">
        <f>+IF(F375="Pasajero",'2.2 OPEX LAP 2023'!K376*'2.1 OPEX TUUA'!$P$7,'2.2 OPEX LAP 2023'!K376*'2.1 OPEX TUUA'!$P$8)</f>
        <v>36.479436663111258</v>
      </c>
      <c r="Q375" s="3">
        <f>+IF(F375="Pasajero",'2.2 OPEX LAP 2023'!L376*'2.1 OPEX TUUA'!$Q$7,'2.2 OPEX LAP 2023'!L376*'2.1 OPEX TUUA'!$Q$8)</f>
        <v>35.646684562969973</v>
      </c>
      <c r="R375" s="3">
        <f>+IF(F375="Pasajero",'2.2 OPEX LAP 2023'!M376*'2.1 OPEX TUUA'!$R$7,'2.2 OPEX LAP 2023'!M376*'2.1 OPEX TUUA'!$R$8)</f>
        <v>35.195155190945236</v>
      </c>
      <c r="S375" s="3">
        <f>+IF(F375="Pasajero",'2.2 OPEX LAP 2023'!N376*'2.1 OPEX TUUA'!$S$7,'2.2 OPEX LAP 2023'!N376*'2.1 OPEX TUUA'!$S$8)</f>
        <v>34.640855326688616</v>
      </c>
      <c r="U375" s="1">
        <v>80.050628217356447</v>
      </c>
      <c r="V375" s="1">
        <v>91.828888015202864</v>
      </c>
      <c r="W375" s="1">
        <v>101.51818172811569</v>
      </c>
      <c r="X375" s="1">
        <v>105.79399152057611</v>
      </c>
      <c r="Y375" s="1">
        <v>108.16060558330612</v>
      </c>
      <c r="Z375" s="1">
        <v>111.04920781484149</v>
      </c>
      <c r="AA375" s="7">
        <f t="shared" si="33"/>
        <v>-1.4845108355515322</v>
      </c>
      <c r="AB375" s="7">
        <f t="shared" si="34"/>
        <v>-1.7029345341934459</v>
      </c>
      <c r="AC375" s="7">
        <f t="shared" si="35"/>
        <v>-1.8826190891553978</v>
      </c>
      <c r="AD375" s="7">
        <f t="shared" si="36"/>
        <v>-1.9619124827116678</v>
      </c>
      <c r="AE375" s="7">
        <f t="shared" si="37"/>
        <v>-2.0058005108000003</v>
      </c>
      <c r="AF375" s="7">
        <f t="shared" si="38"/>
        <v>-2.0593686264763562</v>
      </c>
    </row>
    <row r="376" spans="2:32" x14ac:dyDescent="0.25">
      <c r="B376" s="17">
        <v>6343100002</v>
      </c>
      <c r="C376" s="193" t="s">
        <v>177</v>
      </c>
      <c r="D376" s="193" t="s">
        <v>52</v>
      </c>
      <c r="E376" s="193" t="s">
        <v>67</v>
      </c>
      <c r="F376" s="163" t="s">
        <v>190</v>
      </c>
      <c r="G376" s="3">
        <f>+IF(F376="Pasajero",'2.2 OPEX LAP 2023'!I377*'2.1 OPEX TUUA'!$G$7,'2.2 OPEX LAP 2023'!I377*'2.1 OPEX TUUA'!$G$8)</f>
        <v>132.40510523491332</v>
      </c>
      <c r="H376" s="3">
        <f>+IF(F376="Pasajero",'2.2 OPEX LAP 2023'!J377*'2.1 OPEX TUUA'!$H$7,'2.2 OPEX LAP 2023'!J377*'2.1 OPEX TUUA'!$H$8)</f>
        <v>151.88654795118515</v>
      </c>
      <c r="I376" s="3">
        <f>+IF(F376="Pasajero",'2.2 OPEX LAP 2023'!K377*'2.1 OPEX TUUA'!$I$7,'2.2 OPEX LAP 2023'!K377*'2.1 OPEX TUUA'!$I$8)</f>
        <v>167.91280511217579</v>
      </c>
      <c r="J376" s="3">
        <f>+IF(F376="Pasajero",'2.2 OPEX LAP 2023'!L377*'2.1 OPEX TUUA'!$J$7,'2.2 OPEX LAP 2023'!L377*'2.1 OPEX TUUA'!$J$8)</f>
        <v>174.98506748091066</v>
      </c>
      <c r="K376" s="3">
        <f>+IF(F376="Pasajero",'2.2 OPEX LAP 2023'!M377*'2.1 OPEX TUUA'!$K$7,'2.2 OPEX LAP 2023'!M377*'2.1 OPEX TUUA'!$K$8)</f>
        <v>178.89948752987473</v>
      </c>
      <c r="L376" s="3">
        <f>+IF(F376="Pasajero",'2.2 OPEX LAP 2023'!N377*'2.1 OPEX TUUA'!$L$7,'2.2 OPEX LAP 2023'!N377*'2.1 OPEX TUUA'!$L$8)</f>
        <v>183.67728491841945</v>
      </c>
      <c r="M376" s="3"/>
      <c r="N376" s="3">
        <f>+IF(F376="Pasajero",'2.2 OPEX LAP 2023'!I377*'2.1 OPEX TUUA'!$N$7,'2.2 OPEX LAP 2023'!I377*'2.1 OPEX TUUA'!$N$8)</f>
        <v>65.304478437886971</v>
      </c>
      <c r="O376" s="3">
        <f>+IF(F376="Pasajero",'2.2 OPEX LAP 2023'!J377*'2.1 OPEX TUUA'!$O$7,'2.2 OPEX LAP 2023'!J377*'2.1 OPEX TUUA'!$O$8)</f>
        <v>62.905822658876893</v>
      </c>
      <c r="P376" s="3">
        <f>+IF(F376="Pasajero",'2.2 OPEX LAP 2023'!K377*'2.1 OPEX TUUA'!$P$7,'2.2 OPEX LAP 2023'!K377*'2.1 OPEX TUUA'!$P$8)</f>
        <v>61.477693072410794</v>
      </c>
      <c r="Q376" s="3">
        <f>+IF(F376="Pasajero",'2.2 OPEX LAP 2023'!L377*'2.1 OPEX TUUA'!$Q$7,'2.2 OPEX LAP 2023'!L377*'2.1 OPEX TUUA'!$Q$8)</f>
        <v>60.074281103890421</v>
      </c>
      <c r="R376" s="3">
        <f>+IF(F376="Pasajero",'2.2 OPEX LAP 2023'!M377*'2.1 OPEX TUUA'!$R$7,'2.2 OPEX LAP 2023'!M377*'2.1 OPEX TUUA'!$R$8)</f>
        <v>59.313332287633457</v>
      </c>
      <c r="S376" s="3">
        <f>+IF(F376="Pasajero",'2.2 OPEX LAP 2023'!N377*'2.1 OPEX TUUA'!$S$7,'2.2 OPEX LAP 2023'!N377*'2.1 OPEX TUUA'!$S$8)</f>
        <v>58.379187464083948</v>
      </c>
      <c r="U376" s="1">
        <v>134.9069065196627</v>
      </c>
      <c r="V376" s="1">
        <v>154.75645209971665</v>
      </c>
      <c r="W376" s="1">
        <v>171.08552621541574</v>
      </c>
      <c r="X376" s="1">
        <v>178.29141934596143</v>
      </c>
      <c r="Y376" s="1">
        <v>182.27980256341644</v>
      </c>
      <c r="Z376" s="1">
        <v>187.14787667976347</v>
      </c>
      <c r="AA376" s="7">
        <f t="shared" si="33"/>
        <v>-2.5018012847493765</v>
      </c>
      <c r="AB376" s="7">
        <f t="shared" si="34"/>
        <v>-2.8699041485315036</v>
      </c>
      <c r="AC376" s="7">
        <f t="shared" si="35"/>
        <v>-3.1727211032399509</v>
      </c>
      <c r="AD376" s="7">
        <f t="shared" si="36"/>
        <v>-3.3063518650507717</v>
      </c>
      <c r="AE376" s="7">
        <f t="shared" si="37"/>
        <v>-3.3803150335417058</v>
      </c>
      <c r="AF376" s="7">
        <f t="shared" si="38"/>
        <v>-3.4705917613440249</v>
      </c>
    </row>
    <row r="377" spans="2:32" x14ac:dyDescent="0.25">
      <c r="B377" s="17">
        <v>6343100003</v>
      </c>
      <c r="C377" s="193" t="s">
        <v>177</v>
      </c>
      <c r="D377" s="193" t="s">
        <v>52</v>
      </c>
      <c r="E377" s="193" t="s">
        <v>68</v>
      </c>
      <c r="F377" s="163" t="s">
        <v>190</v>
      </c>
      <c r="G377" s="3">
        <f>+IF(F377="Pasajero",'2.2 OPEX LAP 2023'!I378*'2.1 OPEX TUUA'!$G$7,'2.2 OPEX LAP 2023'!I378*'2.1 OPEX TUUA'!$G$8)</f>
        <v>0</v>
      </c>
      <c r="H377" s="3">
        <f>+IF(F377="Pasajero",'2.2 OPEX LAP 2023'!J378*'2.1 OPEX TUUA'!$H$7,'2.2 OPEX LAP 2023'!J378*'2.1 OPEX TUUA'!$H$8)</f>
        <v>0</v>
      </c>
      <c r="I377" s="3">
        <f>+IF(F377="Pasajero",'2.2 OPEX LAP 2023'!K378*'2.1 OPEX TUUA'!$I$7,'2.2 OPEX LAP 2023'!K378*'2.1 OPEX TUUA'!$I$8)</f>
        <v>0</v>
      </c>
      <c r="J377" s="3">
        <f>+IF(F377="Pasajero",'2.2 OPEX LAP 2023'!L378*'2.1 OPEX TUUA'!$J$7,'2.2 OPEX LAP 2023'!L378*'2.1 OPEX TUUA'!$J$8)</f>
        <v>0</v>
      </c>
      <c r="K377" s="3">
        <f>+IF(F377="Pasajero",'2.2 OPEX LAP 2023'!M378*'2.1 OPEX TUUA'!$K$7,'2.2 OPEX LAP 2023'!M378*'2.1 OPEX TUUA'!$K$8)</f>
        <v>0</v>
      </c>
      <c r="L377" s="3">
        <f>+IF(F377="Pasajero",'2.2 OPEX LAP 2023'!N378*'2.1 OPEX TUUA'!$L$7,'2.2 OPEX LAP 2023'!N378*'2.1 OPEX TUUA'!$L$8)</f>
        <v>0</v>
      </c>
      <c r="M377" s="3"/>
      <c r="N377" s="3">
        <f>+IF(F377="Pasajero",'2.2 OPEX LAP 2023'!I378*'2.1 OPEX TUUA'!$N$7,'2.2 OPEX LAP 2023'!I378*'2.1 OPEX TUUA'!$N$8)</f>
        <v>0</v>
      </c>
      <c r="O377" s="3">
        <f>+IF(F377="Pasajero",'2.2 OPEX LAP 2023'!J378*'2.1 OPEX TUUA'!$O$7,'2.2 OPEX LAP 2023'!J378*'2.1 OPEX TUUA'!$O$8)</f>
        <v>0</v>
      </c>
      <c r="P377" s="3">
        <f>+IF(F377="Pasajero",'2.2 OPEX LAP 2023'!K378*'2.1 OPEX TUUA'!$P$7,'2.2 OPEX LAP 2023'!K378*'2.1 OPEX TUUA'!$P$8)</f>
        <v>0</v>
      </c>
      <c r="Q377" s="3">
        <f>+IF(F377="Pasajero",'2.2 OPEX LAP 2023'!L378*'2.1 OPEX TUUA'!$Q$7,'2.2 OPEX LAP 2023'!L378*'2.1 OPEX TUUA'!$Q$8)</f>
        <v>0</v>
      </c>
      <c r="R377" s="3">
        <f>+IF(F377="Pasajero",'2.2 OPEX LAP 2023'!M378*'2.1 OPEX TUUA'!$R$7,'2.2 OPEX LAP 2023'!M378*'2.1 OPEX TUUA'!$R$8)</f>
        <v>0</v>
      </c>
      <c r="S377" s="3">
        <f>+IF(F377="Pasajero",'2.2 OPEX LAP 2023'!N378*'2.1 OPEX TUUA'!$S$7,'2.2 OPEX LAP 2023'!N378*'2.1 OPEX TUUA'!$S$8)</f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7">
        <f t="shared" si="33"/>
        <v>0</v>
      </c>
      <c r="AB377" s="7">
        <f t="shared" si="34"/>
        <v>0</v>
      </c>
      <c r="AC377" s="7">
        <f t="shared" si="35"/>
        <v>0</v>
      </c>
      <c r="AD377" s="7">
        <f t="shared" si="36"/>
        <v>0</v>
      </c>
      <c r="AE377" s="7">
        <f t="shared" si="37"/>
        <v>0</v>
      </c>
      <c r="AF377" s="7">
        <f t="shared" si="38"/>
        <v>0</v>
      </c>
    </row>
    <row r="378" spans="2:32" x14ac:dyDescent="0.25">
      <c r="B378" s="17">
        <v>6343100004</v>
      </c>
      <c r="C378" s="193" t="s">
        <v>177</v>
      </c>
      <c r="D378" s="193" t="s">
        <v>52</v>
      </c>
      <c r="E378" s="193" t="s">
        <v>69</v>
      </c>
      <c r="F378" s="163" t="s">
        <v>190</v>
      </c>
      <c r="G378" s="3">
        <f>+IF(F378="Pasajero",'2.2 OPEX LAP 2023'!I379*'2.1 OPEX TUUA'!$G$7,'2.2 OPEX LAP 2023'!I379*'2.1 OPEX TUUA'!$G$8)</f>
        <v>0</v>
      </c>
      <c r="H378" s="3">
        <f>+IF(F378="Pasajero",'2.2 OPEX LAP 2023'!J379*'2.1 OPEX TUUA'!$H$7,'2.2 OPEX LAP 2023'!J379*'2.1 OPEX TUUA'!$H$8)</f>
        <v>0</v>
      </c>
      <c r="I378" s="3">
        <f>+IF(F378="Pasajero",'2.2 OPEX LAP 2023'!K379*'2.1 OPEX TUUA'!$I$7,'2.2 OPEX LAP 2023'!K379*'2.1 OPEX TUUA'!$I$8)</f>
        <v>0</v>
      </c>
      <c r="J378" s="3">
        <f>+IF(F378="Pasajero",'2.2 OPEX LAP 2023'!L379*'2.1 OPEX TUUA'!$J$7,'2.2 OPEX LAP 2023'!L379*'2.1 OPEX TUUA'!$J$8)</f>
        <v>0</v>
      </c>
      <c r="K378" s="3">
        <f>+IF(F378="Pasajero",'2.2 OPEX LAP 2023'!M379*'2.1 OPEX TUUA'!$K$7,'2.2 OPEX LAP 2023'!M379*'2.1 OPEX TUUA'!$K$8)</f>
        <v>0</v>
      </c>
      <c r="L378" s="3">
        <f>+IF(F378="Pasajero",'2.2 OPEX LAP 2023'!N379*'2.1 OPEX TUUA'!$L$7,'2.2 OPEX LAP 2023'!N379*'2.1 OPEX TUUA'!$L$8)</f>
        <v>0</v>
      </c>
      <c r="M378" s="3"/>
      <c r="N378" s="3">
        <f>+IF(F378="Pasajero",'2.2 OPEX LAP 2023'!I379*'2.1 OPEX TUUA'!$N$7,'2.2 OPEX LAP 2023'!I379*'2.1 OPEX TUUA'!$N$8)</f>
        <v>0</v>
      </c>
      <c r="O378" s="3">
        <f>+IF(F378="Pasajero",'2.2 OPEX LAP 2023'!J379*'2.1 OPEX TUUA'!$O$7,'2.2 OPEX LAP 2023'!J379*'2.1 OPEX TUUA'!$O$8)</f>
        <v>0</v>
      </c>
      <c r="P378" s="3">
        <f>+IF(F378="Pasajero",'2.2 OPEX LAP 2023'!K379*'2.1 OPEX TUUA'!$P$7,'2.2 OPEX LAP 2023'!K379*'2.1 OPEX TUUA'!$P$8)</f>
        <v>0</v>
      </c>
      <c r="Q378" s="3">
        <f>+IF(F378="Pasajero",'2.2 OPEX LAP 2023'!L379*'2.1 OPEX TUUA'!$Q$7,'2.2 OPEX LAP 2023'!L379*'2.1 OPEX TUUA'!$Q$8)</f>
        <v>0</v>
      </c>
      <c r="R378" s="3">
        <f>+IF(F378="Pasajero",'2.2 OPEX LAP 2023'!M379*'2.1 OPEX TUUA'!$R$7,'2.2 OPEX LAP 2023'!M379*'2.1 OPEX TUUA'!$R$8)</f>
        <v>0</v>
      </c>
      <c r="S378" s="3">
        <f>+IF(F378="Pasajero",'2.2 OPEX LAP 2023'!N379*'2.1 OPEX TUUA'!$S$7,'2.2 OPEX LAP 2023'!N379*'2.1 OPEX TUUA'!$S$8)</f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7">
        <f t="shared" si="33"/>
        <v>0</v>
      </c>
      <c r="AB378" s="7">
        <f t="shared" si="34"/>
        <v>0</v>
      </c>
      <c r="AC378" s="7">
        <f t="shared" si="35"/>
        <v>0</v>
      </c>
      <c r="AD378" s="7">
        <f t="shared" si="36"/>
        <v>0</v>
      </c>
      <c r="AE378" s="7">
        <f t="shared" si="37"/>
        <v>0</v>
      </c>
      <c r="AF378" s="7">
        <f t="shared" si="38"/>
        <v>0</v>
      </c>
    </row>
    <row r="379" spans="2:32" x14ac:dyDescent="0.25">
      <c r="B379" s="17">
        <v>6343100005</v>
      </c>
      <c r="C379" s="193" t="s">
        <v>177</v>
      </c>
      <c r="D379" s="193" t="s">
        <v>52</v>
      </c>
      <c r="E379" s="193" t="s">
        <v>70</v>
      </c>
      <c r="F379" s="163" t="s">
        <v>190</v>
      </c>
      <c r="G379" s="3">
        <f>+IF(F379="Pasajero",'2.2 OPEX LAP 2023'!I380*'2.1 OPEX TUUA'!$G$7,'2.2 OPEX LAP 2023'!I380*'2.1 OPEX TUUA'!$G$8)</f>
        <v>0</v>
      </c>
      <c r="H379" s="3">
        <f>+IF(F379="Pasajero",'2.2 OPEX LAP 2023'!J380*'2.1 OPEX TUUA'!$H$7,'2.2 OPEX LAP 2023'!J380*'2.1 OPEX TUUA'!$H$8)</f>
        <v>0</v>
      </c>
      <c r="I379" s="3">
        <f>+IF(F379="Pasajero",'2.2 OPEX LAP 2023'!K380*'2.1 OPEX TUUA'!$I$7,'2.2 OPEX LAP 2023'!K380*'2.1 OPEX TUUA'!$I$8)</f>
        <v>0</v>
      </c>
      <c r="J379" s="3">
        <f>+IF(F379="Pasajero",'2.2 OPEX LAP 2023'!L380*'2.1 OPEX TUUA'!$J$7,'2.2 OPEX LAP 2023'!L380*'2.1 OPEX TUUA'!$J$8)</f>
        <v>0</v>
      </c>
      <c r="K379" s="3">
        <f>+IF(F379="Pasajero",'2.2 OPEX LAP 2023'!M380*'2.1 OPEX TUUA'!$K$7,'2.2 OPEX LAP 2023'!M380*'2.1 OPEX TUUA'!$K$8)</f>
        <v>0</v>
      </c>
      <c r="L379" s="3">
        <f>+IF(F379="Pasajero",'2.2 OPEX LAP 2023'!N380*'2.1 OPEX TUUA'!$L$7,'2.2 OPEX LAP 2023'!N380*'2.1 OPEX TUUA'!$L$8)</f>
        <v>0</v>
      </c>
      <c r="M379" s="3"/>
      <c r="N379" s="3">
        <f>+IF(F379="Pasajero",'2.2 OPEX LAP 2023'!I380*'2.1 OPEX TUUA'!$N$7,'2.2 OPEX LAP 2023'!I380*'2.1 OPEX TUUA'!$N$8)</f>
        <v>0</v>
      </c>
      <c r="O379" s="3">
        <f>+IF(F379="Pasajero",'2.2 OPEX LAP 2023'!J380*'2.1 OPEX TUUA'!$O$7,'2.2 OPEX LAP 2023'!J380*'2.1 OPEX TUUA'!$O$8)</f>
        <v>0</v>
      </c>
      <c r="P379" s="3">
        <f>+IF(F379="Pasajero",'2.2 OPEX LAP 2023'!K380*'2.1 OPEX TUUA'!$P$7,'2.2 OPEX LAP 2023'!K380*'2.1 OPEX TUUA'!$P$8)</f>
        <v>0</v>
      </c>
      <c r="Q379" s="3">
        <f>+IF(F379="Pasajero",'2.2 OPEX LAP 2023'!L380*'2.1 OPEX TUUA'!$Q$7,'2.2 OPEX LAP 2023'!L380*'2.1 OPEX TUUA'!$Q$8)</f>
        <v>0</v>
      </c>
      <c r="R379" s="3">
        <f>+IF(F379="Pasajero",'2.2 OPEX LAP 2023'!M380*'2.1 OPEX TUUA'!$R$7,'2.2 OPEX LAP 2023'!M380*'2.1 OPEX TUUA'!$R$8)</f>
        <v>0</v>
      </c>
      <c r="S379" s="3">
        <f>+IF(F379="Pasajero",'2.2 OPEX LAP 2023'!N380*'2.1 OPEX TUUA'!$S$7,'2.2 OPEX LAP 2023'!N380*'2.1 OPEX TUUA'!$S$8)</f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7">
        <f t="shared" si="33"/>
        <v>0</v>
      </c>
      <c r="AB379" s="7">
        <f t="shared" si="34"/>
        <v>0</v>
      </c>
      <c r="AC379" s="7">
        <f t="shared" si="35"/>
        <v>0</v>
      </c>
      <c r="AD379" s="7">
        <f t="shared" si="36"/>
        <v>0</v>
      </c>
      <c r="AE379" s="7">
        <f t="shared" si="37"/>
        <v>0</v>
      </c>
      <c r="AF379" s="7">
        <f t="shared" si="38"/>
        <v>0</v>
      </c>
    </row>
    <row r="380" spans="2:32" x14ac:dyDescent="0.25">
      <c r="B380" s="17">
        <v>6343100006</v>
      </c>
      <c r="C380" s="193" t="s">
        <v>177</v>
      </c>
      <c r="D380" s="193" t="s">
        <v>52</v>
      </c>
      <c r="E380" s="193" t="s">
        <v>71</v>
      </c>
      <c r="F380" s="163" t="s">
        <v>190</v>
      </c>
      <c r="G380" s="3">
        <f>+IF(F380="Pasajero",'2.2 OPEX LAP 2023'!I381*'2.1 OPEX TUUA'!$G$7,'2.2 OPEX LAP 2023'!I381*'2.1 OPEX TUUA'!$G$8)</f>
        <v>0</v>
      </c>
      <c r="H380" s="3">
        <f>+IF(F380="Pasajero",'2.2 OPEX LAP 2023'!J381*'2.1 OPEX TUUA'!$H$7,'2.2 OPEX LAP 2023'!J381*'2.1 OPEX TUUA'!$H$8)</f>
        <v>0</v>
      </c>
      <c r="I380" s="3">
        <f>+IF(F380="Pasajero",'2.2 OPEX LAP 2023'!K381*'2.1 OPEX TUUA'!$I$7,'2.2 OPEX LAP 2023'!K381*'2.1 OPEX TUUA'!$I$8)</f>
        <v>0</v>
      </c>
      <c r="J380" s="3">
        <f>+IF(F380="Pasajero",'2.2 OPEX LAP 2023'!L381*'2.1 OPEX TUUA'!$J$7,'2.2 OPEX LAP 2023'!L381*'2.1 OPEX TUUA'!$J$8)</f>
        <v>0</v>
      </c>
      <c r="K380" s="3">
        <f>+IF(F380="Pasajero",'2.2 OPEX LAP 2023'!M381*'2.1 OPEX TUUA'!$K$7,'2.2 OPEX LAP 2023'!M381*'2.1 OPEX TUUA'!$K$8)</f>
        <v>0</v>
      </c>
      <c r="L380" s="3">
        <f>+IF(F380="Pasajero",'2.2 OPEX LAP 2023'!N381*'2.1 OPEX TUUA'!$L$7,'2.2 OPEX LAP 2023'!N381*'2.1 OPEX TUUA'!$L$8)</f>
        <v>0</v>
      </c>
      <c r="M380" s="3"/>
      <c r="N380" s="3">
        <f>+IF(F380="Pasajero",'2.2 OPEX LAP 2023'!I381*'2.1 OPEX TUUA'!$N$7,'2.2 OPEX LAP 2023'!I381*'2.1 OPEX TUUA'!$N$8)</f>
        <v>0</v>
      </c>
      <c r="O380" s="3">
        <f>+IF(F380="Pasajero",'2.2 OPEX LAP 2023'!J381*'2.1 OPEX TUUA'!$O$7,'2.2 OPEX LAP 2023'!J381*'2.1 OPEX TUUA'!$O$8)</f>
        <v>0</v>
      </c>
      <c r="P380" s="3">
        <f>+IF(F380="Pasajero",'2.2 OPEX LAP 2023'!K381*'2.1 OPEX TUUA'!$P$7,'2.2 OPEX LAP 2023'!K381*'2.1 OPEX TUUA'!$P$8)</f>
        <v>0</v>
      </c>
      <c r="Q380" s="3">
        <f>+IF(F380="Pasajero",'2.2 OPEX LAP 2023'!L381*'2.1 OPEX TUUA'!$Q$7,'2.2 OPEX LAP 2023'!L381*'2.1 OPEX TUUA'!$Q$8)</f>
        <v>0</v>
      </c>
      <c r="R380" s="3">
        <f>+IF(F380="Pasajero",'2.2 OPEX LAP 2023'!M381*'2.1 OPEX TUUA'!$R$7,'2.2 OPEX LAP 2023'!M381*'2.1 OPEX TUUA'!$R$8)</f>
        <v>0</v>
      </c>
      <c r="S380" s="3">
        <f>+IF(F380="Pasajero",'2.2 OPEX LAP 2023'!N381*'2.1 OPEX TUUA'!$S$7,'2.2 OPEX LAP 2023'!N381*'2.1 OPEX TUUA'!$S$8)</f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7">
        <f t="shared" si="33"/>
        <v>0</v>
      </c>
      <c r="AB380" s="7">
        <f t="shared" si="34"/>
        <v>0</v>
      </c>
      <c r="AC380" s="7">
        <f t="shared" si="35"/>
        <v>0</v>
      </c>
      <c r="AD380" s="7">
        <f t="shared" si="36"/>
        <v>0</v>
      </c>
      <c r="AE380" s="7">
        <f t="shared" si="37"/>
        <v>0</v>
      </c>
      <c r="AF380" s="7">
        <f t="shared" si="38"/>
        <v>0</v>
      </c>
    </row>
    <row r="381" spans="2:32" x14ac:dyDescent="0.25">
      <c r="B381" s="17">
        <v>6343100007</v>
      </c>
      <c r="C381" s="193" t="s">
        <v>177</v>
      </c>
      <c r="D381" s="193" t="s">
        <v>52</v>
      </c>
      <c r="E381" s="193" t="s">
        <v>72</v>
      </c>
      <c r="F381" s="163" t="s">
        <v>190</v>
      </c>
      <c r="G381" s="3">
        <f>+IF(F381="Pasajero",'2.2 OPEX LAP 2023'!I382*'2.1 OPEX TUUA'!$G$7,'2.2 OPEX LAP 2023'!I382*'2.1 OPEX TUUA'!$G$8)</f>
        <v>0</v>
      </c>
      <c r="H381" s="3">
        <f>+IF(F381="Pasajero",'2.2 OPEX LAP 2023'!J382*'2.1 OPEX TUUA'!$H$7,'2.2 OPEX LAP 2023'!J382*'2.1 OPEX TUUA'!$H$8)</f>
        <v>0</v>
      </c>
      <c r="I381" s="3">
        <f>+IF(F381="Pasajero",'2.2 OPEX LAP 2023'!K382*'2.1 OPEX TUUA'!$I$7,'2.2 OPEX LAP 2023'!K382*'2.1 OPEX TUUA'!$I$8)</f>
        <v>0</v>
      </c>
      <c r="J381" s="3">
        <f>+IF(F381="Pasajero",'2.2 OPEX LAP 2023'!L382*'2.1 OPEX TUUA'!$J$7,'2.2 OPEX LAP 2023'!L382*'2.1 OPEX TUUA'!$J$8)</f>
        <v>0</v>
      </c>
      <c r="K381" s="3">
        <f>+IF(F381="Pasajero",'2.2 OPEX LAP 2023'!M382*'2.1 OPEX TUUA'!$K$7,'2.2 OPEX LAP 2023'!M382*'2.1 OPEX TUUA'!$K$8)</f>
        <v>0</v>
      </c>
      <c r="L381" s="3">
        <f>+IF(F381="Pasajero",'2.2 OPEX LAP 2023'!N382*'2.1 OPEX TUUA'!$L$7,'2.2 OPEX LAP 2023'!N382*'2.1 OPEX TUUA'!$L$8)</f>
        <v>0</v>
      </c>
      <c r="M381" s="3"/>
      <c r="N381" s="3">
        <f>+IF(F381="Pasajero",'2.2 OPEX LAP 2023'!I382*'2.1 OPEX TUUA'!$N$7,'2.2 OPEX LAP 2023'!I382*'2.1 OPEX TUUA'!$N$8)</f>
        <v>0</v>
      </c>
      <c r="O381" s="3">
        <f>+IF(F381="Pasajero",'2.2 OPEX LAP 2023'!J382*'2.1 OPEX TUUA'!$O$7,'2.2 OPEX LAP 2023'!J382*'2.1 OPEX TUUA'!$O$8)</f>
        <v>0</v>
      </c>
      <c r="P381" s="3">
        <f>+IF(F381="Pasajero",'2.2 OPEX LAP 2023'!K382*'2.1 OPEX TUUA'!$P$7,'2.2 OPEX LAP 2023'!K382*'2.1 OPEX TUUA'!$P$8)</f>
        <v>0</v>
      </c>
      <c r="Q381" s="3">
        <f>+IF(F381="Pasajero",'2.2 OPEX LAP 2023'!L382*'2.1 OPEX TUUA'!$Q$7,'2.2 OPEX LAP 2023'!L382*'2.1 OPEX TUUA'!$Q$8)</f>
        <v>0</v>
      </c>
      <c r="R381" s="3">
        <f>+IF(F381="Pasajero",'2.2 OPEX LAP 2023'!M382*'2.1 OPEX TUUA'!$R$7,'2.2 OPEX LAP 2023'!M382*'2.1 OPEX TUUA'!$R$8)</f>
        <v>0</v>
      </c>
      <c r="S381" s="3">
        <f>+IF(F381="Pasajero",'2.2 OPEX LAP 2023'!N382*'2.1 OPEX TUUA'!$S$7,'2.2 OPEX LAP 2023'!N382*'2.1 OPEX TUUA'!$S$8)</f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7">
        <f t="shared" si="33"/>
        <v>0</v>
      </c>
      <c r="AB381" s="7">
        <f t="shared" si="34"/>
        <v>0</v>
      </c>
      <c r="AC381" s="7">
        <f t="shared" si="35"/>
        <v>0</v>
      </c>
      <c r="AD381" s="7">
        <f t="shared" si="36"/>
        <v>0</v>
      </c>
      <c r="AE381" s="7">
        <f t="shared" si="37"/>
        <v>0</v>
      </c>
      <c r="AF381" s="7">
        <f t="shared" si="38"/>
        <v>0</v>
      </c>
    </row>
    <row r="382" spans="2:32" x14ac:dyDescent="0.25">
      <c r="B382" s="17">
        <v>6343100008</v>
      </c>
      <c r="C382" s="193" t="s">
        <v>177</v>
      </c>
      <c r="D382" s="193" t="s">
        <v>52</v>
      </c>
      <c r="E382" s="193" t="s">
        <v>73</v>
      </c>
      <c r="F382" s="163" t="s">
        <v>190</v>
      </c>
      <c r="G382" s="3">
        <f>+IF(F382="Pasajero",'2.2 OPEX LAP 2023'!I383*'2.1 OPEX TUUA'!$G$7,'2.2 OPEX LAP 2023'!I383*'2.1 OPEX TUUA'!$G$8)</f>
        <v>0</v>
      </c>
      <c r="H382" s="3">
        <f>+IF(F382="Pasajero",'2.2 OPEX LAP 2023'!J383*'2.1 OPEX TUUA'!$H$7,'2.2 OPEX LAP 2023'!J383*'2.1 OPEX TUUA'!$H$8)</f>
        <v>0</v>
      </c>
      <c r="I382" s="3">
        <f>+IF(F382="Pasajero",'2.2 OPEX LAP 2023'!K383*'2.1 OPEX TUUA'!$I$7,'2.2 OPEX LAP 2023'!K383*'2.1 OPEX TUUA'!$I$8)</f>
        <v>0</v>
      </c>
      <c r="J382" s="3">
        <f>+IF(F382="Pasajero",'2.2 OPEX LAP 2023'!L383*'2.1 OPEX TUUA'!$J$7,'2.2 OPEX LAP 2023'!L383*'2.1 OPEX TUUA'!$J$8)</f>
        <v>0</v>
      </c>
      <c r="K382" s="3">
        <f>+IF(F382="Pasajero",'2.2 OPEX LAP 2023'!M383*'2.1 OPEX TUUA'!$K$7,'2.2 OPEX LAP 2023'!M383*'2.1 OPEX TUUA'!$K$8)</f>
        <v>0</v>
      </c>
      <c r="L382" s="3">
        <f>+IF(F382="Pasajero",'2.2 OPEX LAP 2023'!N383*'2.1 OPEX TUUA'!$L$7,'2.2 OPEX LAP 2023'!N383*'2.1 OPEX TUUA'!$L$8)</f>
        <v>0</v>
      </c>
      <c r="M382" s="3"/>
      <c r="N382" s="3">
        <f>+IF(F382="Pasajero",'2.2 OPEX LAP 2023'!I383*'2.1 OPEX TUUA'!$N$7,'2.2 OPEX LAP 2023'!I383*'2.1 OPEX TUUA'!$N$8)</f>
        <v>0</v>
      </c>
      <c r="O382" s="3">
        <f>+IF(F382="Pasajero",'2.2 OPEX LAP 2023'!J383*'2.1 OPEX TUUA'!$O$7,'2.2 OPEX LAP 2023'!J383*'2.1 OPEX TUUA'!$O$8)</f>
        <v>0</v>
      </c>
      <c r="P382" s="3">
        <f>+IF(F382="Pasajero",'2.2 OPEX LAP 2023'!K383*'2.1 OPEX TUUA'!$P$7,'2.2 OPEX LAP 2023'!K383*'2.1 OPEX TUUA'!$P$8)</f>
        <v>0</v>
      </c>
      <c r="Q382" s="3">
        <f>+IF(F382="Pasajero",'2.2 OPEX LAP 2023'!L383*'2.1 OPEX TUUA'!$Q$7,'2.2 OPEX LAP 2023'!L383*'2.1 OPEX TUUA'!$Q$8)</f>
        <v>0</v>
      </c>
      <c r="R382" s="3">
        <f>+IF(F382="Pasajero",'2.2 OPEX LAP 2023'!M383*'2.1 OPEX TUUA'!$R$7,'2.2 OPEX LAP 2023'!M383*'2.1 OPEX TUUA'!$R$8)</f>
        <v>0</v>
      </c>
      <c r="S382" s="3">
        <f>+IF(F382="Pasajero",'2.2 OPEX LAP 2023'!N383*'2.1 OPEX TUUA'!$S$7,'2.2 OPEX LAP 2023'!N383*'2.1 OPEX TUUA'!$S$8)</f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7">
        <f t="shared" si="33"/>
        <v>0</v>
      </c>
      <c r="AB382" s="7">
        <f t="shared" si="34"/>
        <v>0</v>
      </c>
      <c r="AC382" s="7">
        <f t="shared" si="35"/>
        <v>0</v>
      </c>
      <c r="AD382" s="7">
        <f t="shared" si="36"/>
        <v>0</v>
      </c>
      <c r="AE382" s="7">
        <f t="shared" si="37"/>
        <v>0</v>
      </c>
      <c r="AF382" s="7">
        <f t="shared" si="38"/>
        <v>0</v>
      </c>
    </row>
    <row r="383" spans="2:32" x14ac:dyDescent="0.25">
      <c r="B383" s="17">
        <v>6343100009</v>
      </c>
      <c r="C383" s="193" t="s">
        <v>177</v>
      </c>
      <c r="D383" s="193" t="s">
        <v>52</v>
      </c>
      <c r="E383" s="193" t="s">
        <v>74</v>
      </c>
      <c r="F383" s="163" t="s">
        <v>190</v>
      </c>
      <c r="G383" s="3">
        <f>+IF(F383="Pasajero",'2.2 OPEX LAP 2023'!I384*'2.1 OPEX TUUA'!$G$7,'2.2 OPEX LAP 2023'!I384*'2.1 OPEX TUUA'!$G$8)</f>
        <v>0</v>
      </c>
      <c r="H383" s="3">
        <f>+IF(F383="Pasajero",'2.2 OPEX LAP 2023'!J384*'2.1 OPEX TUUA'!$H$7,'2.2 OPEX LAP 2023'!J384*'2.1 OPEX TUUA'!$H$8)</f>
        <v>0</v>
      </c>
      <c r="I383" s="3">
        <f>+IF(F383="Pasajero",'2.2 OPEX LAP 2023'!K384*'2.1 OPEX TUUA'!$I$7,'2.2 OPEX LAP 2023'!K384*'2.1 OPEX TUUA'!$I$8)</f>
        <v>0</v>
      </c>
      <c r="J383" s="3">
        <f>+IF(F383="Pasajero",'2.2 OPEX LAP 2023'!L384*'2.1 OPEX TUUA'!$J$7,'2.2 OPEX LAP 2023'!L384*'2.1 OPEX TUUA'!$J$8)</f>
        <v>0</v>
      </c>
      <c r="K383" s="3">
        <f>+IF(F383="Pasajero",'2.2 OPEX LAP 2023'!M384*'2.1 OPEX TUUA'!$K$7,'2.2 OPEX LAP 2023'!M384*'2.1 OPEX TUUA'!$K$8)</f>
        <v>0</v>
      </c>
      <c r="L383" s="3">
        <f>+IF(F383="Pasajero",'2.2 OPEX LAP 2023'!N384*'2.1 OPEX TUUA'!$L$7,'2.2 OPEX LAP 2023'!N384*'2.1 OPEX TUUA'!$L$8)</f>
        <v>0</v>
      </c>
      <c r="M383" s="3"/>
      <c r="N383" s="3">
        <f>+IF(F383="Pasajero",'2.2 OPEX LAP 2023'!I384*'2.1 OPEX TUUA'!$N$7,'2.2 OPEX LAP 2023'!I384*'2.1 OPEX TUUA'!$N$8)</f>
        <v>0</v>
      </c>
      <c r="O383" s="3">
        <f>+IF(F383="Pasajero",'2.2 OPEX LAP 2023'!J384*'2.1 OPEX TUUA'!$O$7,'2.2 OPEX LAP 2023'!J384*'2.1 OPEX TUUA'!$O$8)</f>
        <v>0</v>
      </c>
      <c r="P383" s="3">
        <f>+IF(F383="Pasajero",'2.2 OPEX LAP 2023'!K384*'2.1 OPEX TUUA'!$P$7,'2.2 OPEX LAP 2023'!K384*'2.1 OPEX TUUA'!$P$8)</f>
        <v>0</v>
      </c>
      <c r="Q383" s="3">
        <f>+IF(F383="Pasajero",'2.2 OPEX LAP 2023'!L384*'2.1 OPEX TUUA'!$Q$7,'2.2 OPEX LAP 2023'!L384*'2.1 OPEX TUUA'!$Q$8)</f>
        <v>0</v>
      </c>
      <c r="R383" s="3">
        <f>+IF(F383="Pasajero",'2.2 OPEX LAP 2023'!M384*'2.1 OPEX TUUA'!$R$7,'2.2 OPEX LAP 2023'!M384*'2.1 OPEX TUUA'!$R$8)</f>
        <v>0</v>
      </c>
      <c r="S383" s="3">
        <f>+IF(F383="Pasajero",'2.2 OPEX LAP 2023'!N384*'2.1 OPEX TUUA'!$S$7,'2.2 OPEX LAP 2023'!N384*'2.1 OPEX TUUA'!$S$8)</f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7">
        <f t="shared" si="33"/>
        <v>0</v>
      </c>
      <c r="AB383" s="7">
        <f t="shared" si="34"/>
        <v>0</v>
      </c>
      <c r="AC383" s="7">
        <f t="shared" si="35"/>
        <v>0</v>
      </c>
      <c r="AD383" s="7">
        <f t="shared" si="36"/>
        <v>0</v>
      </c>
      <c r="AE383" s="7">
        <f t="shared" si="37"/>
        <v>0</v>
      </c>
      <c r="AF383" s="7">
        <f t="shared" si="38"/>
        <v>0</v>
      </c>
    </row>
    <row r="384" spans="2:32" x14ac:dyDescent="0.25">
      <c r="B384" s="17">
        <v>6343100010</v>
      </c>
      <c r="C384" s="193" t="s">
        <v>177</v>
      </c>
      <c r="D384" s="193" t="s">
        <v>52</v>
      </c>
      <c r="E384" s="193" t="s">
        <v>75</v>
      </c>
      <c r="F384" s="163" t="s">
        <v>190</v>
      </c>
      <c r="G384" s="3">
        <f>+IF(F384="Pasajero",'2.2 OPEX LAP 2023'!I385*'2.1 OPEX TUUA'!$G$7,'2.2 OPEX LAP 2023'!I385*'2.1 OPEX TUUA'!$G$8)</f>
        <v>0</v>
      </c>
      <c r="H384" s="3">
        <f>+IF(F384="Pasajero",'2.2 OPEX LAP 2023'!J385*'2.1 OPEX TUUA'!$H$7,'2.2 OPEX LAP 2023'!J385*'2.1 OPEX TUUA'!$H$8)</f>
        <v>0</v>
      </c>
      <c r="I384" s="3">
        <f>+IF(F384="Pasajero",'2.2 OPEX LAP 2023'!K385*'2.1 OPEX TUUA'!$I$7,'2.2 OPEX LAP 2023'!K385*'2.1 OPEX TUUA'!$I$8)</f>
        <v>0</v>
      </c>
      <c r="J384" s="3">
        <f>+IF(F384="Pasajero",'2.2 OPEX LAP 2023'!L385*'2.1 OPEX TUUA'!$J$7,'2.2 OPEX LAP 2023'!L385*'2.1 OPEX TUUA'!$J$8)</f>
        <v>0</v>
      </c>
      <c r="K384" s="3">
        <f>+IF(F384="Pasajero",'2.2 OPEX LAP 2023'!M385*'2.1 OPEX TUUA'!$K$7,'2.2 OPEX LAP 2023'!M385*'2.1 OPEX TUUA'!$K$8)</f>
        <v>0</v>
      </c>
      <c r="L384" s="3">
        <f>+IF(F384="Pasajero",'2.2 OPEX LAP 2023'!N385*'2.1 OPEX TUUA'!$L$7,'2.2 OPEX LAP 2023'!N385*'2.1 OPEX TUUA'!$L$8)</f>
        <v>0</v>
      </c>
      <c r="M384" s="3"/>
      <c r="N384" s="3">
        <f>+IF(F384="Pasajero",'2.2 OPEX LAP 2023'!I385*'2.1 OPEX TUUA'!$N$7,'2.2 OPEX LAP 2023'!I385*'2.1 OPEX TUUA'!$N$8)</f>
        <v>0</v>
      </c>
      <c r="O384" s="3">
        <f>+IF(F384="Pasajero",'2.2 OPEX LAP 2023'!J385*'2.1 OPEX TUUA'!$O$7,'2.2 OPEX LAP 2023'!J385*'2.1 OPEX TUUA'!$O$8)</f>
        <v>0</v>
      </c>
      <c r="P384" s="3">
        <f>+IF(F384="Pasajero",'2.2 OPEX LAP 2023'!K385*'2.1 OPEX TUUA'!$P$7,'2.2 OPEX LAP 2023'!K385*'2.1 OPEX TUUA'!$P$8)</f>
        <v>0</v>
      </c>
      <c r="Q384" s="3">
        <f>+IF(F384="Pasajero",'2.2 OPEX LAP 2023'!L385*'2.1 OPEX TUUA'!$Q$7,'2.2 OPEX LAP 2023'!L385*'2.1 OPEX TUUA'!$Q$8)</f>
        <v>0</v>
      </c>
      <c r="R384" s="3">
        <f>+IF(F384="Pasajero",'2.2 OPEX LAP 2023'!M385*'2.1 OPEX TUUA'!$R$7,'2.2 OPEX LAP 2023'!M385*'2.1 OPEX TUUA'!$R$8)</f>
        <v>0</v>
      </c>
      <c r="S384" s="3">
        <f>+IF(F384="Pasajero",'2.2 OPEX LAP 2023'!N385*'2.1 OPEX TUUA'!$S$7,'2.2 OPEX LAP 2023'!N385*'2.1 OPEX TUUA'!$S$8)</f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7">
        <f t="shared" si="33"/>
        <v>0</v>
      </c>
      <c r="AB384" s="7">
        <f t="shared" si="34"/>
        <v>0</v>
      </c>
      <c r="AC384" s="7">
        <f t="shared" si="35"/>
        <v>0</v>
      </c>
      <c r="AD384" s="7">
        <f t="shared" si="36"/>
        <v>0</v>
      </c>
      <c r="AE384" s="7">
        <f t="shared" si="37"/>
        <v>0</v>
      </c>
      <c r="AF384" s="7">
        <f t="shared" si="38"/>
        <v>0</v>
      </c>
    </row>
    <row r="385" spans="2:32" x14ac:dyDescent="0.25">
      <c r="B385" s="17">
        <v>6343100011</v>
      </c>
      <c r="C385" s="193" t="s">
        <v>177</v>
      </c>
      <c r="D385" s="193" t="s">
        <v>52</v>
      </c>
      <c r="E385" s="193" t="s">
        <v>76</v>
      </c>
      <c r="F385" s="163" t="s">
        <v>190</v>
      </c>
      <c r="G385" s="3">
        <f>+IF(F385="Pasajero",'2.2 OPEX LAP 2023'!I386*'2.1 OPEX TUUA'!$G$7,'2.2 OPEX LAP 2023'!I386*'2.1 OPEX TUUA'!$G$8)</f>
        <v>0</v>
      </c>
      <c r="H385" s="3">
        <f>+IF(F385="Pasajero",'2.2 OPEX LAP 2023'!J386*'2.1 OPEX TUUA'!$H$7,'2.2 OPEX LAP 2023'!J386*'2.1 OPEX TUUA'!$H$8)</f>
        <v>0</v>
      </c>
      <c r="I385" s="3">
        <f>+IF(F385="Pasajero",'2.2 OPEX LAP 2023'!K386*'2.1 OPEX TUUA'!$I$7,'2.2 OPEX LAP 2023'!K386*'2.1 OPEX TUUA'!$I$8)</f>
        <v>0</v>
      </c>
      <c r="J385" s="3">
        <f>+IF(F385="Pasajero",'2.2 OPEX LAP 2023'!L386*'2.1 OPEX TUUA'!$J$7,'2.2 OPEX LAP 2023'!L386*'2.1 OPEX TUUA'!$J$8)</f>
        <v>0</v>
      </c>
      <c r="K385" s="3">
        <f>+IF(F385="Pasajero",'2.2 OPEX LAP 2023'!M386*'2.1 OPEX TUUA'!$K$7,'2.2 OPEX LAP 2023'!M386*'2.1 OPEX TUUA'!$K$8)</f>
        <v>0</v>
      </c>
      <c r="L385" s="3">
        <f>+IF(F385="Pasajero",'2.2 OPEX LAP 2023'!N386*'2.1 OPEX TUUA'!$L$7,'2.2 OPEX LAP 2023'!N386*'2.1 OPEX TUUA'!$L$8)</f>
        <v>0</v>
      </c>
      <c r="M385" s="3"/>
      <c r="N385" s="3">
        <f>+IF(F385="Pasajero",'2.2 OPEX LAP 2023'!I386*'2.1 OPEX TUUA'!$N$7,'2.2 OPEX LAP 2023'!I386*'2.1 OPEX TUUA'!$N$8)</f>
        <v>0</v>
      </c>
      <c r="O385" s="3">
        <f>+IF(F385="Pasajero",'2.2 OPEX LAP 2023'!J386*'2.1 OPEX TUUA'!$O$7,'2.2 OPEX LAP 2023'!J386*'2.1 OPEX TUUA'!$O$8)</f>
        <v>0</v>
      </c>
      <c r="P385" s="3">
        <f>+IF(F385="Pasajero",'2.2 OPEX LAP 2023'!K386*'2.1 OPEX TUUA'!$P$7,'2.2 OPEX LAP 2023'!K386*'2.1 OPEX TUUA'!$P$8)</f>
        <v>0</v>
      </c>
      <c r="Q385" s="3">
        <f>+IF(F385="Pasajero",'2.2 OPEX LAP 2023'!L386*'2.1 OPEX TUUA'!$Q$7,'2.2 OPEX LAP 2023'!L386*'2.1 OPEX TUUA'!$Q$8)</f>
        <v>0</v>
      </c>
      <c r="R385" s="3">
        <f>+IF(F385="Pasajero",'2.2 OPEX LAP 2023'!M386*'2.1 OPEX TUUA'!$R$7,'2.2 OPEX LAP 2023'!M386*'2.1 OPEX TUUA'!$R$8)</f>
        <v>0</v>
      </c>
      <c r="S385" s="3">
        <f>+IF(F385="Pasajero",'2.2 OPEX LAP 2023'!N386*'2.1 OPEX TUUA'!$S$7,'2.2 OPEX LAP 2023'!N386*'2.1 OPEX TUUA'!$S$8)</f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7">
        <f t="shared" si="33"/>
        <v>0</v>
      </c>
      <c r="AB385" s="7">
        <f t="shared" si="34"/>
        <v>0</v>
      </c>
      <c r="AC385" s="7">
        <f t="shared" si="35"/>
        <v>0</v>
      </c>
      <c r="AD385" s="7">
        <f t="shared" si="36"/>
        <v>0</v>
      </c>
      <c r="AE385" s="7">
        <f t="shared" si="37"/>
        <v>0</v>
      </c>
      <c r="AF385" s="7">
        <f t="shared" si="38"/>
        <v>0</v>
      </c>
    </row>
    <row r="386" spans="2:32" x14ac:dyDescent="0.25">
      <c r="B386" s="17">
        <v>6343100012</v>
      </c>
      <c r="C386" s="193" t="s">
        <v>177</v>
      </c>
      <c r="D386" s="193" t="s">
        <v>52</v>
      </c>
      <c r="E386" s="193" t="s">
        <v>77</v>
      </c>
      <c r="F386" s="163" t="s">
        <v>190</v>
      </c>
      <c r="G386" s="3">
        <f>+IF(F386="Pasajero",'2.2 OPEX LAP 2023'!I387*'2.1 OPEX TUUA'!$G$7,'2.2 OPEX LAP 2023'!I387*'2.1 OPEX TUUA'!$G$8)</f>
        <v>0</v>
      </c>
      <c r="H386" s="3">
        <f>+IF(F386="Pasajero",'2.2 OPEX LAP 2023'!J387*'2.1 OPEX TUUA'!$H$7,'2.2 OPEX LAP 2023'!J387*'2.1 OPEX TUUA'!$H$8)</f>
        <v>0</v>
      </c>
      <c r="I386" s="3">
        <f>+IF(F386="Pasajero",'2.2 OPEX LAP 2023'!K387*'2.1 OPEX TUUA'!$I$7,'2.2 OPEX LAP 2023'!K387*'2.1 OPEX TUUA'!$I$8)</f>
        <v>0</v>
      </c>
      <c r="J386" s="3">
        <f>+IF(F386="Pasajero",'2.2 OPEX LAP 2023'!L387*'2.1 OPEX TUUA'!$J$7,'2.2 OPEX LAP 2023'!L387*'2.1 OPEX TUUA'!$J$8)</f>
        <v>0</v>
      </c>
      <c r="K386" s="3">
        <f>+IF(F386="Pasajero",'2.2 OPEX LAP 2023'!M387*'2.1 OPEX TUUA'!$K$7,'2.2 OPEX LAP 2023'!M387*'2.1 OPEX TUUA'!$K$8)</f>
        <v>0</v>
      </c>
      <c r="L386" s="3">
        <f>+IF(F386="Pasajero",'2.2 OPEX LAP 2023'!N387*'2.1 OPEX TUUA'!$L$7,'2.2 OPEX LAP 2023'!N387*'2.1 OPEX TUUA'!$L$8)</f>
        <v>0</v>
      </c>
      <c r="M386" s="3"/>
      <c r="N386" s="3">
        <f>+IF(F386="Pasajero",'2.2 OPEX LAP 2023'!I387*'2.1 OPEX TUUA'!$N$7,'2.2 OPEX LAP 2023'!I387*'2.1 OPEX TUUA'!$N$8)</f>
        <v>0</v>
      </c>
      <c r="O386" s="3">
        <f>+IF(F386="Pasajero",'2.2 OPEX LAP 2023'!J387*'2.1 OPEX TUUA'!$O$7,'2.2 OPEX LAP 2023'!J387*'2.1 OPEX TUUA'!$O$8)</f>
        <v>0</v>
      </c>
      <c r="P386" s="3">
        <f>+IF(F386="Pasajero",'2.2 OPEX LAP 2023'!K387*'2.1 OPEX TUUA'!$P$7,'2.2 OPEX LAP 2023'!K387*'2.1 OPEX TUUA'!$P$8)</f>
        <v>0</v>
      </c>
      <c r="Q386" s="3">
        <f>+IF(F386="Pasajero",'2.2 OPEX LAP 2023'!L387*'2.1 OPEX TUUA'!$Q$7,'2.2 OPEX LAP 2023'!L387*'2.1 OPEX TUUA'!$Q$8)</f>
        <v>0</v>
      </c>
      <c r="R386" s="3">
        <f>+IF(F386="Pasajero",'2.2 OPEX LAP 2023'!M387*'2.1 OPEX TUUA'!$R$7,'2.2 OPEX LAP 2023'!M387*'2.1 OPEX TUUA'!$R$8)</f>
        <v>0</v>
      </c>
      <c r="S386" s="3">
        <f>+IF(F386="Pasajero",'2.2 OPEX LAP 2023'!N387*'2.1 OPEX TUUA'!$S$7,'2.2 OPEX LAP 2023'!N387*'2.1 OPEX TUUA'!$S$8)</f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7">
        <f t="shared" si="33"/>
        <v>0</v>
      </c>
      <c r="AB386" s="7">
        <f t="shared" si="34"/>
        <v>0</v>
      </c>
      <c r="AC386" s="7">
        <f t="shared" si="35"/>
        <v>0</v>
      </c>
      <c r="AD386" s="7">
        <f t="shared" si="36"/>
        <v>0</v>
      </c>
      <c r="AE386" s="7">
        <f t="shared" si="37"/>
        <v>0</v>
      </c>
      <c r="AF386" s="7">
        <f t="shared" si="38"/>
        <v>0</v>
      </c>
    </row>
    <row r="387" spans="2:32" x14ac:dyDescent="0.25">
      <c r="B387" s="17">
        <v>6343100013</v>
      </c>
      <c r="C387" s="193" t="s">
        <v>177</v>
      </c>
      <c r="D387" s="193" t="s">
        <v>52</v>
      </c>
      <c r="E387" s="193" t="s">
        <v>78</v>
      </c>
      <c r="F387" s="163" t="s">
        <v>190</v>
      </c>
      <c r="G387" s="3">
        <f>+IF(F387="Pasajero",'2.2 OPEX LAP 2023'!I388*'2.1 OPEX TUUA'!$G$7,'2.2 OPEX LAP 2023'!I388*'2.1 OPEX TUUA'!$G$8)</f>
        <v>0</v>
      </c>
      <c r="H387" s="3">
        <f>+IF(F387="Pasajero",'2.2 OPEX LAP 2023'!J388*'2.1 OPEX TUUA'!$H$7,'2.2 OPEX LAP 2023'!J388*'2.1 OPEX TUUA'!$H$8)</f>
        <v>0</v>
      </c>
      <c r="I387" s="3">
        <f>+IF(F387="Pasajero",'2.2 OPEX LAP 2023'!K388*'2.1 OPEX TUUA'!$I$7,'2.2 OPEX LAP 2023'!K388*'2.1 OPEX TUUA'!$I$8)</f>
        <v>0</v>
      </c>
      <c r="J387" s="3">
        <f>+IF(F387="Pasajero",'2.2 OPEX LAP 2023'!L388*'2.1 OPEX TUUA'!$J$7,'2.2 OPEX LAP 2023'!L388*'2.1 OPEX TUUA'!$J$8)</f>
        <v>0</v>
      </c>
      <c r="K387" s="3">
        <f>+IF(F387="Pasajero",'2.2 OPEX LAP 2023'!M388*'2.1 OPEX TUUA'!$K$7,'2.2 OPEX LAP 2023'!M388*'2.1 OPEX TUUA'!$K$8)</f>
        <v>0</v>
      </c>
      <c r="L387" s="3">
        <f>+IF(F387="Pasajero",'2.2 OPEX LAP 2023'!N388*'2.1 OPEX TUUA'!$L$7,'2.2 OPEX LAP 2023'!N388*'2.1 OPEX TUUA'!$L$8)</f>
        <v>0</v>
      </c>
      <c r="M387" s="3"/>
      <c r="N387" s="3">
        <f>+IF(F387="Pasajero",'2.2 OPEX LAP 2023'!I388*'2.1 OPEX TUUA'!$N$7,'2.2 OPEX LAP 2023'!I388*'2.1 OPEX TUUA'!$N$8)</f>
        <v>0</v>
      </c>
      <c r="O387" s="3">
        <f>+IF(F387="Pasajero",'2.2 OPEX LAP 2023'!J388*'2.1 OPEX TUUA'!$O$7,'2.2 OPEX LAP 2023'!J388*'2.1 OPEX TUUA'!$O$8)</f>
        <v>0</v>
      </c>
      <c r="P387" s="3">
        <f>+IF(F387="Pasajero",'2.2 OPEX LAP 2023'!K388*'2.1 OPEX TUUA'!$P$7,'2.2 OPEX LAP 2023'!K388*'2.1 OPEX TUUA'!$P$8)</f>
        <v>0</v>
      </c>
      <c r="Q387" s="3">
        <f>+IF(F387="Pasajero",'2.2 OPEX LAP 2023'!L388*'2.1 OPEX TUUA'!$Q$7,'2.2 OPEX LAP 2023'!L388*'2.1 OPEX TUUA'!$Q$8)</f>
        <v>0</v>
      </c>
      <c r="R387" s="3">
        <f>+IF(F387="Pasajero",'2.2 OPEX LAP 2023'!M388*'2.1 OPEX TUUA'!$R$7,'2.2 OPEX LAP 2023'!M388*'2.1 OPEX TUUA'!$R$8)</f>
        <v>0</v>
      </c>
      <c r="S387" s="3">
        <f>+IF(F387="Pasajero",'2.2 OPEX LAP 2023'!N388*'2.1 OPEX TUUA'!$S$7,'2.2 OPEX LAP 2023'!N388*'2.1 OPEX TUUA'!$S$8)</f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7">
        <f t="shared" si="33"/>
        <v>0</v>
      </c>
      <c r="AB387" s="7">
        <f t="shared" si="34"/>
        <v>0</v>
      </c>
      <c r="AC387" s="7">
        <f t="shared" si="35"/>
        <v>0</v>
      </c>
      <c r="AD387" s="7">
        <f t="shared" si="36"/>
        <v>0</v>
      </c>
      <c r="AE387" s="7">
        <f t="shared" si="37"/>
        <v>0</v>
      </c>
      <c r="AF387" s="7">
        <f t="shared" si="38"/>
        <v>0</v>
      </c>
    </row>
    <row r="388" spans="2:32" x14ac:dyDescent="0.25">
      <c r="B388" s="17">
        <v>6343100014</v>
      </c>
      <c r="C388" s="193" t="s">
        <v>177</v>
      </c>
      <c r="D388" s="193" t="s">
        <v>52</v>
      </c>
      <c r="E388" s="193" t="s">
        <v>79</v>
      </c>
      <c r="F388" s="163" t="s">
        <v>190</v>
      </c>
      <c r="G388" s="3">
        <f>+IF(F388="Pasajero",'2.2 OPEX LAP 2023'!I389*'2.1 OPEX TUUA'!$G$7,'2.2 OPEX LAP 2023'!I389*'2.1 OPEX TUUA'!$G$8)</f>
        <v>0</v>
      </c>
      <c r="H388" s="3">
        <f>+IF(F388="Pasajero",'2.2 OPEX LAP 2023'!J389*'2.1 OPEX TUUA'!$H$7,'2.2 OPEX LAP 2023'!J389*'2.1 OPEX TUUA'!$H$8)</f>
        <v>0</v>
      </c>
      <c r="I388" s="3">
        <f>+IF(F388="Pasajero",'2.2 OPEX LAP 2023'!K389*'2.1 OPEX TUUA'!$I$7,'2.2 OPEX LAP 2023'!K389*'2.1 OPEX TUUA'!$I$8)</f>
        <v>0</v>
      </c>
      <c r="J388" s="3">
        <f>+IF(F388="Pasajero",'2.2 OPEX LAP 2023'!L389*'2.1 OPEX TUUA'!$J$7,'2.2 OPEX LAP 2023'!L389*'2.1 OPEX TUUA'!$J$8)</f>
        <v>0</v>
      </c>
      <c r="K388" s="3">
        <f>+IF(F388="Pasajero",'2.2 OPEX LAP 2023'!M389*'2.1 OPEX TUUA'!$K$7,'2.2 OPEX LAP 2023'!M389*'2.1 OPEX TUUA'!$K$8)</f>
        <v>0</v>
      </c>
      <c r="L388" s="3">
        <f>+IF(F388="Pasajero",'2.2 OPEX LAP 2023'!N389*'2.1 OPEX TUUA'!$L$7,'2.2 OPEX LAP 2023'!N389*'2.1 OPEX TUUA'!$L$8)</f>
        <v>0</v>
      </c>
      <c r="M388" s="3"/>
      <c r="N388" s="3">
        <f>+IF(F388="Pasajero",'2.2 OPEX LAP 2023'!I389*'2.1 OPEX TUUA'!$N$7,'2.2 OPEX LAP 2023'!I389*'2.1 OPEX TUUA'!$N$8)</f>
        <v>0</v>
      </c>
      <c r="O388" s="3">
        <f>+IF(F388="Pasajero",'2.2 OPEX LAP 2023'!J389*'2.1 OPEX TUUA'!$O$7,'2.2 OPEX LAP 2023'!J389*'2.1 OPEX TUUA'!$O$8)</f>
        <v>0</v>
      </c>
      <c r="P388" s="3">
        <f>+IF(F388="Pasajero",'2.2 OPEX LAP 2023'!K389*'2.1 OPEX TUUA'!$P$7,'2.2 OPEX LAP 2023'!K389*'2.1 OPEX TUUA'!$P$8)</f>
        <v>0</v>
      </c>
      <c r="Q388" s="3">
        <f>+IF(F388="Pasajero",'2.2 OPEX LAP 2023'!L389*'2.1 OPEX TUUA'!$Q$7,'2.2 OPEX LAP 2023'!L389*'2.1 OPEX TUUA'!$Q$8)</f>
        <v>0</v>
      </c>
      <c r="R388" s="3">
        <f>+IF(F388="Pasajero",'2.2 OPEX LAP 2023'!M389*'2.1 OPEX TUUA'!$R$7,'2.2 OPEX LAP 2023'!M389*'2.1 OPEX TUUA'!$R$8)</f>
        <v>0</v>
      </c>
      <c r="S388" s="3">
        <f>+IF(F388="Pasajero",'2.2 OPEX LAP 2023'!N389*'2.1 OPEX TUUA'!$S$7,'2.2 OPEX LAP 2023'!N389*'2.1 OPEX TUUA'!$S$8)</f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7">
        <f t="shared" si="33"/>
        <v>0</v>
      </c>
      <c r="AB388" s="7">
        <f t="shared" si="34"/>
        <v>0</v>
      </c>
      <c r="AC388" s="7">
        <f t="shared" si="35"/>
        <v>0</v>
      </c>
      <c r="AD388" s="7">
        <f t="shared" si="36"/>
        <v>0</v>
      </c>
      <c r="AE388" s="7">
        <f t="shared" si="37"/>
        <v>0</v>
      </c>
      <c r="AF388" s="7">
        <f t="shared" si="38"/>
        <v>0</v>
      </c>
    </row>
    <row r="389" spans="2:32" x14ac:dyDescent="0.25">
      <c r="B389" s="17">
        <v>6343100015</v>
      </c>
      <c r="C389" s="193" t="s">
        <v>177</v>
      </c>
      <c r="D389" s="193" t="s">
        <v>52</v>
      </c>
      <c r="E389" s="193" t="s">
        <v>80</v>
      </c>
      <c r="F389" s="163" t="s">
        <v>190</v>
      </c>
      <c r="G389" s="3">
        <f>+IF(F389="Pasajero",'2.2 OPEX LAP 2023'!I390*'2.1 OPEX TUUA'!$G$7,'2.2 OPEX LAP 2023'!I390*'2.1 OPEX TUUA'!$G$8)</f>
        <v>64.834085300905215</v>
      </c>
      <c r="H389" s="3">
        <f>+IF(F389="Pasajero",'2.2 OPEX LAP 2023'!J390*'2.1 OPEX TUUA'!$H$7,'2.2 OPEX LAP 2023'!J390*'2.1 OPEX TUUA'!$H$8)</f>
        <v>74.373457038955209</v>
      </c>
      <c r="I389" s="3">
        <f>+IF(F389="Pasajero",'2.2 OPEX LAP 2023'!K390*'2.1 OPEX TUUA'!$I$7,'2.2 OPEX LAP 2023'!K390*'2.1 OPEX TUUA'!$I$8)</f>
        <v>82.220946922267714</v>
      </c>
      <c r="J389" s="3">
        <f>+IF(F389="Pasajero",'2.2 OPEX LAP 2023'!L390*'2.1 OPEX TUUA'!$J$7,'2.2 OPEX LAP 2023'!L390*'2.1 OPEX TUUA'!$J$8)</f>
        <v>85.683983040636591</v>
      </c>
      <c r="K389" s="3">
        <f>+IF(F389="Pasajero",'2.2 OPEX LAP 2023'!M390*'2.1 OPEX TUUA'!$K$7,'2.2 OPEX LAP 2023'!M390*'2.1 OPEX TUUA'!$K$8)</f>
        <v>87.600735743697712</v>
      </c>
      <c r="L389" s="3">
        <f>+IF(F389="Pasajero",'2.2 OPEX LAP 2023'!N390*'2.1 OPEX TUUA'!$L$7,'2.2 OPEX LAP 2023'!N390*'2.1 OPEX TUUA'!$L$8)</f>
        <v>89.940253716888876</v>
      </c>
      <c r="M389" s="3"/>
      <c r="N389" s="3">
        <f>+IF(F389="Pasajero",'2.2 OPEX LAP 2023'!I390*'2.1 OPEX TUUA'!$N$7,'2.2 OPEX LAP 2023'!I390*'2.1 OPEX TUUA'!$N$8)</f>
        <v>31.977287568037486</v>
      </c>
      <c r="O389" s="3">
        <f>+IF(F389="Pasajero",'2.2 OPEX LAP 2023'!J390*'2.1 OPEX TUUA'!$O$7,'2.2 OPEX LAP 2023'!J390*'2.1 OPEX TUUA'!$O$8)</f>
        <v>30.802750883006091</v>
      </c>
      <c r="P389" s="3">
        <f>+IF(F389="Pasajero",'2.2 OPEX LAP 2023'!K390*'2.1 OPEX TUUA'!$P$7,'2.2 OPEX LAP 2023'!K390*'2.1 OPEX TUUA'!$P$8)</f>
        <v>30.103446462187772</v>
      </c>
      <c r="Q389" s="3">
        <f>+IF(F389="Pasajero",'2.2 OPEX LAP 2023'!L390*'2.1 OPEX TUUA'!$Q$7,'2.2 OPEX LAP 2023'!L390*'2.1 OPEX TUUA'!$Q$8)</f>
        <v>29.41624538245653</v>
      </c>
      <c r="R389" s="3">
        <f>+IF(F389="Pasajero",'2.2 OPEX LAP 2023'!M390*'2.1 OPEX TUUA'!$R$7,'2.2 OPEX LAP 2023'!M390*'2.1 OPEX TUUA'!$R$8)</f>
        <v>29.043635728355234</v>
      </c>
      <c r="S389" s="3">
        <f>+IF(F389="Pasajero",'2.2 OPEX LAP 2023'!N390*'2.1 OPEX TUUA'!$S$7,'2.2 OPEX LAP 2023'!N390*'2.1 OPEX TUUA'!$S$8)</f>
        <v>28.586218130552229</v>
      </c>
      <c r="U389" s="1">
        <v>66.059128682832039</v>
      </c>
      <c r="V389" s="1">
        <v>75.778747341328298</v>
      </c>
      <c r="W389" s="1">
        <v>83.774515950278271</v>
      </c>
      <c r="X389" s="1">
        <v>87.302986314514769</v>
      </c>
      <c r="Y389" s="1">
        <v>89.2559561586488</v>
      </c>
      <c r="Z389" s="1">
        <v>91.639679444472279</v>
      </c>
      <c r="AA389" s="7">
        <f t="shared" si="33"/>
        <v>-1.2250433819268238</v>
      </c>
      <c r="AB389" s="7">
        <f t="shared" si="34"/>
        <v>-1.4052903023730892</v>
      </c>
      <c r="AC389" s="7">
        <f t="shared" si="35"/>
        <v>-1.553569028010557</v>
      </c>
      <c r="AD389" s="7">
        <f t="shared" si="36"/>
        <v>-1.6190032738781781</v>
      </c>
      <c r="AE389" s="7">
        <f t="shared" si="37"/>
        <v>-1.6552204149510885</v>
      </c>
      <c r="AF389" s="7">
        <f t="shared" si="38"/>
        <v>-1.699425727583403</v>
      </c>
    </row>
    <row r="390" spans="2:32" x14ac:dyDescent="0.25">
      <c r="B390" s="17">
        <v>6343100016</v>
      </c>
      <c r="C390" s="193" t="s">
        <v>177</v>
      </c>
      <c r="D390" s="193" t="s">
        <v>52</v>
      </c>
      <c r="E390" s="193" t="s">
        <v>81</v>
      </c>
      <c r="F390" s="163" t="s">
        <v>190</v>
      </c>
      <c r="G390" s="3">
        <f>+IF(F390="Pasajero",'2.2 OPEX LAP 2023'!I391*'2.1 OPEX TUUA'!$G$7,'2.2 OPEX LAP 2023'!I391*'2.1 OPEX TUUA'!$G$8)</f>
        <v>0</v>
      </c>
      <c r="H390" s="3">
        <f>+IF(F390="Pasajero",'2.2 OPEX LAP 2023'!J391*'2.1 OPEX TUUA'!$H$7,'2.2 OPEX LAP 2023'!J391*'2.1 OPEX TUUA'!$H$8)</f>
        <v>0</v>
      </c>
      <c r="I390" s="3">
        <f>+IF(F390="Pasajero",'2.2 OPEX LAP 2023'!K391*'2.1 OPEX TUUA'!$I$7,'2.2 OPEX LAP 2023'!K391*'2.1 OPEX TUUA'!$I$8)</f>
        <v>0</v>
      </c>
      <c r="J390" s="3">
        <f>+IF(F390="Pasajero",'2.2 OPEX LAP 2023'!L391*'2.1 OPEX TUUA'!$J$7,'2.2 OPEX LAP 2023'!L391*'2.1 OPEX TUUA'!$J$8)</f>
        <v>0</v>
      </c>
      <c r="K390" s="3">
        <f>+IF(F390="Pasajero",'2.2 OPEX LAP 2023'!M391*'2.1 OPEX TUUA'!$K$7,'2.2 OPEX LAP 2023'!M391*'2.1 OPEX TUUA'!$K$8)</f>
        <v>0</v>
      </c>
      <c r="L390" s="3">
        <f>+IF(F390="Pasajero",'2.2 OPEX LAP 2023'!N391*'2.1 OPEX TUUA'!$L$7,'2.2 OPEX LAP 2023'!N391*'2.1 OPEX TUUA'!$L$8)</f>
        <v>0</v>
      </c>
      <c r="M390" s="3"/>
      <c r="N390" s="3">
        <f>+IF(F390="Pasajero",'2.2 OPEX LAP 2023'!I391*'2.1 OPEX TUUA'!$N$7,'2.2 OPEX LAP 2023'!I391*'2.1 OPEX TUUA'!$N$8)</f>
        <v>0</v>
      </c>
      <c r="O390" s="3">
        <f>+IF(F390="Pasajero",'2.2 OPEX LAP 2023'!J391*'2.1 OPEX TUUA'!$O$7,'2.2 OPEX LAP 2023'!J391*'2.1 OPEX TUUA'!$O$8)</f>
        <v>0</v>
      </c>
      <c r="P390" s="3">
        <f>+IF(F390="Pasajero",'2.2 OPEX LAP 2023'!K391*'2.1 OPEX TUUA'!$P$7,'2.2 OPEX LAP 2023'!K391*'2.1 OPEX TUUA'!$P$8)</f>
        <v>0</v>
      </c>
      <c r="Q390" s="3">
        <f>+IF(F390="Pasajero",'2.2 OPEX LAP 2023'!L391*'2.1 OPEX TUUA'!$Q$7,'2.2 OPEX LAP 2023'!L391*'2.1 OPEX TUUA'!$Q$8)</f>
        <v>0</v>
      </c>
      <c r="R390" s="3">
        <f>+IF(F390="Pasajero",'2.2 OPEX LAP 2023'!M391*'2.1 OPEX TUUA'!$R$7,'2.2 OPEX LAP 2023'!M391*'2.1 OPEX TUUA'!$R$8)</f>
        <v>0</v>
      </c>
      <c r="S390" s="3">
        <f>+IF(F390="Pasajero",'2.2 OPEX LAP 2023'!N391*'2.1 OPEX TUUA'!$S$7,'2.2 OPEX LAP 2023'!N391*'2.1 OPEX TUUA'!$S$8)</f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7">
        <f t="shared" si="33"/>
        <v>0</v>
      </c>
      <c r="AB390" s="7">
        <f t="shared" si="34"/>
        <v>0</v>
      </c>
      <c r="AC390" s="7">
        <f t="shared" si="35"/>
        <v>0</v>
      </c>
      <c r="AD390" s="7">
        <f t="shared" si="36"/>
        <v>0</v>
      </c>
      <c r="AE390" s="7">
        <f t="shared" si="37"/>
        <v>0</v>
      </c>
      <c r="AF390" s="7">
        <f t="shared" si="38"/>
        <v>0</v>
      </c>
    </row>
    <row r="391" spans="2:32" x14ac:dyDescent="0.25">
      <c r="B391" s="17">
        <v>6343100017</v>
      </c>
      <c r="C391" s="193" t="s">
        <v>177</v>
      </c>
      <c r="D391" s="193" t="s">
        <v>52</v>
      </c>
      <c r="E391" s="193" t="s">
        <v>82</v>
      </c>
      <c r="F391" s="163" t="s">
        <v>190</v>
      </c>
      <c r="G391" s="3">
        <f>+IF(F391="Pasajero",'2.2 OPEX LAP 2023'!I392*'2.1 OPEX TUUA'!$G$7,'2.2 OPEX LAP 2023'!I392*'2.1 OPEX TUUA'!$G$8)</f>
        <v>0</v>
      </c>
      <c r="H391" s="3">
        <f>+IF(F391="Pasajero",'2.2 OPEX LAP 2023'!J392*'2.1 OPEX TUUA'!$H$7,'2.2 OPEX LAP 2023'!J392*'2.1 OPEX TUUA'!$H$8)</f>
        <v>0</v>
      </c>
      <c r="I391" s="3">
        <f>+IF(F391="Pasajero",'2.2 OPEX LAP 2023'!K392*'2.1 OPEX TUUA'!$I$7,'2.2 OPEX LAP 2023'!K392*'2.1 OPEX TUUA'!$I$8)</f>
        <v>0</v>
      </c>
      <c r="J391" s="3">
        <f>+IF(F391="Pasajero",'2.2 OPEX LAP 2023'!L392*'2.1 OPEX TUUA'!$J$7,'2.2 OPEX LAP 2023'!L392*'2.1 OPEX TUUA'!$J$8)</f>
        <v>0</v>
      </c>
      <c r="K391" s="3">
        <f>+IF(F391="Pasajero",'2.2 OPEX LAP 2023'!M392*'2.1 OPEX TUUA'!$K$7,'2.2 OPEX LAP 2023'!M392*'2.1 OPEX TUUA'!$K$8)</f>
        <v>0</v>
      </c>
      <c r="L391" s="3">
        <f>+IF(F391="Pasajero",'2.2 OPEX LAP 2023'!N392*'2.1 OPEX TUUA'!$L$7,'2.2 OPEX LAP 2023'!N392*'2.1 OPEX TUUA'!$L$8)</f>
        <v>0</v>
      </c>
      <c r="M391" s="3"/>
      <c r="N391" s="3">
        <f>+IF(F391="Pasajero",'2.2 OPEX LAP 2023'!I392*'2.1 OPEX TUUA'!$N$7,'2.2 OPEX LAP 2023'!I392*'2.1 OPEX TUUA'!$N$8)</f>
        <v>0</v>
      </c>
      <c r="O391" s="3">
        <f>+IF(F391="Pasajero",'2.2 OPEX LAP 2023'!J392*'2.1 OPEX TUUA'!$O$7,'2.2 OPEX LAP 2023'!J392*'2.1 OPEX TUUA'!$O$8)</f>
        <v>0</v>
      </c>
      <c r="P391" s="3">
        <f>+IF(F391="Pasajero",'2.2 OPEX LAP 2023'!K392*'2.1 OPEX TUUA'!$P$7,'2.2 OPEX LAP 2023'!K392*'2.1 OPEX TUUA'!$P$8)</f>
        <v>0</v>
      </c>
      <c r="Q391" s="3">
        <f>+IF(F391="Pasajero",'2.2 OPEX LAP 2023'!L392*'2.1 OPEX TUUA'!$Q$7,'2.2 OPEX LAP 2023'!L392*'2.1 OPEX TUUA'!$Q$8)</f>
        <v>0</v>
      </c>
      <c r="R391" s="3">
        <f>+IF(F391="Pasajero",'2.2 OPEX LAP 2023'!M392*'2.1 OPEX TUUA'!$R$7,'2.2 OPEX LAP 2023'!M392*'2.1 OPEX TUUA'!$R$8)</f>
        <v>0</v>
      </c>
      <c r="S391" s="3">
        <f>+IF(F391="Pasajero",'2.2 OPEX LAP 2023'!N392*'2.1 OPEX TUUA'!$S$7,'2.2 OPEX LAP 2023'!N392*'2.1 OPEX TUUA'!$S$8)</f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7">
        <f t="shared" si="33"/>
        <v>0</v>
      </c>
      <c r="AB391" s="7">
        <f t="shared" si="34"/>
        <v>0</v>
      </c>
      <c r="AC391" s="7">
        <f t="shared" si="35"/>
        <v>0</v>
      </c>
      <c r="AD391" s="7">
        <f t="shared" si="36"/>
        <v>0</v>
      </c>
      <c r="AE391" s="7">
        <f t="shared" si="37"/>
        <v>0</v>
      </c>
      <c r="AF391" s="7">
        <f t="shared" si="38"/>
        <v>0</v>
      </c>
    </row>
    <row r="392" spans="2:32" x14ac:dyDescent="0.25">
      <c r="B392" s="17">
        <v>6344000001</v>
      </c>
      <c r="C392" s="193" t="s">
        <v>177</v>
      </c>
      <c r="D392" s="193" t="s">
        <v>52</v>
      </c>
      <c r="E392" s="193" t="s">
        <v>83</v>
      </c>
      <c r="F392" s="163" t="s">
        <v>190</v>
      </c>
      <c r="G392" s="3">
        <f>+IF(F392="Pasajero",'2.2 OPEX LAP 2023'!I393*'2.1 OPEX TUUA'!$G$7,'2.2 OPEX LAP 2023'!I393*'2.1 OPEX TUUA'!$G$8)</f>
        <v>0</v>
      </c>
      <c r="H392" s="3">
        <f>+IF(F392="Pasajero",'2.2 OPEX LAP 2023'!J393*'2.1 OPEX TUUA'!$H$7,'2.2 OPEX LAP 2023'!J393*'2.1 OPEX TUUA'!$H$8)</f>
        <v>0</v>
      </c>
      <c r="I392" s="3">
        <f>+IF(F392="Pasajero",'2.2 OPEX LAP 2023'!K393*'2.1 OPEX TUUA'!$I$7,'2.2 OPEX LAP 2023'!K393*'2.1 OPEX TUUA'!$I$8)</f>
        <v>0</v>
      </c>
      <c r="J392" s="3">
        <f>+IF(F392="Pasajero",'2.2 OPEX LAP 2023'!L393*'2.1 OPEX TUUA'!$J$7,'2.2 OPEX LAP 2023'!L393*'2.1 OPEX TUUA'!$J$8)</f>
        <v>0</v>
      </c>
      <c r="K392" s="3">
        <f>+IF(F392="Pasajero",'2.2 OPEX LAP 2023'!M393*'2.1 OPEX TUUA'!$K$7,'2.2 OPEX LAP 2023'!M393*'2.1 OPEX TUUA'!$K$8)</f>
        <v>0</v>
      </c>
      <c r="L392" s="3">
        <f>+IF(F392="Pasajero",'2.2 OPEX LAP 2023'!N393*'2.1 OPEX TUUA'!$L$7,'2.2 OPEX LAP 2023'!N393*'2.1 OPEX TUUA'!$L$8)</f>
        <v>0</v>
      </c>
      <c r="M392" s="3"/>
      <c r="N392" s="3">
        <f>+IF(F392="Pasajero",'2.2 OPEX LAP 2023'!I393*'2.1 OPEX TUUA'!$N$7,'2.2 OPEX LAP 2023'!I393*'2.1 OPEX TUUA'!$N$8)</f>
        <v>0</v>
      </c>
      <c r="O392" s="3">
        <f>+IF(F392="Pasajero",'2.2 OPEX LAP 2023'!J393*'2.1 OPEX TUUA'!$O$7,'2.2 OPEX LAP 2023'!J393*'2.1 OPEX TUUA'!$O$8)</f>
        <v>0</v>
      </c>
      <c r="P392" s="3">
        <f>+IF(F392="Pasajero",'2.2 OPEX LAP 2023'!K393*'2.1 OPEX TUUA'!$P$7,'2.2 OPEX LAP 2023'!K393*'2.1 OPEX TUUA'!$P$8)</f>
        <v>0</v>
      </c>
      <c r="Q392" s="3">
        <f>+IF(F392="Pasajero",'2.2 OPEX LAP 2023'!L393*'2.1 OPEX TUUA'!$Q$7,'2.2 OPEX LAP 2023'!L393*'2.1 OPEX TUUA'!$Q$8)</f>
        <v>0</v>
      </c>
      <c r="R392" s="3">
        <f>+IF(F392="Pasajero",'2.2 OPEX LAP 2023'!M393*'2.1 OPEX TUUA'!$R$7,'2.2 OPEX LAP 2023'!M393*'2.1 OPEX TUUA'!$R$8)</f>
        <v>0</v>
      </c>
      <c r="S392" s="3">
        <f>+IF(F392="Pasajero",'2.2 OPEX LAP 2023'!N393*'2.1 OPEX TUUA'!$S$7,'2.2 OPEX LAP 2023'!N393*'2.1 OPEX TUUA'!$S$8)</f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7">
        <f t="shared" si="33"/>
        <v>0</v>
      </c>
      <c r="AB392" s="7">
        <f t="shared" si="34"/>
        <v>0</v>
      </c>
      <c r="AC392" s="7">
        <f t="shared" si="35"/>
        <v>0</v>
      </c>
      <c r="AD392" s="7">
        <f t="shared" si="36"/>
        <v>0</v>
      </c>
      <c r="AE392" s="7">
        <f t="shared" si="37"/>
        <v>0</v>
      </c>
      <c r="AF392" s="7">
        <f t="shared" si="38"/>
        <v>0</v>
      </c>
    </row>
    <row r="393" spans="2:32" x14ac:dyDescent="0.25">
      <c r="B393" s="17">
        <v>6344000002</v>
      </c>
      <c r="C393" s="193" t="s">
        <v>177</v>
      </c>
      <c r="D393" s="193" t="s">
        <v>52</v>
      </c>
      <c r="E393" s="193" t="s">
        <v>84</v>
      </c>
      <c r="F393" s="163" t="s">
        <v>190</v>
      </c>
      <c r="G393" s="3">
        <f>+IF(F393="Pasajero",'2.2 OPEX LAP 2023'!I394*'2.1 OPEX TUUA'!$G$7,'2.2 OPEX LAP 2023'!I394*'2.1 OPEX TUUA'!$G$8)</f>
        <v>0</v>
      </c>
      <c r="H393" s="3">
        <f>+IF(F393="Pasajero",'2.2 OPEX LAP 2023'!J394*'2.1 OPEX TUUA'!$H$7,'2.2 OPEX LAP 2023'!J394*'2.1 OPEX TUUA'!$H$8)</f>
        <v>0</v>
      </c>
      <c r="I393" s="3">
        <f>+IF(F393="Pasajero",'2.2 OPEX LAP 2023'!K394*'2.1 OPEX TUUA'!$I$7,'2.2 OPEX LAP 2023'!K394*'2.1 OPEX TUUA'!$I$8)</f>
        <v>0</v>
      </c>
      <c r="J393" s="3">
        <f>+IF(F393="Pasajero",'2.2 OPEX LAP 2023'!L394*'2.1 OPEX TUUA'!$J$7,'2.2 OPEX LAP 2023'!L394*'2.1 OPEX TUUA'!$J$8)</f>
        <v>0</v>
      </c>
      <c r="K393" s="3">
        <f>+IF(F393="Pasajero",'2.2 OPEX LAP 2023'!M394*'2.1 OPEX TUUA'!$K$7,'2.2 OPEX LAP 2023'!M394*'2.1 OPEX TUUA'!$K$8)</f>
        <v>0</v>
      </c>
      <c r="L393" s="3">
        <f>+IF(F393="Pasajero",'2.2 OPEX LAP 2023'!N394*'2.1 OPEX TUUA'!$L$7,'2.2 OPEX LAP 2023'!N394*'2.1 OPEX TUUA'!$L$8)</f>
        <v>0</v>
      </c>
      <c r="M393" s="3"/>
      <c r="N393" s="3">
        <f>+IF(F393="Pasajero",'2.2 OPEX LAP 2023'!I394*'2.1 OPEX TUUA'!$N$7,'2.2 OPEX LAP 2023'!I394*'2.1 OPEX TUUA'!$N$8)</f>
        <v>0</v>
      </c>
      <c r="O393" s="3">
        <f>+IF(F393="Pasajero",'2.2 OPEX LAP 2023'!J394*'2.1 OPEX TUUA'!$O$7,'2.2 OPEX LAP 2023'!J394*'2.1 OPEX TUUA'!$O$8)</f>
        <v>0</v>
      </c>
      <c r="P393" s="3">
        <f>+IF(F393="Pasajero",'2.2 OPEX LAP 2023'!K394*'2.1 OPEX TUUA'!$P$7,'2.2 OPEX LAP 2023'!K394*'2.1 OPEX TUUA'!$P$8)</f>
        <v>0</v>
      </c>
      <c r="Q393" s="3">
        <f>+IF(F393="Pasajero",'2.2 OPEX LAP 2023'!L394*'2.1 OPEX TUUA'!$Q$7,'2.2 OPEX LAP 2023'!L394*'2.1 OPEX TUUA'!$Q$8)</f>
        <v>0</v>
      </c>
      <c r="R393" s="3">
        <f>+IF(F393="Pasajero",'2.2 OPEX LAP 2023'!M394*'2.1 OPEX TUUA'!$R$7,'2.2 OPEX LAP 2023'!M394*'2.1 OPEX TUUA'!$R$8)</f>
        <v>0</v>
      </c>
      <c r="S393" s="3">
        <f>+IF(F393="Pasajero",'2.2 OPEX LAP 2023'!N394*'2.1 OPEX TUUA'!$S$7,'2.2 OPEX LAP 2023'!N394*'2.1 OPEX TUUA'!$S$8)</f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7">
        <f t="shared" si="33"/>
        <v>0</v>
      </c>
      <c r="AB393" s="7">
        <f t="shared" si="34"/>
        <v>0</v>
      </c>
      <c r="AC393" s="7">
        <f t="shared" si="35"/>
        <v>0</v>
      </c>
      <c r="AD393" s="7">
        <f t="shared" si="36"/>
        <v>0</v>
      </c>
      <c r="AE393" s="7">
        <f t="shared" si="37"/>
        <v>0</v>
      </c>
      <c r="AF393" s="7">
        <f t="shared" si="38"/>
        <v>0</v>
      </c>
    </row>
    <row r="394" spans="2:32" x14ac:dyDescent="0.25">
      <c r="B394" s="17">
        <v>6344000003</v>
      </c>
      <c r="C394" s="193" t="s">
        <v>177</v>
      </c>
      <c r="D394" s="193" t="s">
        <v>52</v>
      </c>
      <c r="E394" s="193" t="s">
        <v>85</v>
      </c>
      <c r="F394" s="163" t="s">
        <v>190</v>
      </c>
      <c r="G394" s="3">
        <f>+IF(F394="Pasajero",'2.2 OPEX LAP 2023'!I395*'2.1 OPEX TUUA'!$G$7,'2.2 OPEX LAP 2023'!I395*'2.1 OPEX TUUA'!$G$8)</f>
        <v>0</v>
      </c>
      <c r="H394" s="3">
        <f>+IF(F394="Pasajero",'2.2 OPEX LAP 2023'!J395*'2.1 OPEX TUUA'!$H$7,'2.2 OPEX LAP 2023'!J395*'2.1 OPEX TUUA'!$H$8)</f>
        <v>0</v>
      </c>
      <c r="I394" s="3">
        <f>+IF(F394="Pasajero",'2.2 OPEX LAP 2023'!K395*'2.1 OPEX TUUA'!$I$7,'2.2 OPEX LAP 2023'!K395*'2.1 OPEX TUUA'!$I$8)</f>
        <v>0</v>
      </c>
      <c r="J394" s="3">
        <f>+IF(F394="Pasajero",'2.2 OPEX LAP 2023'!L395*'2.1 OPEX TUUA'!$J$7,'2.2 OPEX LAP 2023'!L395*'2.1 OPEX TUUA'!$J$8)</f>
        <v>0</v>
      </c>
      <c r="K394" s="3">
        <f>+IF(F394="Pasajero",'2.2 OPEX LAP 2023'!M395*'2.1 OPEX TUUA'!$K$7,'2.2 OPEX LAP 2023'!M395*'2.1 OPEX TUUA'!$K$8)</f>
        <v>0</v>
      </c>
      <c r="L394" s="3">
        <f>+IF(F394="Pasajero",'2.2 OPEX LAP 2023'!N395*'2.1 OPEX TUUA'!$L$7,'2.2 OPEX LAP 2023'!N395*'2.1 OPEX TUUA'!$L$8)</f>
        <v>0</v>
      </c>
      <c r="M394" s="3"/>
      <c r="N394" s="3">
        <f>+IF(F394="Pasajero",'2.2 OPEX LAP 2023'!I395*'2.1 OPEX TUUA'!$N$7,'2.2 OPEX LAP 2023'!I395*'2.1 OPEX TUUA'!$N$8)</f>
        <v>0</v>
      </c>
      <c r="O394" s="3">
        <f>+IF(F394="Pasajero",'2.2 OPEX LAP 2023'!J395*'2.1 OPEX TUUA'!$O$7,'2.2 OPEX LAP 2023'!J395*'2.1 OPEX TUUA'!$O$8)</f>
        <v>0</v>
      </c>
      <c r="P394" s="3">
        <f>+IF(F394="Pasajero",'2.2 OPEX LAP 2023'!K395*'2.1 OPEX TUUA'!$P$7,'2.2 OPEX LAP 2023'!K395*'2.1 OPEX TUUA'!$P$8)</f>
        <v>0</v>
      </c>
      <c r="Q394" s="3">
        <f>+IF(F394="Pasajero",'2.2 OPEX LAP 2023'!L395*'2.1 OPEX TUUA'!$Q$7,'2.2 OPEX LAP 2023'!L395*'2.1 OPEX TUUA'!$Q$8)</f>
        <v>0</v>
      </c>
      <c r="R394" s="3">
        <f>+IF(F394="Pasajero",'2.2 OPEX LAP 2023'!M395*'2.1 OPEX TUUA'!$R$7,'2.2 OPEX LAP 2023'!M395*'2.1 OPEX TUUA'!$R$8)</f>
        <v>0</v>
      </c>
      <c r="S394" s="3">
        <f>+IF(F394="Pasajero",'2.2 OPEX LAP 2023'!N395*'2.1 OPEX TUUA'!$S$7,'2.2 OPEX LAP 2023'!N395*'2.1 OPEX TUUA'!$S$8)</f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7">
        <f t="shared" si="33"/>
        <v>0</v>
      </c>
      <c r="AB394" s="7">
        <f t="shared" si="34"/>
        <v>0</v>
      </c>
      <c r="AC394" s="7">
        <f t="shared" si="35"/>
        <v>0</v>
      </c>
      <c r="AD394" s="7">
        <f t="shared" si="36"/>
        <v>0</v>
      </c>
      <c r="AE394" s="7">
        <f t="shared" si="37"/>
        <v>0</v>
      </c>
      <c r="AF394" s="7">
        <f t="shared" si="38"/>
        <v>0</v>
      </c>
    </row>
    <row r="395" spans="2:32" x14ac:dyDescent="0.25">
      <c r="B395" s="17">
        <v>6345000001</v>
      </c>
      <c r="C395" s="193" t="s">
        <v>177</v>
      </c>
      <c r="D395" s="193" t="s">
        <v>52</v>
      </c>
      <c r="E395" s="193" t="s">
        <v>86</v>
      </c>
      <c r="F395" s="163" t="s">
        <v>190</v>
      </c>
      <c r="G395" s="3">
        <f>+IF(F395="Pasajero",'2.2 OPEX LAP 2023'!I396*'2.1 OPEX TUUA'!$G$7,'2.2 OPEX LAP 2023'!I396*'2.1 OPEX TUUA'!$G$8)</f>
        <v>0</v>
      </c>
      <c r="H395" s="3">
        <f>+IF(F395="Pasajero",'2.2 OPEX LAP 2023'!J396*'2.1 OPEX TUUA'!$H$7,'2.2 OPEX LAP 2023'!J396*'2.1 OPEX TUUA'!$H$8)</f>
        <v>0</v>
      </c>
      <c r="I395" s="3">
        <f>+IF(F395="Pasajero",'2.2 OPEX LAP 2023'!K396*'2.1 OPEX TUUA'!$I$7,'2.2 OPEX LAP 2023'!K396*'2.1 OPEX TUUA'!$I$8)</f>
        <v>0</v>
      </c>
      <c r="J395" s="3">
        <f>+IF(F395="Pasajero",'2.2 OPEX LAP 2023'!L396*'2.1 OPEX TUUA'!$J$7,'2.2 OPEX LAP 2023'!L396*'2.1 OPEX TUUA'!$J$8)</f>
        <v>0</v>
      </c>
      <c r="K395" s="3">
        <f>+IF(F395="Pasajero",'2.2 OPEX LAP 2023'!M396*'2.1 OPEX TUUA'!$K$7,'2.2 OPEX LAP 2023'!M396*'2.1 OPEX TUUA'!$K$8)</f>
        <v>0</v>
      </c>
      <c r="L395" s="3">
        <f>+IF(F395="Pasajero",'2.2 OPEX LAP 2023'!N396*'2.1 OPEX TUUA'!$L$7,'2.2 OPEX LAP 2023'!N396*'2.1 OPEX TUUA'!$L$8)</f>
        <v>0</v>
      </c>
      <c r="M395" s="3"/>
      <c r="N395" s="3">
        <f>+IF(F395="Pasajero",'2.2 OPEX LAP 2023'!I396*'2.1 OPEX TUUA'!$N$7,'2.2 OPEX LAP 2023'!I396*'2.1 OPEX TUUA'!$N$8)</f>
        <v>0</v>
      </c>
      <c r="O395" s="3">
        <f>+IF(F395="Pasajero",'2.2 OPEX LAP 2023'!J396*'2.1 OPEX TUUA'!$O$7,'2.2 OPEX LAP 2023'!J396*'2.1 OPEX TUUA'!$O$8)</f>
        <v>0</v>
      </c>
      <c r="P395" s="3">
        <f>+IF(F395="Pasajero",'2.2 OPEX LAP 2023'!K396*'2.1 OPEX TUUA'!$P$7,'2.2 OPEX LAP 2023'!K396*'2.1 OPEX TUUA'!$P$8)</f>
        <v>0</v>
      </c>
      <c r="Q395" s="3">
        <f>+IF(F395="Pasajero",'2.2 OPEX LAP 2023'!L396*'2.1 OPEX TUUA'!$Q$7,'2.2 OPEX LAP 2023'!L396*'2.1 OPEX TUUA'!$Q$8)</f>
        <v>0</v>
      </c>
      <c r="R395" s="3">
        <f>+IF(F395="Pasajero",'2.2 OPEX LAP 2023'!M396*'2.1 OPEX TUUA'!$R$7,'2.2 OPEX LAP 2023'!M396*'2.1 OPEX TUUA'!$R$8)</f>
        <v>0</v>
      </c>
      <c r="S395" s="3">
        <f>+IF(F395="Pasajero",'2.2 OPEX LAP 2023'!N396*'2.1 OPEX TUUA'!$S$7,'2.2 OPEX LAP 2023'!N396*'2.1 OPEX TUUA'!$S$8)</f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7">
        <f t="shared" si="33"/>
        <v>0</v>
      </c>
      <c r="AB395" s="7">
        <f t="shared" si="34"/>
        <v>0</v>
      </c>
      <c r="AC395" s="7">
        <f t="shared" si="35"/>
        <v>0</v>
      </c>
      <c r="AD395" s="7">
        <f t="shared" si="36"/>
        <v>0</v>
      </c>
      <c r="AE395" s="7">
        <f t="shared" si="37"/>
        <v>0</v>
      </c>
      <c r="AF395" s="7">
        <f t="shared" si="38"/>
        <v>0</v>
      </c>
    </row>
    <row r="396" spans="2:32" x14ac:dyDescent="0.25">
      <c r="B396" s="17">
        <v>6346000001</v>
      </c>
      <c r="C396" s="193" t="s">
        <v>177</v>
      </c>
      <c r="D396" s="193" t="s">
        <v>52</v>
      </c>
      <c r="E396" s="193" t="s">
        <v>87</v>
      </c>
      <c r="F396" s="163" t="s">
        <v>190</v>
      </c>
      <c r="G396" s="3">
        <f>+IF(F396="Pasajero",'2.2 OPEX LAP 2023'!I397*'2.1 OPEX TUUA'!$G$7,'2.2 OPEX LAP 2023'!I397*'2.1 OPEX TUUA'!$G$8)</f>
        <v>0</v>
      </c>
      <c r="H396" s="3">
        <f>+IF(F396="Pasajero",'2.2 OPEX LAP 2023'!J397*'2.1 OPEX TUUA'!$H$7,'2.2 OPEX LAP 2023'!J397*'2.1 OPEX TUUA'!$H$8)</f>
        <v>0</v>
      </c>
      <c r="I396" s="3">
        <f>+IF(F396="Pasajero",'2.2 OPEX LAP 2023'!K397*'2.1 OPEX TUUA'!$I$7,'2.2 OPEX LAP 2023'!K397*'2.1 OPEX TUUA'!$I$8)</f>
        <v>0</v>
      </c>
      <c r="J396" s="3">
        <f>+IF(F396="Pasajero",'2.2 OPEX LAP 2023'!L397*'2.1 OPEX TUUA'!$J$7,'2.2 OPEX LAP 2023'!L397*'2.1 OPEX TUUA'!$J$8)</f>
        <v>0</v>
      </c>
      <c r="K396" s="3">
        <f>+IF(F396="Pasajero",'2.2 OPEX LAP 2023'!M397*'2.1 OPEX TUUA'!$K$7,'2.2 OPEX LAP 2023'!M397*'2.1 OPEX TUUA'!$K$8)</f>
        <v>0</v>
      </c>
      <c r="L396" s="3">
        <f>+IF(F396="Pasajero",'2.2 OPEX LAP 2023'!N397*'2.1 OPEX TUUA'!$L$7,'2.2 OPEX LAP 2023'!N397*'2.1 OPEX TUUA'!$L$8)</f>
        <v>0</v>
      </c>
      <c r="M396" s="3"/>
      <c r="N396" s="3">
        <f>+IF(F396="Pasajero",'2.2 OPEX LAP 2023'!I397*'2.1 OPEX TUUA'!$N$7,'2.2 OPEX LAP 2023'!I397*'2.1 OPEX TUUA'!$N$8)</f>
        <v>0</v>
      </c>
      <c r="O396" s="3">
        <f>+IF(F396="Pasajero",'2.2 OPEX LAP 2023'!J397*'2.1 OPEX TUUA'!$O$7,'2.2 OPEX LAP 2023'!J397*'2.1 OPEX TUUA'!$O$8)</f>
        <v>0</v>
      </c>
      <c r="P396" s="3">
        <f>+IF(F396="Pasajero",'2.2 OPEX LAP 2023'!K397*'2.1 OPEX TUUA'!$P$7,'2.2 OPEX LAP 2023'!K397*'2.1 OPEX TUUA'!$P$8)</f>
        <v>0</v>
      </c>
      <c r="Q396" s="3">
        <f>+IF(F396="Pasajero",'2.2 OPEX LAP 2023'!L397*'2.1 OPEX TUUA'!$Q$7,'2.2 OPEX LAP 2023'!L397*'2.1 OPEX TUUA'!$Q$8)</f>
        <v>0</v>
      </c>
      <c r="R396" s="3">
        <f>+IF(F396="Pasajero",'2.2 OPEX LAP 2023'!M397*'2.1 OPEX TUUA'!$R$7,'2.2 OPEX LAP 2023'!M397*'2.1 OPEX TUUA'!$R$8)</f>
        <v>0</v>
      </c>
      <c r="S396" s="3">
        <f>+IF(F396="Pasajero",'2.2 OPEX LAP 2023'!N397*'2.1 OPEX TUUA'!$S$7,'2.2 OPEX LAP 2023'!N397*'2.1 OPEX TUUA'!$S$8)</f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7">
        <f t="shared" si="33"/>
        <v>0</v>
      </c>
      <c r="AB396" s="7">
        <f t="shared" si="34"/>
        <v>0</v>
      </c>
      <c r="AC396" s="7">
        <f t="shared" si="35"/>
        <v>0</v>
      </c>
      <c r="AD396" s="7">
        <f t="shared" si="36"/>
        <v>0</v>
      </c>
      <c r="AE396" s="7">
        <f t="shared" si="37"/>
        <v>0</v>
      </c>
      <c r="AF396" s="7">
        <f t="shared" si="38"/>
        <v>0</v>
      </c>
    </row>
    <row r="397" spans="2:32" x14ac:dyDescent="0.25">
      <c r="B397" s="17">
        <v>6347000001</v>
      </c>
      <c r="C397" s="193" t="s">
        <v>177</v>
      </c>
      <c r="D397" s="193" t="s">
        <v>52</v>
      </c>
      <c r="E397" s="193" t="s">
        <v>88</v>
      </c>
      <c r="F397" s="163" t="s">
        <v>190</v>
      </c>
      <c r="G397" s="3">
        <f>+IF(F397="Pasajero",'2.2 OPEX LAP 2023'!I398*'2.1 OPEX TUUA'!$G$7,'2.2 OPEX LAP 2023'!I398*'2.1 OPEX TUUA'!$G$8)</f>
        <v>84633.422519948319</v>
      </c>
      <c r="H397" s="3">
        <f>+IF(F397="Pasajero",'2.2 OPEX LAP 2023'!J398*'2.1 OPEX TUUA'!$H$7,'2.2 OPEX LAP 2023'!J398*'2.1 OPEX TUUA'!$H$8)</f>
        <v>97085.972365206428</v>
      </c>
      <c r="I397" s="3">
        <f>+IF(F397="Pasajero",'2.2 OPEX LAP 2023'!K398*'2.1 OPEX TUUA'!$I$7,'2.2 OPEX LAP 2023'!K398*'2.1 OPEX TUUA'!$I$8)</f>
        <v>107329.9655353566</v>
      </c>
      <c r="J397" s="3">
        <f>+IF(F397="Pasajero",'2.2 OPEX LAP 2023'!L398*'2.1 OPEX TUUA'!$J$7,'2.2 OPEX LAP 2023'!L398*'2.1 OPEX TUUA'!$J$8)</f>
        <v>111850.55987469964</v>
      </c>
      <c r="K397" s="3">
        <f>+IF(F397="Pasajero",'2.2 OPEX LAP 2023'!M398*'2.1 OPEX TUUA'!$K$7,'2.2 OPEX LAP 2023'!M398*'2.1 OPEX TUUA'!$K$8)</f>
        <v>114352.65951305391</v>
      </c>
      <c r="L397" s="3">
        <f>+IF(F397="Pasajero",'2.2 OPEX LAP 2023'!N398*'2.1 OPEX TUUA'!$L$7,'2.2 OPEX LAP 2023'!N398*'2.1 OPEX TUUA'!$L$8)</f>
        <v>117406.6304636603</v>
      </c>
      <c r="M397" s="3"/>
      <c r="N397" s="3">
        <f>+IF(F397="Pasajero",'2.2 OPEX LAP 2023'!I398*'2.1 OPEX TUUA'!$N$7,'2.2 OPEX LAP 2023'!I398*'2.1 OPEX TUUA'!$N$8)</f>
        <v>41742.661706832485</v>
      </c>
      <c r="O397" s="3">
        <f>+IF(F397="Pasajero",'2.2 OPEX LAP 2023'!J398*'2.1 OPEX TUUA'!$O$7,'2.2 OPEX LAP 2023'!J398*'2.1 OPEX TUUA'!$O$8)</f>
        <v>40209.439497124629</v>
      </c>
      <c r="P397" s="3">
        <f>+IF(F397="Pasajero",'2.2 OPEX LAP 2023'!K398*'2.1 OPEX TUUA'!$P$7,'2.2 OPEX LAP 2023'!K398*'2.1 OPEX TUUA'!$P$8)</f>
        <v>39296.578210619242</v>
      </c>
      <c r="Q397" s="3">
        <f>+IF(F397="Pasajero",'2.2 OPEX LAP 2023'!L398*'2.1 OPEX TUUA'!$Q$7,'2.2 OPEX LAP 2023'!L398*'2.1 OPEX TUUA'!$Q$8)</f>
        <v>38399.516440299994</v>
      </c>
      <c r="R397" s="3">
        <f>+IF(F397="Pasajero",'2.2 OPEX LAP 2023'!M398*'2.1 OPEX TUUA'!$R$7,'2.2 OPEX LAP 2023'!M398*'2.1 OPEX TUUA'!$R$8)</f>
        <v>37913.117501467023</v>
      </c>
      <c r="S397" s="3">
        <f>+IF(F397="Pasajero",'2.2 OPEX LAP 2023'!N398*'2.1 OPEX TUUA'!$S$7,'2.2 OPEX LAP 2023'!N398*'2.1 OPEX TUUA'!$S$8)</f>
        <v>37316.01157110263</v>
      </c>
      <c r="U397" s="1">
        <v>86232.575398664601</v>
      </c>
      <c r="V397" s="1">
        <v>98920.41681478775</v>
      </c>
      <c r="W397" s="1">
        <v>109357.97076364489</v>
      </c>
      <c r="X397" s="1">
        <v>113963.98196592483</v>
      </c>
      <c r="Y397" s="1">
        <v>116513.35890585066</v>
      </c>
      <c r="Z397" s="1">
        <v>119625.03479490531</v>
      </c>
      <c r="AA397" s="7">
        <f t="shared" si="33"/>
        <v>-1599.1528787162824</v>
      </c>
      <c r="AB397" s="7">
        <f t="shared" si="34"/>
        <v>-1834.4444495813223</v>
      </c>
      <c r="AC397" s="7">
        <f t="shared" si="35"/>
        <v>-2028.0052282882825</v>
      </c>
      <c r="AD397" s="7">
        <f t="shared" si="36"/>
        <v>-2113.4220912251913</v>
      </c>
      <c r="AE397" s="7">
        <f t="shared" si="37"/>
        <v>-2160.699392796756</v>
      </c>
      <c r="AF397" s="7">
        <f t="shared" si="38"/>
        <v>-2218.4043312450085</v>
      </c>
    </row>
    <row r="398" spans="2:32" x14ac:dyDescent="0.25">
      <c r="B398" s="17">
        <v>6348000001</v>
      </c>
      <c r="C398" s="193" t="s">
        <v>177</v>
      </c>
      <c r="D398" s="193" t="s">
        <v>52</v>
      </c>
      <c r="E398" s="193" t="s">
        <v>89</v>
      </c>
      <c r="F398" s="163" t="s">
        <v>190</v>
      </c>
      <c r="G398" s="3">
        <f>+IF(F398="Pasajero",'2.2 OPEX LAP 2023'!I399*'2.1 OPEX TUUA'!$G$7,'2.2 OPEX LAP 2023'!I399*'2.1 OPEX TUUA'!$G$8)</f>
        <v>746.94511066773191</v>
      </c>
      <c r="H398" s="3">
        <f>+IF(F398="Pasajero",'2.2 OPEX LAP 2023'!J399*'2.1 OPEX TUUA'!$H$7,'2.2 OPEX LAP 2023'!J399*'2.1 OPEX TUUA'!$H$8)</f>
        <v>856.84697857422498</v>
      </c>
      <c r="I398" s="3">
        <f>+IF(F398="Pasajero",'2.2 OPEX LAP 2023'!K399*'2.1 OPEX TUUA'!$I$7,'2.2 OPEX LAP 2023'!K399*'2.1 OPEX TUUA'!$I$8)</f>
        <v>947.25689447185732</v>
      </c>
      <c r="J398" s="3">
        <f>+IF(F398="Pasajero",'2.2 OPEX LAP 2023'!L399*'2.1 OPEX TUUA'!$J$7,'2.2 OPEX LAP 2023'!L399*'2.1 OPEX TUUA'!$J$8)</f>
        <v>987.15408565880978</v>
      </c>
      <c r="K398" s="3">
        <f>+IF(F398="Pasajero",'2.2 OPEX LAP 2023'!M399*'2.1 OPEX TUUA'!$K$7,'2.2 OPEX LAP 2023'!M399*'2.1 OPEX TUUA'!$K$8)</f>
        <v>1009.2367456248735</v>
      </c>
      <c r="L398" s="3">
        <f>+IF(F398="Pasajero",'2.2 OPEX LAP 2023'!N399*'2.1 OPEX TUUA'!$L$7,'2.2 OPEX LAP 2023'!N399*'2.1 OPEX TUUA'!$L$8)</f>
        <v>1036.1900295847543</v>
      </c>
      <c r="M398" s="3"/>
      <c r="N398" s="3">
        <f>+IF(F398="Pasajero",'2.2 OPEX LAP 2023'!I399*'2.1 OPEX TUUA'!$N$7,'2.2 OPEX LAP 2023'!I399*'2.1 OPEX TUUA'!$N$8)</f>
        <v>368.40619391029122</v>
      </c>
      <c r="O398" s="3">
        <f>+IF(F398="Pasajero",'2.2 OPEX LAP 2023'!J399*'2.1 OPEX TUUA'!$O$7,'2.2 OPEX LAP 2023'!J399*'2.1 OPEX TUUA'!$O$8)</f>
        <v>354.87450868465208</v>
      </c>
      <c r="P398" s="3">
        <f>+IF(F398="Pasajero",'2.2 OPEX LAP 2023'!K399*'2.1 OPEX TUUA'!$P$7,'2.2 OPEX LAP 2023'!K399*'2.1 OPEX TUUA'!$P$8)</f>
        <v>346.81791290522062</v>
      </c>
      <c r="Q398" s="3">
        <f>+IF(F398="Pasajero",'2.2 OPEX LAP 2023'!L399*'2.1 OPEX TUUA'!$Q$7,'2.2 OPEX LAP 2023'!L399*'2.1 OPEX TUUA'!$Q$8)</f>
        <v>338.90075815292442</v>
      </c>
      <c r="R398" s="3">
        <f>+IF(F398="Pasajero",'2.2 OPEX LAP 2023'!M399*'2.1 OPEX TUUA'!$R$7,'2.2 OPEX LAP 2023'!M399*'2.1 OPEX TUUA'!$R$8)</f>
        <v>334.60797052390433</v>
      </c>
      <c r="S398" s="3">
        <f>+IF(F398="Pasajero",'2.2 OPEX LAP 2023'!N399*'2.1 OPEX TUUA'!$S$7,'2.2 OPEX LAP 2023'!N399*'2.1 OPEX TUUA'!$S$8)</f>
        <v>329.33812154513635</v>
      </c>
      <c r="U398" s="1">
        <v>761.05867701542172</v>
      </c>
      <c r="V398" s="1">
        <v>873.0371463780067</v>
      </c>
      <c r="W398" s="1">
        <v>965.15536229432394</v>
      </c>
      <c r="X398" s="1">
        <v>1005.8064129642044</v>
      </c>
      <c r="Y398" s="1">
        <v>1028.3063259279963</v>
      </c>
      <c r="Z398" s="1">
        <v>1055.7688935768965</v>
      </c>
      <c r="AA398" s="7">
        <f t="shared" si="33"/>
        <v>-14.113566347689812</v>
      </c>
      <c r="AB398" s="7">
        <f t="shared" si="34"/>
        <v>-16.190167803781719</v>
      </c>
      <c r="AC398" s="7">
        <f t="shared" si="35"/>
        <v>-17.898467822466614</v>
      </c>
      <c r="AD398" s="7">
        <f t="shared" si="36"/>
        <v>-18.652327305394579</v>
      </c>
      <c r="AE398" s="7">
        <f t="shared" si="37"/>
        <v>-19.069580303122848</v>
      </c>
      <c r="AF398" s="7">
        <f t="shared" si="38"/>
        <v>-19.57886399214226</v>
      </c>
    </row>
    <row r="399" spans="2:32" x14ac:dyDescent="0.25">
      <c r="B399" s="17">
        <v>6354000001</v>
      </c>
      <c r="C399" s="193" t="s">
        <v>177</v>
      </c>
      <c r="D399" s="193" t="s">
        <v>40</v>
      </c>
      <c r="E399" s="193" t="s">
        <v>90</v>
      </c>
      <c r="F399" s="163" t="s">
        <v>190</v>
      </c>
      <c r="G399" s="3">
        <f>+IF(F399="Pasajero",'2.2 OPEX LAP 2023'!I400*'2.1 OPEX TUUA'!$G$7,'2.2 OPEX LAP 2023'!I400*'2.1 OPEX TUUA'!$G$8)</f>
        <v>17907.884199420198</v>
      </c>
      <c r="H399" s="3">
        <f>+IF(F399="Pasajero",'2.2 OPEX LAP 2023'!J400*'2.1 OPEX TUUA'!$H$7,'2.2 OPEX LAP 2023'!J400*'2.1 OPEX TUUA'!$H$8)</f>
        <v>20542.763115770638</v>
      </c>
      <c r="I399" s="3">
        <f>+IF(F399="Pasajero",'2.2 OPEX LAP 2023'!K400*'2.1 OPEX TUUA'!$I$7,'2.2 OPEX LAP 2023'!K400*'2.1 OPEX TUUA'!$I$8)</f>
        <v>22710.325740187269</v>
      </c>
      <c r="J399" s="3">
        <f>+IF(F399="Pasajero",'2.2 OPEX LAP 2023'!L400*'2.1 OPEX TUUA'!$J$7,'2.2 OPEX LAP 2023'!L400*'2.1 OPEX TUUA'!$J$8)</f>
        <v>23666.854231309419</v>
      </c>
      <c r="K399" s="3">
        <f>+IF(F399="Pasajero",'2.2 OPEX LAP 2023'!M400*'2.1 OPEX TUUA'!$K$7,'2.2 OPEX LAP 2023'!M400*'2.1 OPEX TUUA'!$K$8)</f>
        <v>24196.282313560238</v>
      </c>
      <c r="L399" s="3">
        <f>+IF(F399="Pasajero",'2.2 OPEX LAP 2023'!N400*'2.1 OPEX TUUA'!$L$7,'2.2 OPEX LAP 2023'!N400*'2.1 OPEX TUUA'!$L$8)</f>
        <v>24842.482792088231</v>
      </c>
      <c r="M399" s="3"/>
      <c r="N399" s="3">
        <f>+IF(F399="Pasajero",'2.2 OPEX LAP 2023'!I400*'2.1 OPEX TUUA'!$N$7,'2.2 OPEX LAP 2023'!I400*'2.1 OPEX TUUA'!$N$8)</f>
        <v>8832.4769312659555</v>
      </c>
      <c r="O399" s="3">
        <f>+IF(F399="Pasajero",'2.2 OPEX LAP 2023'!J400*'2.1 OPEX TUUA'!$O$7,'2.2 OPEX LAP 2023'!J400*'2.1 OPEX TUUA'!$O$8)</f>
        <v>8508.0570393851103</v>
      </c>
      <c r="P399" s="3">
        <f>+IF(F399="Pasajero",'2.2 OPEX LAP 2023'!K400*'2.1 OPEX TUUA'!$P$7,'2.2 OPEX LAP 2023'!K400*'2.1 OPEX TUUA'!$P$8)</f>
        <v>8314.901501984752</v>
      </c>
      <c r="Q399" s="3">
        <f>+IF(F399="Pasajero",'2.2 OPEX LAP 2023'!L400*'2.1 OPEX TUUA'!$Q$7,'2.2 OPEX LAP 2023'!L400*'2.1 OPEX TUUA'!$Q$8)</f>
        <v>8125.0890399066948</v>
      </c>
      <c r="R399" s="3">
        <f>+IF(F399="Pasajero",'2.2 OPEX LAP 2023'!M400*'2.1 OPEX TUUA'!$R$7,'2.2 OPEX LAP 2023'!M400*'2.1 OPEX TUUA'!$R$8)</f>
        <v>8022.1701739079963</v>
      </c>
      <c r="S399" s="3">
        <f>+IF(F399="Pasajero",'2.2 OPEX LAP 2023'!N400*'2.1 OPEX TUUA'!$S$7,'2.2 OPEX LAP 2023'!N400*'2.1 OPEX TUUA'!$S$8)</f>
        <v>7895.8264253347634</v>
      </c>
      <c r="U399" s="1">
        <v>18246.254593958725</v>
      </c>
      <c r="V399" s="1">
        <v>20930.919683179083</v>
      </c>
      <c r="W399" s="1">
        <v>23139.438515054022</v>
      </c>
      <c r="X399" s="1">
        <v>24114.040661295006</v>
      </c>
      <c r="Y399" s="1">
        <v>24653.472314435385</v>
      </c>
      <c r="Z399" s="1">
        <v>25311.882784296558</v>
      </c>
      <c r="AA399" s="7">
        <f t="shared" ref="AA399:AA462" si="39">+G399-U399</f>
        <v>-338.37039453852776</v>
      </c>
      <c r="AB399" s="7">
        <f t="shared" ref="AB399:AB462" si="40">+H399-V399</f>
        <v>-388.15656740844497</v>
      </c>
      <c r="AC399" s="7">
        <f t="shared" ref="AC399:AC462" si="41">+I399-W399</f>
        <v>-429.11277486675317</v>
      </c>
      <c r="AD399" s="7">
        <f t="shared" ref="AD399:AD462" si="42">+J399-X399</f>
        <v>-447.18642998558789</v>
      </c>
      <c r="AE399" s="7">
        <f t="shared" ref="AE399:AE462" si="43">+K399-Y399</f>
        <v>-457.19000087514723</v>
      </c>
      <c r="AF399" s="7">
        <f t="shared" ref="AF399:AF462" si="44">+L399-Z399</f>
        <v>-469.3999922083276</v>
      </c>
    </row>
    <row r="400" spans="2:32" x14ac:dyDescent="0.25">
      <c r="B400" s="17">
        <v>6356000001</v>
      </c>
      <c r="C400" s="193" t="s">
        <v>177</v>
      </c>
      <c r="D400" s="193" t="s">
        <v>40</v>
      </c>
      <c r="E400" s="193" t="s">
        <v>91</v>
      </c>
      <c r="F400" s="163" t="s">
        <v>190</v>
      </c>
      <c r="G400" s="3">
        <f>+IF(F400="Pasajero",'2.2 OPEX LAP 2023'!I401*'2.1 OPEX TUUA'!$G$7,'2.2 OPEX LAP 2023'!I401*'2.1 OPEX TUUA'!$G$8)</f>
        <v>17925.501712736979</v>
      </c>
      <c r="H400" s="3">
        <f>+IF(F400="Pasajero",'2.2 OPEX LAP 2023'!J401*'2.1 OPEX TUUA'!$H$7,'2.2 OPEX LAP 2023'!J401*'2.1 OPEX TUUA'!$H$8)</f>
        <v>20562.972784245449</v>
      </c>
      <c r="I400" s="3">
        <f>+IF(F400="Pasajero",'2.2 OPEX LAP 2023'!K401*'2.1 OPEX TUUA'!$I$7,'2.2 OPEX LAP 2023'!K401*'2.1 OPEX TUUA'!$I$8)</f>
        <v>22732.667824919372</v>
      </c>
      <c r="J400" s="3">
        <f>+IF(F400="Pasajero",'2.2 OPEX LAP 2023'!L401*'2.1 OPEX TUUA'!$J$7,'2.2 OPEX LAP 2023'!L401*'2.1 OPEX TUUA'!$J$8)</f>
        <v>23690.137334714782</v>
      </c>
      <c r="K400" s="3">
        <f>+IF(F400="Pasajero",'2.2 OPEX LAP 2023'!M401*'2.1 OPEX TUUA'!$K$7,'2.2 OPEX LAP 2023'!M401*'2.1 OPEX TUUA'!$K$8)</f>
        <v>24220.086260532906</v>
      </c>
      <c r="L400" s="3">
        <f>+IF(F400="Pasajero",'2.2 OPEX LAP 2023'!N401*'2.1 OPEX TUUA'!$L$7,'2.2 OPEX LAP 2023'!N401*'2.1 OPEX TUUA'!$L$8)</f>
        <v>24866.922461595677</v>
      </c>
      <c r="M400" s="3"/>
      <c r="N400" s="3">
        <f>+IF(F400="Pasajero",'2.2 OPEX LAP 2023'!I401*'2.1 OPEX TUUA'!$N$7,'2.2 OPEX LAP 2023'!I401*'2.1 OPEX TUUA'!$N$8)</f>
        <v>8841.1661922765761</v>
      </c>
      <c r="O400" s="3">
        <f>+IF(F400="Pasajero",'2.2 OPEX LAP 2023'!J401*'2.1 OPEX TUUA'!$O$7,'2.2 OPEX LAP 2023'!J401*'2.1 OPEX TUUA'!$O$8)</f>
        <v>8516.4271408734894</v>
      </c>
      <c r="P400" s="3">
        <f>+IF(F400="Pasajero",'2.2 OPEX LAP 2023'!K401*'2.1 OPEX TUUA'!$P$7,'2.2 OPEX LAP 2023'!K401*'2.1 OPEX TUUA'!$P$8)</f>
        <v>8323.081579893882</v>
      </c>
      <c r="Q400" s="3">
        <f>+IF(F400="Pasajero",'2.2 OPEX LAP 2023'!L401*'2.1 OPEX TUUA'!$Q$7,'2.2 OPEX LAP 2023'!L401*'2.1 OPEX TUUA'!$Q$8)</f>
        <v>8133.0823831049502</v>
      </c>
      <c r="R400" s="3">
        <f>+IF(F400="Pasajero",'2.2 OPEX LAP 2023'!M401*'2.1 OPEX TUUA'!$R$7,'2.2 OPEX LAP 2023'!M401*'2.1 OPEX TUUA'!$R$8)</f>
        <v>8030.0622670382872</v>
      </c>
      <c r="S400" s="3">
        <f>+IF(F400="Pasajero",'2.2 OPEX LAP 2023'!N401*'2.1 OPEX TUUA'!$S$7,'2.2 OPEX LAP 2023'!N401*'2.1 OPEX TUUA'!$S$8)</f>
        <v>7903.5942233418455</v>
      </c>
      <c r="U400" s="1">
        <v>18264.204991097256</v>
      </c>
      <c r="V400" s="1">
        <v>20951.511214380895</v>
      </c>
      <c r="W400" s="1">
        <v>23162.202754628172</v>
      </c>
      <c r="X400" s="1">
        <v>24137.763700138727</v>
      </c>
      <c r="Y400" s="1">
        <v>24677.726038212451</v>
      </c>
      <c r="Z400" s="1">
        <v>25336.784242618451</v>
      </c>
      <c r="AA400" s="7">
        <f t="shared" si="39"/>
        <v>-338.70327836027718</v>
      </c>
      <c r="AB400" s="7">
        <f t="shared" si="40"/>
        <v>-388.53843013544611</v>
      </c>
      <c r="AC400" s="7">
        <f t="shared" si="41"/>
        <v>-429.53492970879961</v>
      </c>
      <c r="AD400" s="7">
        <f t="shared" si="42"/>
        <v>-447.62636542394466</v>
      </c>
      <c r="AE400" s="7">
        <f t="shared" si="43"/>
        <v>-457.63977767954566</v>
      </c>
      <c r="AF400" s="7">
        <f t="shared" si="44"/>
        <v>-469.86178102277336</v>
      </c>
    </row>
    <row r="401" spans="2:32" x14ac:dyDescent="0.25">
      <c r="B401" s="17">
        <v>6356000002</v>
      </c>
      <c r="C401" s="193" t="s">
        <v>177</v>
      </c>
      <c r="D401" s="193" t="s">
        <v>40</v>
      </c>
      <c r="E401" s="193" t="s">
        <v>92</v>
      </c>
      <c r="F401" s="163" t="s">
        <v>190</v>
      </c>
      <c r="G401" s="3">
        <f>+IF(F401="Pasajero",'2.2 OPEX LAP 2023'!I402*'2.1 OPEX TUUA'!$G$7,'2.2 OPEX LAP 2023'!I402*'2.1 OPEX TUUA'!$G$8)</f>
        <v>0</v>
      </c>
      <c r="H401" s="3">
        <f>+IF(F401="Pasajero",'2.2 OPEX LAP 2023'!J402*'2.1 OPEX TUUA'!$H$7,'2.2 OPEX LAP 2023'!J402*'2.1 OPEX TUUA'!$H$8)</f>
        <v>0</v>
      </c>
      <c r="I401" s="3">
        <f>+IF(F401="Pasajero",'2.2 OPEX LAP 2023'!K402*'2.1 OPEX TUUA'!$I$7,'2.2 OPEX LAP 2023'!K402*'2.1 OPEX TUUA'!$I$8)</f>
        <v>0</v>
      </c>
      <c r="J401" s="3">
        <f>+IF(F401="Pasajero",'2.2 OPEX LAP 2023'!L402*'2.1 OPEX TUUA'!$J$7,'2.2 OPEX LAP 2023'!L402*'2.1 OPEX TUUA'!$J$8)</f>
        <v>0</v>
      </c>
      <c r="K401" s="3">
        <f>+IF(F401="Pasajero",'2.2 OPEX LAP 2023'!M402*'2.1 OPEX TUUA'!$K$7,'2.2 OPEX LAP 2023'!M402*'2.1 OPEX TUUA'!$K$8)</f>
        <v>0</v>
      </c>
      <c r="L401" s="3">
        <f>+IF(F401="Pasajero",'2.2 OPEX LAP 2023'!N402*'2.1 OPEX TUUA'!$L$7,'2.2 OPEX LAP 2023'!N402*'2.1 OPEX TUUA'!$L$8)</f>
        <v>0</v>
      </c>
      <c r="M401" s="3"/>
      <c r="N401" s="3">
        <f>+IF(F401="Pasajero",'2.2 OPEX LAP 2023'!I402*'2.1 OPEX TUUA'!$N$7,'2.2 OPEX LAP 2023'!I402*'2.1 OPEX TUUA'!$N$8)</f>
        <v>0</v>
      </c>
      <c r="O401" s="3">
        <f>+IF(F401="Pasajero",'2.2 OPEX LAP 2023'!J402*'2.1 OPEX TUUA'!$O$7,'2.2 OPEX LAP 2023'!J402*'2.1 OPEX TUUA'!$O$8)</f>
        <v>0</v>
      </c>
      <c r="P401" s="3">
        <f>+IF(F401="Pasajero",'2.2 OPEX LAP 2023'!K402*'2.1 OPEX TUUA'!$P$7,'2.2 OPEX LAP 2023'!K402*'2.1 OPEX TUUA'!$P$8)</f>
        <v>0</v>
      </c>
      <c r="Q401" s="3">
        <f>+IF(F401="Pasajero",'2.2 OPEX LAP 2023'!L402*'2.1 OPEX TUUA'!$Q$7,'2.2 OPEX LAP 2023'!L402*'2.1 OPEX TUUA'!$Q$8)</f>
        <v>0</v>
      </c>
      <c r="R401" s="3">
        <f>+IF(F401="Pasajero",'2.2 OPEX LAP 2023'!M402*'2.1 OPEX TUUA'!$R$7,'2.2 OPEX LAP 2023'!M402*'2.1 OPEX TUUA'!$R$8)</f>
        <v>0</v>
      </c>
      <c r="S401" s="3">
        <f>+IF(F401="Pasajero",'2.2 OPEX LAP 2023'!N402*'2.1 OPEX TUUA'!$S$7,'2.2 OPEX LAP 2023'!N402*'2.1 OPEX TUUA'!$S$8)</f>
        <v>0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7">
        <f t="shared" si="39"/>
        <v>0</v>
      </c>
      <c r="AB401" s="7">
        <f t="shared" si="40"/>
        <v>0</v>
      </c>
      <c r="AC401" s="7">
        <f t="shared" si="41"/>
        <v>0</v>
      </c>
      <c r="AD401" s="7">
        <f t="shared" si="42"/>
        <v>0</v>
      </c>
      <c r="AE401" s="7">
        <f t="shared" si="43"/>
        <v>0</v>
      </c>
      <c r="AF401" s="7">
        <f t="shared" si="44"/>
        <v>0</v>
      </c>
    </row>
    <row r="402" spans="2:32" x14ac:dyDescent="0.25">
      <c r="B402" s="17">
        <v>6357000001</v>
      </c>
      <c r="C402" s="193" t="s">
        <v>177</v>
      </c>
      <c r="D402" s="193" t="s">
        <v>40</v>
      </c>
      <c r="E402" s="193" t="s">
        <v>93</v>
      </c>
      <c r="F402" s="163" t="s">
        <v>190</v>
      </c>
      <c r="G402" s="3">
        <f>+IF(F402="Pasajero",'2.2 OPEX LAP 2023'!I403*'2.1 OPEX TUUA'!$G$7,'2.2 OPEX LAP 2023'!I403*'2.1 OPEX TUUA'!$G$8)</f>
        <v>155.08950375403282</v>
      </c>
      <c r="H402" s="3">
        <f>+IF(F402="Pasajero",'2.2 OPEX LAP 2023'!J403*'2.1 OPEX TUUA'!$H$7,'2.2 OPEX LAP 2023'!J403*'2.1 OPEX TUUA'!$H$8)</f>
        <v>177.90861845447208</v>
      </c>
      <c r="I402" s="3">
        <f>+IF(F402="Pasajero",'2.2 OPEX LAP 2023'!K403*'2.1 OPEX TUUA'!$I$7,'2.2 OPEX LAP 2023'!K403*'2.1 OPEX TUUA'!$I$8)</f>
        <v>196.68058548491825</v>
      </c>
      <c r="J402" s="3">
        <f>+IF(F402="Pasajero",'2.2 OPEX LAP 2023'!L403*'2.1 OPEX TUUA'!$J$7,'2.2 OPEX LAP 2023'!L403*'2.1 OPEX TUUA'!$J$8)</f>
        <v>204.96450821765131</v>
      </c>
      <c r="K402" s="3">
        <f>+IF(F402="Pasajero",'2.2 OPEX LAP 2023'!M403*'2.1 OPEX TUUA'!$K$7,'2.2 OPEX LAP 2023'!M403*'2.1 OPEX TUUA'!$K$8)</f>
        <v>209.54956905651841</v>
      </c>
      <c r="L402" s="3">
        <f>+IF(F402="Pasajero",'2.2 OPEX LAP 2023'!N403*'2.1 OPEX TUUA'!$L$7,'2.2 OPEX LAP 2023'!N403*'2.1 OPEX TUUA'!$L$8)</f>
        <v>215.145925969736</v>
      </c>
      <c r="M402" s="3"/>
      <c r="N402" s="3">
        <f>+IF(F402="Pasajero",'2.2 OPEX LAP 2023'!I403*'2.1 OPEX TUUA'!$N$7,'2.2 OPEX LAP 2023'!I403*'2.1 OPEX TUUA'!$N$8)</f>
        <v>76.492814501968368</v>
      </c>
      <c r="O402" s="3">
        <f>+IF(F402="Pasajero",'2.2 OPEX LAP 2023'!J403*'2.1 OPEX TUUA'!$O$7,'2.2 OPEX LAP 2023'!J403*'2.1 OPEX TUUA'!$O$8)</f>
        <v>73.683207321162158</v>
      </c>
      <c r="P402" s="3">
        <f>+IF(F402="Pasajero",'2.2 OPEX LAP 2023'!K403*'2.1 OPEX TUUA'!$P$7,'2.2 OPEX LAP 2023'!K403*'2.1 OPEX TUUA'!$P$8)</f>
        <v>72.010402420863826</v>
      </c>
      <c r="Q402" s="3">
        <f>+IF(F402="Pasajero",'2.2 OPEX LAP 2023'!L403*'2.1 OPEX TUUA'!$Q$7,'2.2 OPEX LAP 2023'!L403*'2.1 OPEX TUUA'!$Q$8)</f>
        <v>70.366549901928607</v>
      </c>
      <c r="R402" s="3">
        <f>+IF(F402="Pasajero",'2.2 OPEX LAP 2023'!M403*'2.1 OPEX TUUA'!$R$7,'2.2 OPEX LAP 2023'!M403*'2.1 OPEX TUUA'!$R$8)</f>
        <v>69.475230990273886</v>
      </c>
      <c r="S402" s="3">
        <f>+IF(F402="Pasajero",'2.2 OPEX LAP 2023'!N403*'2.1 OPEX TUUA'!$S$7,'2.2 OPEX LAP 2023'!N403*'2.1 OPEX TUUA'!$S$8)</f>
        <v>68.381043142594962</v>
      </c>
      <c r="U402" s="1">
        <v>158.01992791747114</v>
      </c>
      <c r="V402" s="1">
        <v>181.27021096578579</v>
      </c>
      <c r="W402" s="1">
        <v>200.39687528037913</v>
      </c>
      <c r="X402" s="1">
        <v>208.8373231599239</v>
      </c>
      <c r="Y402" s="1">
        <v>213.50901895955766</v>
      </c>
      <c r="Z402" s="1">
        <v>219.2111193249674</v>
      </c>
      <c r="AA402" s="7">
        <f t="shared" si="39"/>
        <v>-2.9304241634383175</v>
      </c>
      <c r="AB402" s="7">
        <f t="shared" si="40"/>
        <v>-3.3615925113137166</v>
      </c>
      <c r="AC402" s="7">
        <f t="shared" si="41"/>
        <v>-3.7162897954608809</v>
      </c>
      <c r="AD402" s="7">
        <f t="shared" si="42"/>
        <v>-3.8728149422725835</v>
      </c>
      <c r="AE402" s="7">
        <f t="shared" si="43"/>
        <v>-3.9594499030392569</v>
      </c>
      <c r="AF402" s="7">
        <f t="shared" si="44"/>
        <v>-4.0651933552314006</v>
      </c>
    </row>
    <row r="403" spans="2:32" x14ac:dyDescent="0.25">
      <c r="B403" s="17">
        <v>6358000001</v>
      </c>
      <c r="C403" s="193" t="s">
        <v>177</v>
      </c>
      <c r="D403" s="193" t="s">
        <v>40</v>
      </c>
      <c r="E403" s="193" t="s">
        <v>94</v>
      </c>
      <c r="F403" s="163" t="s">
        <v>190</v>
      </c>
      <c r="G403" s="3">
        <f>+IF(F403="Pasajero",'2.2 OPEX LAP 2023'!I404*'2.1 OPEX TUUA'!$G$7,'2.2 OPEX LAP 2023'!I404*'2.1 OPEX TUUA'!$G$8)</f>
        <v>0</v>
      </c>
      <c r="H403" s="3">
        <f>+IF(F403="Pasajero",'2.2 OPEX LAP 2023'!J404*'2.1 OPEX TUUA'!$H$7,'2.2 OPEX LAP 2023'!J404*'2.1 OPEX TUUA'!$H$8)</f>
        <v>0</v>
      </c>
      <c r="I403" s="3">
        <f>+IF(F403="Pasajero",'2.2 OPEX LAP 2023'!K404*'2.1 OPEX TUUA'!$I$7,'2.2 OPEX LAP 2023'!K404*'2.1 OPEX TUUA'!$I$8)</f>
        <v>0</v>
      </c>
      <c r="J403" s="3">
        <f>+IF(F403="Pasajero",'2.2 OPEX LAP 2023'!L404*'2.1 OPEX TUUA'!$J$7,'2.2 OPEX LAP 2023'!L404*'2.1 OPEX TUUA'!$J$8)</f>
        <v>0</v>
      </c>
      <c r="K403" s="3">
        <f>+IF(F403="Pasajero",'2.2 OPEX LAP 2023'!M404*'2.1 OPEX TUUA'!$K$7,'2.2 OPEX LAP 2023'!M404*'2.1 OPEX TUUA'!$K$8)</f>
        <v>0</v>
      </c>
      <c r="L403" s="3">
        <f>+IF(F403="Pasajero",'2.2 OPEX LAP 2023'!N404*'2.1 OPEX TUUA'!$L$7,'2.2 OPEX LAP 2023'!N404*'2.1 OPEX TUUA'!$L$8)</f>
        <v>0</v>
      </c>
      <c r="M403" s="3"/>
      <c r="N403" s="3">
        <f>+IF(F403="Pasajero",'2.2 OPEX LAP 2023'!I404*'2.1 OPEX TUUA'!$N$7,'2.2 OPEX LAP 2023'!I404*'2.1 OPEX TUUA'!$N$8)</f>
        <v>0</v>
      </c>
      <c r="O403" s="3">
        <f>+IF(F403="Pasajero",'2.2 OPEX LAP 2023'!J404*'2.1 OPEX TUUA'!$O$7,'2.2 OPEX LAP 2023'!J404*'2.1 OPEX TUUA'!$O$8)</f>
        <v>0</v>
      </c>
      <c r="P403" s="3">
        <f>+IF(F403="Pasajero",'2.2 OPEX LAP 2023'!K404*'2.1 OPEX TUUA'!$P$7,'2.2 OPEX LAP 2023'!K404*'2.1 OPEX TUUA'!$P$8)</f>
        <v>0</v>
      </c>
      <c r="Q403" s="3">
        <f>+IF(F403="Pasajero",'2.2 OPEX LAP 2023'!L404*'2.1 OPEX TUUA'!$Q$7,'2.2 OPEX LAP 2023'!L404*'2.1 OPEX TUUA'!$Q$8)</f>
        <v>0</v>
      </c>
      <c r="R403" s="3">
        <f>+IF(F403="Pasajero",'2.2 OPEX LAP 2023'!M404*'2.1 OPEX TUUA'!$R$7,'2.2 OPEX LAP 2023'!M404*'2.1 OPEX TUUA'!$R$8)</f>
        <v>0</v>
      </c>
      <c r="S403" s="3">
        <f>+IF(F403="Pasajero",'2.2 OPEX LAP 2023'!N404*'2.1 OPEX TUUA'!$S$7,'2.2 OPEX LAP 2023'!N404*'2.1 OPEX TUUA'!$S$8)</f>
        <v>0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7">
        <f t="shared" si="39"/>
        <v>0</v>
      </c>
      <c r="AB403" s="7">
        <f t="shared" si="40"/>
        <v>0</v>
      </c>
      <c r="AC403" s="7">
        <f t="shared" si="41"/>
        <v>0</v>
      </c>
      <c r="AD403" s="7">
        <f t="shared" si="42"/>
        <v>0</v>
      </c>
      <c r="AE403" s="7">
        <f t="shared" si="43"/>
        <v>0</v>
      </c>
      <c r="AF403" s="7">
        <f t="shared" si="44"/>
        <v>0</v>
      </c>
    </row>
    <row r="404" spans="2:32" x14ac:dyDescent="0.25">
      <c r="B404" s="17">
        <v>6360000001</v>
      </c>
      <c r="C404" s="193" t="s">
        <v>177</v>
      </c>
      <c r="D404" s="193" t="s">
        <v>40</v>
      </c>
      <c r="E404" s="193" t="s">
        <v>95</v>
      </c>
      <c r="F404" s="163" t="s">
        <v>190</v>
      </c>
      <c r="G404" s="3">
        <f>+IF(F404="Pasajero",'2.2 OPEX LAP 2023'!I405*'2.1 OPEX TUUA'!$G$7,'2.2 OPEX LAP 2023'!I405*'2.1 OPEX TUUA'!$G$8)</f>
        <v>1797.150976100118</v>
      </c>
      <c r="H404" s="3">
        <f>+IF(F404="Pasajero",'2.2 OPEX LAP 2023'!J405*'2.1 OPEX TUUA'!$H$7,'2.2 OPEX LAP 2023'!J405*'2.1 OPEX TUUA'!$H$8)</f>
        <v>2061.5750232791884</v>
      </c>
      <c r="I404" s="3">
        <f>+IF(F404="Pasajero",'2.2 OPEX LAP 2023'!K405*'2.1 OPEX TUUA'!$I$7,'2.2 OPEX LAP 2023'!K405*'2.1 OPEX TUUA'!$I$8)</f>
        <v>2279.1014067898996</v>
      </c>
      <c r="J404" s="3">
        <f>+IF(F404="Pasajero",'2.2 OPEX LAP 2023'!L405*'2.1 OPEX TUUA'!$J$7,'2.2 OPEX LAP 2023'!L405*'2.1 OPEX TUUA'!$J$8)</f>
        <v>2375.0941043271887</v>
      </c>
      <c r="K404" s="3">
        <f>+IF(F404="Pasajero",'2.2 OPEX LAP 2023'!M405*'2.1 OPEX TUUA'!$K$7,'2.2 OPEX LAP 2023'!M405*'2.1 OPEX TUUA'!$K$8)</f>
        <v>2428.225014947142</v>
      </c>
      <c r="L404" s="3">
        <f>+IF(F404="Pasajero",'2.2 OPEX LAP 2023'!N405*'2.1 OPEX TUUA'!$L$7,'2.2 OPEX LAP 2023'!N405*'2.1 OPEX TUUA'!$L$8)</f>
        <v>2493.0746536766883</v>
      </c>
      <c r="M404" s="3"/>
      <c r="N404" s="3">
        <f>+IF(F404="Pasajero",'2.2 OPEX LAP 2023'!I405*'2.1 OPEX TUUA'!$N$7,'2.2 OPEX LAP 2023'!I405*'2.1 OPEX TUUA'!$N$8)</f>
        <v>886.38581541198005</v>
      </c>
      <c r="O404" s="3">
        <f>+IF(F404="Pasajero",'2.2 OPEX LAP 2023'!J405*'2.1 OPEX TUUA'!$O$7,'2.2 OPEX LAP 2023'!J405*'2.1 OPEX TUUA'!$O$8)</f>
        <v>853.82856192142924</v>
      </c>
      <c r="P404" s="3">
        <f>+IF(F404="Pasajero",'2.2 OPEX LAP 2023'!K405*'2.1 OPEX TUUA'!$P$7,'2.2 OPEX LAP 2023'!K405*'2.1 OPEX TUUA'!$P$8)</f>
        <v>834.44438126040859</v>
      </c>
      <c r="Q404" s="3">
        <f>+IF(F404="Pasajero",'2.2 OPEX LAP 2023'!L405*'2.1 OPEX TUUA'!$Q$7,'2.2 OPEX LAP 2023'!L405*'2.1 OPEX TUUA'!$Q$8)</f>
        <v>815.39569590479346</v>
      </c>
      <c r="R404" s="3">
        <f>+IF(F404="Pasajero",'2.2 OPEX LAP 2023'!M405*'2.1 OPEX TUUA'!$R$7,'2.2 OPEX LAP 2023'!M405*'2.1 OPEX TUUA'!$R$8)</f>
        <v>805.06724289331669</v>
      </c>
      <c r="S404" s="3">
        <f>+IF(F404="Pasajero",'2.2 OPEX LAP 2023'!N405*'2.1 OPEX TUUA'!$S$7,'2.2 OPEX LAP 2023'!N405*'2.1 OPEX TUUA'!$S$8)</f>
        <v>792.38797891416471</v>
      </c>
      <c r="U404" s="1">
        <v>1831.1082363803685</v>
      </c>
      <c r="V404" s="1">
        <v>2100.528589553664</v>
      </c>
      <c r="W404" s="1">
        <v>2322.1651452874812</v>
      </c>
      <c r="X404" s="1">
        <v>2419.9716297901541</v>
      </c>
      <c r="Y404" s="1">
        <v>2474.1064517035061</v>
      </c>
      <c r="Z404" s="1">
        <v>2540.1814276978143</v>
      </c>
      <c r="AA404" s="7">
        <f t="shared" si="39"/>
        <v>-33.957260280250466</v>
      </c>
      <c r="AB404" s="7">
        <f t="shared" si="40"/>
        <v>-38.953566274475634</v>
      </c>
      <c r="AC404" s="7">
        <f t="shared" si="41"/>
        <v>-43.063738497581653</v>
      </c>
      <c r="AD404" s="7">
        <f t="shared" si="42"/>
        <v>-44.877525462965423</v>
      </c>
      <c r="AE404" s="7">
        <f t="shared" si="43"/>
        <v>-45.88143675636411</v>
      </c>
      <c r="AF404" s="7">
        <f t="shared" si="44"/>
        <v>-47.106774021126057</v>
      </c>
    </row>
    <row r="405" spans="2:32" x14ac:dyDescent="0.25">
      <c r="B405" s="17">
        <v>6360000002</v>
      </c>
      <c r="C405" s="193" t="s">
        <v>177</v>
      </c>
      <c r="D405" s="193" t="s">
        <v>40</v>
      </c>
      <c r="E405" s="193" t="s">
        <v>96</v>
      </c>
      <c r="F405" s="163" t="s">
        <v>191</v>
      </c>
      <c r="G405" s="3">
        <f>+IF(F405="Pasajero",'2.2 OPEX LAP 2023'!I406*'2.1 OPEX TUUA'!$G$7,'2.2 OPEX LAP 2023'!I406*'2.1 OPEX TUUA'!$G$8)</f>
        <v>1935.3372382785144</v>
      </c>
      <c r="H405" s="3">
        <f>+IF(F405="Pasajero",'2.2 OPEX LAP 2023'!J406*'2.1 OPEX TUUA'!$H$7,'2.2 OPEX LAP 2023'!J406*'2.1 OPEX TUUA'!$H$8)</f>
        <v>1935.3372382785144</v>
      </c>
      <c r="I405" s="3">
        <f>+IF(F405="Pasajero",'2.2 OPEX LAP 2023'!K406*'2.1 OPEX TUUA'!$I$7,'2.2 OPEX LAP 2023'!K406*'2.1 OPEX TUUA'!$I$8)</f>
        <v>1935.3372382785144</v>
      </c>
      <c r="J405" s="3">
        <f>+IF(F405="Pasajero",'2.2 OPEX LAP 2023'!L406*'2.1 OPEX TUUA'!$J$7,'2.2 OPEX LAP 2023'!L406*'2.1 OPEX TUUA'!$J$8)</f>
        <v>1935.3372382785144</v>
      </c>
      <c r="K405" s="3">
        <f>+IF(F405="Pasajero",'2.2 OPEX LAP 2023'!M406*'2.1 OPEX TUUA'!$K$7,'2.2 OPEX LAP 2023'!M406*'2.1 OPEX TUUA'!$K$8)</f>
        <v>1935.3372382785144</v>
      </c>
      <c r="L405" s="3">
        <f>+IF(F405="Pasajero",'2.2 OPEX LAP 2023'!N406*'2.1 OPEX TUUA'!$L$7,'2.2 OPEX LAP 2023'!N406*'2.1 OPEX TUUA'!$L$8)</f>
        <v>1935.3372382785144</v>
      </c>
      <c r="M405" s="3"/>
      <c r="N405" s="3">
        <f>+IF(F405="Pasajero",'2.2 OPEX LAP 2023'!I406*'2.1 OPEX TUUA'!$N$7,'2.2 OPEX LAP 2023'!I406*'2.1 OPEX TUUA'!$N$8)</f>
        <v>371.11705389723369</v>
      </c>
      <c r="O405" s="3">
        <f>+IF(F405="Pasajero",'2.2 OPEX LAP 2023'!J406*'2.1 OPEX TUUA'!$O$7,'2.2 OPEX LAP 2023'!J406*'2.1 OPEX TUUA'!$O$8)</f>
        <v>371.11705389723369</v>
      </c>
      <c r="P405" s="3">
        <f>+IF(F405="Pasajero",'2.2 OPEX LAP 2023'!K406*'2.1 OPEX TUUA'!$P$7,'2.2 OPEX LAP 2023'!K406*'2.1 OPEX TUUA'!$P$8)</f>
        <v>371.11705389723369</v>
      </c>
      <c r="Q405" s="3">
        <f>+IF(F405="Pasajero",'2.2 OPEX LAP 2023'!L406*'2.1 OPEX TUUA'!$Q$7,'2.2 OPEX LAP 2023'!L406*'2.1 OPEX TUUA'!$Q$8)</f>
        <v>371.11705389723369</v>
      </c>
      <c r="R405" s="3">
        <f>+IF(F405="Pasajero",'2.2 OPEX LAP 2023'!M406*'2.1 OPEX TUUA'!$R$7,'2.2 OPEX LAP 2023'!M406*'2.1 OPEX TUUA'!$R$8)</f>
        <v>371.11705389723369</v>
      </c>
      <c r="S405" s="3">
        <f>+IF(F405="Pasajero",'2.2 OPEX LAP 2023'!N406*'2.1 OPEX TUUA'!$S$7,'2.2 OPEX LAP 2023'!N406*'2.1 OPEX TUUA'!$S$8)</f>
        <v>371.11705389723369</v>
      </c>
      <c r="U405" s="1">
        <v>1971.9055351017987</v>
      </c>
      <c r="V405" s="1">
        <v>1971.9055351017987</v>
      </c>
      <c r="W405" s="1">
        <v>1971.9055351017987</v>
      </c>
      <c r="X405" s="1">
        <v>1971.9055351017987</v>
      </c>
      <c r="Y405" s="1">
        <v>1971.9055351017987</v>
      </c>
      <c r="Z405" s="1">
        <v>1971.9055351017987</v>
      </c>
      <c r="AA405" s="7">
        <f t="shared" si="39"/>
        <v>-36.5682968232843</v>
      </c>
      <c r="AB405" s="7">
        <f t="shared" si="40"/>
        <v>-36.5682968232843</v>
      </c>
      <c r="AC405" s="7">
        <f t="shared" si="41"/>
        <v>-36.5682968232843</v>
      </c>
      <c r="AD405" s="7">
        <f t="shared" si="42"/>
        <v>-36.5682968232843</v>
      </c>
      <c r="AE405" s="7">
        <f t="shared" si="43"/>
        <v>-36.5682968232843</v>
      </c>
      <c r="AF405" s="7">
        <f t="shared" si="44"/>
        <v>-36.5682968232843</v>
      </c>
    </row>
    <row r="406" spans="2:32" x14ac:dyDescent="0.25">
      <c r="B406" s="17">
        <v>6360000003</v>
      </c>
      <c r="C406" s="193" t="s">
        <v>177</v>
      </c>
      <c r="D406" s="193" t="s">
        <v>40</v>
      </c>
      <c r="E406" s="193" t="s">
        <v>97</v>
      </c>
      <c r="F406" s="163" t="s">
        <v>191</v>
      </c>
      <c r="G406" s="3">
        <f>+IF(F406="Pasajero",'2.2 OPEX LAP 2023'!I407*'2.1 OPEX TUUA'!$G$7,'2.2 OPEX LAP 2023'!I407*'2.1 OPEX TUUA'!$G$8)</f>
        <v>276.46645278492298</v>
      </c>
      <c r="H406" s="3">
        <f>+IF(F406="Pasajero",'2.2 OPEX LAP 2023'!J407*'2.1 OPEX TUUA'!$H$7,'2.2 OPEX LAP 2023'!J407*'2.1 OPEX TUUA'!$H$8)</f>
        <v>276.46645278492298</v>
      </c>
      <c r="I406" s="3">
        <f>+IF(F406="Pasajero",'2.2 OPEX LAP 2023'!K407*'2.1 OPEX TUUA'!$I$7,'2.2 OPEX LAP 2023'!K407*'2.1 OPEX TUUA'!$I$8)</f>
        <v>276.46645278492298</v>
      </c>
      <c r="J406" s="3">
        <f>+IF(F406="Pasajero",'2.2 OPEX LAP 2023'!L407*'2.1 OPEX TUUA'!$J$7,'2.2 OPEX LAP 2023'!L407*'2.1 OPEX TUUA'!$J$8)</f>
        <v>276.46645278492298</v>
      </c>
      <c r="K406" s="3">
        <f>+IF(F406="Pasajero",'2.2 OPEX LAP 2023'!M407*'2.1 OPEX TUUA'!$K$7,'2.2 OPEX LAP 2023'!M407*'2.1 OPEX TUUA'!$K$8)</f>
        <v>276.46645278492298</v>
      </c>
      <c r="L406" s="3">
        <f>+IF(F406="Pasajero",'2.2 OPEX LAP 2023'!N407*'2.1 OPEX TUUA'!$L$7,'2.2 OPEX LAP 2023'!N407*'2.1 OPEX TUUA'!$L$8)</f>
        <v>276.46645278492298</v>
      </c>
      <c r="M406" s="3"/>
      <c r="N406" s="3">
        <f>+IF(F406="Pasajero",'2.2 OPEX LAP 2023'!I407*'2.1 OPEX TUUA'!$N$7,'2.2 OPEX LAP 2023'!I407*'2.1 OPEX TUUA'!$N$8)</f>
        <v>53.014747729560241</v>
      </c>
      <c r="O406" s="3">
        <f>+IF(F406="Pasajero",'2.2 OPEX LAP 2023'!J407*'2.1 OPEX TUUA'!$O$7,'2.2 OPEX LAP 2023'!J407*'2.1 OPEX TUUA'!$O$8)</f>
        <v>53.014747729560241</v>
      </c>
      <c r="P406" s="3">
        <f>+IF(F406="Pasajero",'2.2 OPEX LAP 2023'!K407*'2.1 OPEX TUUA'!$P$7,'2.2 OPEX LAP 2023'!K407*'2.1 OPEX TUUA'!$P$8)</f>
        <v>53.014747729560241</v>
      </c>
      <c r="Q406" s="3">
        <f>+IF(F406="Pasajero",'2.2 OPEX LAP 2023'!L407*'2.1 OPEX TUUA'!$Q$7,'2.2 OPEX LAP 2023'!L407*'2.1 OPEX TUUA'!$Q$8)</f>
        <v>53.014747729560241</v>
      </c>
      <c r="R406" s="3">
        <f>+IF(F406="Pasajero",'2.2 OPEX LAP 2023'!M407*'2.1 OPEX TUUA'!$R$7,'2.2 OPEX LAP 2023'!M407*'2.1 OPEX TUUA'!$R$8)</f>
        <v>53.014747729560241</v>
      </c>
      <c r="S406" s="3">
        <f>+IF(F406="Pasajero",'2.2 OPEX LAP 2023'!N407*'2.1 OPEX TUUA'!$S$7,'2.2 OPEX LAP 2023'!N407*'2.1 OPEX TUUA'!$S$8)</f>
        <v>53.014747729560241</v>
      </c>
      <c r="U406" s="1">
        <v>281.69030065347965</v>
      </c>
      <c r="V406" s="1">
        <v>281.69030065347965</v>
      </c>
      <c r="W406" s="1">
        <v>281.69030065347965</v>
      </c>
      <c r="X406" s="1">
        <v>281.69030065347965</v>
      </c>
      <c r="Y406" s="1">
        <v>281.69030065347965</v>
      </c>
      <c r="Z406" s="1">
        <v>281.69030065347965</v>
      </c>
      <c r="AA406" s="7">
        <f t="shared" si="39"/>
        <v>-5.2238478685566747</v>
      </c>
      <c r="AB406" s="7">
        <f t="shared" si="40"/>
        <v>-5.2238478685566747</v>
      </c>
      <c r="AC406" s="7">
        <f t="shared" si="41"/>
        <v>-5.2238478685566747</v>
      </c>
      <c r="AD406" s="7">
        <f t="shared" si="42"/>
        <v>-5.2238478685566747</v>
      </c>
      <c r="AE406" s="7">
        <f t="shared" si="43"/>
        <v>-5.2238478685566747</v>
      </c>
      <c r="AF406" s="7">
        <f t="shared" si="44"/>
        <v>-5.2238478685566747</v>
      </c>
    </row>
    <row r="407" spans="2:32" x14ac:dyDescent="0.25">
      <c r="B407" s="17">
        <v>6360000004</v>
      </c>
      <c r="C407" s="193" t="s">
        <v>177</v>
      </c>
      <c r="D407" s="193" t="s">
        <v>40</v>
      </c>
      <c r="E407" s="193" t="s">
        <v>98</v>
      </c>
      <c r="F407" s="163" t="s">
        <v>190</v>
      </c>
      <c r="G407" s="3">
        <f>+IF(F407="Pasajero",'2.2 OPEX LAP 2023'!I408*'2.1 OPEX TUUA'!$G$7,'2.2 OPEX LAP 2023'!I408*'2.1 OPEX TUUA'!$G$8)</f>
        <v>0</v>
      </c>
      <c r="H407" s="3">
        <f>+IF(F407="Pasajero",'2.2 OPEX LAP 2023'!J408*'2.1 OPEX TUUA'!$H$7,'2.2 OPEX LAP 2023'!J408*'2.1 OPEX TUUA'!$H$8)</f>
        <v>0</v>
      </c>
      <c r="I407" s="3">
        <f>+IF(F407="Pasajero",'2.2 OPEX LAP 2023'!K408*'2.1 OPEX TUUA'!$I$7,'2.2 OPEX LAP 2023'!K408*'2.1 OPEX TUUA'!$I$8)</f>
        <v>0</v>
      </c>
      <c r="J407" s="3">
        <f>+IF(F407="Pasajero",'2.2 OPEX LAP 2023'!L408*'2.1 OPEX TUUA'!$J$7,'2.2 OPEX LAP 2023'!L408*'2.1 OPEX TUUA'!$J$8)</f>
        <v>0</v>
      </c>
      <c r="K407" s="3">
        <f>+IF(F407="Pasajero",'2.2 OPEX LAP 2023'!M408*'2.1 OPEX TUUA'!$K$7,'2.2 OPEX LAP 2023'!M408*'2.1 OPEX TUUA'!$K$8)</f>
        <v>0</v>
      </c>
      <c r="L407" s="3">
        <f>+IF(F407="Pasajero",'2.2 OPEX LAP 2023'!N408*'2.1 OPEX TUUA'!$L$7,'2.2 OPEX LAP 2023'!N408*'2.1 OPEX TUUA'!$L$8)</f>
        <v>0</v>
      </c>
      <c r="M407" s="3"/>
      <c r="N407" s="3">
        <f>+IF(F407="Pasajero",'2.2 OPEX LAP 2023'!I408*'2.1 OPEX TUUA'!$N$7,'2.2 OPEX LAP 2023'!I408*'2.1 OPEX TUUA'!$N$8)</f>
        <v>0</v>
      </c>
      <c r="O407" s="3">
        <f>+IF(F407="Pasajero",'2.2 OPEX LAP 2023'!J408*'2.1 OPEX TUUA'!$O$7,'2.2 OPEX LAP 2023'!J408*'2.1 OPEX TUUA'!$O$8)</f>
        <v>0</v>
      </c>
      <c r="P407" s="3">
        <f>+IF(F407="Pasajero",'2.2 OPEX LAP 2023'!K408*'2.1 OPEX TUUA'!$P$7,'2.2 OPEX LAP 2023'!K408*'2.1 OPEX TUUA'!$P$8)</f>
        <v>0</v>
      </c>
      <c r="Q407" s="3">
        <f>+IF(F407="Pasajero",'2.2 OPEX LAP 2023'!L408*'2.1 OPEX TUUA'!$Q$7,'2.2 OPEX LAP 2023'!L408*'2.1 OPEX TUUA'!$Q$8)</f>
        <v>0</v>
      </c>
      <c r="R407" s="3">
        <f>+IF(F407="Pasajero",'2.2 OPEX LAP 2023'!M408*'2.1 OPEX TUUA'!$R$7,'2.2 OPEX LAP 2023'!M408*'2.1 OPEX TUUA'!$R$8)</f>
        <v>0</v>
      </c>
      <c r="S407" s="3">
        <f>+IF(F407="Pasajero",'2.2 OPEX LAP 2023'!N408*'2.1 OPEX TUUA'!$S$7,'2.2 OPEX LAP 2023'!N408*'2.1 OPEX TUUA'!$S$8)</f>
        <v>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7">
        <f t="shared" si="39"/>
        <v>0</v>
      </c>
      <c r="AB407" s="7">
        <f t="shared" si="40"/>
        <v>0</v>
      </c>
      <c r="AC407" s="7">
        <f t="shared" si="41"/>
        <v>0</v>
      </c>
      <c r="AD407" s="7">
        <f t="shared" si="42"/>
        <v>0</v>
      </c>
      <c r="AE407" s="7">
        <f t="shared" si="43"/>
        <v>0</v>
      </c>
      <c r="AF407" s="7">
        <f t="shared" si="44"/>
        <v>0</v>
      </c>
    </row>
    <row r="408" spans="2:32" x14ac:dyDescent="0.25">
      <c r="B408" s="17">
        <v>6360000005</v>
      </c>
      <c r="C408" s="193" t="s">
        <v>177</v>
      </c>
      <c r="D408" s="193" t="s">
        <v>40</v>
      </c>
      <c r="E408" s="193" t="s">
        <v>99</v>
      </c>
      <c r="F408" s="163" t="s">
        <v>190</v>
      </c>
      <c r="G408" s="3">
        <f>+IF(F408="Pasajero",'2.2 OPEX LAP 2023'!I409*'2.1 OPEX TUUA'!$G$7,'2.2 OPEX LAP 2023'!I409*'2.1 OPEX TUUA'!$G$8)</f>
        <v>0</v>
      </c>
      <c r="H408" s="3">
        <f>+IF(F408="Pasajero",'2.2 OPEX LAP 2023'!J409*'2.1 OPEX TUUA'!$H$7,'2.2 OPEX LAP 2023'!J409*'2.1 OPEX TUUA'!$H$8)</f>
        <v>0</v>
      </c>
      <c r="I408" s="3">
        <f>+IF(F408="Pasajero",'2.2 OPEX LAP 2023'!K409*'2.1 OPEX TUUA'!$I$7,'2.2 OPEX LAP 2023'!K409*'2.1 OPEX TUUA'!$I$8)</f>
        <v>0</v>
      </c>
      <c r="J408" s="3">
        <f>+IF(F408="Pasajero",'2.2 OPEX LAP 2023'!L409*'2.1 OPEX TUUA'!$J$7,'2.2 OPEX LAP 2023'!L409*'2.1 OPEX TUUA'!$J$8)</f>
        <v>0</v>
      </c>
      <c r="K408" s="3">
        <f>+IF(F408="Pasajero",'2.2 OPEX LAP 2023'!M409*'2.1 OPEX TUUA'!$K$7,'2.2 OPEX LAP 2023'!M409*'2.1 OPEX TUUA'!$K$8)</f>
        <v>0</v>
      </c>
      <c r="L408" s="3">
        <f>+IF(F408="Pasajero",'2.2 OPEX LAP 2023'!N409*'2.1 OPEX TUUA'!$L$7,'2.2 OPEX LAP 2023'!N409*'2.1 OPEX TUUA'!$L$8)</f>
        <v>0</v>
      </c>
      <c r="M408" s="3"/>
      <c r="N408" s="3">
        <f>+IF(F408="Pasajero",'2.2 OPEX LAP 2023'!I409*'2.1 OPEX TUUA'!$N$7,'2.2 OPEX LAP 2023'!I409*'2.1 OPEX TUUA'!$N$8)</f>
        <v>0</v>
      </c>
      <c r="O408" s="3">
        <f>+IF(F408="Pasajero",'2.2 OPEX LAP 2023'!J409*'2.1 OPEX TUUA'!$O$7,'2.2 OPEX LAP 2023'!J409*'2.1 OPEX TUUA'!$O$8)</f>
        <v>0</v>
      </c>
      <c r="P408" s="3">
        <f>+IF(F408="Pasajero",'2.2 OPEX LAP 2023'!K409*'2.1 OPEX TUUA'!$P$7,'2.2 OPEX LAP 2023'!K409*'2.1 OPEX TUUA'!$P$8)</f>
        <v>0</v>
      </c>
      <c r="Q408" s="3">
        <f>+IF(F408="Pasajero",'2.2 OPEX LAP 2023'!L409*'2.1 OPEX TUUA'!$Q$7,'2.2 OPEX LAP 2023'!L409*'2.1 OPEX TUUA'!$Q$8)</f>
        <v>0</v>
      </c>
      <c r="R408" s="3">
        <f>+IF(F408="Pasajero",'2.2 OPEX LAP 2023'!M409*'2.1 OPEX TUUA'!$R$7,'2.2 OPEX LAP 2023'!M409*'2.1 OPEX TUUA'!$R$8)</f>
        <v>0</v>
      </c>
      <c r="S408" s="3">
        <f>+IF(F408="Pasajero",'2.2 OPEX LAP 2023'!N409*'2.1 OPEX TUUA'!$S$7,'2.2 OPEX LAP 2023'!N409*'2.1 OPEX TUUA'!$S$8)</f>
        <v>0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7">
        <f t="shared" si="39"/>
        <v>0</v>
      </c>
      <c r="AB408" s="7">
        <f t="shared" si="40"/>
        <v>0</v>
      </c>
      <c r="AC408" s="7">
        <f t="shared" si="41"/>
        <v>0</v>
      </c>
      <c r="AD408" s="7">
        <f t="shared" si="42"/>
        <v>0</v>
      </c>
      <c r="AE408" s="7">
        <f t="shared" si="43"/>
        <v>0</v>
      </c>
      <c r="AF408" s="7">
        <f t="shared" si="44"/>
        <v>0</v>
      </c>
    </row>
    <row r="409" spans="2:32" x14ac:dyDescent="0.25">
      <c r="B409" s="17">
        <v>6370000001</v>
      </c>
      <c r="C409" s="193" t="s">
        <v>177</v>
      </c>
      <c r="D409" s="193" t="s">
        <v>40</v>
      </c>
      <c r="E409" s="193" t="s">
        <v>100</v>
      </c>
      <c r="F409" s="163" t="s">
        <v>190</v>
      </c>
      <c r="G409" s="3">
        <f>+IF(F409="Pasajero",'2.2 OPEX LAP 2023'!I410*'2.1 OPEX TUUA'!$G$7,'2.2 OPEX LAP 2023'!I410*'2.1 OPEX TUUA'!$G$8)</f>
        <v>8999.6660499791233</v>
      </c>
      <c r="H409" s="3">
        <f>+IF(F409="Pasajero",'2.2 OPEX LAP 2023'!J410*'2.1 OPEX TUUA'!$H$7,'2.2 OPEX LAP 2023'!J410*'2.1 OPEX TUUA'!$H$8)</f>
        <v>10323.833107640385</v>
      </c>
      <c r="I409" s="3">
        <f>+IF(F409="Pasajero",'2.2 OPEX LAP 2023'!K410*'2.1 OPEX TUUA'!$I$7,'2.2 OPEX LAP 2023'!K410*'2.1 OPEX TUUA'!$I$8)</f>
        <v>11413.148827182373</v>
      </c>
      <c r="J409" s="3">
        <f>+IF(F409="Pasajero",'2.2 OPEX LAP 2023'!L410*'2.1 OPEX TUUA'!$J$7,'2.2 OPEX LAP 2023'!L410*'2.1 OPEX TUUA'!$J$8)</f>
        <v>11893.855363561946</v>
      </c>
      <c r="K409" s="3">
        <f>+IF(F409="Pasajero",'2.2 OPEX LAP 2023'!M410*'2.1 OPEX TUUA'!$K$7,'2.2 OPEX LAP 2023'!M410*'2.1 OPEX TUUA'!$K$8)</f>
        <v>12159.921186005253</v>
      </c>
      <c r="L409" s="3">
        <f>+IF(F409="Pasajero",'2.2 OPEX LAP 2023'!N410*'2.1 OPEX TUUA'!$L$7,'2.2 OPEX LAP 2023'!N410*'2.1 OPEX TUUA'!$L$8)</f>
        <v>12484.6713599134</v>
      </c>
      <c r="M409" s="3"/>
      <c r="N409" s="3">
        <f>+IF(F409="Pasajero",'2.2 OPEX LAP 2023'!I410*'2.1 OPEX TUUA'!$N$7,'2.2 OPEX LAP 2023'!I410*'2.1 OPEX TUUA'!$N$8)</f>
        <v>4438.7903054516983</v>
      </c>
      <c r="O409" s="3">
        <f>+IF(F409="Pasajero",'2.2 OPEX LAP 2023'!J410*'2.1 OPEX TUUA'!$O$7,'2.2 OPEX LAP 2023'!J410*'2.1 OPEX TUUA'!$O$8)</f>
        <v>4275.7520227386312</v>
      </c>
      <c r="P409" s="3">
        <f>+IF(F409="Pasajero",'2.2 OPEX LAP 2023'!K410*'2.1 OPEX TUUA'!$P$7,'2.2 OPEX LAP 2023'!K410*'2.1 OPEX TUUA'!$P$8)</f>
        <v>4178.6810727062557</v>
      </c>
      <c r="Q409" s="3">
        <f>+IF(F409="Pasajero",'2.2 OPEX LAP 2023'!L410*'2.1 OPEX TUUA'!$Q$7,'2.2 OPEX LAP 2023'!L410*'2.1 OPEX TUUA'!$Q$8)</f>
        <v>4083.2901961624957</v>
      </c>
      <c r="R409" s="3">
        <f>+IF(F409="Pasajero",'2.2 OPEX LAP 2023'!M410*'2.1 OPEX TUUA'!$R$7,'2.2 OPEX LAP 2023'!M410*'2.1 OPEX TUUA'!$R$8)</f>
        <v>4031.5679818620019</v>
      </c>
      <c r="S409" s="3">
        <f>+IF(F409="Pasajero",'2.2 OPEX LAP 2023'!N410*'2.1 OPEX TUUA'!$S$7,'2.2 OPEX LAP 2023'!N410*'2.1 OPEX TUUA'!$S$8)</f>
        <v>3968.0735158491802</v>
      </c>
      <c r="U409" s="1">
        <v>9169.7152036443586</v>
      </c>
      <c r="V409" s="1">
        <v>10518.902466079462</v>
      </c>
      <c r="W409" s="1">
        <v>11628.8008622623</v>
      </c>
      <c r="X409" s="1">
        <v>12118.590373412129</v>
      </c>
      <c r="Y409" s="1">
        <v>12389.683523277861</v>
      </c>
      <c r="Z409" s="1">
        <v>12720.569868452701</v>
      </c>
      <c r="AA409" s="7">
        <f t="shared" si="39"/>
        <v>-170.04915366523528</v>
      </c>
      <c r="AB409" s="7">
        <f t="shared" si="40"/>
        <v>-195.0693584390774</v>
      </c>
      <c r="AC409" s="7">
        <f t="shared" si="41"/>
        <v>-215.65203507992737</v>
      </c>
      <c r="AD409" s="7">
        <f t="shared" si="42"/>
        <v>-224.73500985018291</v>
      </c>
      <c r="AE409" s="7">
        <f t="shared" si="43"/>
        <v>-229.76233727260842</v>
      </c>
      <c r="AF409" s="7">
        <f t="shared" si="44"/>
        <v>-235.89850853930147</v>
      </c>
    </row>
    <row r="410" spans="2:32" x14ac:dyDescent="0.25">
      <c r="B410" s="17">
        <v>6370000002</v>
      </c>
      <c r="C410" s="193" t="s">
        <v>177</v>
      </c>
      <c r="D410" s="193" t="s">
        <v>40</v>
      </c>
      <c r="E410" s="193" t="s">
        <v>101</v>
      </c>
      <c r="F410" s="163" t="s">
        <v>190</v>
      </c>
      <c r="G410" s="3">
        <f>+IF(F410="Pasajero",'2.2 OPEX LAP 2023'!I411*'2.1 OPEX TUUA'!$G$7,'2.2 OPEX LAP 2023'!I411*'2.1 OPEX TUUA'!$G$8)</f>
        <v>0</v>
      </c>
      <c r="H410" s="3">
        <f>+IF(F410="Pasajero",'2.2 OPEX LAP 2023'!J411*'2.1 OPEX TUUA'!$H$7,'2.2 OPEX LAP 2023'!J411*'2.1 OPEX TUUA'!$H$8)</f>
        <v>0</v>
      </c>
      <c r="I410" s="3">
        <f>+IF(F410="Pasajero",'2.2 OPEX LAP 2023'!K411*'2.1 OPEX TUUA'!$I$7,'2.2 OPEX LAP 2023'!K411*'2.1 OPEX TUUA'!$I$8)</f>
        <v>0</v>
      </c>
      <c r="J410" s="3">
        <f>+IF(F410="Pasajero",'2.2 OPEX LAP 2023'!L411*'2.1 OPEX TUUA'!$J$7,'2.2 OPEX LAP 2023'!L411*'2.1 OPEX TUUA'!$J$8)</f>
        <v>0</v>
      </c>
      <c r="K410" s="3">
        <f>+IF(F410="Pasajero",'2.2 OPEX LAP 2023'!M411*'2.1 OPEX TUUA'!$K$7,'2.2 OPEX LAP 2023'!M411*'2.1 OPEX TUUA'!$K$8)</f>
        <v>0</v>
      </c>
      <c r="L410" s="3">
        <f>+IF(F410="Pasajero",'2.2 OPEX LAP 2023'!N411*'2.1 OPEX TUUA'!$L$7,'2.2 OPEX LAP 2023'!N411*'2.1 OPEX TUUA'!$L$8)</f>
        <v>0</v>
      </c>
      <c r="M410" s="3"/>
      <c r="N410" s="3">
        <f>+IF(F410="Pasajero",'2.2 OPEX LAP 2023'!I411*'2.1 OPEX TUUA'!$N$7,'2.2 OPEX LAP 2023'!I411*'2.1 OPEX TUUA'!$N$8)</f>
        <v>0</v>
      </c>
      <c r="O410" s="3">
        <f>+IF(F410="Pasajero",'2.2 OPEX LAP 2023'!J411*'2.1 OPEX TUUA'!$O$7,'2.2 OPEX LAP 2023'!J411*'2.1 OPEX TUUA'!$O$8)</f>
        <v>0</v>
      </c>
      <c r="P410" s="3">
        <f>+IF(F410="Pasajero",'2.2 OPEX LAP 2023'!K411*'2.1 OPEX TUUA'!$P$7,'2.2 OPEX LAP 2023'!K411*'2.1 OPEX TUUA'!$P$8)</f>
        <v>0</v>
      </c>
      <c r="Q410" s="3">
        <f>+IF(F410="Pasajero",'2.2 OPEX LAP 2023'!L411*'2.1 OPEX TUUA'!$Q$7,'2.2 OPEX LAP 2023'!L411*'2.1 OPEX TUUA'!$Q$8)</f>
        <v>0</v>
      </c>
      <c r="R410" s="3">
        <f>+IF(F410="Pasajero",'2.2 OPEX LAP 2023'!M411*'2.1 OPEX TUUA'!$R$7,'2.2 OPEX LAP 2023'!M411*'2.1 OPEX TUUA'!$R$8)</f>
        <v>0</v>
      </c>
      <c r="S410" s="3">
        <f>+IF(F410="Pasajero",'2.2 OPEX LAP 2023'!N411*'2.1 OPEX TUUA'!$S$7,'2.2 OPEX LAP 2023'!N411*'2.1 OPEX TUUA'!$S$8)</f>
        <v>0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7">
        <f t="shared" si="39"/>
        <v>0</v>
      </c>
      <c r="AB410" s="7">
        <f t="shared" si="40"/>
        <v>0</v>
      </c>
      <c r="AC410" s="7">
        <f t="shared" si="41"/>
        <v>0</v>
      </c>
      <c r="AD410" s="7">
        <f t="shared" si="42"/>
        <v>0</v>
      </c>
      <c r="AE410" s="7">
        <f t="shared" si="43"/>
        <v>0</v>
      </c>
      <c r="AF410" s="7">
        <f t="shared" si="44"/>
        <v>0</v>
      </c>
    </row>
    <row r="411" spans="2:32" x14ac:dyDescent="0.25">
      <c r="B411" s="17">
        <v>6370000003</v>
      </c>
      <c r="C411" s="193" t="s">
        <v>177</v>
      </c>
      <c r="D411" s="193" t="s">
        <v>40</v>
      </c>
      <c r="E411" s="193" t="s">
        <v>102</v>
      </c>
      <c r="F411" s="163" t="s">
        <v>190</v>
      </c>
      <c r="G411" s="3">
        <f>+IF(F411="Pasajero",'2.2 OPEX LAP 2023'!I412*'2.1 OPEX TUUA'!$G$7,'2.2 OPEX LAP 2023'!I412*'2.1 OPEX TUUA'!$G$8)</f>
        <v>927.29078339583873</v>
      </c>
      <c r="H411" s="3">
        <f>+IF(F411="Pasajero",'2.2 OPEX LAP 2023'!J412*'2.1 OPEX TUUA'!$H$7,'2.2 OPEX LAP 2023'!J412*'2.1 OPEX TUUA'!$H$8)</f>
        <v>1063.7278357738569</v>
      </c>
      <c r="I411" s="3">
        <f>+IF(F411="Pasajero",'2.2 OPEX LAP 2023'!K412*'2.1 OPEX TUUA'!$I$7,'2.2 OPEX LAP 2023'!K412*'2.1 OPEX TUUA'!$I$8)</f>
        <v>1175.9667145644576</v>
      </c>
      <c r="J411" s="3">
        <f>+IF(F411="Pasajero",'2.2 OPEX LAP 2023'!L412*'2.1 OPEX TUUA'!$J$7,'2.2 OPEX LAP 2023'!L412*'2.1 OPEX TUUA'!$J$8)</f>
        <v>1225.4968569305679</v>
      </c>
      <c r="K411" s="3">
        <f>+IF(F411="Pasajero",'2.2 OPEX LAP 2023'!M412*'2.1 OPEX TUUA'!$K$7,'2.2 OPEX LAP 2023'!M412*'2.1 OPEX TUUA'!$K$8)</f>
        <v>1252.9112502600719</v>
      </c>
      <c r="L411" s="3">
        <f>+IF(F411="Pasajero",'2.2 OPEX LAP 2023'!N412*'2.1 OPEX TUUA'!$L$7,'2.2 OPEX LAP 2023'!N412*'2.1 OPEX TUUA'!$L$8)</f>
        <v>1286.3722522015737</v>
      </c>
      <c r="M411" s="3"/>
      <c r="N411" s="3">
        <f>+IF(F411="Pasajero",'2.2 OPEX LAP 2023'!I412*'2.1 OPEX TUUA'!$N$7,'2.2 OPEX LAP 2023'!I412*'2.1 OPEX TUUA'!$N$8)</f>
        <v>457.35578596071429</v>
      </c>
      <c r="O411" s="3">
        <f>+IF(F411="Pasajero",'2.2 OPEX LAP 2023'!J412*'2.1 OPEX TUUA'!$O$7,'2.2 OPEX LAP 2023'!J412*'2.1 OPEX TUUA'!$O$8)</f>
        <v>440.55695186387987</v>
      </c>
      <c r="P411" s="3">
        <f>+IF(F411="Pasajero",'2.2 OPEX LAP 2023'!K412*'2.1 OPEX TUUA'!$P$7,'2.2 OPEX LAP 2023'!K412*'2.1 OPEX TUUA'!$P$8)</f>
        <v>430.55513659644464</v>
      </c>
      <c r="Q411" s="3">
        <f>+IF(F411="Pasajero",'2.2 OPEX LAP 2023'!L412*'2.1 OPEX TUUA'!$Q$7,'2.2 OPEX LAP 2023'!L412*'2.1 OPEX TUUA'!$Q$8)</f>
        <v>420.72642960355751</v>
      </c>
      <c r="R411" s="3">
        <f>+IF(F411="Pasajero",'2.2 OPEX LAP 2023'!M412*'2.1 OPEX TUUA'!$R$7,'2.2 OPEX LAP 2023'!M412*'2.1 OPEX TUUA'!$R$8)</f>
        <v>415.39717267876489</v>
      </c>
      <c r="S411" s="3">
        <f>+IF(F411="Pasajero",'2.2 OPEX LAP 2023'!N412*'2.1 OPEX TUUA'!$S$7,'2.2 OPEX LAP 2023'!N412*'2.1 OPEX TUUA'!$S$8)</f>
        <v>408.85494846696025</v>
      </c>
      <c r="U411" s="1">
        <v>944.8119905208963</v>
      </c>
      <c r="V411" s="1">
        <v>1083.8270280326535</v>
      </c>
      <c r="W411" s="1">
        <v>1198.1866662204011</v>
      </c>
      <c r="X411" s="1">
        <v>1248.6526831782462</v>
      </c>
      <c r="Y411" s="1">
        <v>1276.5850728820644</v>
      </c>
      <c r="Z411" s="1">
        <v>1310.6783221791177</v>
      </c>
      <c r="AA411" s="7">
        <f t="shared" si="39"/>
        <v>-17.521207125057572</v>
      </c>
      <c r="AB411" s="7">
        <f t="shared" si="40"/>
        <v>-20.09919225879662</v>
      </c>
      <c r="AC411" s="7">
        <f t="shared" si="41"/>
        <v>-22.219951655943532</v>
      </c>
      <c r="AD411" s="7">
        <f t="shared" si="42"/>
        <v>-23.155826247678306</v>
      </c>
      <c r="AE411" s="7">
        <f t="shared" si="43"/>
        <v>-23.673822621992485</v>
      </c>
      <c r="AF411" s="7">
        <f t="shared" si="44"/>
        <v>-24.306069977543984</v>
      </c>
    </row>
    <row r="412" spans="2:32" x14ac:dyDescent="0.25">
      <c r="B412" s="17">
        <v>6380000002</v>
      </c>
      <c r="C412" s="193" t="s">
        <v>177</v>
      </c>
      <c r="D412" s="193" t="s">
        <v>40</v>
      </c>
      <c r="E412" s="193" t="s">
        <v>103</v>
      </c>
      <c r="F412" s="163" t="s">
        <v>190</v>
      </c>
      <c r="G412" s="3">
        <f>+IF(F412="Pasajero",'2.2 OPEX LAP 2023'!I413*'2.1 OPEX TUUA'!$G$7,'2.2 OPEX LAP 2023'!I413*'2.1 OPEX TUUA'!$G$8)</f>
        <v>0</v>
      </c>
      <c r="H412" s="3">
        <f>+IF(F412="Pasajero",'2.2 OPEX LAP 2023'!J413*'2.1 OPEX TUUA'!$H$7,'2.2 OPEX LAP 2023'!J413*'2.1 OPEX TUUA'!$H$8)</f>
        <v>0</v>
      </c>
      <c r="I412" s="3">
        <f>+IF(F412="Pasajero",'2.2 OPEX LAP 2023'!K413*'2.1 OPEX TUUA'!$I$7,'2.2 OPEX LAP 2023'!K413*'2.1 OPEX TUUA'!$I$8)</f>
        <v>0</v>
      </c>
      <c r="J412" s="3">
        <f>+IF(F412="Pasajero",'2.2 OPEX LAP 2023'!L413*'2.1 OPEX TUUA'!$J$7,'2.2 OPEX LAP 2023'!L413*'2.1 OPEX TUUA'!$J$8)</f>
        <v>0</v>
      </c>
      <c r="K412" s="3">
        <f>+IF(F412="Pasajero",'2.2 OPEX LAP 2023'!M413*'2.1 OPEX TUUA'!$K$7,'2.2 OPEX LAP 2023'!M413*'2.1 OPEX TUUA'!$K$8)</f>
        <v>0</v>
      </c>
      <c r="L412" s="3">
        <f>+IF(F412="Pasajero",'2.2 OPEX LAP 2023'!N413*'2.1 OPEX TUUA'!$L$7,'2.2 OPEX LAP 2023'!N413*'2.1 OPEX TUUA'!$L$8)</f>
        <v>0</v>
      </c>
      <c r="M412" s="3"/>
      <c r="N412" s="3">
        <f>+IF(F412="Pasajero",'2.2 OPEX LAP 2023'!I413*'2.1 OPEX TUUA'!$N$7,'2.2 OPEX LAP 2023'!I413*'2.1 OPEX TUUA'!$N$8)</f>
        <v>0</v>
      </c>
      <c r="O412" s="3">
        <f>+IF(F412="Pasajero",'2.2 OPEX LAP 2023'!J413*'2.1 OPEX TUUA'!$O$7,'2.2 OPEX LAP 2023'!J413*'2.1 OPEX TUUA'!$O$8)</f>
        <v>0</v>
      </c>
      <c r="P412" s="3">
        <f>+IF(F412="Pasajero",'2.2 OPEX LAP 2023'!K413*'2.1 OPEX TUUA'!$P$7,'2.2 OPEX LAP 2023'!K413*'2.1 OPEX TUUA'!$P$8)</f>
        <v>0</v>
      </c>
      <c r="Q412" s="3">
        <f>+IF(F412="Pasajero",'2.2 OPEX LAP 2023'!L413*'2.1 OPEX TUUA'!$Q$7,'2.2 OPEX LAP 2023'!L413*'2.1 OPEX TUUA'!$Q$8)</f>
        <v>0</v>
      </c>
      <c r="R412" s="3">
        <f>+IF(F412="Pasajero",'2.2 OPEX LAP 2023'!M413*'2.1 OPEX TUUA'!$R$7,'2.2 OPEX LAP 2023'!M413*'2.1 OPEX TUUA'!$R$8)</f>
        <v>0</v>
      </c>
      <c r="S412" s="3">
        <f>+IF(F412="Pasajero",'2.2 OPEX LAP 2023'!N413*'2.1 OPEX TUUA'!$S$7,'2.2 OPEX LAP 2023'!N413*'2.1 OPEX TUUA'!$S$8)</f>
        <v>0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7">
        <f t="shared" si="39"/>
        <v>0</v>
      </c>
      <c r="AB412" s="7">
        <f t="shared" si="40"/>
        <v>0</v>
      </c>
      <c r="AC412" s="7">
        <f t="shared" si="41"/>
        <v>0</v>
      </c>
      <c r="AD412" s="7">
        <f t="shared" si="42"/>
        <v>0</v>
      </c>
      <c r="AE412" s="7">
        <f t="shared" si="43"/>
        <v>0</v>
      </c>
      <c r="AF412" s="7">
        <f t="shared" si="44"/>
        <v>0</v>
      </c>
    </row>
    <row r="413" spans="2:32" x14ac:dyDescent="0.25">
      <c r="B413" s="17">
        <v>6380000003</v>
      </c>
      <c r="C413" s="193" t="s">
        <v>177</v>
      </c>
      <c r="D413" s="193" t="s">
        <v>38</v>
      </c>
      <c r="E413" s="193" t="s">
        <v>104</v>
      </c>
      <c r="F413" s="163" t="s">
        <v>190</v>
      </c>
      <c r="G413" s="3">
        <f>+IF(F413="Pasajero",'2.2 OPEX LAP 2023'!I414*'2.1 OPEX TUUA'!$G$7,'2.2 OPEX LAP 2023'!I414*'2.1 OPEX TUUA'!$G$8)</f>
        <v>0</v>
      </c>
      <c r="H413" s="3">
        <f>+IF(F413="Pasajero",'2.2 OPEX LAP 2023'!J414*'2.1 OPEX TUUA'!$H$7,'2.2 OPEX LAP 2023'!J414*'2.1 OPEX TUUA'!$H$8)</f>
        <v>0</v>
      </c>
      <c r="I413" s="3">
        <f>+IF(F413="Pasajero",'2.2 OPEX LAP 2023'!K414*'2.1 OPEX TUUA'!$I$7,'2.2 OPEX LAP 2023'!K414*'2.1 OPEX TUUA'!$I$8)</f>
        <v>0</v>
      </c>
      <c r="J413" s="3">
        <f>+IF(F413="Pasajero",'2.2 OPEX LAP 2023'!L414*'2.1 OPEX TUUA'!$J$7,'2.2 OPEX LAP 2023'!L414*'2.1 OPEX TUUA'!$J$8)</f>
        <v>0</v>
      </c>
      <c r="K413" s="3">
        <f>+IF(F413="Pasajero",'2.2 OPEX LAP 2023'!M414*'2.1 OPEX TUUA'!$K$7,'2.2 OPEX LAP 2023'!M414*'2.1 OPEX TUUA'!$K$8)</f>
        <v>0</v>
      </c>
      <c r="L413" s="3">
        <f>+IF(F413="Pasajero",'2.2 OPEX LAP 2023'!N414*'2.1 OPEX TUUA'!$L$7,'2.2 OPEX LAP 2023'!N414*'2.1 OPEX TUUA'!$L$8)</f>
        <v>0</v>
      </c>
      <c r="M413" s="3"/>
      <c r="N413" s="3">
        <f>+IF(F413="Pasajero",'2.2 OPEX LAP 2023'!I414*'2.1 OPEX TUUA'!$N$7,'2.2 OPEX LAP 2023'!I414*'2.1 OPEX TUUA'!$N$8)</f>
        <v>0</v>
      </c>
      <c r="O413" s="3">
        <f>+IF(F413="Pasajero",'2.2 OPEX LAP 2023'!J414*'2.1 OPEX TUUA'!$O$7,'2.2 OPEX LAP 2023'!J414*'2.1 OPEX TUUA'!$O$8)</f>
        <v>0</v>
      </c>
      <c r="P413" s="3">
        <f>+IF(F413="Pasajero",'2.2 OPEX LAP 2023'!K414*'2.1 OPEX TUUA'!$P$7,'2.2 OPEX LAP 2023'!K414*'2.1 OPEX TUUA'!$P$8)</f>
        <v>0</v>
      </c>
      <c r="Q413" s="3">
        <f>+IF(F413="Pasajero",'2.2 OPEX LAP 2023'!L414*'2.1 OPEX TUUA'!$Q$7,'2.2 OPEX LAP 2023'!L414*'2.1 OPEX TUUA'!$Q$8)</f>
        <v>0</v>
      </c>
      <c r="R413" s="3">
        <f>+IF(F413="Pasajero",'2.2 OPEX LAP 2023'!M414*'2.1 OPEX TUUA'!$R$7,'2.2 OPEX LAP 2023'!M414*'2.1 OPEX TUUA'!$R$8)</f>
        <v>0</v>
      </c>
      <c r="S413" s="3">
        <f>+IF(F413="Pasajero",'2.2 OPEX LAP 2023'!N414*'2.1 OPEX TUUA'!$S$7,'2.2 OPEX LAP 2023'!N414*'2.1 OPEX TUUA'!$S$8)</f>
        <v>0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7">
        <f t="shared" si="39"/>
        <v>0</v>
      </c>
      <c r="AB413" s="7">
        <f t="shared" si="40"/>
        <v>0</v>
      </c>
      <c r="AC413" s="7">
        <f t="shared" si="41"/>
        <v>0</v>
      </c>
      <c r="AD413" s="7">
        <f t="shared" si="42"/>
        <v>0</v>
      </c>
      <c r="AE413" s="7">
        <f t="shared" si="43"/>
        <v>0</v>
      </c>
      <c r="AF413" s="7">
        <f t="shared" si="44"/>
        <v>0</v>
      </c>
    </row>
    <row r="414" spans="2:32" x14ac:dyDescent="0.25">
      <c r="B414" s="17">
        <v>6380000004</v>
      </c>
      <c r="C414" s="193" t="s">
        <v>177</v>
      </c>
      <c r="D414" s="193" t="s">
        <v>49</v>
      </c>
      <c r="E414" s="193" t="s">
        <v>105</v>
      </c>
      <c r="F414" s="163" t="s">
        <v>191</v>
      </c>
      <c r="G414" s="3">
        <f>+IF(F414="Pasajero",'2.2 OPEX LAP 2023'!I415*'2.1 OPEX TUUA'!$G$7,'2.2 OPEX LAP 2023'!I415*'2.1 OPEX TUUA'!$G$8)</f>
        <v>1595.129878736067</v>
      </c>
      <c r="H414" s="3">
        <f>+IF(F414="Pasajero",'2.2 OPEX LAP 2023'!J415*'2.1 OPEX TUUA'!$H$7,'2.2 OPEX LAP 2023'!J415*'2.1 OPEX TUUA'!$H$8)</f>
        <v>1595.129878736067</v>
      </c>
      <c r="I414" s="3">
        <f>+IF(F414="Pasajero",'2.2 OPEX LAP 2023'!K415*'2.1 OPEX TUUA'!$I$7,'2.2 OPEX LAP 2023'!K415*'2.1 OPEX TUUA'!$I$8)</f>
        <v>1595.129878736067</v>
      </c>
      <c r="J414" s="3">
        <f>+IF(F414="Pasajero",'2.2 OPEX LAP 2023'!L415*'2.1 OPEX TUUA'!$J$7,'2.2 OPEX LAP 2023'!L415*'2.1 OPEX TUUA'!$J$8)</f>
        <v>1595.129878736067</v>
      </c>
      <c r="K414" s="3">
        <f>+IF(F414="Pasajero",'2.2 OPEX LAP 2023'!M415*'2.1 OPEX TUUA'!$K$7,'2.2 OPEX LAP 2023'!M415*'2.1 OPEX TUUA'!$K$8)</f>
        <v>1595.129878736067</v>
      </c>
      <c r="L414" s="3">
        <f>+IF(F414="Pasajero",'2.2 OPEX LAP 2023'!N415*'2.1 OPEX TUUA'!$L$7,'2.2 OPEX LAP 2023'!N415*'2.1 OPEX TUUA'!$L$8)</f>
        <v>1595.129878736067</v>
      </c>
      <c r="M414" s="3"/>
      <c r="N414" s="3">
        <f>+IF(F414="Pasajero",'2.2 OPEX LAP 2023'!I415*'2.1 OPEX TUUA'!$N$7,'2.2 OPEX LAP 2023'!I415*'2.1 OPEX TUUA'!$N$8)</f>
        <v>305.87945577203271</v>
      </c>
      <c r="O414" s="3">
        <f>+IF(F414="Pasajero",'2.2 OPEX LAP 2023'!J415*'2.1 OPEX TUUA'!$O$7,'2.2 OPEX LAP 2023'!J415*'2.1 OPEX TUUA'!$O$8)</f>
        <v>305.87945577203271</v>
      </c>
      <c r="P414" s="3">
        <f>+IF(F414="Pasajero",'2.2 OPEX LAP 2023'!K415*'2.1 OPEX TUUA'!$P$7,'2.2 OPEX LAP 2023'!K415*'2.1 OPEX TUUA'!$P$8)</f>
        <v>305.87945577203271</v>
      </c>
      <c r="Q414" s="3">
        <f>+IF(F414="Pasajero",'2.2 OPEX LAP 2023'!L415*'2.1 OPEX TUUA'!$Q$7,'2.2 OPEX LAP 2023'!L415*'2.1 OPEX TUUA'!$Q$8)</f>
        <v>305.87945577203271</v>
      </c>
      <c r="R414" s="3">
        <f>+IF(F414="Pasajero",'2.2 OPEX LAP 2023'!M415*'2.1 OPEX TUUA'!$R$7,'2.2 OPEX LAP 2023'!M415*'2.1 OPEX TUUA'!$R$8)</f>
        <v>305.87945577203271</v>
      </c>
      <c r="S414" s="3">
        <f>+IF(F414="Pasajero",'2.2 OPEX LAP 2023'!N415*'2.1 OPEX TUUA'!$S$7,'2.2 OPEX LAP 2023'!N415*'2.1 OPEX TUUA'!$S$8)</f>
        <v>305.87945577203271</v>
      </c>
      <c r="U414" s="1">
        <v>1625.2699399737642</v>
      </c>
      <c r="V414" s="1">
        <v>1625.2699399737642</v>
      </c>
      <c r="W414" s="1">
        <v>1625.2699399737642</v>
      </c>
      <c r="X414" s="1">
        <v>1625.2699399737642</v>
      </c>
      <c r="Y414" s="1">
        <v>1625.2699399737642</v>
      </c>
      <c r="Z414" s="1">
        <v>1625.2699399737642</v>
      </c>
      <c r="AA414" s="7">
        <f t="shared" si="39"/>
        <v>-30.140061237697182</v>
      </c>
      <c r="AB414" s="7">
        <f t="shared" si="40"/>
        <v>-30.140061237697182</v>
      </c>
      <c r="AC414" s="7">
        <f t="shared" si="41"/>
        <v>-30.140061237697182</v>
      </c>
      <c r="AD414" s="7">
        <f t="shared" si="42"/>
        <v>-30.140061237697182</v>
      </c>
      <c r="AE414" s="7">
        <f t="shared" si="43"/>
        <v>-30.140061237697182</v>
      </c>
      <c r="AF414" s="7">
        <f t="shared" si="44"/>
        <v>-30.140061237697182</v>
      </c>
    </row>
    <row r="415" spans="2:32" x14ac:dyDescent="0.25">
      <c r="B415" s="17">
        <v>6380000005</v>
      </c>
      <c r="C415" s="193" t="s">
        <v>177</v>
      </c>
      <c r="D415" s="193" t="s">
        <v>38</v>
      </c>
      <c r="E415" s="193" t="s">
        <v>106</v>
      </c>
      <c r="F415" s="163" t="s">
        <v>190</v>
      </c>
      <c r="G415" s="3">
        <f>+IF(F415="Pasajero",'2.2 OPEX LAP 2023'!I416*'2.1 OPEX TUUA'!$G$7,'2.2 OPEX LAP 2023'!I416*'2.1 OPEX TUUA'!$G$8)</f>
        <v>0</v>
      </c>
      <c r="H415" s="3">
        <f>+IF(F415="Pasajero",'2.2 OPEX LAP 2023'!J416*'2.1 OPEX TUUA'!$H$7,'2.2 OPEX LAP 2023'!J416*'2.1 OPEX TUUA'!$H$8)</f>
        <v>0</v>
      </c>
      <c r="I415" s="3">
        <f>+IF(F415="Pasajero",'2.2 OPEX LAP 2023'!K416*'2.1 OPEX TUUA'!$I$7,'2.2 OPEX LAP 2023'!K416*'2.1 OPEX TUUA'!$I$8)</f>
        <v>0</v>
      </c>
      <c r="J415" s="3">
        <f>+IF(F415="Pasajero",'2.2 OPEX LAP 2023'!L416*'2.1 OPEX TUUA'!$J$7,'2.2 OPEX LAP 2023'!L416*'2.1 OPEX TUUA'!$J$8)</f>
        <v>0</v>
      </c>
      <c r="K415" s="3">
        <f>+IF(F415="Pasajero",'2.2 OPEX LAP 2023'!M416*'2.1 OPEX TUUA'!$K$7,'2.2 OPEX LAP 2023'!M416*'2.1 OPEX TUUA'!$K$8)</f>
        <v>0</v>
      </c>
      <c r="L415" s="3">
        <f>+IF(F415="Pasajero",'2.2 OPEX LAP 2023'!N416*'2.1 OPEX TUUA'!$L$7,'2.2 OPEX LAP 2023'!N416*'2.1 OPEX TUUA'!$L$8)</f>
        <v>0</v>
      </c>
      <c r="M415" s="3"/>
      <c r="N415" s="3">
        <f>+IF(F415="Pasajero",'2.2 OPEX LAP 2023'!I416*'2.1 OPEX TUUA'!$N$7,'2.2 OPEX LAP 2023'!I416*'2.1 OPEX TUUA'!$N$8)</f>
        <v>0</v>
      </c>
      <c r="O415" s="3">
        <f>+IF(F415="Pasajero",'2.2 OPEX LAP 2023'!J416*'2.1 OPEX TUUA'!$O$7,'2.2 OPEX LAP 2023'!J416*'2.1 OPEX TUUA'!$O$8)</f>
        <v>0</v>
      </c>
      <c r="P415" s="3">
        <f>+IF(F415="Pasajero",'2.2 OPEX LAP 2023'!K416*'2.1 OPEX TUUA'!$P$7,'2.2 OPEX LAP 2023'!K416*'2.1 OPEX TUUA'!$P$8)</f>
        <v>0</v>
      </c>
      <c r="Q415" s="3">
        <f>+IF(F415="Pasajero",'2.2 OPEX LAP 2023'!L416*'2.1 OPEX TUUA'!$Q$7,'2.2 OPEX LAP 2023'!L416*'2.1 OPEX TUUA'!$Q$8)</f>
        <v>0</v>
      </c>
      <c r="R415" s="3">
        <f>+IF(F415="Pasajero",'2.2 OPEX LAP 2023'!M416*'2.1 OPEX TUUA'!$R$7,'2.2 OPEX LAP 2023'!M416*'2.1 OPEX TUUA'!$R$8)</f>
        <v>0</v>
      </c>
      <c r="S415" s="3">
        <f>+IF(F415="Pasajero",'2.2 OPEX LAP 2023'!N416*'2.1 OPEX TUUA'!$S$7,'2.2 OPEX LAP 2023'!N416*'2.1 OPEX TUUA'!$S$8)</f>
        <v>0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7">
        <f t="shared" si="39"/>
        <v>0</v>
      </c>
      <c r="AB415" s="7">
        <f t="shared" si="40"/>
        <v>0</v>
      </c>
      <c r="AC415" s="7">
        <f t="shared" si="41"/>
        <v>0</v>
      </c>
      <c r="AD415" s="7">
        <f t="shared" si="42"/>
        <v>0</v>
      </c>
      <c r="AE415" s="7">
        <f t="shared" si="43"/>
        <v>0</v>
      </c>
      <c r="AF415" s="7">
        <f t="shared" si="44"/>
        <v>0</v>
      </c>
    </row>
    <row r="416" spans="2:32" x14ac:dyDescent="0.25">
      <c r="B416" s="17">
        <v>6380000007</v>
      </c>
      <c r="C416" s="193" t="s">
        <v>177</v>
      </c>
      <c r="D416" s="193" t="s">
        <v>40</v>
      </c>
      <c r="E416" s="193" t="s">
        <v>107</v>
      </c>
      <c r="F416" s="163" t="s">
        <v>191</v>
      </c>
      <c r="G416" s="3">
        <f>+IF(F416="Pasajero",'2.2 OPEX LAP 2023'!I417*'2.1 OPEX TUUA'!$G$7,'2.2 OPEX LAP 2023'!I417*'2.1 OPEX TUUA'!$G$8)</f>
        <v>2148.6742879015032</v>
      </c>
      <c r="H416" s="3">
        <f>+IF(F416="Pasajero",'2.2 OPEX LAP 2023'!J417*'2.1 OPEX TUUA'!$H$7,'2.2 OPEX LAP 2023'!J417*'2.1 OPEX TUUA'!$H$8)</f>
        <v>2148.6742879015032</v>
      </c>
      <c r="I416" s="3">
        <f>+IF(F416="Pasajero",'2.2 OPEX LAP 2023'!K417*'2.1 OPEX TUUA'!$I$7,'2.2 OPEX LAP 2023'!K417*'2.1 OPEX TUUA'!$I$8)</f>
        <v>2148.6742879015032</v>
      </c>
      <c r="J416" s="3">
        <f>+IF(F416="Pasajero",'2.2 OPEX LAP 2023'!L417*'2.1 OPEX TUUA'!$J$7,'2.2 OPEX LAP 2023'!L417*'2.1 OPEX TUUA'!$J$8)</f>
        <v>2148.6742879015032</v>
      </c>
      <c r="K416" s="3">
        <f>+IF(F416="Pasajero",'2.2 OPEX LAP 2023'!M417*'2.1 OPEX TUUA'!$K$7,'2.2 OPEX LAP 2023'!M417*'2.1 OPEX TUUA'!$K$8)</f>
        <v>2148.6742879015032</v>
      </c>
      <c r="L416" s="3">
        <f>+IF(F416="Pasajero",'2.2 OPEX LAP 2023'!N417*'2.1 OPEX TUUA'!$L$7,'2.2 OPEX LAP 2023'!N417*'2.1 OPEX TUUA'!$L$8)</f>
        <v>2148.6742879015032</v>
      </c>
      <c r="M416" s="3"/>
      <c r="N416" s="3">
        <f>+IF(F416="Pasajero",'2.2 OPEX LAP 2023'!I417*'2.1 OPEX TUUA'!$N$7,'2.2 OPEX LAP 2023'!I417*'2.1 OPEX TUUA'!$N$8)</f>
        <v>412.02621214483509</v>
      </c>
      <c r="O416" s="3">
        <f>+IF(F416="Pasajero",'2.2 OPEX LAP 2023'!J417*'2.1 OPEX TUUA'!$O$7,'2.2 OPEX LAP 2023'!J417*'2.1 OPEX TUUA'!$O$8)</f>
        <v>412.02621214483509</v>
      </c>
      <c r="P416" s="3">
        <f>+IF(F416="Pasajero",'2.2 OPEX LAP 2023'!K417*'2.1 OPEX TUUA'!$P$7,'2.2 OPEX LAP 2023'!K417*'2.1 OPEX TUUA'!$P$8)</f>
        <v>412.02621214483509</v>
      </c>
      <c r="Q416" s="3">
        <f>+IF(F416="Pasajero",'2.2 OPEX LAP 2023'!L417*'2.1 OPEX TUUA'!$Q$7,'2.2 OPEX LAP 2023'!L417*'2.1 OPEX TUUA'!$Q$8)</f>
        <v>412.02621214483509</v>
      </c>
      <c r="R416" s="3">
        <f>+IF(F416="Pasajero",'2.2 OPEX LAP 2023'!M417*'2.1 OPEX TUUA'!$R$7,'2.2 OPEX LAP 2023'!M417*'2.1 OPEX TUUA'!$R$8)</f>
        <v>412.02621214483509</v>
      </c>
      <c r="S416" s="3">
        <f>+IF(F416="Pasajero",'2.2 OPEX LAP 2023'!N417*'2.1 OPEX TUUA'!$S$7,'2.2 OPEX LAP 2023'!N417*'2.1 OPEX TUUA'!$S$8)</f>
        <v>412.02621214483509</v>
      </c>
      <c r="U416" s="1">
        <v>2189.2735992682565</v>
      </c>
      <c r="V416" s="1">
        <v>2189.2735992682565</v>
      </c>
      <c r="W416" s="1">
        <v>2189.2735992682565</v>
      </c>
      <c r="X416" s="1">
        <v>2189.2735992682565</v>
      </c>
      <c r="Y416" s="1">
        <v>2189.2735992682565</v>
      </c>
      <c r="Z416" s="1">
        <v>2189.2735992682565</v>
      </c>
      <c r="AA416" s="7">
        <f t="shared" si="39"/>
        <v>-40.599311366753227</v>
      </c>
      <c r="AB416" s="7">
        <f t="shared" si="40"/>
        <v>-40.599311366753227</v>
      </c>
      <c r="AC416" s="7">
        <f t="shared" si="41"/>
        <v>-40.599311366753227</v>
      </c>
      <c r="AD416" s="7">
        <f t="shared" si="42"/>
        <v>-40.599311366753227</v>
      </c>
      <c r="AE416" s="7">
        <f t="shared" si="43"/>
        <v>-40.599311366753227</v>
      </c>
      <c r="AF416" s="7">
        <f t="shared" si="44"/>
        <v>-40.599311366753227</v>
      </c>
    </row>
    <row r="417" spans="2:32" x14ac:dyDescent="0.25">
      <c r="B417" s="17">
        <v>6380000008</v>
      </c>
      <c r="C417" s="193" t="s">
        <v>177</v>
      </c>
      <c r="D417" s="193" t="s">
        <v>40</v>
      </c>
      <c r="E417" s="193" t="s">
        <v>108</v>
      </c>
      <c r="F417" s="163" t="s">
        <v>190</v>
      </c>
      <c r="G417" s="3">
        <f>+IF(F417="Pasajero",'2.2 OPEX LAP 2023'!I418*'2.1 OPEX TUUA'!$G$7,'2.2 OPEX LAP 2023'!I418*'2.1 OPEX TUUA'!$G$8)</f>
        <v>0</v>
      </c>
      <c r="H417" s="3">
        <f>+IF(F417="Pasajero",'2.2 OPEX LAP 2023'!J418*'2.1 OPEX TUUA'!$H$7,'2.2 OPEX LAP 2023'!J418*'2.1 OPEX TUUA'!$H$8)</f>
        <v>0</v>
      </c>
      <c r="I417" s="3">
        <f>+IF(F417="Pasajero",'2.2 OPEX LAP 2023'!K418*'2.1 OPEX TUUA'!$I$7,'2.2 OPEX LAP 2023'!K418*'2.1 OPEX TUUA'!$I$8)</f>
        <v>0</v>
      </c>
      <c r="J417" s="3">
        <f>+IF(F417="Pasajero",'2.2 OPEX LAP 2023'!L418*'2.1 OPEX TUUA'!$J$7,'2.2 OPEX LAP 2023'!L418*'2.1 OPEX TUUA'!$J$8)</f>
        <v>0</v>
      </c>
      <c r="K417" s="3">
        <f>+IF(F417="Pasajero",'2.2 OPEX LAP 2023'!M418*'2.1 OPEX TUUA'!$K$7,'2.2 OPEX LAP 2023'!M418*'2.1 OPEX TUUA'!$K$8)</f>
        <v>0</v>
      </c>
      <c r="L417" s="3">
        <f>+IF(F417="Pasajero",'2.2 OPEX LAP 2023'!N418*'2.1 OPEX TUUA'!$L$7,'2.2 OPEX LAP 2023'!N418*'2.1 OPEX TUUA'!$L$8)</f>
        <v>0</v>
      </c>
      <c r="M417" s="3"/>
      <c r="N417" s="3">
        <f>+IF(F417="Pasajero",'2.2 OPEX LAP 2023'!I418*'2.1 OPEX TUUA'!$N$7,'2.2 OPEX LAP 2023'!I418*'2.1 OPEX TUUA'!$N$8)</f>
        <v>0</v>
      </c>
      <c r="O417" s="3">
        <f>+IF(F417="Pasajero",'2.2 OPEX LAP 2023'!J418*'2.1 OPEX TUUA'!$O$7,'2.2 OPEX LAP 2023'!J418*'2.1 OPEX TUUA'!$O$8)</f>
        <v>0</v>
      </c>
      <c r="P417" s="3">
        <f>+IF(F417="Pasajero",'2.2 OPEX LAP 2023'!K418*'2.1 OPEX TUUA'!$P$7,'2.2 OPEX LAP 2023'!K418*'2.1 OPEX TUUA'!$P$8)</f>
        <v>0</v>
      </c>
      <c r="Q417" s="3">
        <f>+IF(F417="Pasajero",'2.2 OPEX LAP 2023'!L418*'2.1 OPEX TUUA'!$Q$7,'2.2 OPEX LAP 2023'!L418*'2.1 OPEX TUUA'!$Q$8)</f>
        <v>0</v>
      </c>
      <c r="R417" s="3">
        <f>+IF(F417="Pasajero",'2.2 OPEX LAP 2023'!M418*'2.1 OPEX TUUA'!$R$7,'2.2 OPEX LAP 2023'!M418*'2.1 OPEX TUUA'!$R$8)</f>
        <v>0</v>
      </c>
      <c r="S417" s="3">
        <f>+IF(F417="Pasajero",'2.2 OPEX LAP 2023'!N418*'2.1 OPEX TUUA'!$S$7,'2.2 OPEX LAP 2023'!N418*'2.1 OPEX TUUA'!$S$8)</f>
        <v>0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7">
        <f t="shared" si="39"/>
        <v>0</v>
      </c>
      <c r="AB417" s="7">
        <f t="shared" si="40"/>
        <v>0</v>
      </c>
      <c r="AC417" s="7">
        <f t="shared" si="41"/>
        <v>0</v>
      </c>
      <c r="AD417" s="7">
        <f t="shared" si="42"/>
        <v>0</v>
      </c>
      <c r="AE417" s="7">
        <f t="shared" si="43"/>
        <v>0</v>
      </c>
      <c r="AF417" s="7">
        <f t="shared" si="44"/>
        <v>0</v>
      </c>
    </row>
    <row r="418" spans="2:32" x14ac:dyDescent="0.25">
      <c r="B418" s="17">
        <v>6380000009</v>
      </c>
      <c r="C418" s="193" t="s">
        <v>177</v>
      </c>
      <c r="D418" s="193" t="s">
        <v>40</v>
      </c>
      <c r="E418" s="193" t="s">
        <v>109</v>
      </c>
      <c r="F418" s="163" t="s">
        <v>190</v>
      </c>
      <c r="G418" s="3">
        <f>+IF(F418="Pasajero",'2.2 OPEX LAP 2023'!I419*'2.1 OPEX TUUA'!$G$7,'2.2 OPEX LAP 2023'!I419*'2.1 OPEX TUUA'!$G$8)</f>
        <v>0</v>
      </c>
      <c r="H418" s="3">
        <f>+IF(F418="Pasajero",'2.2 OPEX LAP 2023'!J419*'2.1 OPEX TUUA'!$H$7,'2.2 OPEX LAP 2023'!J419*'2.1 OPEX TUUA'!$H$8)</f>
        <v>0</v>
      </c>
      <c r="I418" s="3">
        <f>+IF(F418="Pasajero",'2.2 OPEX LAP 2023'!K419*'2.1 OPEX TUUA'!$I$7,'2.2 OPEX LAP 2023'!K419*'2.1 OPEX TUUA'!$I$8)</f>
        <v>0</v>
      </c>
      <c r="J418" s="3">
        <f>+IF(F418="Pasajero",'2.2 OPEX LAP 2023'!L419*'2.1 OPEX TUUA'!$J$7,'2.2 OPEX LAP 2023'!L419*'2.1 OPEX TUUA'!$J$8)</f>
        <v>0</v>
      </c>
      <c r="K418" s="3">
        <f>+IF(F418="Pasajero",'2.2 OPEX LAP 2023'!M419*'2.1 OPEX TUUA'!$K$7,'2.2 OPEX LAP 2023'!M419*'2.1 OPEX TUUA'!$K$8)</f>
        <v>0</v>
      </c>
      <c r="L418" s="3">
        <f>+IF(F418="Pasajero",'2.2 OPEX LAP 2023'!N419*'2.1 OPEX TUUA'!$L$7,'2.2 OPEX LAP 2023'!N419*'2.1 OPEX TUUA'!$L$8)</f>
        <v>0</v>
      </c>
      <c r="M418" s="3"/>
      <c r="N418" s="3">
        <f>+IF(F418="Pasajero",'2.2 OPEX LAP 2023'!I419*'2.1 OPEX TUUA'!$N$7,'2.2 OPEX LAP 2023'!I419*'2.1 OPEX TUUA'!$N$8)</f>
        <v>0</v>
      </c>
      <c r="O418" s="3">
        <f>+IF(F418="Pasajero",'2.2 OPEX LAP 2023'!J419*'2.1 OPEX TUUA'!$O$7,'2.2 OPEX LAP 2023'!J419*'2.1 OPEX TUUA'!$O$8)</f>
        <v>0</v>
      </c>
      <c r="P418" s="3">
        <f>+IF(F418="Pasajero",'2.2 OPEX LAP 2023'!K419*'2.1 OPEX TUUA'!$P$7,'2.2 OPEX LAP 2023'!K419*'2.1 OPEX TUUA'!$P$8)</f>
        <v>0</v>
      </c>
      <c r="Q418" s="3">
        <f>+IF(F418="Pasajero",'2.2 OPEX LAP 2023'!L419*'2.1 OPEX TUUA'!$Q$7,'2.2 OPEX LAP 2023'!L419*'2.1 OPEX TUUA'!$Q$8)</f>
        <v>0</v>
      </c>
      <c r="R418" s="3">
        <f>+IF(F418="Pasajero",'2.2 OPEX LAP 2023'!M419*'2.1 OPEX TUUA'!$R$7,'2.2 OPEX LAP 2023'!M419*'2.1 OPEX TUUA'!$R$8)</f>
        <v>0</v>
      </c>
      <c r="S418" s="3">
        <f>+IF(F418="Pasajero",'2.2 OPEX LAP 2023'!N419*'2.1 OPEX TUUA'!$S$7,'2.2 OPEX LAP 2023'!N419*'2.1 OPEX TUUA'!$S$8)</f>
        <v>0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7">
        <f t="shared" si="39"/>
        <v>0</v>
      </c>
      <c r="AB418" s="7">
        <f t="shared" si="40"/>
        <v>0</v>
      </c>
      <c r="AC418" s="7">
        <f t="shared" si="41"/>
        <v>0</v>
      </c>
      <c r="AD418" s="7">
        <f t="shared" si="42"/>
        <v>0</v>
      </c>
      <c r="AE418" s="7">
        <f t="shared" si="43"/>
        <v>0</v>
      </c>
      <c r="AF418" s="7">
        <f t="shared" si="44"/>
        <v>0</v>
      </c>
    </row>
    <row r="419" spans="2:32" x14ac:dyDescent="0.25">
      <c r="B419" s="17">
        <v>6380000010</v>
      </c>
      <c r="C419" s="193" t="s">
        <v>177</v>
      </c>
      <c r="D419" s="193" t="s">
        <v>40</v>
      </c>
      <c r="E419" s="193" t="s">
        <v>110</v>
      </c>
      <c r="F419" s="163" t="s">
        <v>190</v>
      </c>
      <c r="G419" s="3">
        <f>+IF(F419="Pasajero",'2.2 OPEX LAP 2023'!I420*'2.1 OPEX TUUA'!$G$7,'2.2 OPEX LAP 2023'!I420*'2.1 OPEX TUUA'!$G$8)</f>
        <v>180.99517612765405</v>
      </c>
      <c r="H419" s="3">
        <f>+IF(F419="Pasajero",'2.2 OPEX LAP 2023'!J420*'2.1 OPEX TUUA'!$H$7,'2.2 OPEX LAP 2023'!J420*'2.1 OPEX TUUA'!$H$8)</f>
        <v>207.62592536799875</v>
      </c>
      <c r="I419" s="3">
        <f>+IF(F419="Pasajero",'2.2 OPEX LAP 2023'!K420*'2.1 OPEX TUUA'!$I$7,'2.2 OPEX LAP 2023'!K420*'2.1 OPEX TUUA'!$I$8)</f>
        <v>229.53350387393471</v>
      </c>
      <c r="J419" s="3">
        <f>+IF(F419="Pasajero",'2.2 OPEX LAP 2023'!L420*'2.1 OPEX TUUA'!$J$7,'2.2 OPEX LAP 2023'!L420*'2.1 OPEX TUUA'!$J$8)</f>
        <v>239.20114751032688</v>
      </c>
      <c r="K419" s="3">
        <f>+IF(F419="Pasajero",'2.2 OPEX LAP 2023'!M420*'2.1 OPEX TUUA'!$K$7,'2.2 OPEX LAP 2023'!M420*'2.1 OPEX TUUA'!$K$8)</f>
        <v>244.55208277028433</v>
      </c>
      <c r="L419" s="3">
        <f>+IF(F419="Pasajero",'2.2 OPEX LAP 2023'!N420*'2.1 OPEX TUUA'!$L$7,'2.2 OPEX LAP 2023'!N420*'2.1 OPEX TUUA'!$L$8)</f>
        <v>251.08323788177069</v>
      </c>
      <c r="M419" s="3"/>
      <c r="N419" s="3">
        <f>+IF(F419="Pasajero",'2.2 OPEX LAP 2023'!I420*'2.1 OPEX TUUA'!$N$7,'2.2 OPEX LAP 2023'!I420*'2.1 OPEX TUUA'!$N$8)</f>
        <v>89.269938314079653</v>
      </c>
      <c r="O419" s="3">
        <f>+IF(F419="Pasajero",'2.2 OPEX LAP 2023'!J420*'2.1 OPEX TUUA'!$O$7,'2.2 OPEX LAP 2023'!J420*'2.1 OPEX TUUA'!$O$8)</f>
        <v>85.991023015298069</v>
      </c>
      <c r="P419" s="3">
        <f>+IF(F419="Pasajero",'2.2 OPEX LAP 2023'!K420*'2.1 OPEX TUUA'!$P$7,'2.2 OPEX LAP 2023'!K420*'2.1 OPEX TUUA'!$P$8)</f>
        <v>84.03879794378787</v>
      </c>
      <c r="Q419" s="3">
        <f>+IF(F419="Pasajero",'2.2 OPEX LAP 2023'!L420*'2.1 OPEX TUUA'!$Q$7,'2.2 OPEX LAP 2023'!L420*'2.1 OPEX TUUA'!$Q$8)</f>
        <v>82.12036137012754</v>
      </c>
      <c r="R419" s="3">
        <f>+IF(F419="Pasajero",'2.2 OPEX LAP 2023'!M420*'2.1 OPEX TUUA'!$R$7,'2.2 OPEX LAP 2023'!M420*'2.1 OPEX TUUA'!$R$8)</f>
        <v>81.080159296512605</v>
      </c>
      <c r="S419" s="3">
        <f>+IF(F419="Pasajero",'2.2 OPEX LAP 2023'!N420*'2.1 OPEX TUUA'!$S$7,'2.2 OPEX LAP 2023'!N420*'2.1 OPEX TUUA'!$S$8)</f>
        <v>79.803201685496745</v>
      </c>
      <c r="U419" s="1">
        <v>184.41508930521789</v>
      </c>
      <c r="V419" s="1">
        <v>211.54902792443983</v>
      </c>
      <c r="W419" s="1">
        <v>233.87055125489488</v>
      </c>
      <c r="X419" s="1">
        <v>243.72086551586088</v>
      </c>
      <c r="Y419" s="1">
        <v>249.17290697322835</v>
      </c>
      <c r="Z419" s="1">
        <v>255.82746859702269</v>
      </c>
      <c r="AA419" s="7">
        <f t="shared" si="39"/>
        <v>-3.4199131775638421</v>
      </c>
      <c r="AB419" s="7">
        <f t="shared" si="40"/>
        <v>-3.92310255644108</v>
      </c>
      <c r="AC419" s="7">
        <f t="shared" si="41"/>
        <v>-4.3370473809601719</v>
      </c>
      <c r="AD419" s="7">
        <f t="shared" si="42"/>
        <v>-4.5197180055340027</v>
      </c>
      <c r="AE419" s="7">
        <f t="shared" si="43"/>
        <v>-4.6208242029440214</v>
      </c>
      <c r="AF419" s="7">
        <f t="shared" si="44"/>
        <v>-4.7442307152520016</v>
      </c>
    </row>
    <row r="420" spans="2:32" x14ac:dyDescent="0.25">
      <c r="B420" s="17">
        <v>6380000012</v>
      </c>
      <c r="C420" s="193" t="s">
        <v>177</v>
      </c>
      <c r="D420" s="193" t="s">
        <v>40</v>
      </c>
      <c r="E420" s="193" t="s">
        <v>111</v>
      </c>
      <c r="F420" s="163" t="s">
        <v>190</v>
      </c>
      <c r="G420" s="3">
        <f>+IF(F420="Pasajero",'2.2 OPEX LAP 2023'!I421*'2.1 OPEX TUUA'!$G$7,'2.2 OPEX LAP 2023'!I421*'2.1 OPEX TUUA'!$G$8)</f>
        <v>350.81158600299511</v>
      </c>
      <c r="H420" s="3">
        <f>+IF(F420="Pasajero",'2.2 OPEX LAP 2023'!J421*'2.1 OPEX TUUA'!$H$7,'2.2 OPEX LAP 2023'!J421*'2.1 OPEX TUUA'!$H$8)</f>
        <v>402.42829522879401</v>
      </c>
      <c r="I420" s="3">
        <f>+IF(F420="Pasajero",'2.2 OPEX LAP 2023'!K421*'2.1 OPEX TUUA'!$I$7,'2.2 OPEX LAP 2023'!K421*'2.1 OPEX TUUA'!$I$8)</f>
        <v>444.8903791670536</v>
      </c>
      <c r="J420" s="3">
        <f>+IF(F420="Pasajero",'2.2 OPEX LAP 2023'!L421*'2.1 OPEX TUUA'!$J$7,'2.2 OPEX LAP 2023'!L421*'2.1 OPEX TUUA'!$J$8)</f>
        <v>463.62856583895967</v>
      </c>
      <c r="K420" s="3">
        <f>+IF(F420="Pasajero",'2.2 OPEX LAP 2023'!M421*'2.1 OPEX TUUA'!$K$7,'2.2 OPEX LAP 2023'!M421*'2.1 OPEX TUUA'!$K$8)</f>
        <v>473.99994769181677</v>
      </c>
      <c r="L420" s="3">
        <f>+IF(F420="Pasajero",'2.2 OPEX LAP 2023'!N421*'2.1 OPEX TUUA'!$L$7,'2.2 OPEX LAP 2023'!N421*'2.1 OPEX TUUA'!$L$8)</f>
        <v>486.65887558211665</v>
      </c>
      <c r="M420" s="3"/>
      <c r="N420" s="3">
        <f>+IF(F420="Pasajero",'2.2 OPEX LAP 2023'!I421*'2.1 OPEX TUUA'!$N$7,'2.2 OPEX LAP 2023'!I421*'2.1 OPEX TUUA'!$N$8)</f>
        <v>173.02631657025111</v>
      </c>
      <c r="O420" s="3">
        <f>+IF(F420="Pasajero",'2.2 OPEX LAP 2023'!J421*'2.1 OPEX TUUA'!$O$7,'2.2 OPEX LAP 2023'!J421*'2.1 OPEX TUUA'!$O$8)</f>
        <v>166.67100091518762</v>
      </c>
      <c r="P420" s="3">
        <f>+IF(F420="Pasajero",'2.2 OPEX LAP 2023'!K421*'2.1 OPEX TUUA'!$P$7,'2.2 OPEX LAP 2023'!K421*'2.1 OPEX TUUA'!$P$8)</f>
        <v>162.88712563064257</v>
      </c>
      <c r="Q420" s="3">
        <f>+IF(F420="Pasajero",'2.2 OPEX LAP 2023'!L421*'2.1 OPEX TUUA'!$Q$7,'2.2 OPEX LAP 2023'!L421*'2.1 OPEX TUUA'!$Q$8)</f>
        <v>159.16874047004987</v>
      </c>
      <c r="R420" s="3">
        <f>+IF(F420="Pasajero",'2.2 OPEX LAP 2023'!M421*'2.1 OPEX TUUA'!$R$7,'2.2 OPEX LAP 2023'!M421*'2.1 OPEX TUUA'!$R$8)</f>
        <v>157.1525821004418</v>
      </c>
      <c r="S420" s="3">
        <f>+IF(F420="Pasajero",'2.2 OPEX LAP 2023'!N421*'2.1 OPEX TUUA'!$S$7,'2.2 OPEX LAP 2023'!N421*'2.1 OPEX TUUA'!$S$8)</f>
        <v>154.67753533752077</v>
      </c>
      <c r="U420" s="1">
        <v>357.44018899387009</v>
      </c>
      <c r="V420" s="1">
        <v>410.03219859971495</v>
      </c>
      <c r="W420" s="1">
        <v>453.29660580157827</v>
      </c>
      <c r="X420" s="1">
        <v>472.38885147601661</v>
      </c>
      <c r="Y420" s="1">
        <v>482.95620112330329</v>
      </c>
      <c r="Z420" s="1">
        <v>495.85432010826156</v>
      </c>
      <c r="AA420" s="7">
        <f t="shared" si="39"/>
        <v>-6.6286029908749811</v>
      </c>
      <c r="AB420" s="7">
        <f t="shared" si="40"/>
        <v>-7.603903370920932</v>
      </c>
      <c r="AC420" s="7">
        <f t="shared" si="41"/>
        <v>-8.4062266345246712</v>
      </c>
      <c r="AD420" s="7">
        <f t="shared" si="42"/>
        <v>-8.7602856370569384</v>
      </c>
      <c r="AE420" s="7">
        <f t="shared" si="43"/>
        <v>-8.9562534314865161</v>
      </c>
      <c r="AF420" s="7">
        <f t="shared" si="44"/>
        <v>-9.1954445261449109</v>
      </c>
    </row>
    <row r="421" spans="2:32" x14ac:dyDescent="0.25">
      <c r="B421" s="17">
        <v>6380000014</v>
      </c>
      <c r="C421" s="193" t="s">
        <v>177</v>
      </c>
      <c r="D421" s="193" t="s">
        <v>49</v>
      </c>
      <c r="E421" s="193" t="s">
        <v>112</v>
      </c>
      <c r="F421" s="163" t="s">
        <v>190</v>
      </c>
      <c r="G421" s="3">
        <f>+IF(F421="Pasajero",'2.2 OPEX LAP 2023'!I422*'2.1 OPEX TUUA'!$G$7,'2.2 OPEX LAP 2023'!I422*'2.1 OPEX TUUA'!$G$8)</f>
        <v>0</v>
      </c>
      <c r="H421" s="3">
        <f>+IF(F421="Pasajero",'2.2 OPEX LAP 2023'!J422*'2.1 OPEX TUUA'!$H$7,'2.2 OPEX LAP 2023'!J422*'2.1 OPEX TUUA'!$H$8)</f>
        <v>0</v>
      </c>
      <c r="I421" s="3">
        <f>+IF(F421="Pasajero",'2.2 OPEX LAP 2023'!K422*'2.1 OPEX TUUA'!$I$7,'2.2 OPEX LAP 2023'!K422*'2.1 OPEX TUUA'!$I$8)</f>
        <v>0</v>
      </c>
      <c r="J421" s="3">
        <f>+IF(F421="Pasajero",'2.2 OPEX LAP 2023'!L422*'2.1 OPEX TUUA'!$J$7,'2.2 OPEX LAP 2023'!L422*'2.1 OPEX TUUA'!$J$8)</f>
        <v>0</v>
      </c>
      <c r="K421" s="3">
        <f>+IF(F421="Pasajero",'2.2 OPEX LAP 2023'!M422*'2.1 OPEX TUUA'!$K$7,'2.2 OPEX LAP 2023'!M422*'2.1 OPEX TUUA'!$K$8)</f>
        <v>0</v>
      </c>
      <c r="L421" s="3">
        <f>+IF(F421="Pasajero",'2.2 OPEX LAP 2023'!N422*'2.1 OPEX TUUA'!$L$7,'2.2 OPEX LAP 2023'!N422*'2.1 OPEX TUUA'!$L$8)</f>
        <v>0</v>
      </c>
      <c r="M421" s="3"/>
      <c r="N421" s="3">
        <f>+IF(F421="Pasajero",'2.2 OPEX LAP 2023'!I422*'2.1 OPEX TUUA'!$N$7,'2.2 OPEX LAP 2023'!I422*'2.1 OPEX TUUA'!$N$8)</f>
        <v>0</v>
      </c>
      <c r="O421" s="3">
        <f>+IF(F421="Pasajero",'2.2 OPEX LAP 2023'!J422*'2.1 OPEX TUUA'!$O$7,'2.2 OPEX LAP 2023'!J422*'2.1 OPEX TUUA'!$O$8)</f>
        <v>0</v>
      </c>
      <c r="P421" s="3">
        <f>+IF(F421="Pasajero",'2.2 OPEX LAP 2023'!K422*'2.1 OPEX TUUA'!$P$7,'2.2 OPEX LAP 2023'!K422*'2.1 OPEX TUUA'!$P$8)</f>
        <v>0</v>
      </c>
      <c r="Q421" s="3">
        <f>+IF(F421="Pasajero",'2.2 OPEX LAP 2023'!L422*'2.1 OPEX TUUA'!$Q$7,'2.2 OPEX LAP 2023'!L422*'2.1 OPEX TUUA'!$Q$8)</f>
        <v>0</v>
      </c>
      <c r="R421" s="3">
        <f>+IF(F421="Pasajero",'2.2 OPEX LAP 2023'!M422*'2.1 OPEX TUUA'!$R$7,'2.2 OPEX LAP 2023'!M422*'2.1 OPEX TUUA'!$R$8)</f>
        <v>0</v>
      </c>
      <c r="S421" s="3">
        <f>+IF(F421="Pasajero",'2.2 OPEX LAP 2023'!N422*'2.1 OPEX TUUA'!$S$7,'2.2 OPEX LAP 2023'!N422*'2.1 OPEX TUUA'!$S$8)</f>
        <v>0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7">
        <f t="shared" si="39"/>
        <v>0</v>
      </c>
      <c r="AB421" s="7">
        <f t="shared" si="40"/>
        <v>0</v>
      </c>
      <c r="AC421" s="7">
        <f t="shared" si="41"/>
        <v>0</v>
      </c>
      <c r="AD421" s="7">
        <f t="shared" si="42"/>
        <v>0</v>
      </c>
      <c r="AE421" s="7">
        <f t="shared" si="43"/>
        <v>0</v>
      </c>
      <c r="AF421" s="7">
        <f t="shared" si="44"/>
        <v>0</v>
      </c>
    </row>
    <row r="422" spans="2:32" x14ac:dyDescent="0.25">
      <c r="B422" s="17">
        <v>6380000015</v>
      </c>
      <c r="C422" s="193" t="s">
        <v>177</v>
      </c>
      <c r="D422" s="193" t="s">
        <v>40</v>
      </c>
      <c r="E422" s="193" t="s">
        <v>113</v>
      </c>
      <c r="F422" s="163" t="s">
        <v>190</v>
      </c>
      <c r="G422" s="3">
        <f>+IF(F422="Pasajero",'2.2 OPEX LAP 2023'!I423*'2.1 OPEX TUUA'!$G$7,'2.2 OPEX LAP 2023'!I423*'2.1 OPEX TUUA'!$G$8)</f>
        <v>0</v>
      </c>
      <c r="H422" s="3">
        <f>+IF(F422="Pasajero",'2.2 OPEX LAP 2023'!J423*'2.1 OPEX TUUA'!$H$7,'2.2 OPEX LAP 2023'!J423*'2.1 OPEX TUUA'!$H$8)</f>
        <v>0</v>
      </c>
      <c r="I422" s="3">
        <f>+IF(F422="Pasajero",'2.2 OPEX LAP 2023'!K423*'2.1 OPEX TUUA'!$I$7,'2.2 OPEX LAP 2023'!K423*'2.1 OPEX TUUA'!$I$8)</f>
        <v>0</v>
      </c>
      <c r="J422" s="3">
        <f>+IF(F422="Pasajero",'2.2 OPEX LAP 2023'!L423*'2.1 OPEX TUUA'!$J$7,'2.2 OPEX LAP 2023'!L423*'2.1 OPEX TUUA'!$J$8)</f>
        <v>0</v>
      </c>
      <c r="K422" s="3">
        <f>+IF(F422="Pasajero",'2.2 OPEX LAP 2023'!M423*'2.1 OPEX TUUA'!$K$7,'2.2 OPEX LAP 2023'!M423*'2.1 OPEX TUUA'!$K$8)</f>
        <v>0</v>
      </c>
      <c r="L422" s="3">
        <f>+IF(F422="Pasajero",'2.2 OPEX LAP 2023'!N423*'2.1 OPEX TUUA'!$L$7,'2.2 OPEX LAP 2023'!N423*'2.1 OPEX TUUA'!$L$8)</f>
        <v>0</v>
      </c>
      <c r="M422" s="3"/>
      <c r="N422" s="3">
        <f>+IF(F422="Pasajero",'2.2 OPEX LAP 2023'!I423*'2.1 OPEX TUUA'!$N$7,'2.2 OPEX LAP 2023'!I423*'2.1 OPEX TUUA'!$N$8)</f>
        <v>0</v>
      </c>
      <c r="O422" s="3">
        <f>+IF(F422="Pasajero",'2.2 OPEX LAP 2023'!J423*'2.1 OPEX TUUA'!$O$7,'2.2 OPEX LAP 2023'!J423*'2.1 OPEX TUUA'!$O$8)</f>
        <v>0</v>
      </c>
      <c r="P422" s="3">
        <f>+IF(F422="Pasajero",'2.2 OPEX LAP 2023'!K423*'2.1 OPEX TUUA'!$P$7,'2.2 OPEX LAP 2023'!K423*'2.1 OPEX TUUA'!$P$8)</f>
        <v>0</v>
      </c>
      <c r="Q422" s="3">
        <f>+IF(F422="Pasajero",'2.2 OPEX LAP 2023'!L423*'2.1 OPEX TUUA'!$Q$7,'2.2 OPEX LAP 2023'!L423*'2.1 OPEX TUUA'!$Q$8)</f>
        <v>0</v>
      </c>
      <c r="R422" s="3">
        <f>+IF(F422="Pasajero",'2.2 OPEX LAP 2023'!M423*'2.1 OPEX TUUA'!$R$7,'2.2 OPEX LAP 2023'!M423*'2.1 OPEX TUUA'!$R$8)</f>
        <v>0</v>
      </c>
      <c r="S422" s="3">
        <f>+IF(F422="Pasajero",'2.2 OPEX LAP 2023'!N423*'2.1 OPEX TUUA'!$S$7,'2.2 OPEX LAP 2023'!N423*'2.1 OPEX TUUA'!$S$8)</f>
        <v>0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7">
        <f t="shared" si="39"/>
        <v>0</v>
      </c>
      <c r="AB422" s="7">
        <f t="shared" si="40"/>
        <v>0</v>
      </c>
      <c r="AC422" s="7">
        <f t="shared" si="41"/>
        <v>0</v>
      </c>
      <c r="AD422" s="7">
        <f t="shared" si="42"/>
        <v>0</v>
      </c>
      <c r="AE422" s="7">
        <f t="shared" si="43"/>
        <v>0</v>
      </c>
      <c r="AF422" s="7">
        <f t="shared" si="44"/>
        <v>0</v>
      </c>
    </row>
    <row r="423" spans="2:32" x14ac:dyDescent="0.25">
      <c r="B423" s="17">
        <v>6380000016</v>
      </c>
      <c r="C423" s="193" t="s">
        <v>177</v>
      </c>
      <c r="D423" s="193" t="s">
        <v>49</v>
      </c>
      <c r="E423" s="193" t="s">
        <v>114</v>
      </c>
      <c r="F423" s="163" t="s">
        <v>190</v>
      </c>
      <c r="G423" s="3">
        <f>+IF(F423="Pasajero",'2.2 OPEX LAP 2023'!I424*'2.1 OPEX TUUA'!$G$7,'2.2 OPEX LAP 2023'!I424*'2.1 OPEX TUUA'!$G$8)</f>
        <v>0</v>
      </c>
      <c r="H423" s="3">
        <f>+IF(F423="Pasajero",'2.2 OPEX LAP 2023'!J424*'2.1 OPEX TUUA'!$H$7,'2.2 OPEX LAP 2023'!J424*'2.1 OPEX TUUA'!$H$8)</f>
        <v>0</v>
      </c>
      <c r="I423" s="3">
        <f>+IF(F423="Pasajero",'2.2 OPEX LAP 2023'!K424*'2.1 OPEX TUUA'!$I$7,'2.2 OPEX LAP 2023'!K424*'2.1 OPEX TUUA'!$I$8)</f>
        <v>0</v>
      </c>
      <c r="J423" s="3">
        <f>+IF(F423="Pasajero",'2.2 OPEX LAP 2023'!L424*'2.1 OPEX TUUA'!$J$7,'2.2 OPEX LAP 2023'!L424*'2.1 OPEX TUUA'!$J$8)</f>
        <v>0</v>
      </c>
      <c r="K423" s="3">
        <f>+IF(F423="Pasajero",'2.2 OPEX LAP 2023'!M424*'2.1 OPEX TUUA'!$K$7,'2.2 OPEX LAP 2023'!M424*'2.1 OPEX TUUA'!$K$8)</f>
        <v>0</v>
      </c>
      <c r="L423" s="3">
        <f>+IF(F423="Pasajero",'2.2 OPEX LAP 2023'!N424*'2.1 OPEX TUUA'!$L$7,'2.2 OPEX LAP 2023'!N424*'2.1 OPEX TUUA'!$L$8)</f>
        <v>0</v>
      </c>
      <c r="M423" s="3"/>
      <c r="N423" s="3">
        <f>+IF(F423="Pasajero",'2.2 OPEX LAP 2023'!I424*'2.1 OPEX TUUA'!$N$7,'2.2 OPEX LAP 2023'!I424*'2.1 OPEX TUUA'!$N$8)</f>
        <v>0</v>
      </c>
      <c r="O423" s="3">
        <f>+IF(F423="Pasajero",'2.2 OPEX LAP 2023'!J424*'2.1 OPEX TUUA'!$O$7,'2.2 OPEX LAP 2023'!J424*'2.1 OPEX TUUA'!$O$8)</f>
        <v>0</v>
      </c>
      <c r="P423" s="3">
        <f>+IF(F423="Pasajero",'2.2 OPEX LAP 2023'!K424*'2.1 OPEX TUUA'!$P$7,'2.2 OPEX LAP 2023'!K424*'2.1 OPEX TUUA'!$P$8)</f>
        <v>0</v>
      </c>
      <c r="Q423" s="3">
        <f>+IF(F423="Pasajero",'2.2 OPEX LAP 2023'!L424*'2.1 OPEX TUUA'!$Q$7,'2.2 OPEX LAP 2023'!L424*'2.1 OPEX TUUA'!$Q$8)</f>
        <v>0</v>
      </c>
      <c r="R423" s="3">
        <f>+IF(F423="Pasajero",'2.2 OPEX LAP 2023'!M424*'2.1 OPEX TUUA'!$R$7,'2.2 OPEX LAP 2023'!M424*'2.1 OPEX TUUA'!$R$8)</f>
        <v>0</v>
      </c>
      <c r="S423" s="3">
        <f>+IF(F423="Pasajero",'2.2 OPEX LAP 2023'!N424*'2.1 OPEX TUUA'!$S$7,'2.2 OPEX LAP 2023'!N424*'2.1 OPEX TUUA'!$S$8)</f>
        <v>0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7">
        <f t="shared" si="39"/>
        <v>0</v>
      </c>
      <c r="AB423" s="7">
        <f t="shared" si="40"/>
        <v>0</v>
      </c>
      <c r="AC423" s="7">
        <f t="shared" si="41"/>
        <v>0</v>
      </c>
      <c r="AD423" s="7">
        <f t="shared" si="42"/>
        <v>0</v>
      </c>
      <c r="AE423" s="7">
        <f t="shared" si="43"/>
        <v>0</v>
      </c>
      <c r="AF423" s="7">
        <f t="shared" si="44"/>
        <v>0</v>
      </c>
    </row>
    <row r="424" spans="2:32" x14ac:dyDescent="0.25">
      <c r="B424" s="17">
        <v>6380000017</v>
      </c>
      <c r="C424" s="193" t="s">
        <v>177</v>
      </c>
      <c r="D424" s="193" t="s">
        <v>49</v>
      </c>
      <c r="E424" s="193" t="s">
        <v>115</v>
      </c>
      <c r="F424" s="163" t="s">
        <v>190</v>
      </c>
      <c r="G424" s="3">
        <f>+IF(F424="Pasajero",'2.2 OPEX LAP 2023'!I425*'2.1 OPEX TUUA'!$G$7,'2.2 OPEX LAP 2023'!I425*'2.1 OPEX TUUA'!$G$8)</f>
        <v>0</v>
      </c>
      <c r="H424" s="3">
        <f>+IF(F424="Pasajero",'2.2 OPEX LAP 2023'!J425*'2.1 OPEX TUUA'!$H$7,'2.2 OPEX LAP 2023'!J425*'2.1 OPEX TUUA'!$H$8)</f>
        <v>0</v>
      </c>
      <c r="I424" s="3">
        <f>+IF(F424="Pasajero",'2.2 OPEX LAP 2023'!K425*'2.1 OPEX TUUA'!$I$7,'2.2 OPEX LAP 2023'!K425*'2.1 OPEX TUUA'!$I$8)</f>
        <v>0</v>
      </c>
      <c r="J424" s="3">
        <f>+IF(F424="Pasajero",'2.2 OPEX LAP 2023'!L425*'2.1 OPEX TUUA'!$J$7,'2.2 OPEX LAP 2023'!L425*'2.1 OPEX TUUA'!$J$8)</f>
        <v>0</v>
      </c>
      <c r="K424" s="3">
        <f>+IF(F424="Pasajero",'2.2 OPEX LAP 2023'!M425*'2.1 OPEX TUUA'!$K$7,'2.2 OPEX LAP 2023'!M425*'2.1 OPEX TUUA'!$K$8)</f>
        <v>0</v>
      </c>
      <c r="L424" s="3">
        <f>+IF(F424="Pasajero",'2.2 OPEX LAP 2023'!N425*'2.1 OPEX TUUA'!$L$7,'2.2 OPEX LAP 2023'!N425*'2.1 OPEX TUUA'!$L$8)</f>
        <v>0</v>
      </c>
      <c r="M424" s="3"/>
      <c r="N424" s="3">
        <f>+IF(F424="Pasajero",'2.2 OPEX LAP 2023'!I425*'2.1 OPEX TUUA'!$N$7,'2.2 OPEX LAP 2023'!I425*'2.1 OPEX TUUA'!$N$8)</f>
        <v>0</v>
      </c>
      <c r="O424" s="3">
        <f>+IF(F424="Pasajero",'2.2 OPEX LAP 2023'!J425*'2.1 OPEX TUUA'!$O$7,'2.2 OPEX LAP 2023'!J425*'2.1 OPEX TUUA'!$O$8)</f>
        <v>0</v>
      </c>
      <c r="P424" s="3">
        <f>+IF(F424="Pasajero",'2.2 OPEX LAP 2023'!K425*'2.1 OPEX TUUA'!$P$7,'2.2 OPEX LAP 2023'!K425*'2.1 OPEX TUUA'!$P$8)</f>
        <v>0</v>
      </c>
      <c r="Q424" s="3">
        <f>+IF(F424="Pasajero",'2.2 OPEX LAP 2023'!L425*'2.1 OPEX TUUA'!$Q$7,'2.2 OPEX LAP 2023'!L425*'2.1 OPEX TUUA'!$Q$8)</f>
        <v>0</v>
      </c>
      <c r="R424" s="3">
        <f>+IF(F424="Pasajero",'2.2 OPEX LAP 2023'!M425*'2.1 OPEX TUUA'!$R$7,'2.2 OPEX LAP 2023'!M425*'2.1 OPEX TUUA'!$R$8)</f>
        <v>0</v>
      </c>
      <c r="S424" s="3">
        <f>+IF(F424="Pasajero",'2.2 OPEX LAP 2023'!N425*'2.1 OPEX TUUA'!$S$7,'2.2 OPEX LAP 2023'!N425*'2.1 OPEX TUUA'!$S$8)</f>
        <v>0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7">
        <f t="shared" si="39"/>
        <v>0</v>
      </c>
      <c r="AB424" s="7">
        <f t="shared" si="40"/>
        <v>0</v>
      </c>
      <c r="AC424" s="7">
        <f t="shared" si="41"/>
        <v>0</v>
      </c>
      <c r="AD424" s="7">
        <f t="shared" si="42"/>
        <v>0</v>
      </c>
      <c r="AE424" s="7">
        <f t="shared" si="43"/>
        <v>0</v>
      </c>
      <c r="AF424" s="7">
        <f t="shared" si="44"/>
        <v>0</v>
      </c>
    </row>
    <row r="425" spans="2:32" x14ac:dyDescent="0.25">
      <c r="B425" s="17">
        <v>6380000018</v>
      </c>
      <c r="C425" s="193" t="s">
        <v>177</v>
      </c>
      <c r="D425" s="193" t="s">
        <v>49</v>
      </c>
      <c r="E425" s="193" t="s">
        <v>116</v>
      </c>
      <c r="F425" s="163" t="s">
        <v>190</v>
      </c>
      <c r="G425" s="3">
        <f>+IF(F425="Pasajero",'2.2 OPEX LAP 2023'!I426*'2.1 OPEX TUUA'!$G$7,'2.2 OPEX LAP 2023'!I426*'2.1 OPEX TUUA'!$G$8)</f>
        <v>0</v>
      </c>
      <c r="H425" s="3">
        <f>+IF(F425="Pasajero",'2.2 OPEX LAP 2023'!J426*'2.1 OPEX TUUA'!$H$7,'2.2 OPEX LAP 2023'!J426*'2.1 OPEX TUUA'!$H$8)</f>
        <v>0</v>
      </c>
      <c r="I425" s="3">
        <f>+IF(F425="Pasajero",'2.2 OPEX LAP 2023'!K426*'2.1 OPEX TUUA'!$I$7,'2.2 OPEX LAP 2023'!K426*'2.1 OPEX TUUA'!$I$8)</f>
        <v>0</v>
      </c>
      <c r="J425" s="3">
        <f>+IF(F425="Pasajero",'2.2 OPEX LAP 2023'!L426*'2.1 OPEX TUUA'!$J$7,'2.2 OPEX LAP 2023'!L426*'2.1 OPEX TUUA'!$J$8)</f>
        <v>0</v>
      </c>
      <c r="K425" s="3">
        <f>+IF(F425="Pasajero",'2.2 OPEX LAP 2023'!M426*'2.1 OPEX TUUA'!$K$7,'2.2 OPEX LAP 2023'!M426*'2.1 OPEX TUUA'!$K$8)</f>
        <v>0</v>
      </c>
      <c r="L425" s="3">
        <f>+IF(F425="Pasajero",'2.2 OPEX LAP 2023'!N426*'2.1 OPEX TUUA'!$L$7,'2.2 OPEX LAP 2023'!N426*'2.1 OPEX TUUA'!$L$8)</f>
        <v>0</v>
      </c>
      <c r="M425" s="3"/>
      <c r="N425" s="3">
        <f>+IF(F425="Pasajero",'2.2 OPEX LAP 2023'!I426*'2.1 OPEX TUUA'!$N$7,'2.2 OPEX LAP 2023'!I426*'2.1 OPEX TUUA'!$N$8)</f>
        <v>0</v>
      </c>
      <c r="O425" s="3">
        <f>+IF(F425="Pasajero",'2.2 OPEX LAP 2023'!J426*'2.1 OPEX TUUA'!$O$7,'2.2 OPEX LAP 2023'!J426*'2.1 OPEX TUUA'!$O$8)</f>
        <v>0</v>
      </c>
      <c r="P425" s="3">
        <f>+IF(F425="Pasajero",'2.2 OPEX LAP 2023'!K426*'2.1 OPEX TUUA'!$P$7,'2.2 OPEX LAP 2023'!K426*'2.1 OPEX TUUA'!$P$8)</f>
        <v>0</v>
      </c>
      <c r="Q425" s="3">
        <f>+IF(F425="Pasajero",'2.2 OPEX LAP 2023'!L426*'2.1 OPEX TUUA'!$Q$7,'2.2 OPEX LAP 2023'!L426*'2.1 OPEX TUUA'!$Q$8)</f>
        <v>0</v>
      </c>
      <c r="R425" s="3">
        <f>+IF(F425="Pasajero",'2.2 OPEX LAP 2023'!M426*'2.1 OPEX TUUA'!$R$7,'2.2 OPEX LAP 2023'!M426*'2.1 OPEX TUUA'!$R$8)</f>
        <v>0</v>
      </c>
      <c r="S425" s="3">
        <f>+IF(F425="Pasajero",'2.2 OPEX LAP 2023'!N426*'2.1 OPEX TUUA'!$S$7,'2.2 OPEX LAP 2023'!N426*'2.1 OPEX TUUA'!$S$8)</f>
        <v>0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7">
        <f t="shared" si="39"/>
        <v>0</v>
      </c>
      <c r="AB425" s="7">
        <f t="shared" si="40"/>
        <v>0</v>
      </c>
      <c r="AC425" s="7">
        <f t="shared" si="41"/>
        <v>0</v>
      </c>
      <c r="AD425" s="7">
        <f t="shared" si="42"/>
        <v>0</v>
      </c>
      <c r="AE425" s="7">
        <f t="shared" si="43"/>
        <v>0</v>
      </c>
      <c r="AF425" s="7">
        <f t="shared" si="44"/>
        <v>0</v>
      </c>
    </row>
    <row r="426" spans="2:32" x14ac:dyDescent="0.25">
      <c r="B426" s="17">
        <v>6380000019</v>
      </c>
      <c r="C426" s="193" t="s">
        <v>177</v>
      </c>
      <c r="D426" s="193" t="s">
        <v>40</v>
      </c>
      <c r="E426" s="193" t="s">
        <v>117</v>
      </c>
      <c r="F426" s="163" t="s">
        <v>190</v>
      </c>
      <c r="G426" s="3">
        <f>+IF(F426="Pasajero",'2.2 OPEX LAP 2023'!I427*'2.1 OPEX TUUA'!$G$7,'2.2 OPEX LAP 2023'!I427*'2.1 OPEX TUUA'!$G$8)</f>
        <v>0</v>
      </c>
      <c r="H426" s="3">
        <f>+IF(F426="Pasajero",'2.2 OPEX LAP 2023'!J427*'2.1 OPEX TUUA'!$H$7,'2.2 OPEX LAP 2023'!J427*'2.1 OPEX TUUA'!$H$8)</f>
        <v>0</v>
      </c>
      <c r="I426" s="3">
        <f>+IF(F426="Pasajero",'2.2 OPEX LAP 2023'!K427*'2.1 OPEX TUUA'!$I$7,'2.2 OPEX LAP 2023'!K427*'2.1 OPEX TUUA'!$I$8)</f>
        <v>0</v>
      </c>
      <c r="J426" s="3">
        <f>+IF(F426="Pasajero",'2.2 OPEX LAP 2023'!L427*'2.1 OPEX TUUA'!$J$7,'2.2 OPEX LAP 2023'!L427*'2.1 OPEX TUUA'!$J$8)</f>
        <v>0</v>
      </c>
      <c r="K426" s="3">
        <f>+IF(F426="Pasajero",'2.2 OPEX LAP 2023'!M427*'2.1 OPEX TUUA'!$K$7,'2.2 OPEX LAP 2023'!M427*'2.1 OPEX TUUA'!$K$8)</f>
        <v>0</v>
      </c>
      <c r="L426" s="3">
        <f>+IF(F426="Pasajero",'2.2 OPEX LAP 2023'!N427*'2.1 OPEX TUUA'!$L$7,'2.2 OPEX LAP 2023'!N427*'2.1 OPEX TUUA'!$L$8)</f>
        <v>0</v>
      </c>
      <c r="M426" s="3"/>
      <c r="N426" s="3">
        <f>+IF(F426="Pasajero",'2.2 OPEX LAP 2023'!I427*'2.1 OPEX TUUA'!$N$7,'2.2 OPEX LAP 2023'!I427*'2.1 OPEX TUUA'!$N$8)</f>
        <v>0</v>
      </c>
      <c r="O426" s="3">
        <f>+IF(F426="Pasajero",'2.2 OPEX LAP 2023'!J427*'2.1 OPEX TUUA'!$O$7,'2.2 OPEX LAP 2023'!J427*'2.1 OPEX TUUA'!$O$8)</f>
        <v>0</v>
      </c>
      <c r="P426" s="3">
        <f>+IF(F426="Pasajero",'2.2 OPEX LAP 2023'!K427*'2.1 OPEX TUUA'!$P$7,'2.2 OPEX LAP 2023'!K427*'2.1 OPEX TUUA'!$P$8)</f>
        <v>0</v>
      </c>
      <c r="Q426" s="3">
        <f>+IF(F426="Pasajero",'2.2 OPEX LAP 2023'!L427*'2.1 OPEX TUUA'!$Q$7,'2.2 OPEX LAP 2023'!L427*'2.1 OPEX TUUA'!$Q$8)</f>
        <v>0</v>
      </c>
      <c r="R426" s="3">
        <f>+IF(F426="Pasajero",'2.2 OPEX LAP 2023'!M427*'2.1 OPEX TUUA'!$R$7,'2.2 OPEX LAP 2023'!M427*'2.1 OPEX TUUA'!$R$8)</f>
        <v>0</v>
      </c>
      <c r="S426" s="3">
        <f>+IF(F426="Pasajero",'2.2 OPEX LAP 2023'!N427*'2.1 OPEX TUUA'!$S$7,'2.2 OPEX LAP 2023'!N427*'2.1 OPEX TUUA'!$S$8)</f>
        <v>0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7">
        <f t="shared" si="39"/>
        <v>0</v>
      </c>
      <c r="AB426" s="7">
        <f t="shared" si="40"/>
        <v>0</v>
      </c>
      <c r="AC426" s="7">
        <f t="shared" si="41"/>
        <v>0</v>
      </c>
      <c r="AD426" s="7">
        <f t="shared" si="42"/>
        <v>0</v>
      </c>
      <c r="AE426" s="7">
        <f t="shared" si="43"/>
        <v>0</v>
      </c>
      <c r="AF426" s="7">
        <f t="shared" si="44"/>
        <v>0</v>
      </c>
    </row>
    <row r="427" spans="2:32" x14ac:dyDescent="0.25">
      <c r="B427" s="17">
        <v>6380000020</v>
      </c>
      <c r="C427" s="193" t="s">
        <v>177</v>
      </c>
      <c r="D427" s="193" t="s">
        <v>49</v>
      </c>
      <c r="E427" s="193" t="s">
        <v>118</v>
      </c>
      <c r="F427" s="163" t="s">
        <v>190</v>
      </c>
      <c r="G427" s="3">
        <f>+IF(F427="Pasajero",'2.2 OPEX LAP 2023'!I428*'2.1 OPEX TUUA'!$G$7,'2.2 OPEX LAP 2023'!I428*'2.1 OPEX TUUA'!$G$8)</f>
        <v>0</v>
      </c>
      <c r="H427" s="3">
        <f>+IF(F427="Pasajero",'2.2 OPEX LAP 2023'!J428*'2.1 OPEX TUUA'!$H$7,'2.2 OPEX LAP 2023'!J428*'2.1 OPEX TUUA'!$H$8)</f>
        <v>0</v>
      </c>
      <c r="I427" s="3">
        <f>+IF(F427="Pasajero",'2.2 OPEX LAP 2023'!K428*'2.1 OPEX TUUA'!$I$7,'2.2 OPEX LAP 2023'!K428*'2.1 OPEX TUUA'!$I$8)</f>
        <v>0</v>
      </c>
      <c r="J427" s="3">
        <f>+IF(F427="Pasajero",'2.2 OPEX LAP 2023'!L428*'2.1 OPEX TUUA'!$J$7,'2.2 OPEX LAP 2023'!L428*'2.1 OPEX TUUA'!$J$8)</f>
        <v>0</v>
      </c>
      <c r="K427" s="3">
        <f>+IF(F427="Pasajero",'2.2 OPEX LAP 2023'!M428*'2.1 OPEX TUUA'!$K$7,'2.2 OPEX LAP 2023'!M428*'2.1 OPEX TUUA'!$K$8)</f>
        <v>0</v>
      </c>
      <c r="L427" s="3">
        <f>+IF(F427="Pasajero",'2.2 OPEX LAP 2023'!N428*'2.1 OPEX TUUA'!$L$7,'2.2 OPEX LAP 2023'!N428*'2.1 OPEX TUUA'!$L$8)</f>
        <v>0</v>
      </c>
      <c r="M427" s="3"/>
      <c r="N427" s="3">
        <f>+IF(F427="Pasajero",'2.2 OPEX LAP 2023'!I428*'2.1 OPEX TUUA'!$N$7,'2.2 OPEX LAP 2023'!I428*'2.1 OPEX TUUA'!$N$8)</f>
        <v>0</v>
      </c>
      <c r="O427" s="3">
        <f>+IF(F427="Pasajero",'2.2 OPEX LAP 2023'!J428*'2.1 OPEX TUUA'!$O$7,'2.2 OPEX LAP 2023'!J428*'2.1 OPEX TUUA'!$O$8)</f>
        <v>0</v>
      </c>
      <c r="P427" s="3">
        <f>+IF(F427="Pasajero",'2.2 OPEX LAP 2023'!K428*'2.1 OPEX TUUA'!$P$7,'2.2 OPEX LAP 2023'!K428*'2.1 OPEX TUUA'!$P$8)</f>
        <v>0</v>
      </c>
      <c r="Q427" s="3">
        <f>+IF(F427="Pasajero",'2.2 OPEX LAP 2023'!L428*'2.1 OPEX TUUA'!$Q$7,'2.2 OPEX LAP 2023'!L428*'2.1 OPEX TUUA'!$Q$8)</f>
        <v>0</v>
      </c>
      <c r="R427" s="3">
        <f>+IF(F427="Pasajero",'2.2 OPEX LAP 2023'!M428*'2.1 OPEX TUUA'!$R$7,'2.2 OPEX LAP 2023'!M428*'2.1 OPEX TUUA'!$R$8)</f>
        <v>0</v>
      </c>
      <c r="S427" s="3">
        <f>+IF(F427="Pasajero",'2.2 OPEX LAP 2023'!N428*'2.1 OPEX TUUA'!$S$7,'2.2 OPEX LAP 2023'!N428*'2.1 OPEX TUUA'!$S$8)</f>
        <v>0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7">
        <f t="shared" si="39"/>
        <v>0</v>
      </c>
      <c r="AB427" s="7">
        <f t="shared" si="40"/>
        <v>0</v>
      </c>
      <c r="AC427" s="7">
        <f t="shared" si="41"/>
        <v>0</v>
      </c>
      <c r="AD427" s="7">
        <f t="shared" si="42"/>
        <v>0</v>
      </c>
      <c r="AE427" s="7">
        <f t="shared" si="43"/>
        <v>0</v>
      </c>
      <c r="AF427" s="7">
        <f t="shared" si="44"/>
        <v>0</v>
      </c>
    </row>
    <row r="428" spans="2:32" x14ac:dyDescent="0.25">
      <c r="B428" s="17">
        <v>6380000021</v>
      </c>
      <c r="C428" s="193" t="s">
        <v>177</v>
      </c>
      <c r="D428" s="193" t="s">
        <v>40</v>
      </c>
      <c r="E428" s="193" t="s">
        <v>119</v>
      </c>
      <c r="F428" s="163" t="s">
        <v>190</v>
      </c>
      <c r="G428" s="3">
        <f>+IF(F428="Pasajero",'2.2 OPEX LAP 2023'!I429*'2.1 OPEX TUUA'!$G$7,'2.2 OPEX LAP 2023'!I429*'2.1 OPEX TUUA'!$G$8)</f>
        <v>4883.2853454200704</v>
      </c>
      <c r="H428" s="3">
        <f>+IF(F428="Pasajero",'2.2 OPEX LAP 2023'!J429*'2.1 OPEX TUUA'!$H$7,'2.2 OPEX LAP 2023'!J429*'2.1 OPEX TUUA'!$H$8)</f>
        <v>5601.7881822648051</v>
      </c>
      <c r="I428" s="3">
        <f>+IF(F428="Pasajero",'2.2 OPEX LAP 2023'!K429*'2.1 OPEX TUUA'!$I$7,'2.2 OPEX LAP 2023'!K429*'2.1 OPEX TUUA'!$I$8)</f>
        <v>6192.8589464724892</v>
      </c>
      <c r="J428" s="3">
        <f>+IF(F428="Pasajero",'2.2 OPEX LAP 2023'!L429*'2.1 OPEX TUUA'!$J$7,'2.2 OPEX LAP 2023'!L429*'2.1 OPEX TUUA'!$J$8)</f>
        <v>6453.6938676255304</v>
      </c>
      <c r="K428" s="3">
        <f>+IF(F428="Pasajero",'2.2 OPEX LAP 2023'!M429*'2.1 OPEX TUUA'!$K$7,'2.2 OPEX LAP 2023'!M429*'2.1 OPEX TUUA'!$K$8)</f>
        <v>6598.0631502676961</v>
      </c>
      <c r="L428" s="3">
        <f>+IF(F428="Pasajero",'2.2 OPEX LAP 2023'!N429*'2.1 OPEX TUUA'!$L$7,'2.2 OPEX LAP 2023'!N429*'2.1 OPEX TUUA'!$L$8)</f>
        <v>6774.2749959474531</v>
      </c>
      <c r="M428" s="3"/>
      <c r="N428" s="3">
        <f>+IF(F428="Pasajero",'2.2 OPEX LAP 2023'!I429*'2.1 OPEX TUUA'!$N$7,'2.2 OPEX LAP 2023'!I429*'2.1 OPEX TUUA'!$N$8)</f>
        <v>2408.5204417174164</v>
      </c>
      <c r="O428" s="3">
        <f>+IF(F428="Pasajero",'2.2 OPEX LAP 2023'!J429*'2.1 OPEX TUUA'!$O$7,'2.2 OPEX LAP 2023'!J429*'2.1 OPEX TUUA'!$O$8)</f>
        <v>2320.0546639548047</v>
      </c>
      <c r="P428" s="3">
        <f>+IF(F428="Pasajero",'2.2 OPEX LAP 2023'!K429*'2.1 OPEX TUUA'!$P$7,'2.2 OPEX LAP 2023'!K429*'2.1 OPEX TUUA'!$P$8)</f>
        <v>2267.3832486904348</v>
      </c>
      <c r="Q428" s="3">
        <f>+IF(F428="Pasajero",'2.2 OPEX LAP 2023'!L429*'2.1 OPEX TUUA'!$Q$7,'2.2 OPEX LAP 2023'!L429*'2.1 OPEX TUUA'!$Q$8)</f>
        <v>2215.6234537240425</v>
      </c>
      <c r="R428" s="3">
        <f>+IF(F428="Pasajero",'2.2 OPEX LAP 2023'!M429*'2.1 OPEX TUUA'!$R$7,'2.2 OPEX LAP 2023'!M429*'2.1 OPEX TUUA'!$R$8)</f>
        <v>2187.5585977923201</v>
      </c>
      <c r="S428" s="3">
        <f>+IF(F428="Pasajero",'2.2 OPEX LAP 2023'!N429*'2.1 OPEX TUUA'!$S$7,'2.2 OPEX LAP 2023'!N429*'2.1 OPEX TUUA'!$S$8)</f>
        <v>2153.1060310333123</v>
      </c>
      <c r="U428" s="1">
        <v>4975.5552736021773</v>
      </c>
      <c r="V428" s="1">
        <v>5707.6342585654083</v>
      </c>
      <c r="W428" s="1">
        <v>6309.8733353139796</v>
      </c>
      <c r="X428" s="1">
        <v>6575.6367457400775</v>
      </c>
      <c r="Y428" s="1">
        <v>6722.7338934154814</v>
      </c>
      <c r="Z428" s="1">
        <v>6902.2752709975584</v>
      </c>
      <c r="AA428" s="7">
        <f t="shared" si="39"/>
        <v>-92.269928182106923</v>
      </c>
      <c r="AB428" s="7">
        <f t="shared" si="40"/>
        <v>-105.84607630060327</v>
      </c>
      <c r="AC428" s="7">
        <f t="shared" si="41"/>
        <v>-117.01438884149047</v>
      </c>
      <c r="AD428" s="7">
        <f t="shared" si="42"/>
        <v>-121.94287811454706</v>
      </c>
      <c r="AE428" s="7">
        <f t="shared" si="43"/>
        <v>-124.67074314778529</v>
      </c>
      <c r="AF428" s="7">
        <f t="shared" si="44"/>
        <v>-128.0002750501053</v>
      </c>
    </row>
    <row r="429" spans="2:32" x14ac:dyDescent="0.25">
      <c r="B429" s="17">
        <v>6380000022</v>
      </c>
      <c r="C429" s="193" t="s">
        <v>177</v>
      </c>
      <c r="D429" s="193" t="s">
        <v>40</v>
      </c>
      <c r="E429" s="193" t="s">
        <v>120</v>
      </c>
      <c r="F429" s="163" t="s">
        <v>190</v>
      </c>
      <c r="G429" s="3">
        <f>+IF(F429="Pasajero",'2.2 OPEX LAP 2023'!I430*'2.1 OPEX TUUA'!$G$7,'2.2 OPEX LAP 2023'!I430*'2.1 OPEX TUUA'!$G$8)</f>
        <v>23.017302079636771</v>
      </c>
      <c r="H429" s="3">
        <f>+IF(F429="Pasajero",'2.2 OPEX LAP 2023'!J430*'2.1 OPEX TUUA'!$H$7,'2.2 OPEX LAP 2023'!J430*'2.1 OPEX TUUA'!$H$8)</f>
        <v>26.403955873325458</v>
      </c>
      <c r="I429" s="3">
        <f>+IF(F429="Pasajero",'2.2 OPEX LAP 2023'!K430*'2.1 OPEX TUUA'!$I$7,'2.2 OPEX LAP 2023'!K430*'2.1 OPEX TUUA'!$I$8)</f>
        <v>29.189960246993632</v>
      </c>
      <c r="J429" s="3">
        <f>+IF(F429="Pasajero",'2.2 OPEX LAP 2023'!L430*'2.1 OPEX TUUA'!$J$7,'2.2 OPEX LAP 2023'!L430*'2.1 OPEX TUUA'!$J$8)</f>
        <v>30.419402261625962</v>
      </c>
      <c r="K429" s="3">
        <f>+IF(F429="Pasajero",'2.2 OPEX LAP 2023'!M430*'2.1 OPEX TUUA'!$K$7,'2.2 OPEX LAP 2023'!M430*'2.1 OPEX TUUA'!$K$8)</f>
        <v>31.09988500112259</v>
      </c>
      <c r="L429" s="3">
        <f>+IF(F429="Pasajero",'2.2 OPEX LAP 2023'!N430*'2.1 OPEX TUUA'!$L$7,'2.2 OPEX LAP 2023'!N430*'2.1 OPEX TUUA'!$L$8)</f>
        <v>31.930457248108993</v>
      </c>
      <c r="M429" s="3"/>
      <c r="N429" s="3">
        <f>+IF(F429="Pasajero",'2.2 OPEX LAP 2023'!I430*'2.1 OPEX TUUA'!$N$7,'2.2 OPEX LAP 2023'!I430*'2.1 OPEX TUUA'!$N$8)</f>
        <v>11.352529834035554</v>
      </c>
      <c r="O429" s="3">
        <f>+IF(F429="Pasajero",'2.2 OPEX LAP 2023'!J430*'2.1 OPEX TUUA'!$O$7,'2.2 OPEX LAP 2023'!J430*'2.1 OPEX TUUA'!$O$8)</f>
        <v>10.935547539035776</v>
      </c>
      <c r="P429" s="3">
        <f>+IF(F429="Pasajero",'2.2 OPEX LAP 2023'!K430*'2.1 OPEX TUUA'!$P$7,'2.2 OPEX LAP 2023'!K430*'2.1 OPEX TUUA'!$P$8)</f>
        <v>10.68728150698032</v>
      </c>
      <c r="Q429" s="3">
        <f>+IF(F429="Pasajero",'2.2 OPEX LAP 2023'!L430*'2.1 OPEX TUUA'!$Q$7,'2.2 OPEX LAP 2023'!L430*'2.1 OPEX TUUA'!$Q$8)</f>
        <v>10.443312385364507</v>
      </c>
      <c r="R429" s="3">
        <f>+IF(F429="Pasajero",'2.2 OPEX LAP 2023'!M430*'2.1 OPEX TUUA'!$R$7,'2.2 OPEX LAP 2023'!M430*'2.1 OPEX TUUA'!$R$8)</f>
        <v>10.311029051275135</v>
      </c>
      <c r="S429" s="3">
        <f>+IF(F429="Pasajero",'2.2 OPEX LAP 2023'!N430*'2.1 OPEX TUUA'!$S$7,'2.2 OPEX LAP 2023'!N430*'2.1 OPEX TUUA'!$S$8)</f>
        <v>10.148637325128171</v>
      </c>
      <c r="U429" s="1">
        <v>23.452215188252435</v>
      </c>
      <c r="V429" s="1">
        <v>26.902859979848785</v>
      </c>
      <c r="W429" s="1">
        <v>29.741506049688677</v>
      </c>
      <c r="X429" s="1">
        <v>30.99417843452671</v>
      </c>
      <c r="Y429" s="1">
        <v>31.687518930443698</v>
      </c>
      <c r="Z429" s="1">
        <v>32.533784882826886</v>
      </c>
      <c r="AA429" s="7">
        <f t="shared" si="39"/>
        <v>-0.4349131086156639</v>
      </c>
      <c r="AB429" s="7">
        <f t="shared" si="40"/>
        <v>-0.49890410652332662</v>
      </c>
      <c r="AC429" s="7">
        <f t="shared" si="41"/>
        <v>-0.5515458026950455</v>
      </c>
      <c r="AD429" s="7">
        <f t="shared" si="42"/>
        <v>-0.57477617290074789</v>
      </c>
      <c r="AE429" s="7">
        <f t="shared" si="43"/>
        <v>-0.58763392932110747</v>
      </c>
      <c r="AF429" s="7">
        <f t="shared" si="44"/>
        <v>-0.60332763471789264</v>
      </c>
    </row>
    <row r="430" spans="2:32" x14ac:dyDescent="0.25">
      <c r="B430" s="17">
        <v>6380000023</v>
      </c>
      <c r="C430" s="193" t="s">
        <v>177</v>
      </c>
      <c r="D430" s="193" t="s">
        <v>49</v>
      </c>
      <c r="E430" s="193" t="s">
        <v>121</v>
      </c>
      <c r="F430" s="163" t="s">
        <v>190</v>
      </c>
      <c r="G430" s="3">
        <f>+IF(F430="Pasajero",'2.2 OPEX LAP 2023'!I431*'2.1 OPEX TUUA'!$G$7,'2.2 OPEX LAP 2023'!I431*'2.1 OPEX TUUA'!$G$8)</f>
        <v>0</v>
      </c>
      <c r="H430" s="3">
        <f>+IF(F430="Pasajero",'2.2 OPEX LAP 2023'!J431*'2.1 OPEX TUUA'!$H$7,'2.2 OPEX LAP 2023'!J431*'2.1 OPEX TUUA'!$H$8)</f>
        <v>0</v>
      </c>
      <c r="I430" s="3">
        <f>+IF(F430="Pasajero",'2.2 OPEX LAP 2023'!K431*'2.1 OPEX TUUA'!$I$7,'2.2 OPEX LAP 2023'!K431*'2.1 OPEX TUUA'!$I$8)</f>
        <v>0</v>
      </c>
      <c r="J430" s="3">
        <f>+IF(F430="Pasajero",'2.2 OPEX LAP 2023'!L431*'2.1 OPEX TUUA'!$J$7,'2.2 OPEX LAP 2023'!L431*'2.1 OPEX TUUA'!$J$8)</f>
        <v>0</v>
      </c>
      <c r="K430" s="3">
        <f>+IF(F430="Pasajero",'2.2 OPEX LAP 2023'!M431*'2.1 OPEX TUUA'!$K$7,'2.2 OPEX LAP 2023'!M431*'2.1 OPEX TUUA'!$K$8)</f>
        <v>0</v>
      </c>
      <c r="L430" s="3">
        <f>+IF(F430="Pasajero",'2.2 OPEX LAP 2023'!N431*'2.1 OPEX TUUA'!$L$7,'2.2 OPEX LAP 2023'!N431*'2.1 OPEX TUUA'!$L$8)</f>
        <v>0</v>
      </c>
      <c r="M430" s="3"/>
      <c r="N430" s="3">
        <f>+IF(F430="Pasajero",'2.2 OPEX LAP 2023'!I431*'2.1 OPEX TUUA'!$N$7,'2.2 OPEX LAP 2023'!I431*'2.1 OPEX TUUA'!$N$8)</f>
        <v>0</v>
      </c>
      <c r="O430" s="3">
        <f>+IF(F430="Pasajero",'2.2 OPEX LAP 2023'!J431*'2.1 OPEX TUUA'!$O$7,'2.2 OPEX LAP 2023'!J431*'2.1 OPEX TUUA'!$O$8)</f>
        <v>0</v>
      </c>
      <c r="P430" s="3">
        <f>+IF(F430="Pasajero",'2.2 OPEX LAP 2023'!K431*'2.1 OPEX TUUA'!$P$7,'2.2 OPEX LAP 2023'!K431*'2.1 OPEX TUUA'!$P$8)</f>
        <v>0</v>
      </c>
      <c r="Q430" s="3">
        <f>+IF(F430="Pasajero",'2.2 OPEX LAP 2023'!L431*'2.1 OPEX TUUA'!$Q$7,'2.2 OPEX LAP 2023'!L431*'2.1 OPEX TUUA'!$Q$8)</f>
        <v>0</v>
      </c>
      <c r="R430" s="3">
        <f>+IF(F430="Pasajero",'2.2 OPEX LAP 2023'!M431*'2.1 OPEX TUUA'!$R$7,'2.2 OPEX LAP 2023'!M431*'2.1 OPEX TUUA'!$R$8)</f>
        <v>0</v>
      </c>
      <c r="S430" s="3">
        <f>+IF(F430="Pasajero",'2.2 OPEX LAP 2023'!N431*'2.1 OPEX TUUA'!$S$7,'2.2 OPEX LAP 2023'!N431*'2.1 OPEX TUUA'!$S$8)</f>
        <v>0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7">
        <f t="shared" si="39"/>
        <v>0</v>
      </c>
      <c r="AB430" s="7">
        <f t="shared" si="40"/>
        <v>0</v>
      </c>
      <c r="AC430" s="7">
        <f t="shared" si="41"/>
        <v>0</v>
      </c>
      <c r="AD430" s="7">
        <f t="shared" si="42"/>
        <v>0</v>
      </c>
      <c r="AE430" s="7">
        <f t="shared" si="43"/>
        <v>0</v>
      </c>
      <c r="AF430" s="7">
        <f t="shared" si="44"/>
        <v>0</v>
      </c>
    </row>
    <row r="431" spans="2:32" x14ac:dyDescent="0.25">
      <c r="B431" s="17">
        <v>6380000024</v>
      </c>
      <c r="C431" s="193" t="s">
        <v>177</v>
      </c>
      <c r="D431" s="193" t="s">
        <v>49</v>
      </c>
      <c r="E431" s="193" t="s">
        <v>122</v>
      </c>
      <c r="F431" s="163" t="s">
        <v>190</v>
      </c>
      <c r="G431" s="3">
        <f>+IF(F431="Pasajero",'2.2 OPEX LAP 2023'!I432*'2.1 OPEX TUUA'!$G$7,'2.2 OPEX LAP 2023'!I432*'2.1 OPEX TUUA'!$G$8)</f>
        <v>0</v>
      </c>
      <c r="H431" s="3">
        <f>+IF(F431="Pasajero",'2.2 OPEX LAP 2023'!J432*'2.1 OPEX TUUA'!$H$7,'2.2 OPEX LAP 2023'!J432*'2.1 OPEX TUUA'!$H$8)</f>
        <v>0</v>
      </c>
      <c r="I431" s="3">
        <f>+IF(F431="Pasajero",'2.2 OPEX LAP 2023'!K432*'2.1 OPEX TUUA'!$I$7,'2.2 OPEX LAP 2023'!K432*'2.1 OPEX TUUA'!$I$8)</f>
        <v>0</v>
      </c>
      <c r="J431" s="3">
        <f>+IF(F431="Pasajero",'2.2 OPEX LAP 2023'!L432*'2.1 OPEX TUUA'!$J$7,'2.2 OPEX LAP 2023'!L432*'2.1 OPEX TUUA'!$J$8)</f>
        <v>0</v>
      </c>
      <c r="K431" s="3">
        <f>+IF(F431="Pasajero",'2.2 OPEX LAP 2023'!M432*'2.1 OPEX TUUA'!$K$7,'2.2 OPEX LAP 2023'!M432*'2.1 OPEX TUUA'!$K$8)</f>
        <v>0</v>
      </c>
      <c r="L431" s="3">
        <f>+IF(F431="Pasajero",'2.2 OPEX LAP 2023'!N432*'2.1 OPEX TUUA'!$L$7,'2.2 OPEX LAP 2023'!N432*'2.1 OPEX TUUA'!$L$8)</f>
        <v>0</v>
      </c>
      <c r="M431" s="3"/>
      <c r="N431" s="3">
        <f>+IF(F431="Pasajero",'2.2 OPEX LAP 2023'!I432*'2.1 OPEX TUUA'!$N$7,'2.2 OPEX LAP 2023'!I432*'2.1 OPEX TUUA'!$N$8)</f>
        <v>0</v>
      </c>
      <c r="O431" s="3">
        <f>+IF(F431="Pasajero",'2.2 OPEX LAP 2023'!J432*'2.1 OPEX TUUA'!$O$7,'2.2 OPEX LAP 2023'!J432*'2.1 OPEX TUUA'!$O$8)</f>
        <v>0</v>
      </c>
      <c r="P431" s="3">
        <f>+IF(F431="Pasajero",'2.2 OPEX LAP 2023'!K432*'2.1 OPEX TUUA'!$P$7,'2.2 OPEX LAP 2023'!K432*'2.1 OPEX TUUA'!$P$8)</f>
        <v>0</v>
      </c>
      <c r="Q431" s="3">
        <f>+IF(F431="Pasajero",'2.2 OPEX LAP 2023'!L432*'2.1 OPEX TUUA'!$Q$7,'2.2 OPEX LAP 2023'!L432*'2.1 OPEX TUUA'!$Q$8)</f>
        <v>0</v>
      </c>
      <c r="R431" s="3">
        <f>+IF(F431="Pasajero",'2.2 OPEX LAP 2023'!M432*'2.1 OPEX TUUA'!$R$7,'2.2 OPEX LAP 2023'!M432*'2.1 OPEX TUUA'!$R$8)</f>
        <v>0</v>
      </c>
      <c r="S431" s="3">
        <f>+IF(F431="Pasajero",'2.2 OPEX LAP 2023'!N432*'2.1 OPEX TUUA'!$S$7,'2.2 OPEX LAP 2023'!N432*'2.1 OPEX TUUA'!$S$8)</f>
        <v>0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7">
        <f t="shared" si="39"/>
        <v>0</v>
      </c>
      <c r="AB431" s="7">
        <f t="shared" si="40"/>
        <v>0</v>
      </c>
      <c r="AC431" s="7">
        <f t="shared" si="41"/>
        <v>0</v>
      </c>
      <c r="AD431" s="7">
        <f t="shared" si="42"/>
        <v>0</v>
      </c>
      <c r="AE431" s="7">
        <f t="shared" si="43"/>
        <v>0</v>
      </c>
      <c r="AF431" s="7">
        <f t="shared" si="44"/>
        <v>0</v>
      </c>
    </row>
    <row r="432" spans="2:32" x14ac:dyDescent="0.25">
      <c r="B432" s="17">
        <v>6380000025</v>
      </c>
      <c r="C432" s="193" t="s">
        <v>177</v>
      </c>
      <c r="D432" s="193" t="s">
        <v>49</v>
      </c>
      <c r="E432" s="193" t="s">
        <v>123</v>
      </c>
      <c r="F432" s="163" t="s">
        <v>190</v>
      </c>
      <c r="G432" s="3">
        <f>+IF(F432="Pasajero",'2.2 OPEX LAP 2023'!I433*'2.1 OPEX TUUA'!$G$7,'2.2 OPEX LAP 2023'!I433*'2.1 OPEX TUUA'!$G$8)</f>
        <v>0</v>
      </c>
      <c r="H432" s="3">
        <f>+IF(F432="Pasajero",'2.2 OPEX LAP 2023'!J433*'2.1 OPEX TUUA'!$H$7,'2.2 OPEX LAP 2023'!J433*'2.1 OPEX TUUA'!$H$8)</f>
        <v>0</v>
      </c>
      <c r="I432" s="3">
        <f>+IF(F432="Pasajero",'2.2 OPEX LAP 2023'!K433*'2.1 OPEX TUUA'!$I$7,'2.2 OPEX LAP 2023'!K433*'2.1 OPEX TUUA'!$I$8)</f>
        <v>0</v>
      </c>
      <c r="J432" s="3">
        <f>+IF(F432="Pasajero",'2.2 OPEX LAP 2023'!L433*'2.1 OPEX TUUA'!$J$7,'2.2 OPEX LAP 2023'!L433*'2.1 OPEX TUUA'!$J$8)</f>
        <v>0</v>
      </c>
      <c r="K432" s="3">
        <f>+IF(F432="Pasajero",'2.2 OPEX LAP 2023'!M433*'2.1 OPEX TUUA'!$K$7,'2.2 OPEX LAP 2023'!M433*'2.1 OPEX TUUA'!$K$8)</f>
        <v>0</v>
      </c>
      <c r="L432" s="3">
        <f>+IF(F432="Pasajero",'2.2 OPEX LAP 2023'!N433*'2.1 OPEX TUUA'!$L$7,'2.2 OPEX LAP 2023'!N433*'2.1 OPEX TUUA'!$L$8)</f>
        <v>0</v>
      </c>
      <c r="M432" s="3"/>
      <c r="N432" s="3">
        <f>+IF(F432="Pasajero",'2.2 OPEX LAP 2023'!I433*'2.1 OPEX TUUA'!$N$7,'2.2 OPEX LAP 2023'!I433*'2.1 OPEX TUUA'!$N$8)</f>
        <v>0</v>
      </c>
      <c r="O432" s="3">
        <f>+IF(F432="Pasajero",'2.2 OPEX LAP 2023'!J433*'2.1 OPEX TUUA'!$O$7,'2.2 OPEX LAP 2023'!J433*'2.1 OPEX TUUA'!$O$8)</f>
        <v>0</v>
      </c>
      <c r="P432" s="3">
        <f>+IF(F432="Pasajero",'2.2 OPEX LAP 2023'!K433*'2.1 OPEX TUUA'!$P$7,'2.2 OPEX LAP 2023'!K433*'2.1 OPEX TUUA'!$P$8)</f>
        <v>0</v>
      </c>
      <c r="Q432" s="3">
        <f>+IF(F432="Pasajero",'2.2 OPEX LAP 2023'!L433*'2.1 OPEX TUUA'!$Q$7,'2.2 OPEX LAP 2023'!L433*'2.1 OPEX TUUA'!$Q$8)</f>
        <v>0</v>
      </c>
      <c r="R432" s="3">
        <f>+IF(F432="Pasajero",'2.2 OPEX LAP 2023'!M433*'2.1 OPEX TUUA'!$R$7,'2.2 OPEX LAP 2023'!M433*'2.1 OPEX TUUA'!$R$8)</f>
        <v>0</v>
      </c>
      <c r="S432" s="3">
        <f>+IF(F432="Pasajero",'2.2 OPEX LAP 2023'!N433*'2.1 OPEX TUUA'!$S$7,'2.2 OPEX LAP 2023'!N433*'2.1 OPEX TUUA'!$S$8)</f>
        <v>0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7">
        <f t="shared" si="39"/>
        <v>0</v>
      </c>
      <c r="AB432" s="7">
        <f t="shared" si="40"/>
        <v>0</v>
      </c>
      <c r="AC432" s="7">
        <f t="shared" si="41"/>
        <v>0</v>
      </c>
      <c r="AD432" s="7">
        <f t="shared" si="42"/>
        <v>0</v>
      </c>
      <c r="AE432" s="7">
        <f t="shared" si="43"/>
        <v>0</v>
      </c>
      <c r="AF432" s="7">
        <f t="shared" si="44"/>
        <v>0</v>
      </c>
    </row>
    <row r="433" spans="2:32" x14ac:dyDescent="0.25">
      <c r="B433" s="17">
        <v>6380000026</v>
      </c>
      <c r="C433" s="193" t="s">
        <v>177</v>
      </c>
      <c r="D433" s="193" t="s">
        <v>49</v>
      </c>
      <c r="E433" s="193" t="s">
        <v>124</v>
      </c>
      <c r="F433" s="163" t="s">
        <v>190</v>
      </c>
      <c r="G433" s="3">
        <f>+IF(F433="Pasajero",'2.2 OPEX LAP 2023'!I434*'2.1 OPEX TUUA'!$G$7,'2.2 OPEX LAP 2023'!I434*'2.1 OPEX TUUA'!$G$8)</f>
        <v>0</v>
      </c>
      <c r="H433" s="3">
        <f>+IF(F433="Pasajero",'2.2 OPEX LAP 2023'!J434*'2.1 OPEX TUUA'!$H$7,'2.2 OPEX LAP 2023'!J434*'2.1 OPEX TUUA'!$H$8)</f>
        <v>0</v>
      </c>
      <c r="I433" s="3">
        <f>+IF(F433="Pasajero",'2.2 OPEX LAP 2023'!K434*'2.1 OPEX TUUA'!$I$7,'2.2 OPEX LAP 2023'!K434*'2.1 OPEX TUUA'!$I$8)</f>
        <v>0</v>
      </c>
      <c r="J433" s="3">
        <f>+IF(F433="Pasajero",'2.2 OPEX LAP 2023'!L434*'2.1 OPEX TUUA'!$J$7,'2.2 OPEX LAP 2023'!L434*'2.1 OPEX TUUA'!$J$8)</f>
        <v>0</v>
      </c>
      <c r="K433" s="3">
        <f>+IF(F433="Pasajero",'2.2 OPEX LAP 2023'!M434*'2.1 OPEX TUUA'!$K$7,'2.2 OPEX LAP 2023'!M434*'2.1 OPEX TUUA'!$K$8)</f>
        <v>0</v>
      </c>
      <c r="L433" s="3">
        <f>+IF(F433="Pasajero",'2.2 OPEX LAP 2023'!N434*'2.1 OPEX TUUA'!$L$7,'2.2 OPEX LAP 2023'!N434*'2.1 OPEX TUUA'!$L$8)</f>
        <v>0</v>
      </c>
      <c r="M433" s="3"/>
      <c r="N433" s="3">
        <f>+IF(F433="Pasajero",'2.2 OPEX LAP 2023'!I434*'2.1 OPEX TUUA'!$N$7,'2.2 OPEX LAP 2023'!I434*'2.1 OPEX TUUA'!$N$8)</f>
        <v>0</v>
      </c>
      <c r="O433" s="3">
        <f>+IF(F433="Pasajero",'2.2 OPEX LAP 2023'!J434*'2.1 OPEX TUUA'!$O$7,'2.2 OPEX LAP 2023'!J434*'2.1 OPEX TUUA'!$O$8)</f>
        <v>0</v>
      </c>
      <c r="P433" s="3">
        <f>+IF(F433="Pasajero",'2.2 OPEX LAP 2023'!K434*'2.1 OPEX TUUA'!$P$7,'2.2 OPEX LAP 2023'!K434*'2.1 OPEX TUUA'!$P$8)</f>
        <v>0</v>
      </c>
      <c r="Q433" s="3">
        <f>+IF(F433="Pasajero",'2.2 OPEX LAP 2023'!L434*'2.1 OPEX TUUA'!$Q$7,'2.2 OPEX LAP 2023'!L434*'2.1 OPEX TUUA'!$Q$8)</f>
        <v>0</v>
      </c>
      <c r="R433" s="3">
        <f>+IF(F433="Pasajero",'2.2 OPEX LAP 2023'!M434*'2.1 OPEX TUUA'!$R$7,'2.2 OPEX LAP 2023'!M434*'2.1 OPEX TUUA'!$R$8)</f>
        <v>0</v>
      </c>
      <c r="S433" s="3">
        <f>+IF(F433="Pasajero",'2.2 OPEX LAP 2023'!N434*'2.1 OPEX TUUA'!$S$7,'2.2 OPEX LAP 2023'!N434*'2.1 OPEX TUUA'!$S$8)</f>
        <v>0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7">
        <f t="shared" si="39"/>
        <v>0</v>
      </c>
      <c r="AB433" s="7">
        <f t="shared" si="40"/>
        <v>0</v>
      </c>
      <c r="AC433" s="7">
        <f t="shared" si="41"/>
        <v>0</v>
      </c>
      <c r="AD433" s="7">
        <f t="shared" si="42"/>
        <v>0</v>
      </c>
      <c r="AE433" s="7">
        <f t="shared" si="43"/>
        <v>0</v>
      </c>
      <c r="AF433" s="7">
        <f t="shared" si="44"/>
        <v>0</v>
      </c>
    </row>
    <row r="434" spans="2:32" x14ac:dyDescent="0.25">
      <c r="B434" s="17">
        <v>6380000027</v>
      </c>
      <c r="C434" s="193" t="s">
        <v>177</v>
      </c>
      <c r="D434" s="193" t="s">
        <v>49</v>
      </c>
      <c r="E434" s="193" t="s">
        <v>125</v>
      </c>
      <c r="F434" s="163" t="s">
        <v>190</v>
      </c>
      <c r="G434" s="3">
        <f>+IF(F434="Pasajero",'2.2 OPEX LAP 2023'!I435*'2.1 OPEX TUUA'!$G$7,'2.2 OPEX LAP 2023'!I435*'2.1 OPEX TUUA'!$G$8)</f>
        <v>0</v>
      </c>
      <c r="H434" s="3">
        <f>+IF(F434="Pasajero",'2.2 OPEX LAP 2023'!J435*'2.1 OPEX TUUA'!$H$7,'2.2 OPEX LAP 2023'!J435*'2.1 OPEX TUUA'!$H$8)</f>
        <v>0</v>
      </c>
      <c r="I434" s="3">
        <f>+IF(F434="Pasajero",'2.2 OPEX LAP 2023'!K435*'2.1 OPEX TUUA'!$I$7,'2.2 OPEX LAP 2023'!K435*'2.1 OPEX TUUA'!$I$8)</f>
        <v>0</v>
      </c>
      <c r="J434" s="3">
        <f>+IF(F434="Pasajero",'2.2 OPEX LAP 2023'!L435*'2.1 OPEX TUUA'!$J$7,'2.2 OPEX LAP 2023'!L435*'2.1 OPEX TUUA'!$J$8)</f>
        <v>0</v>
      </c>
      <c r="K434" s="3">
        <f>+IF(F434="Pasajero",'2.2 OPEX LAP 2023'!M435*'2.1 OPEX TUUA'!$K$7,'2.2 OPEX LAP 2023'!M435*'2.1 OPEX TUUA'!$K$8)</f>
        <v>0</v>
      </c>
      <c r="L434" s="3">
        <f>+IF(F434="Pasajero",'2.2 OPEX LAP 2023'!N435*'2.1 OPEX TUUA'!$L$7,'2.2 OPEX LAP 2023'!N435*'2.1 OPEX TUUA'!$L$8)</f>
        <v>0</v>
      </c>
      <c r="M434" s="3"/>
      <c r="N434" s="3">
        <f>+IF(F434="Pasajero",'2.2 OPEX LAP 2023'!I435*'2.1 OPEX TUUA'!$N$7,'2.2 OPEX LAP 2023'!I435*'2.1 OPEX TUUA'!$N$8)</f>
        <v>0</v>
      </c>
      <c r="O434" s="3">
        <f>+IF(F434="Pasajero",'2.2 OPEX LAP 2023'!J435*'2.1 OPEX TUUA'!$O$7,'2.2 OPEX LAP 2023'!J435*'2.1 OPEX TUUA'!$O$8)</f>
        <v>0</v>
      </c>
      <c r="P434" s="3">
        <f>+IF(F434="Pasajero",'2.2 OPEX LAP 2023'!K435*'2.1 OPEX TUUA'!$P$7,'2.2 OPEX LAP 2023'!K435*'2.1 OPEX TUUA'!$P$8)</f>
        <v>0</v>
      </c>
      <c r="Q434" s="3">
        <f>+IF(F434="Pasajero",'2.2 OPEX LAP 2023'!L435*'2.1 OPEX TUUA'!$Q$7,'2.2 OPEX LAP 2023'!L435*'2.1 OPEX TUUA'!$Q$8)</f>
        <v>0</v>
      </c>
      <c r="R434" s="3">
        <f>+IF(F434="Pasajero",'2.2 OPEX LAP 2023'!M435*'2.1 OPEX TUUA'!$R$7,'2.2 OPEX LAP 2023'!M435*'2.1 OPEX TUUA'!$R$8)</f>
        <v>0</v>
      </c>
      <c r="S434" s="3">
        <f>+IF(F434="Pasajero",'2.2 OPEX LAP 2023'!N435*'2.1 OPEX TUUA'!$S$7,'2.2 OPEX LAP 2023'!N435*'2.1 OPEX TUUA'!$S$8)</f>
        <v>0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7">
        <f t="shared" si="39"/>
        <v>0</v>
      </c>
      <c r="AB434" s="7">
        <f t="shared" si="40"/>
        <v>0</v>
      </c>
      <c r="AC434" s="7">
        <f t="shared" si="41"/>
        <v>0</v>
      </c>
      <c r="AD434" s="7">
        <f t="shared" si="42"/>
        <v>0</v>
      </c>
      <c r="AE434" s="7">
        <f t="shared" si="43"/>
        <v>0</v>
      </c>
      <c r="AF434" s="7">
        <f t="shared" si="44"/>
        <v>0</v>
      </c>
    </row>
    <row r="435" spans="2:32" x14ac:dyDescent="0.25">
      <c r="B435" s="17">
        <v>6380000028</v>
      </c>
      <c r="C435" s="193" t="s">
        <v>177</v>
      </c>
      <c r="D435" s="193" t="s">
        <v>49</v>
      </c>
      <c r="E435" s="193" t="s">
        <v>126</v>
      </c>
      <c r="F435" s="163" t="s">
        <v>190</v>
      </c>
      <c r="G435" s="3">
        <f>+IF(F435="Pasajero",'2.2 OPEX LAP 2023'!I436*'2.1 OPEX TUUA'!$G$7,'2.2 OPEX LAP 2023'!I436*'2.1 OPEX TUUA'!$G$8)</f>
        <v>0</v>
      </c>
      <c r="H435" s="3">
        <f>+IF(F435="Pasajero",'2.2 OPEX LAP 2023'!J436*'2.1 OPEX TUUA'!$H$7,'2.2 OPEX LAP 2023'!J436*'2.1 OPEX TUUA'!$H$8)</f>
        <v>0</v>
      </c>
      <c r="I435" s="3">
        <f>+IF(F435="Pasajero",'2.2 OPEX LAP 2023'!K436*'2.1 OPEX TUUA'!$I$7,'2.2 OPEX LAP 2023'!K436*'2.1 OPEX TUUA'!$I$8)</f>
        <v>0</v>
      </c>
      <c r="J435" s="3">
        <f>+IF(F435="Pasajero",'2.2 OPEX LAP 2023'!L436*'2.1 OPEX TUUA'!$J$7,'2.2 OPEX LAP 2023'!L436*'2.1 OPEX TUUA'!$J$8)</f>
        <v>0</v>
      </c>
      <c r="K435" s="3">
        <f>+IF(F435="Pasajero",'2.2 OPEX LAP 2023'!M436*'2.1 OPEX TUUA'!$K$7,'2.2 OPEX LAP 2023'!M436*'2.1 OPEX TUUA'!$K$8)</f>
        <v>0</v>
      </c>
      <c r="L435" s="3">
        <f>+IF(F435="Pasajero",'2.2 OPEX LAP 2023'!N436*'2.1 OPEX TUUA'!$L$7,'2.2 OPEX LAP 2023'!N436*'2.1 OPEX TUUA'!$L$8)</f>
        <v>0</v>
      </c>
      <c r="M435" s="3"/>
      <c r="N435" s="3">
        <f>+IF(F435="Pasajero",'2.2 OPEX LAP 2023'!I436*'2.1 OPEX TUUA'!$N$7,'2.2 OPEX LAP 2023'!I436*'2.1 OPEX TUUA'!$N$8)</f>
        <v>0</v>
      </c>
      <c r="O435" s="3">
        <f>+IF(F435="Pasajero",'2.2 OPEX LAP 2023'!J436*'2.1 OPEX TUUA'!$O$7,'2.2 OPEX LAP 2023'!J436*'2.1 OPEX TUUA'!$O$8)</f>
        <v>0</v>
      </c>
      <c r="P435" s="3">
        <f>+IF(F435="Pasajero",'2.2 OPEX LAP 2023'!K436*'2.1 OPEX TUUA'!$P$7,'2.2 OPEX LAP 2023'!K436*'2.1 OPEX TUUA'!$P$8)</f>
        <v>0</v>
      </c>
      <c r="Q435" s="3">
        <f>+IF(F435="Pasajero",'2.2 OPEX LAP 2023'!L436*'2.1 OPEX TUUA'!$Q$7,'2.2 OPEX LAP 2023'!L436*'2.1 OPEX TUUA'!$Q$8)</f>
        <v>0</v>
      </c>
      <c r="R435" s="3">
        <f>+IF(F435="Pasajero",'2.2 OPEX LAP 2023'!M436*'2.1 OPEX TUUA'!$R$7,'2.2 OPEX LAP 2023'!M436*'2.1 OPEX TUUA'!$R$8)</f>
        <v>0</v>
      </c>
      <c r="S435" s="3">
        <f>+IF(F435="Pasajero",'2.2 OPEX LAP 2023'!N436*'2.1 OPEX TUUA'!$S$7,'2.2 OPEX LAP 2023'!N436*'2.1 OPEX TUUA'!$S$8)</f>
        <v>0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0</v>
      </c>
      <c r="AA435" s="7">
        <f t="shared" si="39"/>
        <v>0</v>
      </c>
      <c r="AB435" s="7">
        <f t="shared" si="40"/>
        <v>0</v>
      </c>
      <c r="AC435" s="7">
        <f t="shared" si="41"/>
        <v>0</v>
      </c>
      <c r="AD435" s="7">
        <f t="shared" si="42"/>
        <v>0</v>
      </c>
      <c r="AE435" s="7">
        <f t="shared" si="43"/>
        <v>0</v>
      </c>
      <c r="AF435" s="7">
        <f t="shared" si="44"/>
        <v>0</v>
      </c>
    </row>
    <row r="436" spans="2:32" x14ac:dyDescent="0.25">
      <c r="B436" s="17">
        <v>6380000029</v>
      </c>
      <c r="C436" s="193" t="s">
        <v>177</v>
      </c>
      <c r="D436" s="193" t="s">
        <v>40</v>
      </c>
      <c r="E436" s="193" t="s">
        <v>127</v>
      </c>
      <c r="F436" s="163" t="s">
        <v>190</v>
      </c>
      <c r="G436" s="3">
        <f>+IF(F436="Pasajero",'2.2 OPEX LAP 2023'!I437*'2.1 OPEX TUUA'!$G$7,'2.2 OPEX LAP 2023'!I437*'2.1 OPEX TUUA'!$G$8)</f>
        <v>0</v>
      </c>
      <c r="H436" s="3">
        <f>+IF(F436="Pasajero",'2.2 OPEX LAP 2023'!J437*'2.1 OPEX TUUA'!$H$7,'2.2 OPEX LAP 2023'!J437*'2.1 OPEX TUUA'!$H$8)</f>
        <v>0</v>
      </c>
      <c r="I436" s="3">
        <f>+IF(F436="Pasajero",'2.2 OPEX LAP 2023'!K437*'2.1 OPEX TUUA'!$I$7,'2.2 OPEX LAP 2023'!K437*'2.1 OPEX TUUA'!$I$8)</f>
        <v>0</v>
      </c>
      <c r="J436" s="3">
        <f>+IF(F436="Pasajero",'2.2 OPEX LAP 2023'!L437*'2.1 OPEX TUUA'!$J$7,'2.2 OPEX LAP 2023'!L437*'2.1 OPEX TUUA'!$J$8)</f>
        <v>0</v>
      </c>
      <c r="K436" s="3">
        <f>+IF(F436="Pasajero",'2.2 OPEX LAP 2023'!M437*'2.1 OPEX TUUA'!$K$7,'2.2 OPEX LAP 2023'!M437*'2.1 OPEX TUUA'!$K$8)</f>
        <v>0</v>
      </c>
      <c r="L436" s="3">
        <f>+IF(F436="Pasajero",'2.2 OPEX LAP 2023'!N437*'2.1 OPEX TUUA'!$L$7,'2.2 OPEX LAP 2023'!N437*'2.1 OPEX TUUA'!$L$8)</f>
        <v>0</v>
      </c>
      <c r="M436" s="3"/>
      <c r="N436" s="3">
        <f>+IF(F436="Pasajero",'2.2 OPEX LAP 2023'!I437*'2.1 OPEX TUUA'!$N$7,'2.2 OPEX LAP 2023'!I437*'2.1 OPEX TUUA'!$N$8)</f>
        <v>0</v>
      </c>
      <c r="O436" s="3">
        <f>+IF(F436="Pasajero",'2.2 OPEX LAP 2023'!J437*'2.1 OPEX TUUA'!$O$7,'2.2 OPEX LAP 2023'!J437*'2.1 OPEX TUUA'!$O$8)</f>
        <v>0</v>
      </c>
      <c r="P436" s="3">
        <f>+IF(F436="Pasajero",'2.2 OPEX LAP 2023'!K437*'2.1 OPEX TUUA'!$P$7,'2.2 OPEX LAP 2023'!K437*'2.1 OPEX TUUA'!$P$8)</f>
        <v>0</v>
      </c>
      <c r="Q436" s="3">
        <f>+IF(F436="Pasajero",'2.2 OPEX LAP 2023'!L437*'2.1 OPEX TUUA'!$Q$7,'2.2 OPEX LAP 2023'!L437*'2.1 OPEX TUUA'!$Q$8)</f>
        <v>0</v>
      </c>
      <c r="R436" s="3">
        <f>+IF(F436="Pasajero",'2.2 OPEX LAP 2023'!M437*'2.1 OPEX TUUA'!$R$7,'2.2 OPEX LAP 2023'!M437*'2.1 OPEX TUUA'!$R$8)</f>
        <v>0</v>
      </c>
      <c r="S436" s="3">
        <f>+IF(F436="Pasajero",'2.2 OPEX LAP 2023'!N437*'2.1 OPEX TUUA'!$S$7,'2.2 OPEX LAP 2023'!N437*'2.1 OPEX TUUA'!$S$8)</f>
        <v>0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7">
        <f t="shared" si="39"/>
        <v>0</v>
      </c>
      <c r="AB436" s="7">
        <f t="shared" si="40"/>
        <v>0</v>
      </c>
      <c r="AC436" s="7">
        <f t="shared" si="41"/>
        <v>0</v>
      </c>
      <c r="AD436" s="7">
        <f t="shared" si="42"/>
        <v>0</v>
      </c>
      <c r="AE436" s="7">
        <f t="shared" si="43"/>
        <v>0</v>
      </c>
      <c r="AF436" s="7">
        <f t="shared" si="44"/>
        <v>0</v>
      </c>
    </row>
    <row r="437" spans="2:32" x14ac:dyDescent="0.25">
      <c r="B437" s="17">
        <v>6380000030</v>
      </c>
      <c r="C437" s="193" t="s">
        <v>177</v>
      </c>
      <c r="D437" s="193" t="s">
        <v>40</v>
      </c>
      <c r="E437" s="193" t="s">
        <v>128</v>
      </c>
      <c r="F437" s="163" t="s">
        <v>190</v>
      </c>
      <c r="G437" s="3">
        <f>+IF(F437="Pasajero",'2.2 OPEX LAP 2023'!I438*'2.1 OPEX TUUA'!$G$7,'2.2 OPEX LAP 2023'!I438*'2.1 OPEX TUUA'!$G$8)</f>
        <v>84091.948565332787</v>
      </c>
      <c r="H437" s="3">
        <f>+IF(F437="Pasajero",'2.2 OPEX LAP 2023'!J438*'2.1 OPEX TUUA'!$H$7,'2.2 OPEX LAP 2023'!J438*'2.1 OPEX TUUA'!$H$8)</f>
        <v>96464.828568476587</v>
      </c>
      <c r="I437" s="3">
        <f>+IF(F437="Pasajero",'2.2 OPEX LAP 2023'!K438*'2.1 OPEX TUUA'!$I$7,'2.2 OPEX LAP 2023'!K438*'2.1 OPEX TUUA'!$I$8)</f>
        <v>106643.28196334958</v>
      </c>
      <c r="J437" s="3">
        <f>+IF(F437="Pasajero",'2.2 OPEX LAP 2023'!L438*'2.1 OPEX TUUA'!$J$7,'2.2 OPEX LAP 2023'!L438*'2.1 OPEX TUUA'!$J$8)</f>
        <v>111134.95411071155</v>
      </c>
      <c r="K437" s="3">
        <f>+IF(F437="Pasajero",'2.2 OPEX LAP 2023'!M438*'2.1 OPEX TUUA'!$K$7,'2.2 OPEX LAP 2023'!M438*'2.1 OPEX TUUA'!$K$8)</f>
        <v>113621.04563140165</v>
      </c>
      <c r="L437" s="3">
        <f>+IF(F437="Pasajero",'2.2 OPEX LAP 2023'!N438*'2.1 OPEX TUUA'!$L$7,'2.2 OPEX LAP 2023'!N438*'2.1 OPEX TUUA'!$L$8)</f>
        <v>116655.4776613468</v>
      </c>
      <c r="M437" s="3"/>
      <c r="N437" s="3">
        <f>+IF(F437="Pasajero",'2.2 OPEX LAP 2023'!I438*'2.1 OPEX TUUA'!$N$7,'2.2 OPEX LAP 2023'!I438*'2.1 OPEX TUUA'!$N$8)</f>
        <v>41475.59742610759</v>
      </c>
      <c r="O437" s="3">
        <f>+IF(F437="Pasajero",'2.2 OPEX LAP 2023'!J438*'2.1 OPEX TUUA'!$O$7,'2.2 OPEX LAP 2023'!J438*'2.1 OPEX TUUA'!$O$8)</f>
        <v>39952.184578569846</v>
      </c>
      <c r="P437" s="3">
        <f>+IF(F437="Pasajero",'2.2 OPEX LAP 2023'!K438*'2.1 OPEX TUUA'!$P$7,'2.2 OPEX LAP 2023'!K438*'2.1 OPEX TUUA'!$P$8)</f>
        <v>39045.163663351617</v>
      </c>
      <c r="Q437" s="3">
        <f>+IF(F437="Pasajero",'2.2 OPEX LAP 2023'!L438*'2.1 OPEX TUUA'!$Q$7,'2.2 OPEX LAP 2023'!L438*'2.1 OPEX TUUA'!$Q$8)</f>
        <v>38153.841181009237</v>
      </c>
      <c r="R437" s="3">
        <f>+IF(F437="Pasajero",'2.2 OPEX LAP 2023'!M438*'2.1 OPEX TUUA'!$R$7,'2.2 OPEX LAP 2023'!M438*'2.1 OPEX TUUA'!$R$8)</f>
        <v>37670.554161192274</v>
      </c>
      <c r="S437" s="3">
        <f>+IF(F437="Pasajero",'2.2 OPEX LAP 2023'!N438*'2.1 OPEX TUUA'!$S$7,'2.2 OPEX LAP 2023'!N438*'2.1 OPEX TUUA'!$S$8)</f>
        <v>37077.26843920198</v>
      </c>
      <c r="U437" s="1">
        <v>85680.870265780599</v>
      </c>
      <c r="V437" s="1">
        <v>98287.536474018198</v>
      </c>
      <c r="W437" s="1">
        <v>108658.31227016776</v>
      </c>
      <c r="X437" s="1">
        <v>113234.85479415914</v>
      </c>
      <c r="Y437" s="1">
        <v>115767.92114221281</v>
      </c>
      <c r="Z437" s="1">
        <v>118859.68892169371</v>
      </c>
      <c r="AA437" s="7">
        <f t="shared" si="39"/>
        <v>-1588.9217004478123</v>
      </c>
      <c r="AB437" s="7">
        <f t="shared" si="40"/>
        <v>-1822.7079055416107</v>
      </c>
      <c r="AC437" s="7">
        <f t="shared" si="41"/>
        <v>-2015.030306818182</v>
      </c>
      <c r="AD437" s="7">
        <f t="shared" si="42"/>
        <v>-2099.9006834475877</v>
      </c>
      <c r="AE437" s="7">
        <f t="shared" si="43"/>
        <v>-2146.8755108111654</v>
      </c>
      <c r="AF437" s="7">
        <f t="shared" si="44"/>
        <v>-2204.2112603469141</v>
      </c>
    </row>
    <row r="438" spans="2:32" x14ac:dyDescent="0.25">
      <c r="B438" s="17">
        <v>6380000031</v>
      </c>
      <c r="C438" s="193" t="s">
        <v>177</v>
      </c>
      <c r="D438" s="193" t="s">
        <v>49</v>
      </c>
      <c r="E438" s="193" t="s">
        <v>129</v>
      </c>
      <c r="F438" s="163" t="s">
        <v>190</v>
      </c>
      <c r="G438" s="3">
        <f>+IF(F438="Pasajero",'2.2 OPEX LAP 2023'!I439*'2.1 OPEX TUUA'!$G$7,'2.2 OPEX LAP 2023'!I439*'2.1 OPEX TUUA'!$G$8)</f>
        <v>0</v>
      </c>
      <c r="H438" s="3">
        <f>+IF(F438="Pasajero",'2.2 OPEX LAP 2023'!J439*'2.1 OPEX TUUA'!$H$7,'2.2 OPEX LAP 2023'!J439*'2.1 OPEX TUUA'!$H$8)</f>
        <v>0</v>
      </c>
      <c r="I438" s="3">
        <f>+IF(F438="Pasajero",'2.2 OPEX LAP 2023'!K439*'2.1 OPEX TUUA'!$I$7,'2.2 OPEX LAP 2023'!K439*'2.1 OPEX TUUA'!$I$8)</f>
        <v>0</v>
      </c>
      <c r="J438" s="3">
        <f>+IF(F438="Pasajero",'2.2 OPEX LAP 2023'!L439*'2.1 OPEX TUUA'!$J$7,'2.2 OPEX LAP 2023'!L439*'2.1 OPEX TUUA'!$J$8)</f>
        <v>0</v>
      </c>
      <c r="K438" s="3">
        <f>+IF(F438="Pasajero",'2.2 OPEX LAP 2023'!M439*'2.1 OPEX TUUA'!$K$7,'2.2 OPEX LAP 2023'!M439*'2.1 OPEX TUUA'!$K$8)</f>
        <v>0</v>
      </c>
      <c r="L438" s="3">
        <f>+IF(F438="Pasajero",'2.2 OPEX LAP 2023'!N439*'2.1 OPEX TUUA'!$L$7,'2.2 OPEX LAP 2023'!N439*'2.1 OPEX TUUA'!$L$8)</f>
        <v>0</v>
      </c>
      <c r="M438" s="3"/>
      <c r="N438" s="3">
        <f>+IF(F438="Pasajero",'2.2 OPEX LAP 2023'!I439*'2.1 OPEX TUUA'!$N$7,'2.2 OPEX LAP 2023'!I439*'2.1 OPEX TUUA'!$N$8)</f>
        <v>0</v>
      </c>
      <c r="O438" s="3">
        <f>+IF(F438="Pasajero",'2.2 OPEX LAP 2023'!J439*'2.1 OPEX TUUA'!$O$7,'2.2 OPEX LAP 2023'!J439*'2.1 OPEX TUUA'!$O$8)</f>
        <v>0</v>
      </c>
      <c r="P438" s="3">
        <f>+IF(F438="Pasajero",'2.2 OPEX LAP 2023'!K439*'2.1 OPEX TUUA'!$P$7,'2.2 OPEX LAP 2023'!K439*'2.1 OPEX TUUA'!$P$8)</f>
        <v>0</v>
      </c>
      <c r="Q438" s="3">
        <f>+IF(F438="Pasajero",'2.2 OPEX LAP 2023'!L439*'2.1 OPEX TUUA'!$Q$7,'2.2 OPEX LAP 2023'!L439*'2.1 OPEX TUUA'!$Q$8)</f>
        <v>0</v>
      </c>
      <c r="R438" s="3">
        <f>+IF(F438="Pasajero",'2.2 OPEX LAP 2023'!M439*'2.1 OPEX TUUA'!$R$7,'2.2 OPEX LAP 2023'!M439*'2.1 OPEX TUUA'!$R$8)</f>
        <v>0</v>
      </c>
      <c r="S438" s="3">
        <f>+IF(F438="Pasajero",'2.2 OPEX LAP 2023'!N439*'2.1 OPEX TUUA'!$S$7,'2.2 OPEX LAP 2023'!N439*'2.1 OPEX TUUA'!$S$8)</f>
        <v>0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>
        <v>0</v>
      </c>
      <c r="AA438" s="7">
        <f t="shared" si="39"/>
        <v>0</v>
      </c>
      <c r="AB438" s="7">
        <f t="shared" si="40"/>
        <v>0</v>
      </c>
      <c r="AC438" s="7">
        <f t="shared" si="41"/>
        <v>0</v>
      </c>
      <c r="AD438" s="7">
        <f t="shared" si="42"/>
        <v>0</v>
      </c>
      <c r="AE438" s="7">
        <f t="shared" si="43"/>
        <v>0</v>
      </c>
      <c r="AF438" s="7">
        <f t="shared" si="44"/>
        <v>0</v>
      </c>
    </row>
    <row r="439" spans="2:32" x14ac:dyDescent="0.25">
      <c r="B439" s="17">
        <v>6381000001</v>
      </c>
      <c r="C439" s="193" t="s">
        <v>177</v>
      </c>
      <c r="D439" s="193" t="s">
        <v>49</v>
      </c>
      <c r="E439" s="193" t="s">
        <v>130</v>
      </c>
      <c r="F439" s="163" t="s">
        <v>190</v>
      </c>
      <c r="G439" s="3">
        <f>+IF(F439="Pasajero",'2.2 OPEX LAP 2023'!I440*'2.1 OPEX TUUA'!$G$7,'2.2 OPEX LAP 2023'!I440*'2.1 OPEX TUUA'!$G$8)</f>
        <v>0</v>
      </c>
      <c r="H439" s="3">
        <f>+IF(F439="Pasajero",'2.2 OPEX LAP 2023'!J440*'2.1 OPEX TUUA'!$H$7,'2.2 OPEX LAP 2023'!J440*'2.1 OPEX TUUA'!$H$8)</f>
        <v>0</v>
      </c>
      <c r="I439" s="3">
        <f>+IF(F439="Pasajero",'2.2 OPEX LAP 2023'!K440*'2.1 OPEX TUUA'!$I$7,'2.2 OPEX LAP 2023'!K440*'2.1 OPEX TUUA'!$I$8)</f>
        <v>0</v>
      </c>
      <c r="J439" s="3">
        <f>+IF(F439="Pasajero",'2.2 OPEX LAP 2023'!L440*'2.1 OPEX TUUA'!$J$7,'2.2 OPEX LAP 2023'!L440*'2.1 OPEX TUUA'!$J$8)</f>
        <v>0</v>
      </c>
      <c r="K439" s="3">
        <f>+IF(F439="Pasajero",'2.2 OPEX LAP 2023'!M440*'2.1 OPEX TUUA'!$K$7,'2.2 OPEX LAP 2023'!M440*'2.1 OPEX TUUA'!$K$8)</f>
        <v>0</v>
      </c>
      <c r="L439" s="3">
        <f>+IF(F439="Pasajero",'2.2 OPEX LAP 2023'!N440*'2.1 OPEX TUUA'!$L$7,'2.2 OPEX LAP 2023'!N440*'2.1 OPEX TUUA'!$L$8)</f>
        <v>0</v>
      </c>
      <c r="M439" s="3"/>
      <c r="N439" s="3">
        <f>+IF(F439="Pasajero",'2.2 OPEX LAP 2023'!I440*'2.1 OPEX TUUA'!$N$7,'2.2 OPEX LAP 2023'!I440*'2.1 OPEX TUUA'!$N$8)</f>
        <v>0</v>
      </c>
      <c r="O439" s="3">
        <f>+IF(F439="Pasajero",'2.2 OPEX LAP 2023'!J440*'2.1 OPEX TUUA'!$O$7,'2.2 OPEX LAP 2023'!J440*'2.1 OPEX TUUA'!$O$8)</f>
        <v>0</v>
      </c>
      <c r="P439" s="3">
        <f>+IF(F439="Pasajero",'2.2 OPEX LAP 2023'!K440*'2.1 OPEX TUUA'!$P$7,'2.2 OPEX LAP 2023'!K440*'2.1 OPEX TUUA'!$P$8)</f>
        <v>0</v>
      </c>
      <c r="Q439" s="3">
        <f>+IF(F439="Pasajero",'2.2 OPEX LAP 2023'!L440*'2.1 OPEX TUUA'!$Q$7,'2.2 OPEX LAP 2023'!L440*'2.1 OPEX TUUA'!$Q$8)</f>
        <v>0</v>
      </c>
      <c r="R439" s="3">
        <f>+IF(F439="Pasajero",'2.2 OPEX LAP 2023'!M440*'2.1 OPEX TUUA'!$R$7,'2.2 OPEX LAP 2023'!M440*'2.1 OPEX TUUA'!$R$8)</f>
        <v>0</v>
      </c>
      <c r="S439" s="3">
        <f>+IF(F439="Pasajero",'2.2 OPEX LAP 2023'!N440*'2.1 OPEX TUUA'!$S$7,'2.2 OPEX LAP 2023'!N440*'2.1 OPEX TUUA'!$S$8)</f>
        <v>0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>
        <v>0</v>
      </c>
      <c r="AA439" s="7">
        <f t="shared" si="39"/>
        <v>0</v>
      </c>
      <c r="AB439" s="7">
        <f t="shared" si="40"/>
        <v>0</v>
      </c>
      <c r="AC439" s="7">
        <f t="shared" si="41"/>
        <v>0</v>
      </c>
      <c r="AD439" s="7">
        <f t="shared" si="42"/>
        <v>0</v>
      </c>
      <c r="AE439" s="7">
        <f t="shared" si="43"/>
        <v>0</v>
      </c>
      <c r="AF439" s="7">
        <f t="shared" si="44"/>
        <v>0</v>
      </c>
    </row>
    <row r="440" spans="2:32" x14ac:dyDescent="0.25">
      <c r="B440" s="17">
        <v>6381000002</v>
      </c>
      <c r="C440" s="193" t="s">
        <v>177</v>
      </c>
      <c r="D440" s="193" t="s">
        <v>49</v>
      </c>
      <c r="E440" s="193" t="s">
        <v>131</v>
      </c>
      <c r="F440" s="163" t="s">
        <v>190</v>
      </c>
      <c r="G440" s="3">
        <f>+IF(F440="Pasajero",'2.2 OPEX LAP 2023'!I441*'2.1 OPEX TUUA'!$G$7,'2.2 OPEX LAP 2023'!I441*'2.1 OPEX TUUA'!$G$8)</f>
        <v>1671.3693081163092</v>
      </c>
      <c r="H440" s="3">
        <f>+IF(F440="Pasajero",'2.2 OPEX LAP 2023'!J441*'2.1 OPEX TUUA'!$H$7,'2.2 OPEX LAP 2023'!J441*'2.1 OPEX TUUA'!$H$8)</f>
        <v>1917.2864528973475</v>
      </c>
      <c r="I440" s="3">
        <f>+IF(F440="Pasajero",'2.2 OPEX LAP 2023'!K441*'2.1 OPEX TUUA'!$I$7,'2.2 OPEX LAP 2023'!K441*'2.1 OPEX TUUA'!$I$8)</f>
        <v>2119.5882772517448</v>
      </c>
      <c r="J440" s="3">
        <f>+IF(F440="Pasajero",'2.2 OPEX LAP 2023'!L441*'2.1 OPEX TUUA'!$J$7,'2.2 OPEX LAP 2023'!L441*'2.1 OPEX TUUA'!$J$8)</f>
        <v>2208.8624955009409</v>
      </c>
      <c r="K440" s="3">
        <f>+IF(F440="Pasajero",'2.2 OPEX LAP 2023'!M441*'2.1 OPEX TUUA'!$K$7,'2.2 OPEX LAP 2023'!M441*'2.1 OPEX TUUA'!$K$8)</f>
        <v>2258.2748011466042</v>
      </c>
      <c r="L440" s="3">
        <f>+IF(F440="Pasajero",'2.2 OPEX LAP 2023'!N441*'2.1 OPEX TUUA'!$L$7,'2.2 OPEX LAP 2023'!N441*'2.1 OPEX TUUA'!$L$8)</f>
        <v>2318.5856471781376</v>
      </c>
      <c r="M440" s="3"/>
      <c r="N440" s="3">
        <f>+IF(F440="Pasajero",'2.2 OPEX LAP 2023'!I441*'2.1 OPEX TUUA'!$N$7,'2.2 OPEX LAP 2023'!I441*'2.1 OPEX TUUA'!$N$8)</f>
        <v>824.34813030794555</v>
      </c>
      <c r="O440" s="3">
        <f>+IF(F440="Pasajero",'2.2 OPEX LAP 2023'!J441*'2.1 OPEX TUUA'!$O$7,'2.2 OPEX LAP 2023'!J441*'2.1 OPEX TUUA'!$O$8)</f>
        <v>794.06954216241752</v>
      </c>
      <c r="P440" s="3">
        <f>+IF(F440="Pasajero",'2.2 OPEX LAP 2023'!K441*'2.1 OPEX TUUA'!$P$7,'2.2 OPEX LAP 2023'!K441*'2.1 OPEX TUUA'!$P$8)</f>
        <v>776.04205028740728</v>
      </c>
      <c r="Q440" s="3">
        <f>+IF(F440="Pasajero",'2.2 OPEX LAP 2023'!L441*'2.1 OPEX TUUA'!$Q$7,'2.2 OPEX LAP 2023'!L441*'2.1 OPEX TUUA'!$Q$8)</f>
        <v>758.32657257477342</v>
      </c>
      <c r="R440" s="3">
        <f>+IF(F440="Pasajero",'2.2 OPEX LAP 2023'!M441*'2.1 OPEX TUUA'!$R$7,'2.2 OPEX LAP 2023'!M441*'2.1 OPEX TUUA'!$R$8)</f>
        <v>748.72100265144718</v>
      </c>
      <c r="S440" s="3">
        <f>+IF(F440="Pasajero",'2.2 OPEX LAP 2023'!N441*'2.1 OPEX TUUA'!$S$7,'2.2 OPEX LAP 2023'!N441*'2.1 OPEX TUUA'!$S$8)</f>
        <v>736.92915380508805</v>
      </c>
      <c r="U440" s="1">
        <v>1702.9499172999006</v>
      </c>
      <c r="V440" s="1">
        <v>1953.5136792009023</v>
      </c>
      <c r="W440" s="1">
        <v>2159.6380069487982</v>
      </c>
      <c r="X440" s="1">
        <v>2250.5990661511023</v>
      </c>
      <c r="Y440" s="1">
        <v>2300.9450198575969</v>
      </c>
      <c r="Z440" s="1">
        <v>2362.3954424320309</v>
      </c>
      <c r="AA440" s="7">
        <f t="shared" si="39"/>
        <v>-31.580609183591378</v>
      </c>
      <c r="AB440" s="7">
        <f t="shared" si="40"/>
        <v>-36.227226303554744</v>
      </c>
      <c r="AC440" s="7">
        <f t="shared" si="41"/>
        <v>-40.049729697053408</v>
      </c>
      <c r="AD440" s="7">
        <f t="shared" si="42"/>
        <v>-41.736570650161411</v>
      </c>
      <c r="AE440" s="7">
        <f t="shared" si="43"/>
        <v>-42.670218710992685</v>
      </c>
      <c r="AF440" s="7">
        <f t="shared" si="44"/>
        <v>-43.809795253893299</v>
      </c>
    </row>
    <row r="441" spans="2:32" x14ac:dyDescent="0.25">
      <c r="B441" s="17">
        <v>6381000003</v>
      </c>
      <c r="C441" s="193" t="s">
        <v>177</v>
      </c>
      <c r="D441" s="193" t="s">
        <v>49</v>
      </c>
      <c r="E441" s="193" t="s">
        <v>132</v>
      </c>
      <c r="F441" s="163" t="s">
        <v>190</v>
      </c>
      <c r="G441" s="3">
        <f>+IF(F441="Pasajero",'2.2 OPEX LAP 2023'!I442*'2.1 OPEX TUUA'!$G$7,'2.2 OPEX LAP 2023'!I442*'2.1 OPEX TUUA'!$G$8)</f>
        <v>0</v>
      </c>
      <c r="H441" s="3">
        <f>+IF(F441="Pasajero",'2.2 OPEX LAP 2023'!J442*'2.1 OPEX TUUA'!$H$7,'2.2 OPEX LAP 2023'!J442*'2.1 OPEX TUUA'!$H$8)</f>
        <v>0</v>
      </c>
      <c r="I441" s="3">
        <f>+IF(F441="Pasajero",'2.2 OPEX LAP 2023'!K442*'2.1 OPEX TUUA'!$I$7,'2.2 OPEX LAP 2023'!K442*'2.1 OPEX TUUA'!$I$8)</f>
        <v>0</v>
      </c>
      <c r="J441" s="3">
        <f>+IF(F441="Pasajero",'2.2 OPEX LAP 2023'!L442*'2.1 OPEX TUUA'!$J$7,'2.2 OPEX LAP 2023'!L442*'2.1 OPEX TUUA'!$J$8)</f>
        <v>0</v>
      </c>
      <c r="K441" s="3">
        <f>+IF(F441="Pasajero",'2.2 OPEX LAP 2023'!M442*'2.1 OPEX TUUA'!$K$7,'2.2 OPEX LAP 2023'!M442*'2.1 OPEX TUUA'!$K$8)</f>
        <v>0</v>
      </c>
      <c r="L441" s="3">
        <f>+IF(F441="Pasajero",'2.2 OPEX LAP 2023'!N442*'2.1 OPEX TUUA'!$L$7,'2.2 OPEX LAP 2023'!N442*'2.1 OPEX TUUA'!$L$8)</f>
        <v>0</v>
      </c>
      <c r="M441" s="3"/>
      <c r="N441" s="3">
        <f>+IF(F441="Pasajero",'2.2 OPEX LAP 2023'!I442*'2.1 OPEX TUUA'!$N$7,'2.2 OPEX LAP 2023'!I442*'2.1 OPEX TUUA'!$N$8)</f>
        <v>0</v>
      </c>
      <c r="O441" s="3">
        <f>+IF(F441="Pasajero",'2.2 OPEX LAP 2023'!J442*'2.1 OPEX TUUA'!$O$7,'2.2 OPEX LAP 2023'!J442*'2.1 OPEX TUUA'!$O$8)</f>
        <v>0</v>
      </c>
      <c r="P441" s="3">
        <f>+IF(F441="Pasajero",'2.2 OPEX LAP 2023'!K442*'2.1 OPEX TUUA'!$P$7,'2.2 OPEX LAP 2023'!K442*'2.1 OPEX TUUA'!$P$8)</f>
        <v>0</v>
      </c>
      <c r="Q441" s="3">
        <f>+IF(F441="Pasajero",'2.2 OPEX LAP 2023'!L442*'2.1 OPEX TUUA'!$Q$7,'2.2 OPEX LAP 2023'!L442*'2.1 OPEX TUUA'!$Q$8)</f>
        <v>0</v>
      </c>
      <c r="R441" s="3">
        <f>+IF(F441="Pasajero",'2.2 OPEX LAP 2023'!M442*'2.1 OPEX TUUA'!$R$7,'2.2 OPEX LAP 2023'!M442*'2.1 OPEX TUUA'!$R$8)</f>
        <v>0</v>
      </c>
      <c r="S441" s="3">
        <f>+IF(F441="Pasajero",'2.2 OPEX LAP 2023'!N442*'2.1 OPEX TUUA'!$S$7,'2.2 OPEX LAP 2023'!N442*'2.1 OPEX TUUA'!$S$8)</f>
        <v>0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>
        <v>0</v>
      </c>
      <c r="AA441" s="7">
        <f t="shared" si="39"/>
        <v>0</v>
      </c>
      <c r="AB441" s="7">
        <f t="shared" si="40"/>
        <v>0</v>
      </c>
      <c r="AC441" s="7">
        <f t="shared" si="41"/>
        <v>0</v>
      </c>
      <c r="AD441" s="7">
        <f t="shared" si="42"/>
        <v>0</v>
      </c>
      <c r="AE441" s="7">
        <f t="shared" si="43"/>
        <v>0</v>
      </c>
      <c r="AF441" s="7">
        <f t="shared" si="44"/>
        <v>0</v>
      </c>
    </row>
    <row r="442" spans="2:32" x14ac:dyDescent="0.25">
      <c r="B442" s="17">
        <v>6381000004</v>
      </c>
      <c r="C442" s="193" t="s">
        <v>177</v>
      </c>
      <c r="D442" s="193" t="s">
        <v>40</v>
      </c>
      <c r="E442" s="193" t="s">
        <v>133</v>
      </c>
      <c r="F442" s="163" t="s">
        <v>190</v>
      </c>
      <c r="G442" s="3">
        <f>+IF(F442="Pasajero",'2.2 OPEX LAP 2023'!I443*'2.1 OPEX TUUA'!$G$7,'2.2 OPEX LAP 2023'!I443*'2.1 OPEX TUUA'!$G$8)</f>
        <v>0</v>
      </c>
      <c r="H442" s="3">
        <f>+IF(F442="Pasajero",'2.2 OPEX LAP 2023'!J443*'2.1 OPEX TUUA'!$H$7,'2.2 OPEX LAP 2023'!J443*'2.1 OPEX TUUA'!$H$8)</f>
        <v>0</v>
      </c>
      <c r="I442" s="3">
        <f>+IF(F442="Pasajero",'2.2 OPEX LAP 2023'!K443*'2.1 OPEX TUUA'!$I$7,'2.2 OPEX LAP 2023'!K443*'2.1 OPEX TUUA'!$I$8)</f>
        <v>0</v>
      </c>
      <c r="J442" s="3">
        <f>+IF(F442="Pasajero",'2.2 OPEX LAP 2023'!L443*'2.1 OPEX TUUA'!$J$7,'2.2 OPEX LAP 2023'!L443*'2.1 OPEX TUUA'!$J$8)</f>
        <v>0</v>
      </c>
      <c r="K442" s="3">
        <f>+IF(F442="Pasajero",'2.2 OPEX LAP 2023'!M443*'2.1 OPEX TUUA'!$K$7,'2.2 OPEX LAP 2023'!M443*'2.1 OPEX TUUA'!$K$8)</f>
        <v>0</v>
      </c>
      <c r="L442" s="3">
        <f>+IF(F442="Pasajero",'2.2 OPEX LAP 2023'!N443*'2.1 OPEX TUUA'!$L$7,'2.2 OPEX LAP 2023'!N443*'2.1 OPEX TUUA'!$L$8)</f>
        <v>0</v>
      </c>
      <c r="M442" s="3"/>
      <c r="N442" s="3">
        <f>+IF(F442="Pasajero",'2.2 OPEX LAP 2023'!I443*'2.1 OPEX TUUA'!$N$7,'2.2 OPEX LAP 2023'!I443*'2.1 OPEX TUUA'!$N$8)</f>
        <v>0</v>
      </c>
      <c r="O442" s="3">
        <f>+IF(F442="Pasajero",'2.2 OPEX LAP 2023'!J443*'2.1 OPEX TUUA'!$O$7,'2.2 OPEX LAP 2023'!J443*'2.1 OPEX TUUA'!$O$8)</f>
        <v>0</v>
      </c>
      <c r="P442" s="3">
        <f>+IF(F442="Pasajero",'2.2 OPEX LAP 2023'!K443*'2.1 OPEX TUUA'!$P$7,'2.2 OPEX LAP 2023'!K443*'2.1 OPEX TUUA'!$P$8)</f>
        <v>0</v>
      </c>
      <c r="Q442" s="3">
        <f>+IF(F442="Pasajero",'2.2 OPEX LAP 2023'!L443*'2.1 OPEX TUUA'!$Q$7,'2.2 OPEX LAP 2023'!L443*'2.1 OPEX TUUA'!$Q$8)</f>
        <v>0</v>
      </c>
      <c r="R442" s="3">
        <f>+IF(F442="Pasajero",'2.2 OPEX LAP 2023'!M443*'2.1 OPEX TUUA'!$R$7,'2.2 OPEX LAP 2023'!M443*'2.1 OPEX TUUA'!$R$8)</f>
        <v>0</v>
      </c>
      <c r="S442" s="3">
        <f>+IF(F442="Pasajero",'2.2 OPEX LAP 2023'!N443*'2.1 OPEX TUUA'!$S$7,'2.2 OPEX LAP 2023'!N443*'2.1 OPEX TUUA'!$S$8)</f>
        <v>0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>
        <v>0</v>
      </c>
      <c r="AA442" s="7">
        <f t="shared" si="39"/>
        <v>0</v>
      </c>
      <c r="AB442" s="7">
        <f t="shared" si="40"/>
        <v>0</v>
      </c>
      <c r="AC442" s="7">
        <f t="shared" si="41"/>
        <v>0</v>
      </c>
      <c r="AD442" s="7">
        <f t="shared" si="42"/>
        <v>0</v>
      </c>
      <c r="AE442" s="7">
        <f t="shared" si="43"/>
        <v>0</v>
      </c>
      <c r="AF442" s="7">
        <f t="shared" si="44"/>
        <v>0</v>
      </c>
    </row>
    <row r="443" spans="2:32" x14ac:dyDescent="0.25">
      <c r="B443" s="17">
        <v>6381000005</v>
      </c>
      <c r="C443" s="193" t="s">
        <v>177</v>
      </c>
      <c r="D443" s="193" t="s">
        <v>49</v>
      </c>
      <c r="E443" s="193" t="s">
        <v>134</v>
      </c>
      <c r="F443" s="163" t="s">
        <v>190</v>
      </c>
      <c r="G443" s="3">
        <f>+IF(F443="Pasajero",'2.2 OPEX LAP 2023'!I444*'2.1 OPEX TUUA'!$G$7,'2.2 OPEX LAP 2023'!I444*'2.1 OPEX TUUA'!$G$8)</f>
        <v>0</v>
      </c>
      <c r="H443" s="3">
        <f>+IF(F443="Pasajero",'2.2 OPEX LAP 2023'!J444*'2.1 OPEX TUUA'!$H$7,'2.2 OPEX LAP 2023'!J444*'2.1 OPEX TUUA'!$H$8)</f>
        <v>0</v>
      </c>
      <c r="I443" s="3">
        <f>+IF(F443="Pasajero",'2.2 OPEX LAP 2023'!K444*'2.1 OPEX TUUA'!$I$7,'2.2 OPEX LAP 2023'!K444*'2.1 OPEX TUUA'!$I$8)</f>
        <v>0</v>
      </c>
      <c r="J443" s="3">
        <f>+IF(F443="Pasajero",'2.2 OPEX LAP 2023'!L444*'2.1 OPEX TUUA'!$J$7,'2.2 OPEX LAP 2023'!L444*'2.1 OPEX TUUA'!$J$8)</f>
        <v>0</v>
      </c>
      <c r="K443" s="3">
        <f>+IF(F443="Pasajero",'2.2 OPEX LAP 2023'!M444*'2.1 OPEX TUUA'!$K$7,'2.2 OPEX LAP 2023'!M444*'2.1 OPEX TUUA'!$K$8)</f>
        <v>0</v>
      </c>
      <c r="L443" s="3">
        <f>+IF(F443="Pasajero",'2.2 OPEX LAP 2023'!N444*'2.1 OPEX TUUA'!$L$7,'2.2 OPEX LAP 2023'!N444*'2.1 OPEX TUUA'!$L$8)</f>
        <v>0</v>
      </c>
      <c r="M443" s="3"/>
      <c r="N443" s="3">
        <f>+IF(F443="Pasajero",'2.2 OPEX LAP 2023'!I444*'2.1 OPEX TUUA'!$N$7,'2.2 OPEX LAP 2023'!I444*'2.1 OPEX TUUA'!$N$8)</f>
        <v>0</v>
      </c>
      <c r="O443" s="3">
        <f>+IF(F443="Pasajero",'2.2 OPEX LAP 2023'!J444*'2.1 OPEX TUUA'!$O$7,'2.2 OPEX LAP 2023'!J444*'2.1 OPEX TUUA'!$O$8)</f>
        <v>0</v>
      </c>
      <c r="P443" s="3">
        <f>+IF(F443="Pasajero",'2.2 OPEX LAP 2023'!K444*'2.1 OPEX TUUA'!$P$7,'2.2 OPEX LAP 2023'!K444*'2.1 OPEX TUUA'!$P$8)</f>
        <v>0</v>
      </c>
      <c r="Q443" s="3">
        <f>+IF(F443="Pasajero",'2.2 OPEX LAP 2023'!L444*'2.1 OPEX TUUA'!$Q$7,'2.2 OPEX LAP 2023'!L444*'2.1 OPEX TUUA'!$Q$8)</f>
        <v>0</v>
      </c>
      <c r="R443" s="3">
        <f>+IF(F443="Pasajero",'2.2 OPEX LAP 2023'!M444*'2.1 OPEX TUUA'!$R$7,'2.2 OPEX LAP 2023'!M444*'2.1 OPEX TUUA'!$R$8)</f>
        <v>0</v>
      </c>
      <c r="S443" s="3">
        <f>+IF(F443="Pasajero",'2.2 OPEX LAP 2023'!N444*'2.1 OPEX TUUA'!$S$7,'2.2 OPEX LAP 2023'!N444*'2.1 OPEX TUUA'!$S$8)</f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7">
        <f t="shared" si="39"/>
        <v>0</v>
      </c>
      <c r="AB443" s="7">
        <f t="shared" si="40"/>
        <v>0</v>
      </c>
      <c r="AC443" s="7">
        <f t="shared" si="41"/>
        <v>0</v>
      </c>
      <c r="AD443" s="7">
        <f t="shared" si="42"/>
        <v>0</v>
      </c>
      <c r="AE443" s="7">
        <f t="shared" si="43"/>
        <v>0</v>
      </c>
      <c r="AF443" s="7">
        <f t="shared" si="44"/>
        <v>0</v>
      </c>
    </row>
    <row r="444" spans="2:32" x14ac:dyDescent="0.25">
      <c r="B444" s="17">
        <v>6381000006</v>
      </c>
      <c r="C444" s="193" t="s">
        <v>177</v>
      </c>
      <c r="D444" s="193" t="s">
        <v>49</v>
      </c>
      <c r="E444" s="193" t="s">
        <v>135</v>
      </c>
      <c r="F444" s="163" t="s">
        <v>190</v>
      </c>
      <c r="G444" s="3">
        <f>+IF(F444="Pasajero",'2.2 OPEX LAP 2023'!I445*'2.1 OPEX TUUA'!$G$7,'2.2 OPEX LAP 2023'!I445*'2.1 OPEX TUUA'!$G$8)</f>
        <v>0</v>
      </c>
      <c r="H444" s="3">
        <f>+IF(F444="Pasajero",'2.2 OPEX LAP 2023'!J445*'2.1 OPEX TUUA'!$H$7,'2.2 OPEX LAP 2023'!J445*'2.1 OPEX TUUA'!$H$8)</f>
        <v>0</v>
      </c>
      <c r="I444" s="3">
        <f>+IF(F444="Pasajero",'2.2 OPEX LAP 2023'!K445*'2.1 OPEX TUUA'!$I$7,'2.2 OPEX LAP 2023'!K445*'2.1 OPEX TUUA'!$I$8)</f>
        <v>0</v>
      </c>
      <c r="J444" s="3">
        <f>+IF(F444="Pasajero",'2.2 OPEX LAP 2023'!L445*'2.1 OPEX TUUA'!$J$7,'2.2 OPEX LAP 2023'!L445*'2.1 OPEX TUUA'!$J$8)</f>
        <v>0</v>
      </c>
      <c r="K444" s="3">
        <f>+IF(F444="Pasajero",'2.2 OPEX LAP 2023'!M445*'2.1 OPEX TUUA'!$K$7,'2.2 OPEX LAP 2023'!M445*'2.1 OPEX TUUA'!$K$8)</f>
        <v>0</v>
      </c>
      <c r="L444" s="3">
        <f>+IF(F444="Pasajero",'2.2 OPEX LAP 2023'!N445*'2.1 OPEX TUUA'!$L$7,'2.2 OPEX LAP 2023'!N445*'2.1 OPEX TUUA'!$L$8)</f>
        <v>0</v>
      </c>
      <c r="M444" s="3"/>
      <c r="N444" s="3">
        <f>+IF(F444="Pasajero",'2.2 OPEX LAP 2023'!I445*'2.1 OPEX TUUA'!$N$7,'2.2 OPEX LAP 2023'!I445*'2.1 OPEX TUUA'!$N$8)</f>
        <v>0</v>
      </c>
      <c r="O444" s="3">
        <f>+IF(F444="Pasajero",'2.2 OPEX LAP 2023'!J445*'2.1 OPEX TUUA'!$O$7,'2.2 OPEX LAP 2023'!J445*'2.1 OPEX TUUA'!$O$8)</f>
        <v>0</v>
      </c>
      <c r="P444" s="3">
        <f>+IF(F444="Pasajero",'2.2 OPEX LAP 2023'!K445*'2.1 OPEX TUUA'!$P$7,'2.2 OPEX LAP 2023'!K445*'2.1 OPEX TUUA'!$P$8)</f>
        <v>0</v>
      </c>
      <c r="Q444" s="3">
        <f>+IF(F444="Pasajero",'2.2 OPEX LAP 2023'!L445*'2.1 OPEX TUUA'!$Q$7,'2.2 OPEX LAP 2023'!L445*'2.1 OPEX TUUA'!$Q$8)</f>
        <v>0</v>
      </c>
      <c r="R444" s="3">
        <f>+IF(F444="Pasajero",'2.2 OPEX LAP 2023'!M445*'2.1 OPEX TUUA'!$R$7,'2.2 OPEX LAP 2023'!M445*'2.1 OPEX TUUA'!$R$8)</f>
        <v>0</v>
      </c>
      <c r="S444" s="3">
        <f>+IF(F444="Pasajero",'2.2 OPEX LAP 2023'!N445*'2.1 OPEX TUUA'!$S$7,'2.2 OPEX LAP 2023'!N445*'2.1 OPEX TUUA'!$S$8)</f>
        <v>0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>
        <v>0</v>
      </c>
      <c r="AA444" s="7">
        <f t="shared" si="39"/>
        <v>0</v>
      </c>
      <c r="AB444" s="7">
        <f t="shared" si="40"/>
        <v>0</v>
      </c>
      <c r="AC444" s="7">
        <f t="shared" si="41"/>
        <v>0</v>
      </c>
      <c r="AD444" s="7">
        <f t="shared" si="42"/>
        <v>0</v>
      </c>
      <c r="AE444" s="7">
        <f t="shared" si="43"/>
        <v>0</v>
      </c>
      <c r="AF444" s="7">
        <f t="shared" si="44"/>
        <v>0</v>
      </c>
    </row>
    <row r="445" spans="2:32" x14ac:dyDescent="0.25">
      <c r="B445" s="17">
        <v>6382000001</v>
      </c>
      <c r="C445" s="193" t="s">
        <v>177</v>
      </c>
      <c r="D445" s="193" t="s">
        <v>40</v>
      </c>
      <c r="E445" s="193" t="s">
        <v>136</v>
      </c>
      <c r="F445" s="163" t="s">
        <v>190</v>
      </c>
      <c r="G445" s="3">
        <f>+IF(F445="Pasajero",'2.2 OPEX LAP 2023'!I446*'2.1 OPEX TUUA'!$G$7,'2.2 OPEX LAP 2023'!I446*'2.1 OPEX TUUA'!$G$8)</f>
        <v>9820.6362602909448</v>
      </c>
      <c r="H445" s="3">
        <f>+IF(F445="Pasajero",'2.2 OPEX LAP 2023'!J446*'2.1 OPEX TUUA'!$H$7,'2.2 OPEX LAP 2023'!J446*'2.1 OPEX TUUA'!$H$8)</f>
        <v>11265.596878710907</v>
      </c>
      <c r="I445" s="3">
        <f>+IF(F445="Pasajero",'2.2 OPEX LAP 2023'!K446*'2.1 OPEX TUUA'!$I$7,'2.2 OPEX LAP 2023'!K446*'2.1 OPEX TUUA'!$I$8)</f>
        <v>12454.282480468737</v>
      </c>
      <c r="J445" s="3">
        <f>+IF(F445="Pasajero",'2.2 OPEX LAP 2023'!L446*'2.1 OPEX TUUA'!$J$7,'2.2 OPEX LAP 2023'!L446*'2.1 OPEX TUUA'!$J$8)</f>
        <v>12978.840171333173</v>
      </c>
      <c r="K445" s="3">
        <f>+IF(F445="Pasajero",'2.2 OPEX LAP 2023'!M446*'2.1 OPEX TUUA'!$K$7,'2.2 OPEX LAP 2023'!M446*'2.1 OPEX TUUA'!$K$8)</f>
        <v>13269.177129282511</v>
      </c>
      <c r="L445" s="3">
        <f>+IF(F445="Pasajero",'2.2 OPEX LAP 2023'!N446*'2.1 OPEX TUUA'!$L$7,'2.2 OPEX LAP 2023'!N446*'2.1 OPEX TUUA'!$L$8)</f>
        <v>13623.551760041786</v>
      </c>
      <c r="M445" s="3"/>
      <c r="N445" s="3">
        <f>+IF(F445="Pasajero",'2.2 OPEX LAP 2023'!I446*'2.1 OPEX TUUA'!$N$7,'2.2 OPEX LAP 2023'!I446*'2.1 OPEX TUUA'!$N$8)</f>
        <v>4843.7069535094561</v>
      </c>
      <c r="O445" s="3">
        <f>+IF(F445="Pasajero",'2.2 OPEX LAP 2023'!J446*'2.1 OPEX TUUA'!$O$7,'2.2 OPEX LAP 2023'!J446*'2.1 OPEX TUUA'!$O$8)</f>
        <v>4665.7959441302555</v>
      </c>
      <c r="P445" s="3">
        <f>+IF(F445="Pasajero",'2.2 OPEX LAP 2023'!K446*'2.1 OPEX TUUA'!$P$7,'2.2 OPEX LAP 2023'!K446*'2.1 OPEX TUUA'!$P$8)</f>
        <v>4559.8699590531705</v>
      </c>
      <c r="Q445" s="3">
        <f>+IF(F445="Pasajero",'2.2 OPEX LAP 2023'!L446*'2.1 OPEX TUUA'!$Q$7,'2.2 OPEX LAP 2023'!L446*'2.1 OPEX TUUA'!$Q$8)</f>
        <v>4455.777307627648</v>
      </c>
      <c r="R445" s="3">
        <f>+IF(F445="Pasajero",'2.2 OPEX LAP 2023'!M446*'2.1 OPEX TUUA'!$R$7,'2.2 OPEX LAP 2023'!M446*'2.1 OPEX TUUA'!$R$8)</f>
        <v>4399.3368741269915</v>
      </c>
      <c r="S445" s="3">
        <f>+IF(F445="Pasajero",'2.2 OPEX LAP 2023'!N446*'2.1 OPEX TUUA'!$S$7,'2.2 OPEX LAP 2023'!N446*'2.1 OPEX TUUA'!$S$8)</f>
        <v>4330.0502970706375</v>
      </c>
      <c r="U445" s="1">
        <v>10006.197688375318</v>
      </c>
      <c r="V445" s="1">
        <v>11478.460912122782</v>
      </c>
      <c r="W445" s="1">
        <v>12689.606789565336</v>
      </c>
      <c r="X445" s="1">
        <v>13224.076025023172</v>
      </c>
      <c r="Y445" s="1">
        <v>13519.898914750738</v>
      </c>
      <c r="Z445" s="1">
        <v>13880.969472415121</v>
      </c>
      <c r="AA445" s="7">
        <f t="shared" si="39"/>
        <v>-185.56142808437289</v>
      </c>
      <c r="AB445" s="7">
        <f t="shared" si="40"/>
        <v>-212.86403341187543</v>
      </c>
      <c r="AC445" s="7">
        <f t="shared" si="41"/>
        <v>-235.32430909659888</v>
      </c>
      <c r="AD445" s="7">
        <f t="shared" si="42"/>
        <v>-245.2358536899992</v>
      </c>
      <c r="AE445" s="7">
        <f t="shared" si="43"/>
        <v>-250.72178546822761</v>
      </c>
      <c r="AF445" s="7">
        <f t="shared" si="44"/>
        <v>-257.41771237333523</v>
      </c>
    </row>
    <row r="446" spans="2:32" x14ac:dyDescent="0.25">
      <c r="B446" s="17">
        <v>6382000002</v>
      </c>
      <c r="C446" s="193" t="s">
        <v>177</v>
      </c>
      <c r="D446" s="193" t="s">
        <v>40</v>
      </c>
      <c r="E446" s="193" t="s">
        <v>137</v>
      </c>
      <c r="F446" s="163" t="s">
        <v>190</v>
      </c>
      <c r="G446" s="3">
        <f>+IF(F446="Pasajero",'2.2 OPEX LAP 2023'!I447*'2.1 OPEX TUUA'!$G$7,'2.2 OPEX LAP 2023'!I447*'2.1 OPEX TUUA'!$G$8)</f>
        <v>1161.777979178082</v>
      </c>
      <c r="H446" s="3">
        <f>+IF(F446="Pasajero",'2.2 OPEX LAP 2023'!J447*'2.1 OPEX TUUA'!$H$7,'2.2 OPEX LAP 2023'!J447*'2.1 OPEX TUUA'!$H$8)</f>
        <v>1332.7163362016133</v>
      </c>
      <c r="I446" s="3">
        <f>+IF(F446="Pasajero",'2.2 OPEX LAP 2023'!K447*'2.1 OPEX TUUA'!$I$7,'2.2 OPEX LAP 2023'!K447*'2.1 OPEX TUUA'!$I$8)</f>
        <v>1473.3374446192245</v>
      </c>
      <c r="J446" s="3">
        <f>+IF(F446="Pasajero",'2.2 OPEX LAP 2023'!L447*'2.1 OPEX TUUA'!$J$7,'2.2 OPEX LAP 2023'!L447*'2.1 OPEX TUUA'!$J$8)</f>
        <v>1535.3924436948903</v>
      </c>
      <c r="K446" s="3">
        <f>+IF(F446="Pasajero",'2.2 OPEX LAP 2023'!M447*'2.1 OPEX TUUA'!$K$7,'2.2 OPEX LAP 2023'!M447*'2.1 OPEX TUUA'!$K$8)</f>
        <v>1569.739208542599</v>
      </c>
      <c r="L446" s="3">
        <f>+IF(F446="Pasajero",'2.2 OPEX LAP 2023'!N447*'2.1 OPEX TUUA'!$L$7,'2.2 OPEX LAP 2023'!N447*'2.1 OPEX TUUA'!$L$8)</f>
        <v>1611.6616086278345</v>
      </c>
      <c r="M446" s="3"/>
      <c r="N446" s="3">
        <f>+IF(F446="Pasajero",'2.2 OPEX LAP 2023'!I447*'2.1 OPEX TUUA'!$N$7,'2.2 OPEX LAP 2023'!I447*'2.1 OPEX TUUA'!$N$8)</f>
        <v>573.00890971114382</v>
      </c>
      <c r="O446" s="3">
        <f>+IF(F446="Pasajero",'2.2 OPEX LAP 2023'!J447*'2.1 OPEX TUUA'!$O$7,'2.2 OPEX LAP 2023'!J447*'2.1 OPEX TUUA'!$O$8)</f>
        <v>551.9620969108521</v>
      </c>
      <c r="P446" s="3">
        <f>+IF(F446="Pasajero",'2.2 OPEX LAP 2023'!K447*'2.1 OPEX TUUA'!$P$7,'2.2 OPEX LAP 2023'!K447*'2.1 OPEX TUUA'!$P$8)</f>
        <v>539.43108836684382</v>
      </c>
      <c r="Q446" s="3">
        <f>+IF(F446="Pasajero",'2.2 OPEX LAP 2023'!L447*'2.1 OPEX TUUA'!$Q$7,'2.2 OPEX LAP 2023'!L447*'2.1 OPEX TUUA'!$Q$8)</f>
        <v>527.11696257955498</v>
      </c>
      <c r="R446" s="3">
        <f>+IF(F446="Pasajero",'2.2 OPEX LAP 2023'!M447*'2.1 OPEX TUUA'!$R$7,'2.2 OPEX LAP 2023'!M447*'2.1 OPEX TUUA'!$R$8)</f>
        <v>520.44007820685295</v>
      </c>
      <c r="S446" s="3">
        <f>+IF(F446="Pasajero",'2.2 OPEX LAP 2023'!N447*'2.1 OPEX TUUA'!$S$7,'2.2 OPEX LAP 2023'!N447*'2.1 OPEX TUUA'!$S$8)</f>
        <v>512.24349935562566</v>
      </c>
      <c r="U446" s="1">
        <v>1183.7298339479148</v>
      </c>
      <c r="V446" s="1">
        <v>1357.8980800339239</v>
      </c>
      <c r="W446" s="1">
        <v>1501.1762315396991</v>
      </c>
      <c r="X446" s="1">
        <v>1564.4037630198909</v>
      </c>
      <c r="Y446" s="1">
        <v>1599.3995117588968</v>
      </c>
      <c r="Z446" s="1">
        <v>1642.1140377535294</v>
      </c>
      <c r="AA446" s="7">
        <f t="shared" si="39"/>
        <v>-21.951854769832835</v>
      </c>
      <c r="AB446" s="7">
        <f t="shared" si="40"/>
        <v>-25.181743832310531</v>
      </c>
      <c r="AC446" s="7">
        <f t="shared" si="41"/>
        <v>-27.838786920474604</v>
      </c>
      <c r="AD446" s="7">
        <f t="shared" si="42"/>
        <v>-29.011319325000613</v>
      </c>
      <c r="AE446" s="7">
        <f t="shared" si="43"/>
        <v>-29.660303216297734</v>
      </c>
      <c r="AF446" s="7">
        <f t="shared" si="44"/>
        <v>-30.452429125694835</v>
      </c>
    </row>
    <row r="447" spans="2:32" x14ac:dyDescent="0.25">
      <c r="B447" s="17">
        <v>6390000001</v>
      </c>
      <c r="C447" s="193" t="s">
        <v>177</v>
      </c>
      <c r="D447" s="193" t="s">
        <v>38</v>
      </c>
      <c r="E447" s="193" t="s">
        <v>138</v>
      </c>
      <c r="F447" s="163" t="s">
        <v>190</v>
      </c>
      <c r="G447" s="3">
        <f>+IF(F447="Pasajero",'2.2 OPEX LAP 2023'!I448*'2.1 OPEX TUUA'!$G$7,'2.2 OPEX LAP 2023'!I448*'2.1 OPEX TUUA'!$G$8)</f>
        <v>0</v>
      </c>
      <c r="H447" s="3">
        <f>+IF(F447="Pasajero",'2.2 OPEX LAP 2023'!J448*'2.1 OPEX TUUA'!$H$7,'2.2 OPEX LAP 2023'!J448*'2.1 OPEX TUUA'!$H$8)</f>
        <v>0</v>
      </c>
      <c r="I447" s="3">
        <f>+IF(F447="Pasajero",'2.2 OPEX LAP 2023'!K448*'2.1 OPEX TUUA'!$I$7,'2.2 OPEX LAP 2023'!K448*'2.1 OPEX TUUA'!$I$8)</f>
        <v>0</v>
      </c>
      <c r="J447" s="3">
        <f>+IF(F447="Pasajero",'2.2 OPEX LAP 2023'!L448*'2.1 OPEX TUUA'!$J$7,'2.2 OPEX LAP 2023'!L448*'2.1 OPEX TUUA'!$J$8)</f>
        <v>0</v>
      </c>
      <c r="K447" s="3">
        <f>+IF(F447="Pasajero",'2.2 OPEX LAP 2023'!M448*'2.1 OPEX TUUA'!$K$7,'2.2 OPEX LAP 2023'!M448*'2.1 OPEX TUUA'!$K$8)</f>
        <v>0</v>
      </c>
      <c r="L447" s="3">
        <f>+IF(F447="Pasajero",'2.2 OPEX LAP 2023'!N448*'2.1 OPEX TUUA'!$L$7,'2.2 OPEX LAP 2023'!N448*'2.1 OPEX TUUA'!$L$8)</f>
        <v>0</v>
      </c>
      <c r="M447" s="3"/>
      <c r="N447" s="3">
        <f>+IF(F447="Pasajero",'2.2 OPEX LAP 2023'!I448*'2.1 OPEX TUUA'!$N$7,'2.2 OPEX LAP 2023'!I448*'2.1 OPEX TUUA'!$N$8)</f>
        <v>0</v>
      </c>
      <c r="O447" s="3">
        <f>+IF(F447="Pasajero",'2.2 OPEX LAP 2023'!J448*'2.1 OPEX TUUA'!$O$7,'2.2 OPEX LAP 2023'!J448*'2.1 OPEX TUUA'!$O$8)</f>
        <v>0</v>
      </c>
      <c r="P447" s="3">
        <f>+IF(F447="Pasajero",'2.2 OPEX LAP 2023'!K448*'2.1 OPEX TUUA'!$P$7,'2.2 OPEX LAP 2023'!K448*'2.1 OPEX TUUA'!$P$8)</f>
        <v>0</v>
      </c>
      <c r="Q447" s="3">
        <f>+IF(F447="Pasajero",'2.2 OPEX LAP 2023'!L448*'2.1 OPEX TUUA'!$Q$7,'2.2 OPEX LAP 2023'!L448*'2.1 OPEX TUUA'!$Q$8)</f>
        <v>0</v>
      </c>
      <c r="R447" s="3">
        <f>+IF(F447="Pasajero",'2.2 OPEX LAP 2023'!M448*'2.1 OPEX TUUA'!$R$7,'2.2 OPEX LAP 2023'!M448*'2.1 OPEX TUUA'!$R$8)</f>
        <v>0</v>
      </c>
      <c r="S447" s="3">
        <f>+IF(F447="Pasajero",'2.2 OPEX LAP 2023'!N448*'2.1 OPEX TUUA'!$S$7,'2.2 OPEX LAP 2023'!N448*'2.1 OPEX TUUA'!$S$8)</f>
        <v>0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>
        <v>0</v>
      </c>
      <c r="AA447" s="7">
        <f t="shared" si="39"/>
        <v>0</v>
      </c>
      <c r="AB447" s="7">
        <f t="shared" si="40"/>
        <v>0</v>
      </c>
      <c r="AC447" s="7">
        <f t="shared" si="41"/>
        <v>0</v>
      </c>
      <c r="AD447" s="7">
        <f t="shared" si="42"/>
        <v>0</v>
      </c>
      <c r="AE447" s="7">
        <f t="shared" si="43"/>
        <v>0</v>
      </c>
      <c r="AF447" s="7">
        <f t="shared" si="44"/>
        <v>0</v>
      </c>
    </row>
    <row r="448" spans="2:32" x14ac:dyDescent="0.25">
      <c r="B448" s="17">
        <v>6391000001</v>
      </c>
      <c r="C448" s="193" t="s">
        <v>177</v>
      </c>
      <c r="D448" s="193" t="s">
        <v>38</v>
      </c>
      <c r="E448" s="193" t="s">
        <v>139</v>
      </c>
      <c r="F448" s="163" t="s">
        <v>190</v>
      </c>
      <c r="G448" s="3">
        <f>+IF(F448="Pasajero",'2.2 OPEX LAP 2023'!I449*'2.1 OPEX TUUA'!$G$7,'2.2 OPEX LAP 2023'!I449*'2.1 OPEX TUUA'!$G$8)</f>
        <v>4357.0398768902642</v>
      </c>
      <c r="H448" s="3">
        <f>+IF(F448="Pasajero",'2.2 OPEX LAP 2023'!J449*'2.1 OPEX TUUA'!$H$7,'2.2 OPEX LAP 2023'!J449*'2.1 OPEX TUUA'!$H$8)</f>
        <v>4998.1135169402696</v>
      </c>
      <c r="I448" s="3">
        <f>+IF(F448="Pasajero",'2.2 OPEX LAP 2023'!K449*'2.1 OPEX TUUA'!$I$7,'2.2 OPEX LAP 2023'!K449*'2.1 OPEX TUUA'!$I$8)</f>
        <v>5525.4877552964645</v>
      </c>
      <c r="J448" s="3">
        <f>+IF(F448="Pasajero",'2.2 OPEX LAP 2023'!L449*'2.1 OPEX TUUA'!$J$7,'2.2 OPEX LAP 2023'!L449*'2.1 OPEX TUUA'!$J$8)</f>
        <v>5758.2138960728171</v>
      </c>
      <c r="K448" s="3">
        <f>+IF(F448="Pasajero",'2.2 OPEX LAP 2023'!M449*'2.1 OPEX TUUA'!$K$7,'2.2 OPEX LAP 2023'!M449*'2.1 OPEX TUUA'!$K$8)</f>
        <v>5887.0252754979219</v>
      </c>
      <c r="L448" s="3">
        <f>+IF(F448="Pasajero",'2.2 OPEX LAP 2023'!N449*'2.1 OPEX TUUA'!$L$7,'2.2 OPEX LAP 2023'!N449*'2.1 OPEX TUUA'!$L$8)</f>
        <v>6044.2477157403709</v>
      </c>
      <c r="M448" s="3"/>
      <c r="N448" s="3">
        <f>+IF(F448="Pasajero",'2.2 OPEX LAP 2023'!I449*'2.1 OPEX TUUA'!$N$7,'2.2 OPEX LAP 2023'!I449*'2.1 OPEX TUUA'!$N$8)</f>
        <v>2148.9671126243429</v>
      </c>
      <c r="O448" s="3">
        <f>+IF(F448="Pasajero",'2.2 OPEX LAP 2023'!J449*'2.1 OPEX TUUA'!$O$7,'2.2 OPEX LAP 2023'!J449*'2.1 OPEX TUUA'!$O$8)</f>
        <v>2070.0348172152053</v>
      </c>
      <c r="P448" s="3">
        <f>+IF(F448="Pasajero",'2.2 OPEX LAP 2023'!K449*'2.1 OPEX TUUA'!$P$7,'2.2 OPEX LAP 2023'!K449*'2.1 OPEX TUUA'!$P$8)</f>
        <v>2023.0395178529957</v>
      </c>
      <c r="Q448" s="3">
        <f>+IF(F448="Pasajero",'2.2 OPEX LAP 2023'!L449*'2.1 OPEX TUUA'!$Q$7,'2.2 OPEX LAP 2023'!L449*'2.1 OPEX TUUA'!$Q$8)</f>
        <v>1976.8575983590338</v>
      </c>
      <c r="R448" s="3">
        <f>+IF(F448="Pasajero",'2.2 OPEX LAP 2023'!M449*'2.1 OPEX TUUA'!$R$7,'2.2 OPEX LAP 2023'!M449*'2.1 OPEX TUUA'!$R$8)</f>
        <v>1951.8171414157632</v>
      </c>
      <c r="S448" s="3">
        <f>+IF(F448="Pasajero",'2.2 OPEX LAP 2023'!N449*'2.1 OPEX TUUA'!$S$7,'2.2 OPEX LAP 2023'!N449*'2.1 OPEX TUUA'!$S$8)</f>
        <v>1921.0773429784249</v>
      </c>
      <c r="U448" s="1">
        <v>4439.3663698330311</v>
      </c>
      <c r="V448" s="1">
        <v>5092.5531293390459</v>
      </c>
      <c r="W448" s="1">
        <v>5629.8921310986034</v>
      </c>
      <c r="X448" s="1">
        <v>5867.0156442946682</v>
      </c>
      <c r="Y448" s="1">
        <v>5998.2609213702017</v>
      </c>
      <c r="Z448" s="1">
        <v>6158.4540877209238</v>
      </c>
      <c r="AA448" s="7">
        <f t="shared" si="39"/>
        <v>-82.32649294276689</v>
      </c>
      <c r="AB448" s="7">
        <f t="shared" si="40"/>
        <v>-94.439612398776262</v>
      </c>
      <c r="AC448" s="7">
        <f t="shared" si="41"/>
        <v>-104.40437580213893</v>
      </c>
      <c r="AD448" s="7">
        <f t="shared" si="42"/>
        <v>-108.80174822185108</v>
      </c>
      <c r="AE448" s="7">
        <f t="shared" si="43"/>
        <v>-111.23564587227975</v>
      </c>
      <c r="AF448" s="7">
        <f t="shared" si="44"/>
        <v>-114.20637198055283</v>
      </c>
    </row>
    <row r="449" spans="2:32" x14ac:dyDescent="0.25">
      <c r="B449" s="17">
        <v>6391000003</v>
      </c>
      <c r="C449" s="193" t="s">
        <v>177</v>
      </c>
      <c r="D449" s="193" t="s">
        <v>38</v>
      </c>
      <c r="E449" s="193" t="s">
        <v>140</v>
      </c>
      <c r="F449" s="163" t="s">
        <v>190</v>
      </c>
      <c r="G449" s="3">
        <f>+IF(F449="Pasajero",'2.2 OPEX LAP 2023'!I450*'2.1 OPEX TUUA'!$G$7,'2.2 OPEX LAP 2023'!I450*'2.1 OPEX TUUA'!$G$8)</f>
        <v>2362.3980645865076</v>
      </c>
      <c r="H449" s="3">
        <f>+IF(F449="Pasajero",'2.2 OPEX LAP 2023'!J450*'2.1 OPEX TUUA'!$H$7,'2.2 OPEX LAP 2023'!J450*'2.1 OPEX TUUA'!$H$8)</f>
        <v>2709.9898170844162</v>
      </c>
      <c r="I449" s="3">
        <f>+IF(F449="Pasajero",'2.2 OPEX LAP 2023'!K450*'2.1 OPEX TUUA'!$I$7,'2.2 OPEX LAP 2023'!K450*'2.1 OPEX TUUA'!$I$8)</f>
        <v>2995.9334658018729</v>
      </c>
      <c r="J449" s="3">
        <f>+IF(F449="Pasajero",'2.2 OPEX LAP 2023'!L450*'2.1 OPEX TUUA'!$J$7,'2.2 OPEX LAP 2023'!L450*'2.1 OPEX TUUA'!$J$8)</f>
        <v>3122.1181691975971</v>
      </c>
      <c r="K449" s="3">
        <f>+IF(F449="Pasajero",'2.2 OPEX LAP 2023'!M450*'2.1 OPEX TUUA'!$K$7,'2.2 OPEX LAP 2023'!M450*'2.1 OPEX TUUA'!$K$8)</f>
        <v>3191.9600256067183</v>
      </c>
      <c r="L449" s="3">
        <f>+IF(F449="Pasajero",'2.2 OPEX LAP 2023'!N450*'2.1 OPEX TUUA'!$L$7,'2.2 OPEX LAP 2023'!N450*'2.1 OPEX TUUA'!$L$8)</f>
        <v>3277.20643120157</v>
      </c>
      <c r="M449" s="3"/>
      <c r="N449" s="3">
        <f>+IF(F449="Pasajero",'2.2 OPEX LAP 2023'!I450*'2.1 OPEX TUUA'!$N$7,'2.2 OPEX LAP 2023'!I450*'2.1 OPEX TUUA'!$N$8)</f>
        <v>1165.1754152287426</v>
      </c>
      <c r="O449" s="3">
        <f>+IF(F449="Pasajero",'2.2 OPEX LAP 2023'!J450*'2.1 OPEX TUUA'!$O$7,'2.2 OPEX LAP 2023'!J450*'2.1 OPEX TUUA'!$O$8)</f>
        <v>1122.3781245964142</v>
      </c>
      <c r="P449" s="3">
        <f>+IF(F449="Pasajero",'2.2 OPEX LAP 2023'!K450*'2.1 OPEX TUUA'!$P$7,'2.2 OPEX LAP 2023'!K450*'2.1 OPEX TUUA'!$P$8)</f>
        <v>1096.897154168118</v>
      </c>
      <c r="Q449" s="3">
        <f>+IF(F449="Pasajero",'2.2 OPEX LAP 2023'!L450*'2.1 OPEX TUUA'!$Q$7,'2.2 OPEX LAP 2023'!L450*'2.1 OPEX TUUA'!$Q$8)</f>
        <v>1071.8572003659754</v>
      </c>
      <c r="R449" s="3">
        <f>+IF(F449="Pasajero",'2.2 OPEX LAP 2023'!M450*'2.1 OPEX TUUA'!$R$7,'2.2 OPEX LAP 2023'!M450*'2.1 OPEX TUUA'!$R$8)</f>
        <v>1058.2802011438878</v>
      </c>
      <c r="S449" s="3">
        <f>+IF(F449="Pasajero",'2.2 OPEX LAP 2023'!N450*'2.1 OPEX TUUA'!$S$7,'2.2 OPEX LAP 2023'!N450*'2.1 OPEX TUUA'!$S$8)</f>
        <v>1041.6130045181874</v>
      </c>
      <c r="U449" s="1">
        <v>2407.0356977244896</v>
      </c>
      <c r="V449" s="1">
        <v>2761.1952142933133</v>
      </c>
      <c r="W449" s="1">
        <v>3052.5417829847243</v>
      </c>
      <c r="X449" s="1">
        <v>3181.1107528519797</v>
      </c>
      <c r="Y449" s="1">
        <v>3252.2722747361113</v>
      </c>
      <c r="Z449" s="1">
        <v>3339.1294155564597</v>
      </c>
      <c r="AA449" s="7">
        <f t="shared" si="39"/>
        <v>-44.637633137981993</v>
      </c>
      <c r="AB449" s="7">
        <f t="shared" si="40"/>
        <v>-51.205397208897011</v>
      </c>
      <c r="AC449" s="7">
        <f t="shared" si="41"/>
        <v>-56.608317182851351</v>
      </c>
      <c r="AD449" s="7">
        <f t="shared" si="42"/>
        <v>-58.992583654382543</v>
      </c>
      <c r="AE449" s="7">
        <f t="shared" si="43"/>
        <v>-60.312249129392967</v>
      </c>
      <c r="AF449" s="7">
        <f t="shared" si="44"/>
        <v>-61.92298435488965</v>
      </c>
    </row>
    <row r="450" spans="2:32" x14ac:dyDescent="0.25">
      <c r="B450" s="17">
        <v>6410000001</v>
      </c>
      <c r="C450" s="193" t="s">
        <v>177</v>
      </c>
      <c r="D450" s="193" t="s">
        <v>38</v>
      </c>
      <c r="E450" s="193" t="s">
        <v>141</v>
      </c>
      <c r="F450" s="163" t="s">
        <v>190</v>
      </c>
      <c r="G450" s="3">
        <f>+IF(F450="Pasajero",'2.2 OPEX LAP 2023'!I451*'2.1 OPEX TUUA'!$G$7,'2.2 OPEX LAP 2023'!I451*'2.1 OPEX TUUA'!$G$8)</f>
        <v>0</v>
      </c>
      <c r="H450" s="3">
        <f>+IF(F450="Pasajero",'2.2 OPEX LAP 2023'!J451*'2.1 OPEX TUUA'!$H$7,'2.2 OPEX LAP 2023'!J451*'2.1 OPEX TUUA'!$H$8)</f>
        <v>0</v>
      </c>
      <c r="I450" s="3">
        <f>+IF(F450="Pasajero",'2.2 OPEX LAP 2023'!K451*'2.1 OPEX TUUA'!$I$7,'2.2 OPEX LAP 2023'!K451*'2.1 OPEX TUUA'!$I$8)</f>
        <v>0</v>
      </c>
      <c r="J450" s="3">
        <f>+IF(F450="Pasajero",'2.2 OPEX LAP 2023'!L451*'2.1 OPEX TUUA'!$J$7,'2.2 OPEX LAP 2023'!L451*'2.1 OPEX TUUA'!$J$8)</f>
        <v>0</v>
      </c>
      <c r="K450" s="3">
        <f>+IF(F450="Pasajero",'2.2 OPEX LAP 2023'!M451*'2.1 OPEX TUUA'!$K$7,'2.2 OPEX LAP 2023'!M451*'2.1 OPEX TUUA'!$K$8)</f>
        <v>0</v>
      </c>
      <c r="L450" s="3">
        <f>+IF(F450="Pasajero",'2.2 OPEX LAP 2023'!N451*'2.1 OPEX TUUA'!$L$7,'2.2 OPEX LAP 2023'!N451*'2.1 OPEX TUUA'!$L$8)</f>
        <v>0</v>
      </c>
      <c r="M450" s="3"/>
      <c r="N450" s="3">
        <f>+IF(F450="Pasajero",'2.2 OPEX LAP 2023'!I451*'2.1 OPEX TUUA'!$N$7,'2.2 OPEX LAP 2023'!I451*'2.1 OPEX TUUA'!$N$8)</f>
        <v>0</v>
      </c>
      <c r="O450" s="3">
        <f>+IF(F450="Pasajero",'2.2 OPEX LAP 2023'!J451*'2.1 OPEX TUUA'!$O$7,'2.2 OPEX LAP 2023'!J451*'2.1 OPEX TUUA'!$O$8)</f>
        <v>0</v>
      </c>
      <c r="P450" s="3">
        <f>+IF(F450="Pasajero",'2.2 OPEX LAP 2023'!K451*'2.1 OPEX TUUA'!$P$7,'2.2 OPEX LAP 2023'!K451*'2.1 OPEX TUUA'!$P$8)</f>
        <v>0</v>
      </c>
      <c r="Q450" s="3">
        <f>+IF(F450="Pasajero",'2.2 OPEX LAP 2023'!L451*'2.1 OPEX TUUA'!$Q$7,'2.2 OPEX LAP 2023'!L451*'2.1 OPEX TUUA'!$Q$8)</f>
        <v>0</v>
      </c>
      <c r="R450" s="3">
        <f>+IF(F450="Pasajero",'2.2 OPEX LAP 2023'!M451*'2.1 OPEX TUUA'!$R$7,'2.2 OPEX LAP 2023'!M451*'2.1 OPEX TUUA'!$R$8)</f>
        <v>0</v>
      </c>
      <c r="S450" s="3">
        <f>+IF(F450="Pasajero",'2.2 OPEX LAP 2023'!N451*'2.1 OPEX TUUA'!$S$7,'2.2 OPEX LAP 2023'!N451*'2.1 OPEX TUUA'!$S$8)</f>
        <v>0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>
        <v>0</v>
      </c>
      <c r="AA450" s="7">
        <f t="shared" si="39"/>
        <v>0</v>
      </c>
      <c r="AB450" s="7">
        <f t="shared" si="40"/>
        <v>0</v>
      </c>
      <c r="AC450" s="7">
        <f t="shared" si="41"/>
        <v>0</v>
      </c>
      <c r="AD450" s="7">
        <f t="shared" si="42"/>
        <v>0</v>
      </c>
      <c r="AE450" s="7">
        <f t="shared" si="43"/>
        <v>0</v>
      </c>
      <c r="AF450" s="7">
        <f t="shared" si="44"/>
        <v>0</v>
      </c>
    </row>
    <row r="451" spans="2:32" x14ac:dyDescent="0.25">
      <c r="B451" s="17">
        <v>6410000002</v>
      </c>
      <c r="C451" s="193" t="s">
        <v>177</v>
      </c>
      <c r="D451" s="193" t="s">
        <v>38</v>
      </c>
      <c r="E451" s="193" t="s">
        <v>142</v>
      </c>
      <c r="F451" s="163" t="s">
        <v>190</v>
      </c>
      <c r="G451" s="3">
        <f>+IF(F451="Pasajero",'2.2 OPEX LAP 2023'!I452*'2.1 OPEX TUUA'!$G$7,'2.2 OPEX LAP 2023'!I452*'2.1 OPEX TUUA'!$G$8)</f>
        <v>0</v>
      </c>
      <c r="H451" s="3">
        <f>+IF(F451="Pasajero",'2.2 OPEX LAP 2023'!J452*'2.1 OPEX TUUA'!$H$7,'2.2 OPEX LAP 2023'!J452*'2.1 OPEX TUUA'!$H$8)</f>
        <v>0</v>
      </c>
      <c r="I451" s="3">
        <f>+IF(F451="Pasajero",'2.2 OPEX LAP 2023'!K452*'2.1 OPEX TUUA'!$I$7,'2.2 OPEX LAP 2023'!K452*'2.1 OPEX TUUA'!$I$8)</f>
        <v>0</v>
      </c>
      <c r="J451" s="3">
        <f>+IF(F451="Pasajero",'2.2 OPEX LAP 2023'!L452*'2.1 OPEX TUUA'!$J$7,'2.2 OPEX LAP 2023'!L452*'2.1 OPEX TUUA'!$J$8)</f>
        <v>0</v>
      </c>
      <c r="K451" s="3">
        <f>+IF(F451="Pasajero",'2.2 OPEX LAP 2023'!M452*'2.1 OPEX TUUA'!$K$7,'2.2 OPEX LAP 2023'!M452*'2.1 OPEX TUUA'!$K$8)</f>
        <v>0</v>
      </c>
      <c r="L451" s="3">
        <f>+IF(F451="Pasajero",'2.2 OPEX LAP 2023'!N452*'2.1 OPEX TUUA'!$L$7,'2.2 OPEX LAP 2023'!N452*'2.1 OPEX TUUA'!$L$8)</f>
        <v>0</v>
      </c>
      <c r="M451" s="3"/>
      <c r="N451" s="3">
        <f>+IF(F451="Pasajero",'2.2 OPEX LAP 2023'!I452*'2.1 OPEX TUUA'!$N$7,'2.2 OPEX LAP 2023'!I452*'2.1 OPEX TUUA'!$N$8)</f>
        <v>0</v>
      </c>
      <c r="O451" s="3">
        <f>+IF(F451="Pasajero",'2.2 OPEX LAP 2023'!J452*'2.1 OPEX TUUA'!$O$7,'2.2 OPEX LAP 2023'!J452*'2.1 OPEX TUUA'!$O$8)</f>
        <v>0</v>
      </c>
      <c r="P451" s="3">
        <f>+IF(F451="Pasajero",'2.2 OPEX LAP 2023'!K452*'2.1 OPEX TUUA'!$P$7,'2.2 OPEX LAP 2023'!K452*'2.1 OPEX TUUA'!$P$8)</f>
        <v>0</v>
      </c>
      <c r="Q451" s="3">
        <f>+IF(F451="Pasajero",'2.2 OPEX LAP 2023'!L452*'2.1 OPEX TUUA'!$Q$7,'2.2 OPEX LAP 2023'!L452*'2.1 OPEX TUUA'!$Q$8)</f>
        <v>0</v>
      </c>
      <c r="R451" s="3">
        <f>+IF(F451="Pasajero",'2.2 OPEX LAP 2023'!M452*'2.1 OPEX TUUA'!$R$7,'2.2 OPEX LAP 2023'!M452*'2.1 OPEX TUUA'!$R$8)</f>
        <v>0</v>
      </c>
      <c r="S451" s="3">
        <f>+IF(F451="Pasajero",'2.2 OPEX LAP 2023'!N452*'2.1 OPEX TUUA'!$S$7,'2.2 OPEX LAP 2023'!N452*'2.1 OPEX TUUA'!$S$8)</f>
        <v>0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>
        <v>0</v>
      </c>
      <c r="AA451" s="7">
        <f t="shared" si="39"/>
        <v>0</v>
      </c>
      <c r="AB451" s="7">
        <f t="shared" si="40"/>
        <v>0</v>
      </c>
      <c r="AC451" s="7">
        <f t="shared" si="41"/>
        <v>0</v>
      </c>
      <c r="AD451" s="7">
        <f t="shared" si="42"/>
        <v>0</v>
      </c>
      <c r="AE451" s="7">
        <f t="shared" si="43"/>
        <v>0</v>
      </c>
      <c r="AF451" s="7">
        <f t="shared" si="44"/>
        <v>0</v>
      </c>
    </row>
    <row r="452" spans="2:32" x14ac:dyDescent="0.25">
      <c r="B452" s="17">
        <v>6430000001</v>
      </c>
      <c r="C452" s="193" t="s">
        <v>177</v>
      </c>
      <c r="D452" s="193" t="s">
        <v>38</v>
      </c>
      <c r="E452" s="193" t="s">
        <v>143</v>
      </c>
      <c r="F452" s="163" t="s">
        <v>192</v>
      </c>
      <c r="G452" s="3">
        <f>+IF(F452="Pasajero",'2.2 OPEX LAP 2023'!I453*'2.1 OPEX TUUA'!$G$7,'2.2 OPEX LAP 2023'!I453*'2.1 OPEX TUUA'!$G$8)</f>
        <v>799.53553077977188</v>
      </c>
      <c r="H452" s="3">
        <f>+IF(F452="Pasajero",'2.2 OPEX LAP 2023'!J453*'2.1 OPEX TUUA'!$H$7,'2.2 OPEX LAP 2023'!J453*'2.1 OPEX TUUA'!$H$8)</f>
        <v>799.53553077977188</v>
      </c>
      <c r="I452" s="3">
        <f>+IF(F452="Pasajero",'2.2 OPEX LAP 2023'!K453*'2.1 OPEX TUUA'!$I$7,'2.2 OPEX LAP 2023'!K453*'2.1 OPEX TUUA'!$I$8)</f>
        <v>799.53553077977188</v>
      </c>
      <c r="J452" s="3">
        <f>+IF(F452="Pasajero",'2.2 OPEX LAP 2023'!L453*'2.1 OPEX TUUA'!$J$7,'2.2 OPEX LAP 2023'!L453*'2.1 OPEX TUUA'!$J$8)</f>
        <v>799.53553077977188</v>
      </c>
      <c r="K452" s="3">
        <f>+IF(F452="Pasajero",'2.2 OPEX LAP 2023'!M453*'2.1 OPEX TUUA'!$K$7,'2.2 OPEX LAP 2023'!M453*'2.1 OPEX TUUA'!$K$8)</f>
        <v>799.53553077977188</v>
      </c>
      <c r="L452" s="3">
        <f>+IF(F452="Pasajero",'2.2 OPEX LAP 2023'!N453*'2.1 OPEX TUUA'!$L$7,'2.2 OPEX LAP 2023'!N453*'2.1 OPEX TUUA'!$L$8)</f>
        <v>799.53553077977188</v>
      </c>
      <c r="M452" s="3"/>
      <c r="N452" s="3">
        <f>+IF(F452="Pasajero",'2.2 OPEX LAP 2023'!I453*'2.1 OPEX TUUA'!$N$7,'2.2 OPEX LAP 2023'!I453*'2.1 OPEX TUUA'!$N$8)</f>
        <v>153.31760522165325</v>
      </c>
      <c r="O452" s="3">
        <f>+IF(F452="Pasajero",'2.2 OPEX LAP 2023'!J453*'2.1 OPEX TUUA'!$O$7,'2.2 OPEX LAP 2023'!J453*'2.1 OPEX TUUA'!$O$8)</f>
        <v>153.31760522165325</v>
      </c>
      <c r="P452" s="3">
        <f>+IF(F452="Pasajero",'2.2 OPEX LAP 2023'!K453*'2.1 OPEX TUUA'!$P$7,'2.2 OPEX LAP 2023'!K453*'2.1 OPEX TUUA'!$P$8)</f>
        <v>153.31760522165325</v>
      </c>
      <c r="Q452" s="3">
        <f>+IF(F452="Pasajero",'2.2 OPEX LAP 2023'!L453*'2.1 OPEX TUUA'!$Q$7,'2.2 OPEX LAP 2023'!L453*'2.1 OPEX TUUA'!$Q$8)</f>
        <v>153.31760522165325</v>
      </c>
      <c r="R452" s="3">
        <f>+IF(F452="Pasajero",'2.2 OPEX LAP 2023'!M453*'2.1 OPEX TUUA'!$R$7,'2.2 OPEX LAP 2023'!M453*'2.1 OPEX TUUA'!$R$8)</f>
        <v>153.31760522165325</v>
      </c>
      <c r="S452" s="3">
        <f>+IF(F452="Pasajero",'2.2 OPEX LAP 2023'!N453*'2.1 OPEX TUUA'!$S$7,'2.2 OPEX LAP 2023'!N453*'2.1 OPEX TUUA'!$S$8)</f>
        <v>153.31760522165325</v>
      </c>
      <c r="U452" s="1">
        <v>814.64279582486756</v>
      </c>
      <c r="V452" s="1">
        <v>814.64279582486756</v>
      </c>
      <c r="W452" s="1">
        <v>814.64279582486756</v>
      </c>
      <c r="X452" s="1">
        <v>814.64279582486756</v>
      </c>
      <c r="Y452" s="1">
        <v>814.64279582486756</v>
      </c>
      <c r="Z452" s="1">
        <v>814.64279582486756</v>
      </c>
      <c r="AA452" s="7">
        <f t="shared" si="39"/>
        <v>-15.107265045095687</v>
      </c>
      <c r="AB452" s="7">
        <f t="shared" si="40"/>
        <v>-15.107265045095687</v>
      </c>
      <c r="AC452" s="7">
        <f t="shared" si="41"/>
        <v>-15.107265045095687</v>
      </c>
      <c r="AD452" s="7">
        <f t="shared" si="42"/>
        <v>-15.107265045095687</v>
      </c>
      <c r="AE452" s="7">
        <f t="shared" si="43"/>
        <v>-15.107265045095687</v>
      </c>
      <c r="AF452" s="7">
        <f t="shared" si="44"/>
        <v>-15.107265045095687</v>
      </c>
    </row>
    <row r="453" spans="2:32" x14ac:dyDescent="0.25">
      <c r="B453" s="17">
        <v>6430000002</v>
      </c>
      <c r="C453" s="193" t="s">
        <v>177</v>
      </c>
      <c r="D453" s="193" t="s">
        <v>38</v>
      </c>
      <c r="E453" s="193" t="s">
        <v>144</v>
      </c>
      <c r="F453" s="163" t="s">
        <v>192</v>
      </c>
      <c r="G453" s="3">
        <f>+IF(F453="Pasajero",'2.2 OPEX LAP 2023'!I454*'2.1 OPEX TUUA'!$G$7,'2.2 OPEX LAP 2023'!I454*'2.1 OPEX TUUA'!$G$8)</f>
        <v>93.491892330949256</v>
      </c>
      <c r="H453" s="3">
        <f>+IF(F453="Pasajero",'2.2 OPEX LAP 2023'!J454*'2.1 OPEX TUUA'!$H$7,'2.2 OPEX LAP 2023'!J454*'2.1 OPEX TUUA'!$H$8)</f>
        <v>93.491892330949256</v>
      </c>
      <c r="I453" s="3">
        <f>+IF(F453="Pasajero",'2.2 OPEX LAP 2023'!K454*'2.1 OPEX TUUA'!$I$7,'2.2 OPEX LAP 2023'!K454*'2.1 OPEX TUUA'!$I$8)</f>
        <v>93.491892330949256</v>
      </c>
      <c r="J453" s="3">
        <f>+IF(F453="Pasajero",'2.2 OPEX LAP 2023'!L454*'2.1 OPEX TUUA'!$J$7,'2.2 OPEX LAP 2023'!L454*'2.1 OPEX TUUA'!$J$8)</f>
        <v>93.491892330949256</v>
      </c>
      <c r="K453" s="3">
        <f>+IF(F453="Pasajero",'2.2 OPEX LAP 2023'!M454*'2.1 OPEX TUUA'!$K$7,'2.2 OPEX LAP 2023'!M454*'2.1 OPEX TUUA'!$K$8)</f>
        <v>93.491892330949256</v>
      </c>
      <c r="L453" s="3">
        <f>+IF(F453="Pasajero",'2.2 OPEX LAP 2023'!N454*'2.1 OPEX TUUA'!$L$7,'2.2 OPEX LAP 2023'!N454*'2.1 OPEX TUUA'!$L$8)</f>
        <v>93.491892330949256</v>
      </c>
      <c r="M453" s="3"/>
      <c r="N453" s="3">
        <f>+IF(F453="Pasajero",'2.2 OPEX LAP 2023'!I454*'2.1 OPEX TUUA'!$N$7,'2.2 OPEX LAP 2023'!I454*'2.1 OPEX TUUA'!$N$8)</f>
        <v>17.927849967895931</v>
      </c>
      <c r="O453" s="3">
        <f>+IF(F453="Pasajero",'2.2 OPEX LAP 2023'!J454*'2.1 OPEX TUUA'!$O$7,'2.2 OPEX LAP 2023'!J454*'2.1 OPEX TUUA'!$O$8)</f>
        <v>17.927849967895931</v>
      </c>
      <c r="P453" s="3">
        <f>+IF(F453="Pasajero",'2.2 OPEX LAP 2023'!K454*'2.1 OPEX TUUA'!$P$7,'2.2 OPEX LAP 2023'!K454*'2.1 OPEX TUUA'!$P$8)</f>
        <v>17.927849967895931</v>
      </c>
      <c r="Q453" s="3">
        <f>+IF(F453="Pasajero",'2.2 OPEX LAP 2023'!L454*'2.1 OPEX TUUA'!$Q$7,'2.2 OPEX LAP 2023'!L454*'2.1 OPEX TUUA'!$Q$8)</f>
        <v>17.927849967895931</v>
      </c>
      <c r="R453" s="3">
        <f>+IF(F453="Pasajero",'2.2 OPEX LAP 2023'!M454*'2.1 OPEX TUUA'!$R$7,'2.2 OPEX LAP 2023'!M454*'2.1 OPEX TUUA'!$R$8)</f>
        <v>17.927849967895931</v>
      </c>
      <c r="S453" s="3">
        <f>+IF(F453="Pasajero",'2.2 OPEX LAP 2023'!N454*'2.1 OPEX TUUA'!$S$7,'2.2 OPEX LAP 2023'!N454*'2.1 OPEX TUUA'!$S$8)</f>
        <v>17.927849967895931</v>
      </c>
      <c r="U453" s="1">
        <v>95.258426453121047</v>
      </c>
      <c r="V453" s="1">
        <v>95.258426453121047</v>
      </c>
      <c r="W453" s="1">
        <v>95.258426453121047</v>
      </c>
      <c r="X453" s="1">
        <v>95.258426453121047</v>
      </c>
      <c r="Y453" s="1">
        <v>95.258426453121047</v>
      </c>
      <c r="Z453" s="1">
        <v>95.258426453121047</v>
      </c>
      <c r="AA453" s="7">
        <f t="shared" si="39"/>
        <v>-1.766534122171791</v>
      </c>
      <c r="AB453" s="7">
        <f t="shared" si="40"/>
        <v>-1.766534122171791</v>
      </c>
      <c r="AC453" s="7">
        <f t="shared" si="41"/>
        <v>-1.766534122171791</v>
      </c>
      <c r="AD453" s="7">
        <f t="shared" si="42"/>
        <v>-1.766534122171791</v>
      </c>
      <c r="AE453" s="7">
        <f t="shared" si="43"/>
        <v>-1.766534122171791</v>
      </c>
      <c r="AF453" s="7">
        <f t="shared" si="44"/>
        <v>-1.766534122171791</v>
      </c>
    </row>
    <row r="454" spans="2:32" x14ac:dyDescent="0.25">
      <c r="B454" s="17">
        <v>6430000003</v>
      </c>
      <c r="C454" s="193" t="s">
        <v>177</v>
      </c>
      <c r="D454" s="193" t="s">
        <v>38</v>
      </c>
      <c r="E454" s="193" t="s">
        <v>145</v>
      </c>
      <c r="F454" s="163" t="s">
        <v>190</v>
      </c>
      <c r="G454" s="3">
        <f>+IF(F454="Pasajero",'2.2 OPEX LAP 2023'!I455*'2.1 OPEX TUUA'!$G$7,'2.2 OPEX LAP 2023'!I455*'2.1 OPEX TUUA'!$G$8)</f>
        <v>32.55909889046751</v>
      </c>
      <c r="H454" s="3">
        <f>+IF(F454="Pasajero",'2.2 OPEX LAP 2023'!J455*'2.1 OPEX TUUA'!$H$7,'2.2 OPEX LAP 2023'!J455*'2.1 OPEX TUUA'!$H$8)</f>
        <v>37.349686223204415</v>
      </c>
      <c r="I454" s="3">
        <f>+IF(F454="Pasajero",'2.2 OPEX LAP 2023'!K455*'2.1 OPEX TUUA'!$I$7,'2.2 OPEX LAP 2023'!K455*'2.1 OPEX TUUA'!$I$8)</f>
        <v>41.290625591236925</v>
      </c>
      <c r="J454" s="3">
        <f>+IF(F454="Pasajero",'2.2 OPEX LAP 2023'!L455*'2.1 OPEX TUUA'!$J$7,'2.2 OPEX LAP 2023'!L455*'2.1 OPEX TUUA'!$J$8)</f>
        <v>43.029731416759525</v>
      </c>
      <c r="K454" s="3">
        <f>+IF(F454="Pasajero",'2.2 OPEX LAP 2023'!M455*'2.1 OPEX TUUA'!$K$7,'2.2 OPEX LAP 2023'!M455*'2.1 OPEX TUUA'!$K$8)</f>
        <v>43.99230751416097</v>
      </c>
      <c r="L454" s="3">
        <f>+IF(F454="Pasajero",'2.2 OPEX LAP 2023'!N455*'2.1 OPEX TUUA'!$L$7,'2.2 OPEX LAP 2023'!N455*'2.1 OPEX TUUA'!$L$8)</f>
        <v>45.167192556367219</v>
      </c>
      <c r="M454" s="3"/>
      <c r="N454" s="3">
        <f>+IF(F454="Pasajero",'2.2 OPEX LAP 2023'!I455*'2.1 OPEX TUUA'!$N$7,'2.2 OPEX LAP 2023'!I455*'2.1 OPEX TUUA'!$N$8)</f>
        <v>16.058708368360573</v>
      </c>
      <c r="O454" s="3">
        <f>+IF(F454="Pasajero",'2.2 OPEX LAP 2023'!J455*'2.1 OPEX TUUA'!$O$7,'2.2 OPEX LAP 2023'!J455*'2.1 OPEX TUUA'!$O$8)</f>
        <v>15.468866529751567</v>
      </c>
      <c r="P454" s="3">
        <f>+IF(F454="Pasajero",'2.2 OPEX LAP 2023'!K455*'2.1 OPEX TUUA'!$P$7,'2.2 OPEX LAP 2023'!K455*'2.1 OPEX TUUA'!$P$8)</f>
        <v>15.117682092024229</v>
      </c>
      <c r="Q454" s="3">
        <f>+IF(F454="Pasajero",'2.2 OPEX LAP 2023'!L455*'2.1 OPEX TUUA'!$Q$7,'2.2 OPEX LAP 2023'!L455*'2.1 OPEX TUUA'!$Q$8)</f>
        <v>14.772575844149189</v>
      </c>
      <c r="R454" s="3">
        <f>+IF(F454="Pasajero",'2.2 OPEX LAP 2023'!M455*'2.1 OPEX TUUA'!$R$7,'2.2 OPEX LAP 2023'!M455*'2.1 OPEX TUUA'!$R$8)</f>
        <v>14.58545460199514</v>
      </c>
      <c r="S454" s="3">
        <f>+IF(F454="Pasajero",'2.2 OPEX LAP 2023'!N455*'2.1 OPEX TUUA'!$S$7,'2.2 OPEX LAP 2023'!N455*'2.1 OPEX TUUA'!$S$8)</f>
        <v>14.355743567560292</v>
      </c>
      <c r="U454" s="1">
        <v>33.174304741404555</v>
      </c>
      <c r="V454" s="1">
        <v>38.05541046859824</v>
      </c>
      <c r="W454" s="1">
        <v>42.070814089021702</v>
      </c>
      <c r="X454" s="1">
        <v>43.842780408713978</v>
      </c>
      <c r="Y454" s="1">
        <v>44.823544431066466</v>
      </c>
      <c r="Z454" s="1">
        <v>46.020628986673728</v>
      </c>
      <c r="AA454" s="7">
        <f t="shared" si="39"/>
        <v>-0.61520585093704483</v>
      </c>
      <c r="AB454" s="7">
        <f t="shared" si="40"/>
        <v>-0.70572424539382439</v>
      </c>
      <c r="AC454" s="7">
        <f t="shared" si="41"/>
        <v>-0.78018849778477772</v>
      </c>
      <c r="AD454" s="7">
        <f t="shared" si="42"/>
        <v>-0.81304899195445302</v>
      </c>
      <c r="AE454" s="7">
        <f t="shared" si="43"/>
        <v>-0.83123691690549606</v>
      </c>
      <c r="AF454" s="7">
        <f t="shared" si="44"/>
        <v>-0.85343643030650895</v>
      </c>
    </row>
    <row r="455" spans="2:32" x14ac:dyDescent="0.25">
      <c r="B455" s="17">
        <v>6510000001</v>
      </c>
      <c r="C455" s="193" t="s">
        <v>177</v>
      </c>
      <c r="D455" s="193" t="s">
        <v>38</v>
      </c>
      <c r="E455" s="193" t="s">
        <v>146</v>
      </c>
      <c r="F455" s="163" t="s">
        <v>192</v>
      </c>
      <c r="G455" s="3">
        <f>+IF(F455="Pasajero",'2.2 OPEX LAP 2023'!I456*'2.1 OPEX TUUA'!$G$7,'2.2 OPEX LAP 2023'!I456*'2.1 OPEX TUUA'!$G$8)</f>
        <v>1661.294353954178</v>
      </c>
      <c r="H455" s="3">
        <f>+IF(F455="Pasajero",'2.2 OPEX LAP 2023'!J456*'2.1 OPEX TUUA'!$H$7,'2.2 OPEX LAP 2023'!J456*'2.1 OPEX TUUA'!$H$8)</f>
        <v>1661.294353954178</v>
      </c>
      <c r="I455" s="3">
        <f>+IF(F455="Pasajero",'2.2 OPEX LAP 2023'!K456*'2.1 OPEX TUUA'!$I$7,'2.2 OPEX LAP 2023'!K456*'2.1 OPEX TUUA'!$I$8)</f>
        <v>1661.294353954178</v>
      </c>
      <c r="J455" s="3">
        <f>+IF(F455="Pasajero",'2.2 OPEX LAP 2023'!L456*'2.1 OPEX TUUA'!$J$7,'2.2 OPEX LAP 2023'!L456*'2.1 OPEX TUUA'!$J$8)</f>
        <v>1661.294353954178</v>
      </c>
      <c r="K455" s="3">
        <f>+IF(F455="Pasajero",'2.2 OPEX LAP 2023'!M456*'2.1 OPEX TUUA'!$K$7,'2.2 OPEX LAP 2023'!M456*'2.1 OPEX TUUA'!$K$8)</f>
        <v>1661.294353954178</v>
      </c>
      <c r="L455" s="3">
        <f>+IF(F455="Pasajero",'2.2 OPEX LAP 2023'!N456*'2.1 OPEX TUUA'!$L$7,'2.2 OPEX LAP 2023'!N456*'2.1 OPEX TUUA'!$L$8)</f>
        <v>1661.294353954178</v>
      </c>
      <c r="M455" s="3"/>
      <c r="N455" s="3">
        <f>+IF(F455="Pasajero",'2.2 OPEX LAP 2023'!I456*'2.1 OPEX TUUA'!$N$7,'2.2 OPEX LAP 2023'!I456*'2.1 OPEX TUUA'!$N$8)</f>
        <v>318.56704562972766</v>
      </c>
      <c r="O455" s="3">
        <f>+IF(F455="Pasajero",'2.2 OPEX LAP 2023'!J456*'2.1 OPEX TUUA'!$O$7,'2.2 OPEX LAP 2023'!J456*'2.1 OPEX TUUA'!$O$8)</f>
        <v>318.56704562972766</v>
      </c>
      <c r="P455" s="3">
        <f>+IF(F455="Pasajero",'2.2 OPEX LAP 2023'!K456*'2.1 OPEX TUUA'!$P$7,'2.2 OPEX LAP 2023'!K456*'2.1 OPEX TUUA'!$P$8)</f>
        <v>318.56704562972766</v>
      </c>
      <c r="Q455" s="3">
        <f>+IF(F455="Pasajero",'2.2 OPEX LAP 2023'!L456*'2.1 OPEX TUUA'!$Q$7,'2.2 OPEX LAP 2023'!L456*'2.1 OPEX TUUA'!$Q$8)</f>
        <v>318.56704562972766</v>
      </c>
      <c r="R455" s="3">
        <f>+IF(F455="Pasajero",'2.2 OPEX LAP 2023'!M456*'2.1 OPEX TUUA'!$R$7,'2.2 OPEX LAP 2023'!M456*'2.1 OPEX TUUA'!$R$8)</f>
        <v>318.56704562972766</v>
      </c>
      <c r="S455" s="3">
        <f>+IF(F455="Pasajero",'2.2 OPEX LAP 2023'!N456*'2.1 OPEX TUUA'!$S$7,'2.2 OPEX LAP 2023'!N456*'2.1 OPEX TUUA'!$S$8)</f>
        <v>318.56704562972766</v>
      </c>
      <c r="U455" s="1">
        <v>1692.6845963598273</v>
      </c>
      <c r="V455" s="1">
        <v>1692.6845963598273</v>
      </c>
      <c r="W455" s="1">
        <v>1692.6845963598273</v>
      </c>
      <c r="X455" s="1">
        <v>1692.6845963598273</v>
      </c>
      <c r="Y455" s="1">
        <v>1692.6845963598273</v>
      </c>
      <c r="Z455" s="1">
        <v>1692.6845963598273</v>
      </c>
      <c r="AA455" s="7">
        <f t="shared" si="39"/>
        <v>-31.39024240564936</v>
      </c>
      <c r="AB455" s="7">
        <f t="shared" si="40"/>
        <v>-31.39024240564936</v>
      </c>
      <c r="AC455" s="7">
        <f t="shared" si="41"/>
        <v>-31.39024240564936</v>
      </c>
      <c r="AD455" s="7">
        <f t="shared" si="42"/>
        <v>-31.39024240564936</v>
      </c>
      <c r="AE455" s="7">
        <f t="shared" si="43"/>
        <v>-31.39024240564936</v>
      </c>
      <c r="AF455" s="7">
        <f t="shared" si="44"/>
        <v>-31.39024240564936</v>
      </c>
    </row>
    <row r="456" spans="2:32" x14ac:dyDescent="0.25">
      <c r="B456" s="17">
        <v>6530000001</v>
      </c>
      <c r="C456" s="193" t="s">
        <v>177</v>
      </c>
      <c r="D456" s="193" t="s">
        <v>38</v>
      </c>
      <c r="E456" s="193" t="s">
        <v>147</v>
      </c>
      <c r="F456" s="163" t="s">
        <v>190</v>
      </c>
      <c r="G456" s="3">
        <f>+IF(F456="Pasajero",'2.2 OPEX LAP 2023'!I457*'2.1 OPEX TUUA'!$G$7,'2.2 OPEX LAP 2023'!I457*'2.1 OPEX TUUA'!$G$8)</f>
        <v>930.19865791663801</v>
      </c>
      <c r="H456" s="3">
        <f>+IF(F456="Pasajero",'2.2 OPEX LAP 2023'!J457*'2.1 OPEX TUUA'!$H$7,'2.2 OPEX LAP 2023'!J457*'2.1 OPEX TUUA'!$H$8)</f>
        <v>1067.0635607978718</v>
      </c>
      <c r="I456" s="3">
        <f>+IF(F456="Pasajero",'2.2 OPEX LAP 2023'!K457*'2.1 OPEX TUUA'!$I$7,'2.2 OPEX LAP 2023'!K457*'2.1 OPEX TUUA'!$I$8)</f>
        <v>1179.6544074735441</v>
      </c>
      <c r="J456" s="3">
        <f>+IF(F456="Pasajero",'2.2 OPEX LAP 2023'!L457*'2.1 OPEX TUUA'!$J$7,'2.2 OPEX LAP 2023'!L457*'2.1 OPEX TUUA'!$J$8)</f>
        <v>1229.3398705239283</v>
      </c>
      <c r="K456" s="3">
        <f>+IF(F456="Pasajero",'2.2 OPEX LAP 2023'!M457*'2.1 OPEX TUUA'!$K$7,'2.2 OPEX LAP 2023'!M457*'2.1 OPEX TUUA'!$K$8)</f>
        <v>1256.8402321573274</v>
      </c>
      <c r="L456" s="3">
        <f>+IF(F456="Pasajero",'2.2 OPEX LAP 2023'!N457*'2.1 OPEX TUUA'!$L$7,'2.2 OPEX LAP 2023'!N457*'2.1 OPEX TUUA'!$L$8)</f>
        <v>1290.4061638541211</v>
      </c>
      <c r="M456" s="3"/>
      <c r="N456" s="3">
        <f>+IF(F456="Pasajero",'2.2 OPEX LAP 2023'!I457*'2.1 OPEX TUUA'!$N$7,'2.2 OPEX LAP 2023'!I457*'2.1 OPEX TUUA'!$N$8)</f>
        <v>458.7899997593945</v>
      </c>
      <c r="O456" s="3">
        <f>+IF(F456="Pasajero",'2.2 OPEX LAP 2023'!J457*'2.1 OPEX TUUA'!$O$7,'2.2 OPEX LAP 2023'!J457*'2.1 OPEX TUUA'!$O$8)</f>
        <v>441.93848650029088</v>
      </c>
      <c r="P456" s="3">
        <f>+IF(F456="Pasajero",'2.2 OPEX LAP 2023'!K457*'2.1 OPEX TUUA'!$P$7,'2.2 OPEX LAP 2023'!K457*'2.1 OPEX TUUA'!$P$8)</f>
        <v>431.90530671991246</v>
      </c>
      <c r="Q456" s="3">
        <f>+IF(F456="Pasajero",'2.2 OPEX LAP 2023'!L457*'2.1 OPEX TUUA'!$Q$7,'2.2 OPEX LAP 2023'!L457*'2.1 OPEX TUUA'!$Q$8)</f>
        <v>422.04577806121256</v>
      </c>
      <c r="R456" s="3">
        <f>+IF(F456="Pasajero",'2.2 OPEX LAP 2023'!M457*'2.1 OPEX TUUA'!$R$7,'2.2 OPEX LAP 2023'!M457*'2.1 OPEX TUUA'!$R$8)</f>
        <v>416.69980921530106</v>
      </c>
      <c r="S456" s="3">
        <f>+IF(F456="Pasajero",'2.2 OPEX LAP 2023'!N457*'2.1 OPEX TUUA'!$S$7,'2.2 OPEX LAP 2023'!N457*'2.1 OPEX TUUA'!$S$8)</f>
        <v>410.13706936003751</v>
      </c>
      <c r="U456" s="1">
        <v>947.7748094805761</v>
      </c>
      <c r="V456" s="1">
        <v>1087.2257817528493</v>
      </c>
      <c r="W456" s="1">
        <v>1201.9440382769899</v>
      </c>
      <c r="X456" s="1">
        <v>1252.5683107114403</v>
      </c>
      <c r="Y456" s="1">
        <v>1280.5882930946848</v>
      </c>
      <c r="Z456" s="1">
        <v>1314.7884548001616</v>
      </c>
      <c r="AA456" s="7">
        <f t="shared" si="39"/>
        <v>-17.576151563938083</v>
      </c>
      <c r="AB456" s="7">
        <f t="shared" si="40"/>
        <v>-20.162220954977556</v>
      </c>
      <c r="AC456" s="7">
        <f t="shared" si="41"/>
        <v>-22.289630803445789</v>
      </c>
      <c r="AD456" s="7">
        <f t="shared" si="42"/>
        <v>-23.228440187511978</v>
      </c>
      <c r="AE456" s="7">
        <f t="shared" si="43"/>
        <v>-23.748060937357423</v>
      </c>
      <c r="AF456" s="7">
        <f t="shared" si="44"/>
        <v>-24.382290946040484</v>
      </c>
    </row>
    <row r="457" spans="2:32" x14ac:dyDescent="0.25">
      <c r="B457" s="17">
        <v>6530000002</v>
      </c>
      <c r="C457" s="193" t="s">
        <v>177</v>
      </c>
      <c r="D457" s="193" t="s">
        <v>38</v>
      </c>
      <c r="E457" s="193" t="s">
        <v>148</v>
      </c>
      <c r="F457" s="163" t="s">
        <v>190</v>
      </c>
      <c r="G457" s="3">
        <f>+IF(F457="Pasajero",'2.2 OPEX LAP 2023'!I458*'2.1 OPEX TUUA'!$G$7,'2.2 OPEX LAP 2023'!I458*'2.1 OPEX TUUA'!$G$8)</f>
        <v>5989.5248393577331</v>
      </c>
      <c r="H457" s="3">
        <f>+IF(F457="Pasajero",'2.2 OPEX LAP 2023'!J458*'2.1 OPEX TUUA'!$H$7,'2.2 OPEX LAP 2023'!J458*'2.1 OPEX TUUA'!$H$8)</f>
        <v>6870.7943708354887</v>
      </c>
      <c r="I457" s="3">
        <f>+IF(F457="Pasajero",'2.2 OPEX LAP 2023'!K458*'2.1 OPEX TUUA'!$I$7,'2.2 OPEX LAP 2023'!K458*'2.1 OPEX TUUA'!$I$8)</f>
        <v>7595.7638890227454</v>
      </c>
      <c r="J457" s="3">
        <f>+IF(F457="Pasajero",'2.2 OPEX LAP 2023'!L458*'2.1 OPEX TUUA'!$J$7,'2.2 OPEX LAP 2023'!L458*'2.1 OPEX TUUA'!$J$8)</f>
        <v>7915.6872866352323</v>
      </c>
      <c r="K457" s="3">
        <f>+IF(F457="Pasajero",'2.2 OPEX LAP 2023'!M458*'2.1 OPEX TUUA'!$K$7,'2.2 OPEX LAP 2023'!M458*'2.1 OPEX TUUA'!$K$8)</f>
        <v>8092.7613962275582</v>
      </c>
      <c r="L457" s="3">
        <f>+IF(F457="Pasajero",'2.2 OPEX LAP 2023'!N458*'2.1 OPEX TUUA'!$L$7,'2.2 OPEX LAP 2023'!N458*'2.1 OPEX TUUA'!$L$8)</f>
        <v>8308.8915528807702</v>
      </c>
      <c r="M457" s="3"/>
      <c r="N457" s="3">
        <f>+IF(F457="Pasajero",'2.2 OPEX LAP 2023'!I458*'2.1 OPEX TUUA'!$N$7,'2.2 OPEX LAP 2023'!I458*'2.1 OPEX TUUA'!$N$8)</f>
        <v>2954.1368139171022</v>
      </c>
      <c r="O457" s="3">
        <f>+IF(F457="Pasajero",'2.2 OPEX LAP 2023'!J458*'2.1 OPEX TUUA'!$O$7,'2.2 OPEX LAP 2023'!J458*'2.1 OPEX TUUA'!$O$8)</f>
        <v>2845.6303606050478</v>
      </c>
      <c r="P457" s="3">
        <f>+IF(F457="Pasajero",'2.2 OPEX LAP 2023'!K458*'2.1 OPEX TUUA'!$P$7,'2.2 OPEX LAP 2023'!K458*'2.1 OPEX TUUA'!$P$8)</f>
        <v>2781.0269783050662</v>
      </c>
      <c r="Q457" s="3">
        <f>+IF(F457="Pasajero",'2.2 OPEX LAP 2023'!L458*'2.1 OPEX TUUA'!$Q$7,'2.2 OPEX LAP 2023'!L458*'2.1 OPEX TUUA'!$Q$8)</f>
        <v>2717.5417310376652</v>
      </c>
      <c r="R457" s="3">
        <f>+IF(F457="Pasajero",'2.2 OPEX LAP 2023'!M458*'2.1 OPEX TUUA'!$R$7,'2.2 OPEX LAP 2023'!M458*'2.1 OPEX TUUA'!$R$8)</f>
        <v>2683.1191774030103</v>
      </c>
      <c r="S457" s="3">
        <f>+IF(F457="Pasajero",'2.2 OPEX LAP 2023'!N458*'2.1 OPEX TUUA'!$S$7,'2.2 OPEX LAP 2023'!N458*'2.1 OPEX TUUA'!$S$8)</f>
        <v>2640.8618670502078</v>
      </c>
      <c r="U457" s="1">
        <v>6102.6972197697869</v>
      </c>
      <c r="V457" s="1">
        <v>7000.6183844466541</v>
      </c>
      <c r="W457" s="1">
        <v>7739.2862390295286</v>
      </c>
      <c r="X457" s="1">
        <v>8065.2546057219333</v>
      </c>
      <c r="Y457" s="1">
        <v>8245.6745397376289</v>
      </c>
      <c r="Z457" s="1">
        <v>8465.8884868355435</v>
      </c>
      <c r="AA457" s="7">
        <f t="shared" si="39"/>
        <v>-113.17238041205383</v>
      </c>
      <c r="AB457" s="7">
        <f t="shared" si="40"/>
        <v>-129.82401361116536</v>
      </c>
      <c r="AC457" s="7">
        <f t="shared" si="41"/>
        <v>-143.5223500067832</v>
      </c>
      <c r="AD457" s="7">
        <f t="shared" si="42"/>
        <v>-149.56731908670099</v>
      </c>
      <c r="AE457" s="7">
        <f t="shared" si="43"/>
        <v>-152.91314351007077</v>
      </c>
      <c r="AF457" s="7">
        <f t="shared" si="44"/>
        <v>-156.99693395477334</v>
      </c>
    </row>
    <row r="458" spans="2:32" x14ac:dyDescent="0.25">
      <c r="B458" s="17">
        <v>6540000001</v>
      </c>
      <c r="C458" s="193" t="s">
        <v>177</v>
      </c>
      <c r="D458" s="193" t="s">
        <v>38</v>
      </c>
      <c r="E458" s="193" t="s">
        <v>149</v>
      </c>
      <c r="F458" s="163" t="s">
        <v>190</v>
      </c>
      <c r="G458" s="3">
        <f>+IF(F458="Pasajero",'2.2 OPEX LAP 2023'!I459*'2.1 OPEX TUUA'!$G$7,'2.2 OPEX LAP 2023'!I459*'2.1 OPEX TUUA'!$G$8)</f>
        <v>21358.562045816172</v>
      </c>
      <c r="H458" s="3">
        <f>+IF(F458="Pasajero",'2.2 OPEX LAP 2023'!J459*'2.1 OPEX TUUA'!$H$7,'2.2 OPEX LAP 2023'!J459*'2.1 OPEX TUUA'!$H$8)</f>
        <v>24501.156904672021</v>
      </c>
      <c r="I458" s="3">
        <f>+IF(F458="Pasajero",'2.2 OPEX LAP 2023'!K459*'2.1 OPEX TUUA'!$I$7,'2.2 OPEX LAP 2023'!K459*'2.1 OPEX TUUA'!$I$8)</f>
        <v>27086.38809593099</v>
      </c>
      <c r="J458" s="3">
        <f>+IF(F458="Pasajero",'2.2 OPEX LAP 2023'!L459*'2.1 OPEX TUUA'!$J$7,'2.2 OPEX LAP 2023'!L459*'2.1 OPEX TUUA'!$J$8)</f>
        <v>28227.230470089562</v>
      </c>
      <c r="K458" s="3">
        <f>+IF(F458="Pasajero",'2.2 OPEX LAP 2023'!M459*'2.1 OPEX TUUA'!$K$7,'2.2 OPEX LAP 2023'!M459*'2.1 OPEX TUUA'!$K$8)</f>
        <v>28858.674275378278</v>
      </c>
      <c r="L458" s="3">
        <f>+IF(F458="Pasajero",'2.2 OPEX LAP 2023'!N459*'2.1 OPEX TUUA'!$L$7,'2.2 OPEX LAP 2023'!N459*'2.1 OPEX TUUA'!$L$8)</f>
        <v>29629.391399801225</v>
      </c>
      <c r="M458" s="3"/>
      <c r="N458" s="3">
        <f>+IF(F458="Pasajero",'2.2 OPEX LAP 2023'!I459*'2.1 OPEX TUUA'!$N$7,'2.2 OPEX LAP 2023'!I459*'2.1 OPEX TUUA'!$N$8)</f>
        <v>10534.410679335966</v>
      </c>
      <c r="O458" s="3">
        <f>+IF(F458="Pasajero",'2.2 OPEX LAP 2023'!J459*'2.1 OPEX TUUA'!$O$7,'2.2 OPEX LAP 2023'!J459*'2.1 OPEX TUUA'!$O$8)</f>
        <v>10147.478180081904</v>
      </c>
      <c r="P458" s="3">
        <f>+IF(F458="Pasajero",'2.2 OPEX LAP 2023'!K459*'2.1 OPEX TUUA'!$P$7,'2.2 OPEX LAP 2023'!K459*'2.1 OPEX TUUA'!$P$8)</f>
        <v>9917.1034197742574</v>
      </c>
      <c r="Q458" s="3">
        <f>+IF(F458="Pasajero",'2.2 OPEX LAP 2023'!L459*'2.1 OPEX TUUA'!$Q$7,'2.2 OPEX LAP 2023'!L459*'2.1 OPEX TUUA'!$Q$8)</f>
        <v>9690.7159133990153</v>
      </c>
      <c r="R458" s="3">
        <f>+IF(F458="Pasajero",'2.2 OPEX LAP 2023'!M459*'2.1 OPEX TUUA'!$R$7,'2.2 OPEX LAP 2023'!M459*'2.1 OPEX TUUA'!$R$8)</f>
        <v>9567.9655672029294</v>
      </c>
      <c r="S458" s="3">
        <f>+IF(F458="Pasajero",'2.2 OPEX LAP 2023'!N459*'2.1 OPEX TUUA'!$S$7,'2.2 OPEX LAP 2023'!N459*'2.1 OPEX TUUA'!$S$8)</f>
        <v>9417.2765878153041</v>
      </c>
      <c r="U458" s="1">
        <v>21762.133176036707</v>
      </c>
      <c r="V458" s="1">
        <v>24964.107526652959</v>
      </c>
      <c r="W458" s="1">
        <v>27598.186794458456</v>
      </c>
      <c r="X458" s="1">
        <v>28760.585444051441</v>
      </c>
      <c r="Y458" s="1">
        <v>29403.960412572236</v>
      </c>
      <c r="Z458" s="1">
        <v>30189.240276767483</v>
      </c>
      <c r="AA458" s="7">
        <f t="shared" si="39"/>
        <v>-403.57113022053454</v>
      </c>
      <c r="AB458" s="7">
        <f t="shared" si="40"/>
        <v>-462.95062198093729</v>
      </c>
      <c r="AC458" s="7">
        <f t="shared" si="41"/>
        <v>-511.7986985274656</v>
      </c>
      <c r="AD458" s="7">
        <f t="shared" si="42"/>
        <v>-533.3549739618793</v>
      </c>
      <c r="AE458" s="7">
        <f t="shared" si="43"/>
        <v>-545.28613719395798</v>
      </c>
      <c r="AF458" s="7">
        <f t="shared" si="44"/>
        <v>-559.8488769662581</v>
      </c>
    </row>
    <row r="459" spans="2:32" x14ac:dyDescent="0.25">
      <c r="B459" s="17">
        <v>6561000001</v>
      </c>
      <c r="C459" s="193" t="s">
        <v>177</v>
      </c>
      <c r="D459" s="193" t="s">
        <v>38</v>
      </c>
      <c r="E459" s="193" t="s">
        <v>150</v>
      </c>
      <c r="F459" s="163" t="s">
        <v>190</v>
      </c>
      <c r="G459" s="3">
        <f>+IF(F459="Pasajero",'2.2 OPEX LAP 2023'!I460*'2.1 OPEX TUUA'!$G$7,'2.2 OPEX LAP 2023'!I460*'2.1 OPEX TUUA'!$G$8)</f>
        <v>217.19591291895858</v>
      </c>
      <c r="H459" s="3">
        <f>+IF(F459="Pasajero",'2.2 OPEX LAP 2023'!J460*'2.1 OPEX TUUA'!$H$7,'2.2 OPEX LAP 2023'!J460*'2.1 OPEX TUUA'!$H$8)</f>
        <v>249.15306236747799</v>
      </c>
      <c r="I459" s="3">
        <f>+IF(F459="Pasajero",'2.2 OPEX LAP 2023'!K460*'2.1 OPEX TUUA'!$I$7,'2.2 OPEX LAP 2023'!K460*'2.1 OPEX TUUA'!$I$8)</f>
        <v>275.44236253139275</v>
      </c>
      <c r="J459" s="3">
        <f>+IF(F459="Pasajero",'2.2 OPEX LAP 2023'!L460*'2.1 OPEX TUUA'!$J$7,'2.2 OPEX LAP 2023'!L460*'2.1 OPEX TUUA'!$J$8)</f>
        <v>287.04362578219013</v>
      </c>
      <c r="K459" s="3">
        <f>+IF(F459="Pasajero",'2.2 OPEX LAP 2023'!M460*'2.1 OPEX TUUA'!$K$7,'2.2 OPEX LAP 2023'!M460*'2.1 OPEX TUUA'!$K$8)</f>
        <v>293.46479839917203</v>
      </c>
      <c r="L459" s="3">
        <f>+IF(F459="Pasajero",'2.2 OPEX LAP 2023'!N460*'2.1 OPEX TUUA'!$L$7,'2.2 OPEX LAP 2023'!N460*'2.1 OPEX TUUA'!$L$8)</f>
        <v>301.30224593343183</v>
      </c>
      <c r="M459" s="3"/>
      <c r="N459" s="3">
        <f>+IF(F459="Pasajero",'2.2 OPEX LAP 2023'!I460*'2.1 OPEX TUUA'!$N$7,'2.2 OPEX LAP 2023'!I460*'2.1 OPEX TUUA'!$N$8)</f>
        <v>107.12476521844285</v>
      </c>
      <c r="O459" s="3">
        <f>+IF(F459="Pasajero",'2.2 OPEX LAP 2023'!J460*'2.1 OPEX TUUA'!$O$7,'2.2 OPEX LAP 2023'!J460*'2.1 OPEX TUUA'!$O$8)</f>
        <v>103.19003603427652</v>
      </c>
      <c r="P459" s="3">
        <f>+IF(F459="Pasajero",'2.2 OPEX LAP 2023'!K460*'2.1 OPEX TUUA'!$P$7,'2.2 OPEX LAP 2023'!K460*'2.1 OPEX TUUA'!$P$8)</f>
        <v>100.84734759527146</v>
      </c>
      <c r="Q459" s="3">
        <f>+IF(F459="Pasajero",'2.2 OPEX LAP 2023'!L460*'2.1 OPEX TUUA'!$Q$7,'2.2 OPEX LAP 2023'!L460*'2.1 OPEX TUUA'!$Q$8)</f>
        <v>98.545205671337541</v>
      </c>
      <c r="R459" s="3">
        <f>+IF(F459="Pasajero",'2.2 OPEX LAP 2023'!M460*'2.1 OPEX TUUA'!$R$7,'2.2 OPEX LAP 2023'!M460*'2.1 OPEX TUUA'!$R$8)</f>
        <v>97.296953403886818</v>
      </c>
      <c r="S459" s="3">
        <f>+IF(F459="Pasajero",'2.2 OPEX LAP 2023'!N460*'2.1 OPEX TUUA'!$S$7,'2.2 OPEX LAP 2023'!N460*'2.1 OPEX TUUA'!$S$8)</f>
        <v>95.764592265776756</v>
      </c>
      <c r="U459" s="1">
        <v>221.29984088320816</v>
      </c>
      <c r="V459" s="1">
        <v>253.86082231694735</v>
      </c>
      <c r="W459" s="1">
        <v>280.64686016184919</v>
      </c>
      <c r="X459" s="1">
        <v>292.46732987945217</v>
      </c>
      <c r="Y459" s="1">
        <v>299.00983088384226</v>
      </c>
      <c r="Z459" s="1">
        <v>306.99536739303682</v>
      </c>
      <c r="AA459" s="7">
        <f t="shared" si="39"/>
        <v>-4.1039279642495785</v>
      </c>
      <c r="AB459" s="7">
        <f t="shared" si="40"/>
        <v>-4.7077599494693629</v>
      </c>
      <c r="AC459" s="7">
        <f t="shared" si="41"/>
        <v>-5.2044976304564443</v>
      </c>
      <c r="AD459" s="7">
        <f t="shared" si="42"/>
        <v>-5.4237040972620321</v>
      </c>
      <c r="AE459" s="7">
        <f t="shared" si="43"/>
        <v>-5.5450324846702301</v>
      </c>
      <c r="AF459" s="7">
        <f t="shared" si="44"/>
        <v>-5.6931214596049813</v>
      </c>
    </row>
    <row r="460" spans="2:32" x14ac:dyDescent="0.25">
      <c r="B460" s="17">
        <v>6561000002</v>
      </c>
      <c r="C460" s="193" t="s">
        <v>177</v>
      </c>
      <c r="D460" s="193" t="s">
        <v>38</v>
      </c>
      <c r="E460" s="193" t="s">
        <v>151</v>
      </c>
      <c r="F460" s="163" t="s">
        <v>190</v>
      </c>
      <c r="G460" s="3">
        <f>+IF(F460="Pasajero",'2.2 OPEX LAP 2023'!I461*'2.1 OPEX TUUA'!$G$7,'2.2 OPEX LAP 2023'!I461*'2.1 OPEX TUUA'!$G$8)</f>
        <v>4583.1209464627827</v>
      </c>
      <c r="H460" s="3">
        <f>+IF(F460="Pasajero",'2.2 OPEX LAP 2023'!J461*'2.1 OPEX TUUA'!$H$7,'2.2 OPEX LAP 2023'!J461*'2.1 OPEX TUUA'!$H$8)</f>
        <v>5257.4590546637419</v>
      </c>
      <c r="I460" s="3">
        <f>+IF(F460="Pasajero",'2.2 OPEX LAP 2023'!K461*'2.1 OPEX TUUA'!$I$7,'2.2 OPEX LAP 2023'!K461*'2.1 OPEX TUUA'!$I$8)</f>
        <v>5812.1980487351539</v>
      </c>
      <c r="J460" s="3">
        <f>+IF(F460="Pasajero",'2.2 OPEX LAP 2023'!L461*'2.1 OPEX TUUA'!$J$7,'2.2 OPEX LAP 2023'!L461*'2.1 OPEX TUUA'!$J$8)</f>
        <v>6057.000042914472</v>
      </c>
      <c r="K460" s="3">
        <f>+IF(F460="Pasajero",'2.2 OPEX LAP 2023'!M461*'2.1 OPEX TUUA'!$K$7,'2.2 OPEX LAP 2023'!M461*'2.1 OPEX TUUA'!$K$8)</f>
        <v>6192.4952754270826</v>
      </c>
      <c r="L460" s="3">
        <f>+IF(F460="Pasajero",'2.2 OPEX LAP 2023'!N461*'2.1 OPEX TUUA'!$L$7,'2.2 OPEX LAP 2023'!N461*'2.1 OPEX TUUA'!$L$8)</f>
        <v>6357.8757813414441</v>
      </c>
      <c r="M460" s="3"/>
      <c r="N460" s="3">
        <f>+IF(F460="Pasajero",'2.2 OPEX LAP 2023'!I461*'2.1 OPEX TUUA'!$N$7,'2.2 OPEX LAP 2023'!I461*'2.1 OPEX TUUA'!$N$8)</f>
        <v>2260.4741901416219</v>
      </c>
      <c r="O460" s="3">
        <f>+IF(F460="Pasajero",'2.2 OPEX LAP 2023'!J461*'2.1 OPEX TUUA'!$O$7,'2.2 OPEX LAP 2023'!J461*'2.1 OPEX TUUA'!$O$8)</f>
        <v>2177.4462017220612</v>
      </c>
      <c r="P460" s="3">
        <f>+IF(F460="Pasajero",'2.2 OPEX LAP 2023'!K461*'2.1 OPEX TUUA'!$P$7,'2.2 OPEX LAP 2023'!K461*'2.1 OPEX TUUA'!$P$8)</f>
        <v>2128.0123780761883</v>
      </c>
      <c r="Q460" s="3">
        <f>+IF(F460="Pasajero",'2.2 OPEX LAP 2023'!L461*'2.1 OPEX TUUA'!$Q$7,'2.2 OPEX LAP 2023'!L461*'2.1 OPEX TUUA'!$Q$8)</f>
        <v>2079.4341395103065</v>
      </c>
      <c r="R460" s="3">
        <f>+IF(F460="Pasajero",'2.2 OPEX LAP 2023'!M461*'2.1 OPEX TUUA'!$R$7,'2.2 OPEX LAP 2023'!M461*'2.1 OPEX TUUA'!$R$8)</f>
        <v>2053.0943661852084</v>
      </c>
      <c r="S460" s="3">
        <f>+IF(F460="Pasajero",'2.2 OPEX LAP 2023'!N461*'2.1 OPEX TUUA'!$S$7,'2.2 OPEX LAP 2023'!N461*'2.1 OPEX TUUA'!$S$8)</f>
        <v>2020.7595200307219</v>
      </c>
      <c r="U460" s="1">
        <v>4669.7192528625192</v>
      </c>
      <c r="V460" s="1">
        <v>5356.7990143589413</v>
      </c>
      <c r="W460" s="1">
        <v>5922.0198303027519</v>
      </c>
      <c r="X460" s="1">
        <v>6171.4473707739626</v>
      </c>
      <c r="Y460" s="1">
        <v>6309.5027926854336</v>
      </c>
      <c r="Z460" s="1">
        <v>6478.0081717792327</v>
      </c>
      <c r="AA460" s="7">
        <f t="shared" si="39"/>
        <v>-86.59830639973643</v>
      </c>
      <c r="AB460" s="7">
        <f t="shared" si="40"/>
        <v>-99.339959695199468</v>
      </c>
      <c r="AC460" s="7">
        <f t="shared" si="41"/>
        <v>-109.82178156759801</v>
      </c>
      <c r="AD460" s="7">
        <f t="shared" si="42"/>
        <v>-114.44732785949054</v>
      </c>
      <c r="AE460" s="7">
        <f t="shared" si="43"/>
        <v>-117.00751725835107</v>
      </c>
      <c r="AF460" s="7">
        <f t="shared" si="44"/>
        <v>-120.13239043778867</v>
      </c>
    </row>
    <row r="461" spans="2:32" x14ac:dyDescent="0.25">
      <c r="B461" s="17">
        <v>6561000003</v>
      </c>
      <c r="C461" s="193" t="s">
        <v>177</v>
      </c>
      <c r="D461" s="193" t="s">
        <v>38</v>
      </c>
      <c r="E461" s="193" t="s">
        <v>152</v>
      </c>
      <c r="F461" s="163" t="s">
        <v>190</v>
      </c>
      <c r="G461" s="3">
        <f>+IF(F461="Pasajero",'2.2 OPEX LAP 2023'!I462*'2.1 OPEX TUUA'!$G$7,'2.2 OPEX LAP 2023'!I462*'2.1 OPEX TUUA'!$G$8)</f>
        <v>8193.1082497560692</v>
      </c>
      <c r="H461" s="3">
        <f>+IF(F461="Pasajero",'2.2 OPEX LAP 2023'!J462*'2.1 OPEX TUUA'!$H$7,'2.2 OPEX LAP 2023'!J462*'2.1 OPEX TUUA'!$H$8)</f>
        <v>9398.6023185281938</v>
      </c>
      <c r="I461" s="3">
        <f>+IF(F461="Pasajero",'2.2 OPEX LAP 2023'!K462*'2.1 OPEX TUUA'!$I$7,'2.2 OPEX LAP 2023'!K462*'2.1 OPEX TUUA'!$I$8)</f>
        <v>10390.292627791296</v>
      </c>
      <c r="J461" s="3">
        <f>+IF(F461="Pasajero",'2.2 OPEX LAP 2023'!L462*'2.1 OPEX TUUA'!$J$7,'2.2 OPEX LAP 2023'!L462*'2.1 OPEX TUUA'!$J$8)</f>
        <v>10827.917831554525</v>
      </c>
      <c r="K461" s="3">
        <f>+IF(F461="Pasajero",'2.2 OPEX LAP 2023'!M462*'2.1 OPEX TUUA'!$K$7,'2.2 OPEX LAP 2023'!M462*'2.1 OPEX TUUA'!$K$8)</f>
        <v>11070.138606495775</v>
      </c>
      <c r="L461" s="3">
        <f>+IF(F461="Pasajero",'2.2 OPEX LAP 2023'!N462*'2.1 OPEX TUUA'!$L$7,'2.2 OPEX LAP 2023'!N462*'2.1 OPEX TUUA'!$L$8)</f>
        <v>11365.784390926045</v>
      </c>
      <c r="M461" s="3"/>
      <c r="N461" s="3">
        <f>+IF(F461="Pasajero",'2.2 OPEX LAP 2023'!I462*'2.1 OPEX TUUA'!$N$7,'2.2 OPEX LAP 2023'!I462*'2.1 OPEX TUUA'!$N$8)</f>
        <v>4040.9821062880355</v>
      </c>
      <c r="O461" s="3">
        <f>+IF(F461="Pasajero",'2.2 OPEX LAP 2023'!J462*'2.1 OPEX TUUA'!$O$7,'2.2 OPEX LAP 2023'!J462*'2.1 OPEX TUUA'!$O$8)</f>
        <v>3892.5554544873735</v>
      </c>
      <c r="P461" s="3">
        <f>+IF(F461="Pasajero",'2.2 OPEX LAP 2023'!K462*'2.1 OPEX TUUA'!$P$7,'2.2 OPEX LAP 2023'!K462*'2.1 OPEX TUUA'!$P$8)</f>
        <v>3804.1840863604684</v>
      </c>
      <c r="Q461" s="3">
        <f>+IF(F461="Pasajero",'2.2 OPEX LAP 2023'!L462*'2.1 OPEX TUUA'!$Q$7,'2.2 OPEX LAP 2023'!L462*'2.1 OPEX TUUA'!$Q$8)</f>
        <v>3717.3422220932985</v>
      </c>
      <c r="R461" s="3">
        <f>+IF(F461="Pasajero",'2.2 OPEX LAP 2023'!M462*'2.1 OPEX TUUA'!$R$7,'2.2 OPEX LAP 2023'!M462*'2.1 OPEX TUUA'!$R$8)</f>
        <v>3670.2553970569397</v>
      </c>
      <c r="S461" s="3">
        <f>+IF(F461="Pasajero",'2.2 OPEX LAP 2023'!N462*'2.1 OPEX TUUA'!$S$7,'2.2 OPEX LAP 2023'!N462*'2.1 OPEX TUUA'!$S$8)</f>
        <v>3612.4513596166048</v>
      </c>
      <c r="U461" s="1">
        <v>8347.9174522332978</v>
      </c>
      <c r="V461" s="1">
        <v>9576.1893935403314</v>
      </c>
      <c r="W461" s="1">
        <v>10586.61774228753</v>
      </c>
      <c r="X461" s="1">
        <v>11032.511896821738</v>
      </c>
      <c r="Y461" s="1">
        <v>11279.309445784394</v>
      </c>
      <c r="Z461" s="1">
        <v>11580.541472542754</v>
      </c>
      <c r="AA461" s="7">
        <f t="shared" si="39"/>
        <v>-154.80920247722861</v>
      </c>
      <c r="AB461" s="7">
        <f t="shared" si="40"/>
        <v>-177.58707501213757</v>
      </c>
      <c r="AC461" s="7">
        <f t="shared" si="41"/>
        <v>-196.32511449623416</v>
      </c>
      <c r="AD461" s="7">
        <f t="shared" si="42"/>
        <v>-204.5940652672125</v>
      </c>
      <c r="AE461" s="7">
        <f t="shared" si="43"/>
        <v>-209.17083928861939</v>
      </c>
      <c r="AF461" s="7">
        <f t="shared" si="44"/>
        <v>-214.75708161670991</v>
      </c>
    </row>
    <row r="462" spans="2:32" x14ac:dyDescent="0.25">
      <c r="B462" s="17">
        <v>6561000004</v>
      </c>
      <c r="C462" s="193" t="s">
        <v>177</v>
      </c>
      <c r="D462" s="193" t="s">
        <v>38</v>
      </c>
      <c r="E462" s="193" t="s">
        <v>153</v>
      </c>
      <c r="F462" s="163" t="s">
        <v>190</v>
      </c>
      <c r="G462" s="3">
        <f>+IF(F462="Pasajero",'2.2 OPEX LAP 2023'!I463*'2.1 OPEX TUUA'!$G$7,'2.2 OPEX LAP 2023'!I463*'2.1 OPEX TUUA'!$G$8)</f>
        <v>1581.8517839541082</v>
      </c>
      <c r="H462" s="3">
        <f>+IF(F462="Pasajero",'2.2 OPEX LAP 2023'!J463*'2.1 OPEX TUUA'!$H$7,'2.2 OPEX LAP 2023'!J463*'2.1 OPEX TUUA'!$H$8)</f>
        <v>1814.5977559471009</v>
      </c>
      <c r="I462" s="3">
        <f>+IF(F462="Pasajero",'2.2 OPEX LAP 2023'!K463*'2.1 OPEX TUUA'!$I$7,'2.2 OPEX LAP 2023'!K463*'2.1 OPEX TUUA'!$I$8)</f>
        <v>2006.0644175629218</v>
      </c>
      <c r="J462" s="3">
        <f>+IF(F462="Pasajero",'2.2 OPEX LAP 2023'!L463*'2.1 OPEX TUUA'!$J$7,'2.2 OPEX LAP 2023'!L463*'2.1 OPEX TUUA'!$J$8)</f>
        <v>2090.5571629500901</v>
      </c>
      <c r="K462" s="3">
        <f>+IF(F462="Pasajero",'2.2 OPEX LAP 2023'!M463*'2.1 OPEX TUUA'!$K$7,'2.2 OPEX LAP 2023'!M463*'2.1 OPEX TUUA'!$K$8)</f>
        <v>2137.3229755417851</v>
      </c>
      <c r="L462" s="3">
        <f>+IF(F462="Pasajero",'2.2 OPEX LAP 2023'!N463*'2.1 OPEX TUUA'!$L$7,'2.2 OPEX LAP 2023'!N463*'2.1 OPEX TUUA'!$L$8)</f>
        <v>2194.4036093212126</v>
      </c>
      <c r="M462" s="3"/>
      <c r="N462" s="3">
        <f>+IF(F462="Pasajero",'2.2 OPEX LAP 2023'!I463*'2.1 OPEX TUUA'!$N$7,'2.2 OPEX LAP 2023'!I463*'2.1 OPEX TUUA'!$N$8)</f>
        <v>780.19654554773797</v>
      </c>
      <c r="O462" s="3">
        <f>+IF(F462="Pasajero",'2.2 OPEX LAP 2023'!J463*'2.1 OPEX TUUA'!$O$7,'2.2 OPEX LAP 2023'!J463*'2.1 OPEX TUUA'!$O$8)</f>
        <v>751.53966017774394</v>
      </c>
      <c r="P462" s="3">
        <f>+IF(F462="Pasajero",'2.2 OPEX LAP 2023'!K463*'2.1 OPEX TUUA'!$P$7,'2.2 OPEX LAP 2023'!K463*'2.1 OPEX TUUA'!$P$8)</f>
        <v>734.47770980913117</v>
      </c>
      <c r="Q462" s="3">
        <f>+IF(F462="Pasajero",'2.2 OPEX LAP 2023'!L463*'2.1 OPEX TUUA'!$Q$7,'2.2 OPEX LAP 2023'!L463*'2.1 OPEX TUUA'!$Q$8)</f>
        <v>717.71106231402291</v>
      </c>
      <c r="R462" s="3">
        <f>+IF(F462="Pasajero",'2.2 OPEX LAP 2023'!M463*'2.1 OPEX TUUA'!$R$7,'2.2 OPEX LAP 2023'!M463*'2.1 OPEX TUUA'!$R$8)</f>
        <v>708.61996087682212</v>
      </c>
      <c r="S462" s="3">
        <f>+IF(F462="Pasajero",'2.2 OPEX LAP 2023'!N463*'2.1 OPEX TUUA'!$S$7,'2.2 OPEX LAP 2023'!N463*'2.1 OPEX TUUA'!$S$8)</f>
        <v>697.45967628672577</v>
      </c>
      <c r="U462" s="1">
        <v>1611.7409549068304</v>
      </c>
      <c r="V462" s="1">
        <v>1848.884674031395</v>
      </c>
      <c r="W462" s="1">
        <v>2043.969108082556</v>
      </c>
      <c r="X462" s="1">
        <v>2130.0583482467691</v>
      </c>
      <c r="Y462" s="1">
        <v>2177.7078032766967</v>
      </c>
      <c r="Z462" s="1">
        <v>2235.8669785721054</v>
      </c>
      <c r="AA462" s="7">
        <f t="shared" si="39"/>
        <v>-29.889170952722225</v>
      </c>
      <c r="AB462" s="7">
        <f t="shared" si="40"/>
        <v>-34.28691808429403</v>
      </c>
      <c r="AC462" s="7">
        <f t="shared" si="41"/>
        <v>-37.904690519634187</v>
      </c>
      <c r="AD462" s="7">
        <f t="shared" si="42"/>
        <v>-39.501185296679068</v>
      </c>
      <c r="AE462" s="7">
        <f t="shared" si="43"/>
        <v>-40.384827734911596</v>
      </c>
      <c r="AF462" s="7">
        <f t="shared" si="44"/>
        <v>-41.463369250892811</v>
      </c>
    </row>
    <row r="463" spans="2:32" x14ac:dyDescent="0.25">
      <c r="B463" s="17">
        <v>6561000005</v>
      </c>
      <c r="C463" s="193" t="s">
        <v>177</v>
      </c>
      <c r="D463" s="193" t="s">
        <v>38</v>
      </c>
      <c r="E463" s="193" t="s">
        <v>154</v>
      </c>
      <c r="F463" s="163" t="s">
        <v>190</v>
      </c>
      <c r="G463" s="3">
        <f>+IF(F463="Pasajero",'2.2 OPEX LAP 2023'!I464*'2.1 OPEX TUUA'!$G$7,'2.2 OPEX LAP 2023'!I464*'2.1 OPEX TUUA'!$G$8)</f>
        <v>20.972468627150956</v>
      </c>
      <c r="H463" s="3">
        <f>+IF(F463="Pasajero",'2.2 OPEX LAP 2023'!J464*'2.1 OPEX TUUA'!$H$7,'2.2 OPEX LAP 2023'!J464*'2.1 OPEX TUUA'!$H$8)</f>
        <v>24.058255579653711</v>
      </c>
      <c r="I463" s="3">
        <f>+IF(F463="Pasajero",'2.2 OPEX LAP 2023'!K464*'2.1 OPEX TUUA'!$I$7,'2.2 OPEX LAP 2023'!K464*'2.1 OPEX TUUA'!$I$8)</f>
        <v>26.59675418907819</v>
      </c>
      <c r="J463" s="3">
        <f>+IF(F463="Pasajero",'2.2 OPEX LAP 2023'!L464*'2.1 OPEX TUUA'!$J$7,'2.2 OPEX LAP 2023'!L464*'2.1 OPEX TUUA'!$J$8)</f>
        <v>27.716973839129583</v>
      </c>
      <c r="K463" s="3">
        <f>+IF(F463="Pasajero",'2.2 OPEX LAP 2023'!M464*'2.1 OPEX TUUA'!$K$7,'2.2 OPEX LAP 2023'!M464*'2.1 OPEX TUUA'!$K$8)</f>
        <v>28.33700319165898</v>
      </c>
      <c r="L463" s="3">
        <f>+IF(F463="Pasajero",'2.2 OPEX LAP 2023'!N464*'2.1 OPEX TUUA'!$L$7,'2.2 OPEX LAP 2023'!N464*'2.1 OPEX TUUA'!$L$8)</f>
        <v>29.093788254140961</v>
      </c>
      <c r="M463" s="3"/>
      <c r="N463" s="3">
        <f>+IF(F463="Pasajero",'2.2 OPEX LAP 2023'!I464*'2.1 OPEX TUUA'!$N$7,'2.2 OPEX LAP 2023'!I464*'2.1 OPEX TUUA'!$N$8)</f>
        <v>10.343982755204953</v>
      </c>
      <c r="O463" s="3">
        <f>+IF(F463="Pasajero",'2.2 OPEX LAP 2023'!J464*'2.1 OPEX TUUA'!$O$7,'2.2 OPEX LAP 2023'!J464*'2.1 OPEX TUUA'!$O$8)</f>
        <v>9.9640447385901822</v>
      </c>
      <c r="P463" s="3">
        <f>+IF(F463="Pasajero",'2.2 OPEX LAP 2023'!K464*'2.1 OPEX TUUA'!$P$7,'2.2 OPEX LAP 2023'!K464*'2.1 OPEX TUUA'!$P$8)</f>
        <v>9.7378344055782744</v>
      </c>
      <c r="Q463" s="3">
        <f>+IF(F463="Pasajero",'2.2 OPEX LAP 2023'!L464*'2.1 OPEX TUUA'!$Q$7,'2.2 OPEX LAP 2023'!L464*'2.1 OPEX TUUA'!$Q$8)</f>
        <v>9.5155392499002396</v>
      </c>
      <c r="R463" s="3">
        <f>+IF(F463="Pasajero",'2.2 OPEX LAP 2023'!M464*'2.1 OPEX TUUA'!$R$7,'2.2 OPEX LAP 2023'!M464*'2.1 OPEX TUUA'!$R$8)</f>
        <v>9.3950078312098313</v>
      </c>
      <c r="S463" s="3">
        <f>+IF(F463="Pasajero",'2.2 OPEX LAP 2023'!N464*'2.1 OPEX TUUA'!$S$7,'2.2 OPEX LAP 2023'!N464*'2.1 OPEX TUUA'!$S$8)</f>
        <v>9.2470428190575547</v>
      </c>
      <c r="U463" s="1">
        <v>21.368744502334788</v>
      </c>
      <c r="V463" s="1">
        <v>24.51283755828074</v>
      </c>
      <c r="W463" s="1">
        <v>27.099301229710385</v>
      </c>
      <c r="X463" s="1">
        <v>28.240687487761729</v>
      </c>
      <c r="Y463" s="1">
        <v>28.872432326850262</v>
      </c>
      <c r="Z463" s="1">
        <v>29.643516882076405</v>
      </c>
      <c r="AA463" s="7">
        <f t="shared" ref="AA463:AA484" si="45">+G463-U463</f>
        <v>-0.39627587518383223</v>
      </c>
      <c r="AB463" s="7">
        <f t="shared" ref="AB463:AB484" si="46">+H463-V463</f>
        <v>-0.45458197862702932</v>
      </c>
      <c r="AC463" s="7">
        <f t="shared" ref="AC463:AC484" si="47">+I463-W463</f>
        <v>-0.50254704063219435</v>
      </c>
      <c r="AD463" s="7">
        <f t="shared" ref="AD463:AD484" si="48">+J463-X463</f>
        <v>-0.52371364863214609</v>
      </c>
      <c r="AE463" s="7">
        <f t="shared" ref="AE463:AE484" si="49">+K463-Y463</f>
        <v>-0.53542913519128277</v>
      </c>
      <c r="AF463" s="7">
        <f t="shared" ref="AF463:AF484" si="50">+L463-Z463</f>
        <v>-0.54972862793544408</v>
      </c>
    </row>
    <row r="464" spans="2:32" x14ac:dyDescent="0.25">
      <c r="B464" s="17">
        <v>6562000001</v>
      </c>
      <c r="C464" s="193" t="s">
        <v>177</v>
      </c>
      <c r="D464" s="193" t="s">
        <v>38</v>
      </c>
      <c r="E464" s="193" t="s">
        <v>155</v>
      </c>
      <c r="F464" s="163" t="s">
        <v>190</v>
      </c>
      <c r="G464" s="3">
        <f>+IF(F464="Pasajero",'2.2 OPEX LAP 2023'!I465*'2.1 OPEX TUUA'!$G$7,'2.2 OPEX LAP 2023'!I465*'2.1 OPEX TUUA'!$G$8)</f>
        <v>0</v>
      </c>
      <c r="H464" s="3">
        <f>+IF(F464="Pasajero",'2.2 OPEX LAP 2023'!J465*'2.1 OPEX TUUA'!$H$7,'2.2 OPEX LAP 2023'!J465*'2.1 OPEX TUUA'!$H$8)</f>
        <v>0</v>
      </c>
      <c r="I464" s="3">
        <f>+IF(F464="Pasajero",'2.2 OPEX LAP 2023'!K465*'2.1 OPEX TUUA'!$I$7,'2.2 OPEX LAP 2023'!K465*'2.1 OPEX TUUA'!$I$8)</f>
        <v>0</v>
      </c>
      <c r="J464" s="3">
        <f>+IF(F464="Pasajero",'2.2 OPEX LAP 2023'!L465*'2.1 OPEX TUUA'!$J$7,'2.2 OPEX LAP 2023'!L465*'2.1 OPEX TUUA'!$J$8)</f>
        <v>0</v>
      </c>
      <c r="K464" s="3">
        <f>+IF(F464="Pasajero",'2.2 OPEX LAP 2023'!M465*'2.1 OPEX TUUA'!$K$7,'2.2 OPEX LAP 2023'!M465*'2.1 OPEX TUUA'!$K$8)</f>
        <v>0</v>
      </c>
      <c r="L464" s="3">
        <f>+IF(F464="Pasajero",'2.2 OPEX LAP 2023'!N465*'2.1 OPEX TUUA'!$L$7,'2.2 OPEX LAP 2023'!N465*'2.1 OPEX TUUA'!$L$8)</f>
        <v>0</v>
      </c>
      <c r="M464" s="3"/>
      <c r="N464" s="3">
        <f>+IF(F464="Pasajero",'2.2 OPEX LAP 2023'!I465*'2.1 OPEX TUUA'!$N$7,'2.2 OPEX LAP 2023'!I465*'2.1 OPEX TUUA'!$N$8)</f>
        <v>0</v>
      </c>
      <c r="O464" s="3">
        <f>+IF(F464="Pasajero",'2.2 OPEX LAP 2023'!J465*'2.1 OPEX TUUA'!$O$7,'2.2 OPEX LAP 2023'!J465*'2.1 OPEX TUUA'!$O$8)</f>
        <v>0</v>
      </c>
      <c r="P464" s="3">
        <f>+IF(F464="Pasajero",'2.2 OPEX LAP 2023'!K465*'2.1 OPEX TUUA'!$P$7,'2.2 OPEX LAP 2023'!K465*'2.1 OPEX TUUA'!$P$8)</f>
        <v>0</v>
      </c>
      <c r="Q464" s="3">
        <f>+IF(F464="Pasajero",'2.2 OPEX LAP 2023'!L465*'2.1 OPEX TUUA'!$Q$7,'2.2 OPEX LAP 2023'!L465*'2.1 OPEX TUUA'!$Q$8)</f>
        <v>0</v>
      </c>
      <c r="R464" s="3">
        <f>+IF(F464="Pasajero",'2.2 OPEX LAP 2023'!M465*'2.1 OPEX TUUA'!$R$7,'2.2 OPEX LAP 2023'!M465*'2.1 OPEX TUUA'!$R$8)</f>
        <v>0</v>
      </c>
      <c r="S464" s="3">
        <f>+IF(F464="Pasajero",'2.2 OPEX LAP 2023'!N465*'2.1 OPEX TUUA'!$S$7,'2.2 OPEX LAP 2023'!N465*'2.1 OPEX TUUA'!$S$8)</f>
        <v>0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>
        <v>0</v>
      </c>
      <c r="AA464" s="7">
        <f t="shared" si="45"/>
        <v>0</v>
      </c>
      <c r="AB464" s="7">
        <f t="shared" si="46"/>
        <v>0</v>
      </c>
      <c r="AC464" s="7">
        <f t="shared" si="47"/>
        <v>0</v>
      </c>
      <c r="AD464" s="7">
        <f t="shared" si="48"/>
        <v>0</v>
      </c>
      <c r="AE464" s="7">
        <f t="shared" si="49"/>
        <v>0</v>
      </c>
      <c r="AF464" s="7">
        <f t="shared" si="50"/>
        <v>0</v>
      </c>
    </row>
    <row r="465" spans="2:32" x14ac:dyDescent="0.25">
      <c r="B465" s="17">
        <v>6562000002</v>
      </c>
      <c r="C465" s="193" t="s">
        <v>177</v>
      </c>
      <c r="D465" s="193" t="s">
        <v>38</v>
      </c>
      <c r="E465" s="193" t="s">
        <v>156</v>
      </c>
      <c r="F465" s="163" t="s">
        <v>190</v>
      </c>
      <c r="G465" s="3">
        <f>+IF(F465="Pasajero",'2.2 OPEX LAP 2023'!I466*'2.1 OPEX TUUA'!$G$7,'2.2 OPEX LAP 2023'!I466*'2.1 OPEX TUUA'!$G$8)</f>
        <v>0</v>
      </c>
      <c r="H465" s="3">
        <f>+IF(F465="Pasajero",'2.2 OPEX LAP 2023'!J466*'2.1 OPEX TUUA'!$H$7,'2.2 OPEX LAP 2023'!J466*'2.1 OPEX TUUA'!$H$8)</f>
        <v>0</v>
      </c>
      <c r="I465" s="3">
        <f>+IF(F465="Pasajero",'2.2 OPEX LAP 2023'!K466*'2.1 OPEX TUUA'!$I$7,'2.2 OPEX LAP 2023'!K466*'2.1 OPEX TUUA'!$I$8)</f>
        <v>0</v>
      </c>
      <c r="J465" s="3">
        <f>+IF(F465="Pasajero",'2.2 OPEX LAP 2023'!L466*'2.1 OPEX TUUA'!$J$7,'2.2 OPEX LAP 2023'!L466*'2.1 OPEX TUUA'!$J$8)</f>
        <v>0</v>
      </c>
      <c r="K465" s="3">
        <f>+IF(F465="Pasajero",'2.2 OPEX LAP 2023'!M466*'2.1 OPEX TUUA'!$K$7,'2.2 OPEX LAP 2023'!M466*'2.1 OPEX TUUA'!$K$8)</f>
        <v>0</v>
      </c>
      <c r="L465" s="3">
        <f>+IF(F465="Pasajero",'2.2 OPEX LAP 2023'!N466*'2.1 OPEX TUUA'!$L$7,'2.2 OPEX LAP 2023'!N466*'2.1 OPEX TUUA'!$L$8)</f>
        <v>0</v>
      </c>
      <c r="M465" s="3"/>
      <c r="N465" s="3">
        <f>+IF(F465="Pasajero",'2.2 OPEX LAP 2023'!I466*'2.1 OPEX TUUA'!$N$7,'2.2 OPEX LAP 2023'!I466*'2.1 OPEX TUUA'!$N$8)</f>
        <v>0</v>
      </c>
      <c r="O465" s="3">
        <f>+IF(F465="Pasajero",'2.2 OPEX LAP 2023'!J466*'2.1 OPEX TUUA'!$O$7,'2.2 OPEX LAP 2023'!J466*'2.1 OPEX TUUA'!$O$8)</f>
        <v>0</v>
      </c>
      <c r="P465" s="3">
        <f>+IF(F465="Pasajero",'2.2 OPEX LAP 2023'!K466*'2.1 OPEX TUUA'!$P$7,'2.2 OPEX LAP 2023'!K466*'2.1 OPEX TUUA'!$P$8)</f>
        <v>0</v>
      </c>
      <c r="Q465" s="3">
        <f>+IF(F465="Pasajero",'2.2 OPEX LAP 2023'!L466*'2.1 OPEX TUUA'!$Q$7,'2.2 OPEX LAP 2023'!L466*'2.1 OPEX TUUA'!$Q$8)</f>
        <v>0</v>
      </c>
      <c r="R465" s="3">
        <f>+IF(F465="Pasajero",'2.2 OPEX LAP 2023'!M466*'2.1 OPEX TUUA'!$R$7,'2.2 OPEX LAP 2023'!M466*'2.1 OPEX TUUA'!$R$8)</f>
        <v>0</v>
      </c>
      <c r="S465" s="3">
        <f>+IF(F465="Pasajero",'2.2 OPEX LAP 2023'!N466*'2.1 OPEX TUUA'!$S$7,'2.2 OPEX LAP 2023'!N466*'2.1 OPEX TUUA'!$S$8)</f>
        <v>0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>
        <v>0</v>
      </c>
      <c r="AA465" s="7">
        <f t="shared" si="45"/>
        <v>0</v>
      </c>
      <c r="AB465" s="7">
        <f t="shared" si="46"/>
        <v>0</v>
      </c>
      <c r="AC465" s="7">
        <f t="shared" si="47"/>
        <v>0</v>
      </c>
      <c r="AD465" s="7">
        <f t="shared" si="48"/>
        <v>0</v>
      </c>
      <c r="AE465" s="7">
        <f t="shared" si="49"/>
        <v>0</v>
      </c>
      <c r="AF465" s="7">
        <f t="shared" si="50"/>
        <v>0</v>
      </c>
    </row>
    <row r="466" spans="2:32" x14ac:dyDescent="0.25">
      <c r="B466" s="17">
        <v>6562000003</v>
      </c>
      <c r="C466" s="193" t="s">
        <v>177</v>
      </c>
      <c r="D466" s="193" t="s">
        <v>38</v>
      </c>
      <c r="E466" s="193" t="s">
        <v>157</v>
      </c>
      <c r="F466" s="163" t="s">
        <v>190</v>
      </c>
      <c r="G466" s="3">
        <f>+IF(F466="Pasajero",'2.2 OPEX LAP 2023'!I467*'2.1 OPEX TUUA'!$G$7,'2.2 OPEX LAP 2023'!I467*'2.1 OPEX TUUA'!$G$8)</f>
        <v>4.5501042751282519</v>
      </c>
      <c r="H466" s="3">
        <f>+IF(F466="Pasajero",'2.2 OPEX LAP 2023'!J467*'2.1 OPEX TUUA'!$H$7,'2.2 OPEX LAP 2023'!J467*'2.1 OPEX TUUA'!$H$8)</f>
        <v>5.2195844710142412</v>
      </c>
      <c r="I466" s="3">
        <f>+IF(F466="Pasajero",'2.2 OPEX LAP 2023'!K467*'2.1 OPEX TUUA'!$I$7,'2.2 OPEX LAP 2023'!K467*'2.1 OPEX TUUA'!$I$8)</f>
        <v>5.7703271413452031</v>
      </c>
      <c r="J466" s="3">
        <f>+IF(F466="Pasajero",'2.2 OPEX LAP 2023'!L467*'2.1 OPEX TUUA'!$J$7,'2.2 OPEX LAP 2023'!L467*'2.1 OPEX TUUA'!$J$8)</f>
        <v>6.0133655890071429</v>
      </c>
      <c r="K466" s="3">
        <f>+IF(F466="Pasajero",'2.2 OPEX LAP 2023'!M467*'2.1 OPEX TUUA'!$K$7,'2.2 OPEX LAP 2023'!M467*'2.1 OPEX TUUA'!$K$8)</f>
        <v>6.1478847177661056</v>
      </c>
      <c r="L466" s="3">
        <f>+IF(F466="Pasajero",'2.2 OPEX LAP 2023'!N467*'2.1 OPEX TUUA'!$L$7,'2.2 OPEX LAP 2023'!N467*'2.1 OPEX TUUA'!$L$8)</f>
        <v>6.3120738272777333</v>
      </c>
      <c r="M466" s="3"/>
      <c r="N466" s="3">
        <f>+IF(F466="Pasajero",'2.2 OPEX LAP 2023'!I467*'2.1 OPEX TUUA'!$N$7,'2.2 OPEX LAP 2023'!I467*'2.1 OPEX TUUA'!$N$8)</f>
        <v>2.2441897991626547</v>
      </c>
      <c r="O466" s="3">
        <f>+IF(F466="Pasajero",'2.2 OPEX LAP 2023'!J467*'2.1 OPEX TUUA'!$O$7,'2.2 OPEX LAP 2023'!J467*'2.1 OPEX TUUA'!$O$8)</f>
        <v>2.1617599419810078</v>
      </c>
      <c r="P466" s="3">
        <f>+IF(F466="Pasajero",'2.2 OPEX LAP 2023'!K467*'2.1 OPEX TUUA'!$P$7,'2.2 OPEX LAP 2023'!K467*'2.1 OPEX TUUA'!$P$8)</f>
        <v>2.1126822381773098</v>
      </c>
      <c r="Q466" s="3">
        <f>+IF(F466="Pasajero",'2.2 OPEX LAP 2023'!L467*'2.1 OPEX TUUA'!$Q$7,'2.2 OPEX LAP 2023'!L467*'2.1 OPEX TUUA'!$Q$8)</f>
        <v>2.0644539558433226</v>
      </c>
      <c r="R466" s="3">
        <f>+IF(F466="Pasajero",'2.2 OPEX LAP 2023'!M467*'2.1 OPEX TUUA'!$R$7,'2.2 OPEX LAP 2023'!M467*'2.1 OPEX TUUA'!$R$8)</f>
        <v>2.038303933486846</v>
      </c>
      <c r="S466" s="3">
        <f>+IF(F466="Pasajero",'2.2 OPEX LAP 2023'!N467*'2.1 OPEX TUUA'!$S$7,'2.2 OPEX LAP 2023'!N467*'2.1 OPEX TUUA'!$S$8)</f>
        <v>2.0062020266330252</v>
      </c>
      <c r="U466" s="1">
        <v>4.6360787298221471</v>
      </c>
      <c r="V466" s="1">
        <v>5.3182087885001348</v>
      </c>
      <c r="W466" s="1">
        <v>5.8793577699605342</v>
      </c>
      <c r="X466" s="1">
        <v>6.126988441612065</v>
      </c>
      <c r="Y466" s="1">
        <v>6.2640493162391753</v>
      </c>
      <c r="Z466" s="1">
        <v>6.4313407874338315</v>
      </c>
      <c r="AA466" s="7">
        <f t="shared" si="45"/>
        <v>-8.5974454693895197E-2</v>
      </c>
      <c r="AB466" s="7">
        <f t="shared" si="46"/>
        <v>-9.862431748589362E-2</v>
      </c>
      <c r="AC466" s="7">
        <f t="shared" si="47"/>
        <v>-0.10903062861533108</v>
      </c>
      <c r="AD466" s="7">
        <f t="shared" si="48"/>
        <v>-0.11362285260492211</v>
      </c>
      <c r="AE466" s="7">
        <f t="shared" si="49"/>
        <v>-0.1161645984730697</v>
      </c>
      <c r="AF466" s="7">
        <f t="shared" si="50"/>
        <v>-0.11926696015609828</v>
      </c>
    </row>
    <row r="467" spans="2:32" x14ac:dyDescent="0.25">
      <c r="B467" s="17">
        <v>6562000004</v>
      </c>
      <c r="C467" s="193" t="s">
        <v>177</v>
      </c>
      <c r="D467" s="193" t="s">
        <v>38</v>
      </c>
      <c r="E467" s="193" t="s">
        <v>158</v>
      </c>
      <c r="F467" s="163" t="s">
        <v>190</v>
      </c>
      <c r="G467" s="3">
        <f>+IF(F467="Pasajero",'2.2 OPEX LAP 2023'!I468*'2.1 OPEX TUUA'!$G$7,'2.2 OPEX LAP 2023'!I468*'2.1 OPEX TUUA'!$G$8)</f>
        <v>0</v>
      </c>
      <c r="H467" s="3">
        <f>+IF(F467="Pasajero",'2.2 OPEX LAP 2023'!J468*'2.1 OPEX TUUA'!$H$7,'2.2 OPEX LAP 2023'!J468*'2.1 OPEX TUUA'!$H$8)</f>
        <v>0</v>
      </c>
      <c r="I467" s="3">
        <f>+IF(F467="Pasajero",'2.2 OPEX LAP 2023'!K468*'2.1 OPEX TUUA'!$I$7,'2.2 OPEX LAP 2023'!K468*'2.1 OPEX TUUA'!$I$8)</f>
        <v>0</v>
      </c>
      <c r="J467" s="3">
        <f>+IF(F467="Pasajero",'2.2 OPEX LAP 2023'!L468*'2.1 OPEX TUUA'!$J$7,'2.2 OPEX LAP 2023'!L468*'2.1 OPEX TUUA'!$J$8)</f>
        <v>0</v>
      </c>
      <c r="K467" s="3">
        <f>+IF(F467="Pasajero",'2.2 OPEX LAP 2023'!M468*'2.1 OPEX TUUA'!$K$7,'2.2 OPEX LAP 2023'!M468*'2.1 OPEX TUUA'!$K$8)</f>
        <v>0</v>
      </c>
      <c r="L467" s="3">
        <f>+IF(F467="Pasajero",'2.2 OPEX LAP 2023'!N468*'2.1 OPEX TUUA'!$L$7,'2.2 OPEX LAP 2023'!N468*'2.1 OPEX TUUA'!$L$8)</f>
        <v>0</v>
      </c>
      <c r="M467" s="3"/>
      <c r="N467" s="3">
        <f>+IF(F467="Pasajero",'2.2 OPEX LAP 2023'!I468*'2.1 OPEX TUUA'!$N$7,'2.2 OPEX LAP 2023'!I468*'2.1 OPEX TUUA'!$N$8)</f>
        <v>0</v>
      </c>
      <c r="O467" s="3">
        <f>+IF(F467="Pasajero",'2.2 OPEX LAP 2023'!J468*'2.1 OPEX TUUA'!$O$7,'2.2 OPEX LAP 2023'!J468*'2.1 OPEX TUUA'!$O$8)</f>
        <v>0</v>
      </c>
      <c r="P467" s="3">
        <f>+IF(F467="Pasajero",'2.2 OPEX LAP 2023'!K468*'2.1 OPEX TUUA'!$P$7,'2.2 OPEX LAP 2023'!K468*'2.1 OPEX TUUA'!$P$8)</f>
        <v>0</v>
      </c>
      <c r="Q467" s="3">
        <f>+IF(F467="Pasajero",'2.2 OPEX LAP 2023'!L468*'2.1 OPEX TUUA'!$Q$7,'2.2 OPEX LAP 2023'!L468*'2.1 OPEX TUUA'!$Q$8)</f>
        <v>0</v>
      </c>
      <c r="R467" s="3">
        <f>+IF(F467="Pasajero",'2.2 OPEX LAP 2023'!M468*'2.1 OPEX TUUA'!$R$7,'2.2 OPEX LAP 2023'!M468*'2.1 OPEX TUUA'!$R$8)</f>
        <v>0</v>
      </c>
      <c r="S467" s="3">
        <f>+IF(F467="Pasajero",'2.2 OPEX LAP 2023'!N468*'2.1 OPEX TUUA'!$S$7,'2.2 OPEX LAP 2023'!N468*'2.1 OPEX TUUA'!$S$8)</f>
        <v>0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>
        <v>0</v>
      </c>
      <c r="AA467" s="7">
        <f t="shared" si="45"/>
        <v>0</v>
      </c>
      <c r="AB467" s="7">
        <f t="shared" si="46"/>
        <v>0</v>
      </c>
      <c r="AC467" s="7">
        <f t="shared" si="47"/>
        <v>0</v>
      </c>
      <c r="AD467" s="7">
        <f t="shared" si="48"/>
        <v>0</v>
      </c>
      <c r="AE467" s="7">
        <f t="shared" si="49"/>
        <v>0</v>
      </c>
      <c r="AF467" s="7">
        <f t="shared" si="50"/>
        <v>0</v>
      </c>
    </row>
    <row r="468" spans="2:32" x14ac:dyDescent="0.25">
      <c r="B468" s="17">
        <v>6562000005</v>
      </c>
      <c r="C468" s="193" t="s">
        <v>177</v>
      </c>
      <c r="D468" s="193" t="s">
        <v>38</v>
      </c>
      <c r="E468" s="193" t="s">
        <v>159</v>
      </c>
      <c r="F468" s="163" t="s">
        <v>190</v>
      </c>
      <c r="G468" s="3">
        <f>+IF(F468="Pasajero",'2.2 OPEX LAP 2023'!I469*'2.1 OPEX TUUA'!$G$7,'2.2 OPEX LAP 2023'!I469*'2.1 OPEX TUUA'!$G$8)</f>
        <v>3.8205068563958982E-3</v>
      </c>
      <c r="H468" s="3">
        <f>+IF(F468="Pasajero",'2.2 OPEX LAP 2023'!J469*'2.1 OPEX TUUA'!$H$7,'2.2 OPEX LAP 2023'!J469*'2.1 OPEX TUUA'!$H$8)</f>
        <v>4.3826376393286898E-3</v>
      </c>
      <c r="I468" s="3">
        <f>+IF(F468="Pasajero",'2.2 OPEX LAP 2023'!K469*'2.1 OPEX TUUA'!$I$7,'2.2 OPEX LAP 2023'!K469*'2.1 OPEX TUUA'!$I$8)</f>
        <v>4.8450701509550132E-3</v>
      </c>
      <c r="J468" s="3">
        <f>+IF(F468="Pasajero",'2.2 OPEX LAP 2023'!L469*'2.1 OPEX TUUA'!$J$7,'2.2 OPEX LAP 2023'!L469*'2.1 OPEX TUUA'!$J$8)</f>
        <v>5.0491380139127441E-3</v>
      </c>
      <c r="K468" s="3">
        <f>+IF(F468="Pasajero",'2.2 OPEX LAP 2023'!M469*'2.1 OPEX TUUA'!$K$7,'2.2 OPEX LAP 2023'!M469*'2.1 OPEX TUUA'!$K$8)</f>
        <v>5.1620873492827625E-3</v>
      </c>
      <c r="L468" s="3">
        <f>+IF(F468="Pasajero",'2.2 OPEX LAP 2023'!N469*'2.1 OPEX TUUA'!$L$7,'2.2 OPEX LAP 2023'!N469*'2.1 OPEX TUUA'!$L$8)</f>
        <v>5.2999491609479537E-3</v>
      </c>
      <c r="M468" s="3"/>
      <c r="N468" s="3">
        <f>+IF(F468="Pasajero",'2.2 OPEX LAP 2023'!I469*'2.1 OPEX TUUA'!$N$7,'2.2 OPEX LAP 2023'!I469*'2.1 OPEX TUUA'!$N$8)</f>
        <v>1.8843397857102923E-3</v>
      </c>
      <c r="O468" s="3">
        <f>+IF(F468="Pasajero",'2.2 OPEX LAP 2023'!J469*'2.1 OPEX TUUA'!$O$7,'2.2 OPEX LAP 2023'!J469*'2.1 OPEX TUUA'!$O$8)</f>
        <v>1.8151273423261591E-3</v>
      </c>
      <c r="P468" s="3">
        <f>+IF(F468="Pasajero",'2.2 OPEX LAP 2023'!K469*'2.1 OPEX TUUA'!$P$7,'2.2 OPEX LAP 2023'!K469*'2.1 OPEX TUUA'!$P$8)</f>
        <v>1.7739191210326131E-3</v>
      </c>
      <c r="Q468" s="3">
        <f>+IF(F468="Pasajero",'2.2 OPEX LAP 2023'!L469*'2.1 OPEX TUUA'!$Q$7,'2.2 OPEX LAP 2023'!L469*'2.1 OPEX TUUA'!$Q$8)</f>
        <v>1.7334241186792872E-3</v>
      </c>
      <c r="R468" s="3">
        <f>+IF(F468="Pasajero",'2.2 OPEX LAP 2023'!M469*'2.1 OPEX TUUA'!$R$7,'2.2 OPEX LAP 2023'!M469*'2.1 OPEX TUUA'!$R$8)</f>
        <v>1.7114671845813302E-3</v>
      </c>
      <c r="S468" s="3">
        <f>+IF(F468="Pasajero",'2.2 OPEX LAP 2023'!N469*'2.1 OPEX TUUA'!$S$7,'2.2 OPEX LAP 2023'!N469*'2.1 OPEX TUUA'!$S$8)</f>
        <v>1.6845127352275407E-3</v>
      </c>
      <c r="U468" s="1">
        <v>3.8926955302749531E-3</v>
      </c>
      <c r="V468" s="1">
        <v>4.4654478033114937E-3</v>
      </c>
      <c r="W468" s="1">
        <v>4.9366180010689065E-3</v>
      </c>
      <c r="X468" s="1">
        <v>5.14454173681053E-3</v>
      </c>
      <c r="Y468" s="1">
        <v>5.2596252556913661E-3</v>
      </c>
      <c r="Z468" s="1">
        <v>5.4000919733904282E-3</v>
      </c>
      <c r="AA468" s="7">
        <f t="shared" si="45"/>
        <v>-7.2188673879054928E-5</v>
      </c>
      <c r="AB468" s="7">
        <f t="shared" si="46"/>
        <v>-8.28101639828039E-5</v>
      </c>
      <c r="AC468" s="7">
        <f t="shared" si="47"/>
        <v>-9.1547850113893325E-5</v>
      </c>
      <c r="AD468" s="7">
        <f t="shared" si="48"/>
        <v>-9.5403722897785884E-5</v>
      </c>
      <c r="AE468" s="7">
        <f t="shared" si="49"/>
        <v>-9.7537906408603527E-5</v>
      </c>
      <c r="AF468" s="7">
        <f t="shared" si="50"/>
        <v>-1.0014281244247452E-4</v>
      </c>
    </row>
    <row r="469" spans="2:32" x14ac:dyDescent="0.25">
      <c r="B469" s="17">
        <v>6563000001</v>
      </c>
      <c r="C469" s="193" t="s">
        <v>177</v>
      </c>
      <c r="D469" s="193" t="s">
        <v>38</v>
      </c>
      <c r="E469" s="193" t="s">
        <v>160</v>
      </c>
      <c r="F469" s="163" t="s">
        <v>190</v>
      </c>
      <c r="G469" s="3">
        <f>+IF(F469="Pasajero",'2.2 OPEX LAP 2023'!I470*'2.1 OPEX TUUA'!$G$7,'2.2 OPEX LAP 2023'!I470*'2.1 OPEX TUUA'!$G$8)</f>
        <v>0</v>
      </c>
      <c r="H469" s="3">
        <f>+IF(F469="Pasajero",'2.2 OPEX LAP 2023'!J470*'2.1 OPEX TUUA'!$H$7,'2.2 OPEX LAP 2023'!J470*'2.1 OPEX TUUA'!$H$8)</f>
        <v>0</v>
      </c>
      <c r="I469" s="3">
        <f>+IF(F469="Pasajero",'2.2 OPEX LAP 2023'!K470*'2.1 OPEX TUUA'!$I$7,'2.2 OPEX LAP 2023'!K470*'2.1 OPEX TUUA'!$I$8)</f>
        <v>0</v>
      </c>
      <c r="J469" s="3">
        <f>+IF(F469="Pasajero",'2.2 OPEX LAP 2023'!L470*'2.1 OPEX TUUA'!$J$7,'2.2 OPEX LAP 2023'!L470*'2.1 OPEX TUUA'!$J$8)</f>
        <v>0</v>
      </c>
      <c r="K469" s="3">
        <f>+IF(F469="Pasajero",'2.2 OPEX LAP 2023'!M470*'2.1 OPEX TUUA'!$K$7,'2.2 OPEX LAP 2023'!M470*'2.1 OPEX TUUA'!$K$8)</f>
        <v>0</v>
      </c>
      <c r="L469" s="3">
        <f>+IF(F469="Pasajero",'2.2 OPEX LAP 2023'!N470*'2.1 OPEX TUUA'!$L$7,'2.2 OPEX LAP 2023'!N470*'2.1 OPEX TUUA'!$L$8)</f>
        <v>0</v>
      </c>
      <c r="M469" s="3"/>
      <c r="N469" s="3">
        <f>+IF(F469="Pasajero",'2.2 OPEX LAP 2023'!I470*'2.1 OPEX TUUA'!$N$7,'2.2 OPEX LAP 2023'!I470*'2.1 OPEX TUUA'!$N$8)</f>
        <v>0</v>
      </c>
      <c r="O469" s="3">
        <f>+IF(F469="Pasajero",'2.2 OPEX LAP 2023'!J470*'2.1 OPEX TUUA'!$O$7,'2.2 OPEX LAP 2023'!J470*'2.1 OPEX TUUA'!$O$8)</f>
        <v>0</v>
      </c>
      <c r="P469" s="3">
        <f>+IF(F469="Pasajero",'2.2 OPEX LAP 2023'!K470*'2.1 OPEX TUUA'!$P$7,'2.2 OPEX LAP 2023'!K470*'2.1 OPEX TUUA'!$P$8)</f>
        <v>0</v>
      </c>
      <c r="Q469" s="3">
        <f>+IF(F469="Pasajero",'2.2 OPEX LAP 2023'!L470*'2.1 OPEX TUUA'!$Q$7,'2.2 OPEX LAP 2023'!L470*'2.1 OPEX TUUA'!$Q$8)</f>
        <v>0</v>
      </c>
      <c r="R469" s="3">
        <f>+IF(F469="Pasajero",'2.2 OPEX LAP 2023'!M470*'2.1 OPEX TUUA'!$R$7,'2.2 OPEX LAP 2023'!M470*'2.1 OPEX TUUA'!$R$8)</f>
        <v>0</v>
      </c>
      <c r="S469" s="3">
        <f>+IF(F469="Pasajero",'2.2 OPEX LAP 2023'!N470*'2.1 OPEX TUUA'!$S$7,'2.2 OPEX LAP 2023'!N470*'2.1 OPEX TUUA'!$S$8)</f>
        <v>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0</v>
      </c>
      <c r="AA469" s="7">
        <f t="shared" si="45"/>
        <v>0</v>
      </c>
      <c r="AB469" s="7">
        <f t="shared" si="46"/>
        <v>0</v>
      </c>
      <c r="AC469" s="7">
        <f t="shared" si="47"/>
        <v>0</v>
      </c>
      <c r="AD469" s="7">
        <f t="shared" si="48"/>
        <v>0</v>
      </c>
      <c r="AE469" s="7">
        <f t="shared" si="49"/>
        <v>0</v>
      </c>
      <c r="AF469" s="7">
        <f t="shared" si="50"/>
        <v>0</v>
      </c>
    </row>
    <row r="470" spans="2:32" x14ac:dyDescent="0.25">
      <c r="B470" s="17">
        <v>6563000002</v>
      </c>
      <c r="C470" s="193" t="s">
        <v>177</v>
      </c>
      <c r="D470" s="193" t="s">
        <v>38</v>
      </c>
      <c r="E470" s="193" t="s">
        <v>161</v>
      </c>
      <c r="F470" s="163" t="s">
        <v>190</v>
      </c>
      <c r="G470" s="3">
        <f>+IF(F470="Pasajero",'2.2 OPEX LAP 2023'!I471*'2.1 OPEX TUUA'!$G$7,'2.2 OPEX LAP 2023'!I471*'2.1 OPEX TUUA'!$G$8)</f>
        <v>0</v>
      </c>
      <c r="H470" s="3">
        <f>+IF(F470="Pasajero",'2.2 OPEX LAP 2023'!J471*'2.1 OPEX TUUA'!$H$7,'2.2 OPEX LAP 2023'!J471*'2.1 OPEX TUUA'!$H$8)</f>
        <v>0</v>
      </c>
      <c r="I470" s="3">
        <f>+IF(F470="Pasajero",'2.2 OPEX LAP 2023'!K471*'2.1 OPEX TUUA'!$I$7,'2.2 OPEX LAP 2023'!K471*'2.1 OPEX TUUA'!$I$8)</f>
        <v>0</v>
      </c>
      <c r="J470" s="3">
        <f>+IF(F470="Pasajero",'2.2 OPEX LAP 2023'!L471*'2.1 OPEX TUUA'!$J$7,'2.2 OPEX LAP 2023'!L471*'2.1 OPEX TUUA'!$J$8)</f>
        <v>0</v>
      </c>
      <c r="K470" s="3">
        <f>+IF(F470="Pasajero",'2.2 OPEX LAP 2023'!M471*'2.1 OPEX TUUA'!$K$7,'2.2 OPEX LAP 2023'!M471*'2.1 OPEX TUUA'!$K$8)</f>
        <v>0</v>
      </c>
      <c r="L470" s="3">
        <f>+IF(F470="Pasajero",'2.2 OPEX LAP 2023'!N471*'2.1 OPEX TUUA'!$L$7,'2.2 OPEX LAP 2023'!N471*'2.1 OPEX TUUA'!$L$8)</f>
        <v>0</v>
      </c>
      <c r="M470" s="3"/>
      <c r="N470" s="3">
        <f>+IF(F470="Pasajero",'2.2 OPEX LAP 2023'!I471*'2.1 OPEX TUUA'!$N$7,'2.2 OPEX LAP 2023'!I471*'2.1 OPEX TUUA'!$N$8)</f>
        <v>0</v>
      </c>
      <c r="O470" s="3">
        <f>+IF(F470="Pasajero",'2.2 OPEX LAP 2023'!J471*'2.1 OPEX TUUA'!$O$7,'2.2 OPEX LAP 2023'!J471*'2.1 OPEX TUUA'!$O$8)</f>
        <v>0</v>
      </c>
      <c r="P470" s="3">
        <f>+IF(F470="Pasajero",'2.2 OPEX LAP 2023'!K471*'2.1 OPEX TUUA'!$P$7,'2.2 OPEX LAP 2023'!K471*'2.1 OPEX TUUA'!$P$8)</f>
        <v>0</v>
      </c>
      <c r="Q470" s="3">
        <f>+IF(F470="Pasajero",'2.2 OPEX LAP 2023'!L471*'2.1 OPEX TUUA'!$Q$7,'2.2 OPEX LAP 2023'!L471*'2.1 OPEX TUUA'!$Q$8)</f>
        <v>0</v>
      </c>
      <c r="R470" s="3">
        <f>+IF(F470="Pasajero",'2.2 OPEX LAP 2023'!M471*'2.1 OPEX TUUA'!$R$7,'2.2 OPEX LAP 2023'!M471*'2.1 OPEX TUUA'!$R$8)</f>
        <v>0</v>
      </c>
      <c r="S470" s="3">
        <f>+IF(F470="Pasajero",'2.2 OPEX LAP 2023'!N471*'2.1 OPEX TUUA'!$S$7,'2.2 OPEX LAP 2023'!N471*'2.1 OPEX TUUA'!$S$8)</f>
        <v>0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>
        <v>0</v>
      </c>
      <c r="AA470" s="7">
        <f t="shared" si="45"/>
        <v>0</v>
      </c>
      <c r="AB470" s="7">
        <f t="shared" si="46"/>
        <v>0</v>
      </c>
      <c r="AC470" s="7">
        <f t="shared" si="47"/>
        <v>0</v>
      </c>
      <c r="AD470" s="7">
        <f t="shared" si="48"/>
        <v>0</v>
      </c>
      <c r="AE470" s="7">
        <f t="shared" si="49"/>
        <v>0</v>
      </c>
      <c r="AF470" s="7">
        <f t="shared" si="50"/>
        <v>0</v>
      </c>
    </row>
    <row r="471" spans="2:32" x14ac:dyDescent="0.25">
      <c r="B471" s="17">
        <v>6563000003</v>
      </c>
      <c r="C471" s="193" t="s">
        <v>177</v>
      </c>
      <c r="D471" s="193" t="s">
        <v>38</v>
      </c>
      <c r="E471" s="193" t="s">
        <v>162</v>
      </c>
      <c r="F471" s="163" t="s">
        <v>190</v>
      </c>
      <c r="G471" s="3">
        <f>+IF(F471="Pasajero",'2.2 OPEX LAP 2023'!I472*'2.1 OPEX TUUA'!$G$7,'2.2 OPEX LAP 2023'!I472*'2.1 OPEX TUUA'!$G$8)</f>
        <v>0</v>
      </c>
      <c r="H471" s="3">
        <f>+IF(F471="Pasajero",'2.2 OPEX LAP 2023'!J472*'2.1 OPEX TUUA'!$H$7,'2.2 OPEX LAP 2023'!J472*'2.1 OPEX TUUA'!$H$8)</f>
        <v>0</v>
      </c>
      <c r="I471" s="3">
        <f>+IF(F471="Pasajero",'2.2 OPEX LAP 2023'!K472*'2.1 OPEX TUUA'!$I$7,'2.2 OPEX LAP 2023'!K472*'2.1 OPEX TUUA'!$I$8)</f>
        <v>0</v>
      </c>
      <c r="J471" s="3">
        <f>+IF(F471="Pasajero",'2.2 OPEX LAP 2023'!L472*'2.1 OPEX TUUA'!$J$7,'2.2 OPEX LAP 2023'!L472*'2.1 OPEX TUUA'!$J$8)</f>
        <v>0</v>
      </c>
      <c r="K471" s="3">
        <f>+IF(F471="Pasajero",'2.2 OPEX LAP 2023'!M472*'2.1 OPEX TUUA'!$K$7,'2.2 OPEX LAP 2023'!M472*'2.1 OPEX TUUA'!$K$8)</f>
        <v>0</v>
      </c>
      <c r="L471" s="3">
        <f>+IF(F471="Pasajero",'2.2 OPEX LAP 2023'!N472*'2.1 OPEX TUUA'!$L$7,'2.2 OPEX LAP 2023'!N472*'2.1 OPEX TUUA'!$L$8)</f>
        <v>0</v>
      </c>
      <c r="M471" s="3"/>
      <c r="N471" s="3">
        <f>+IF(F471="Pasajero",'2.2 OPEX LAP 2023'!I472*'2.1 OPEX TUUA'!$N$7,'2.2 OPEX LAP 2023'!I472*'2.1 OPEX TUUA'!$N$8)</f>
        <v>0</v>
      </c>
      <c r="O471" s="3">
        <f>+IF(F471="Pasajero",'2.2 OPEX LAP 2023'!J472*'2.1 OPEX TUUA'!$O$7,'2.2 OPEX LAP 2023'!J472*'2.1 OPEX TUUA'!$O$8)</f>
        <v>0</v>
      </c>
      <c r="P471" s="3">
        <f>+IF(F471="Pasajero",'2.2 OPEX LAP 2023'!K472*'2.1 OPEX TUUA'!$P$7,'2.2 OPEX LAP 2023'!K472*'2.1 OPEX TUUA'!$P$8)</f>
        <v>0</v>
      </c>
      <c r="Q471" s="3">
        <f>+IF(F471="Pasajero",'2.2 OPEX LAP 2023'!L472*'2.1 OPEX TUUA'!$Q$7,'2.2 OPEX LAP 2023'!L472*'2.1 OPEX TUUA'!$Q$8)</f>
        <v>0</v>
      </c>
      <c r="R471" s="3">
        <f>+IF(F471="Pasajero",'2.2 OPEX LAP 2023'!M472*'2.1 OPEX TUUA'!$R$7,'2.2 OPEX LAP 2023'!M472*'2.1 OPEX TUUA'!$R$8)</f>
        <v>0</v>
      </c>
      <c r="S471" s="3">
        <f>+IF(F471="Pasajero",'2.2 OPEX LAP 2023'!N472*'2.1 OPEX TUUA'!$S$7,'2.2 OPEX LAP 2023'!N472*'2.1 OPEX TUUA'!$S$8)</f>
        <v>0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>
        <v>0</v>
      </c>
      <c r="AA471" s="7">
        <f t="shared" si="45"/>
        <v>0</v>
      </c>
      <c r="AB471" s="7">
        <f t="shared" si="46"/>
        <v>0</v>
      </c>
      <c r="AC471" s="7">
        <f t="shared" si="47"/>
        <v>0</v>
      </c>
      <c r="AD471" s="7">
        <f t="shared" si="48"/>
        <v>0</v>
      </c>
      <c r="AE471" s="7">
        <f t="shared" si="49"/>
        <v>0</v>
      </c>
      <c r="AF471" s="7">
        <f t="shared" si="50"/>
        <v>0</v>
      </c>
    </row>
    <row r="472" spans="2:32" x14ac:dyDescent="0.25">
      <c r="B472" s="17">
        <v>6563000004</v>
      </c>
      <c r="C472" s="193" t="s">
        <v>177</v>
      </c>
      <c r="D472" s="193" t="s">
        <v>38</v>
      </c>
      <c r="E472" s="193" t="s">
        <v>163</v>
      </c>
      <c r="F472" s="163" t="s">
        <v>190</v>
      </c>
      <c r="G472" s="3">
        <f>+IF(F472="Pasajero",'2.2 OPEX LAP 2023'!I473*'2.1 OPEX TUUA'!$G$7,'2.2 OPEX LAP 2023'!I473*'2.1 OPEX TUUA'!$G$8)</f>
        <v>0</v>
      </c>
      <c r="H472" s="3">
        <f>+IF(F472="Pasajero",'2.2 OPEX LAP 2023'!J473*'2.1 OPEX TUUA'!$H$7,'2.2 OPEX LAP 2023'!J473*'2.1 OPEX TUUA'!$H$8)</f>
        <v>0</v>
      </c>
      <c r="I472" s="3">
        <f>+IF(F472="Pasajero",'2.2 OPEX LAP 2023'!K473*'2.1 OPEX TUUA'!$I$7,'2.2 OPEX LAP 2023'!K473*'2.1 OPEX TUUA'!$I$8)</f>
        <v>0</v>
      </c>
      <c r="J472" s="3">
        <f>+IF(F472="Pasajero",'2.2 OPEX LAP 2023'!L473*'2.1 OPEX TUUA'!$J$7,'2.2 OPEX LAP 2023'!L473*'2.1 OPEX TUUA'!$J$8)</f>
        <v>0</v>
      </c>
      <c r="K472" s="3">
        <f>+IF(F472="Pasajero",'2.2 OPEX LAP 2023'!M473*'2.1 OPEX TUUA'!$K$7,'2.2 OPEX LAP 2023'!M473*'2.1 OPEX TUUA'!$K$8)</f>
        <v>0</v>
      </c>
      <c r="L472" s="3">
        <f>+IF(F472="Pasajero",'2.2 OPEX LAP 2023'!N473*'2.1 OPEX TUUA'!$L$7,'2.2 OPEX LAP 2023'!N473*'2.1 OPEX TUUA'!$L$8)</f>
        <v>0</v>
      </c>
      <c r="M472" s="3"/>
      <c r="N472" s="3">
        <f>+IF(F472="Pasajero",'2.2 OPEX LAP 2023'!I473*'2.1 OPEX TUUA'!$N$7,'2.2 OPEX LAP 2023'!I473*'2.1 OPEX TUUA'!$N$8)</f>
        <v>0</v>
      </c>
      <c r="O472" s="3">
        <f>+IF(F472="Pasajero",'2.2 OPEX LAP 2023'!J473*'2.1 OPEX TUUA'!$O$7,'2.2 OPEX LAP 2023'!J473*'2.1 OPEX TUUA'!$O$8)</f>
        <v>0</v>
      </c>
      <c r="P472" s="3">
        <f>+IF(F472="Pasajero",'2.2 OPEX LAP 2023'!K473*'2.1 OPEX TUUA'!$P$7,'2.2 OPEX LAP 2023'!K473*'2.1 OPEX TUUA'!$P$8)</f>
        <v>0</v>
      </c>
      <c r="Q472" s="3">
        <f>+IF(F472="Pasajero",'2.2 OPEX LAP 2023'!L473*'2.1 OPEX TUUA'!$Q$7,'2.2 OPEX LAP 2023'!L473*'2.1 OPEX TUUA'!$Q$8)</f>
        <v>0</v>
      </c>
      <c r="R472" s="3">
        <f>+IF(F472="Pasajero",'2.2 OPEX LAP 2023'!M473*'2.1 OPEX TUUA'!$R$7,'2.2 OPEX LAP 2023'!M473*'2.1 OPEX TUUA'!$R$8)</f>
        <v>0</v>
      </c>
      <c r="S472" s="3">
        <f>+IF(F472="Pasajero",'2.2 OPEX LAP 2023'!N473*'2.1 OPEX TUUA'!$S$7,'2.2 OPEX LAP 2023'!N473*'2.1 OPEX TUUA'!$S$8)</f>
        <v>0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>
        <v>0</v>
      </c>
      <c r="AA472" s="7">
        <f t="shared" si="45"/>
        <v>0</v>
      </c>
      <c r="AB472" s="7">
        <f t="shared" si="46"/>
        <v>0</v>
      </c>
      <c r="AC472" s="7">
        <f t="shared" si="47"/>
        <v>0</v>
      </c>
      <c r="AD472" s="7">
        <f t="shared" si="48"/>
        <v>0</v>
      </c>
      <c r="AE472" s="7">
        <f t="shared" si="49"/>
        <v>0</v>
      </c>
      <c r="AF472" s="7">
        <f t="shared" si="50"/>
        <v>0</v>
      </c>
    </row>
    <row r="473" spans="2:32" x14ac:dyDescent="0.25">
      <c r="B473" s="17">
        <v>6563000005</v>
      </c>
      <c r="C473" s="193" t="s">
        <v>177</v>
      </c>
      <c r="D473" s="193" t="s">
        <v>38</v>
      </c>
      <c r="E473" s="193" t="s">
        <v>164</v>
      </c>
      <c r="F473" s="163" t="s">
        <v>190</v>
      </c>
      <c r="G473" s="3">
        <f>+IF(F473="Pasajero",'2.2 OPEX LAP 2023'!I474*'2.1 OPEX TUUA'!$G$7,'2.2 OPEX LAP 2023'!I474*'2.1 OPEX TUUA'!$G$8)</f>
        <v>0</v>
      </c>
      <c r="H473" s="3">
        <f>+IF(F473="Pasajero",'2.2 OPEX LAP 2023'!J474*'2.1 OPEX TUUA'!$H$7,'2.2 OPEX LAP 2023'!J474*'2.1 OPEX TUUA'!$H$8)</f>
        <v>0</v>
      </c>
      <c r="I473" s="3">
        <f>+IF(F473="Pasajero",'2.2 OPEX LAP 2023'!K474*'2.1 OPEX TUUA'!$I$7,'2.2 OPEX LAP 2023'!K474*'2.1 OPEX TUUA'!$I$8)</f>
        <v>0</v>
      </c>
      <c r="J473" s="3">
        <f>+IF(F473="Pasajero",'2.2 OPEX LAP 2023'!L474*'2.1 OPEX TUUA'!$J$7,'2.2 OPEX LAP 2023'!L474*'2.1 OPEX TUUA'!$J$8)</f>
        <v>0</v>
      </c>
      <c r="K473" s="3">
        <f>+IF(F473="Pasajero",'2.2 OPEX LAP 2023'!M474*'2.1 OPEX TUUA'!$K$7,'2.2 OPEX LAP 2023'!M474*'2.1 OPEX TUUA'!$K$8)</f>
        <v>0</v>
      </c>
      <c r="L473" s="3">
        <f>+IF(F473="Pasajero",'2.2 OPEX LAP 2023'!N474*'2.1 OPEX TUUA'!$L$7,'2.2 OPEX LAP 2023'!N474*'2.1 OPEX TUUA'!$L$8)</f>
        <v>0</v>
      </c>
      <c r="M473" s="3"/>
      <c r="N473" s="3">
        <f>+IF(F473="Pasajero",'2.2 OPEX LAP 2023'!I474*'2.1 OPEX TUUA'!$N$7,'2.2 OPEX LAP 2023'!I474*'2.1 OPEX TUUA'!$N$8)</f>
        <v>0</v>
      </c>
      <c r="O473" s="3">
        <f>+IF(F473="Pasajero",'2.2 OPEX LAP 2023'!J474*'2.1 OPEX TUUA'!$O$7,'2.2 OPEX LAP 2023'!J474*'2.1 OPEX TUUA'!$O$8)</f>
        <v>0</v>
      </c>
      <c r="P473" s="3">
        <f>+IF(F473="Pasajero",'2.2 OPEX LAP 2023'!K474*'2.1 OPEX TUUA'!$P$7,'2.2 OPEX LAP 2023'!K474*'2.1 OPEX TUUA'!$P$8)</f>
        <v>0</v>
      </c>
      <c r="Q473" s="3">
        <f>+IF(F473="Pasajero",'2.2 OPEX LAP 2023'!L474*'2.1 OPEX TUUA'!$Q$7,'2.2 OPEX LAP 2023'!L474*'2.1 OPEX TUUA'!$Q$8)</f>
        <v>0</v>
      </c>
      <c r="R473" s="3">
        <f>+IF(F473="Pasajero",'2.2 OPEX LAP 2023'!M474*'2.1 OPEX TUUA'!$R$7,'2.2 OPEX LAP 2023'!M474*'2.1 OPEX TUUA'!$R$8)</f>
        <v>0</v>
      </c>
      <c r="S473" s="3">
        <f>+IF(F473="Pasajero",'2.2 OPEX LAP 2023'!N474*'2.1 OPEX TUUA'!$S$7,'2.2 OPEX LAP 2023'!N474*'2.1 OPEX TUUA'!$S$8)</f>
        <v>0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>
        <v>0</v>
      </c>
      <c r="AA473" s="7">
        <f t="shared" si="45"/>
        <v>0</v>
      </c>
      <c r="AB473" s="7">
        <f t="shared" si="46"/>
        <v>0</v>
      </c>
      <c r="AC473" s="7">
        <f t="shared" si="47"/>
        <v>0</v>
      </c>
      <c r="AD473" s="7">
        <f t="shared" si="48"/>
        <v>0</v>
      </c>
      <c r="AE473" s="7">
        <f t="shared" si="49"/>
        <v>0</v>
      </c>
      <c r="AF473" s="7">
        <f t="shared" si="50"/>
        <v>0</v>
      </c>
    </row>
    <row r="474" spans="2:32" x14ac:dyDescent="0.25">
      <c r="B474" s="17">
        <v>6590000001</v>
      </c>
      <c r="C474" s="193" t="s">
        <v>177</v>
      </c>
      <c r="D474" s="193" t="s">
        <v>38</v>
      </c>
      <c r="E474" s="193" t="s">
        <v>165</v>
      </c>
      <c r="F474" s="163" t="s">
        <v>190</v>
      </c>
      <c r="G474" s="3">
        <f>+IF(F474="Pasajero",'2.2 OPEX LAP 2023'!I475*'2.1 OPEX TUUA'!$G$7,'2.2 OPEX LAP 2023'!I475*'2.1 OPEX TUUA'!$G$8)</f>
        <v>0</v>
      </c>
      <c r="H474" s="3">
        <f>+IF(F474="Pasajero",'2.2 OPEX LAP 2023'!J475*'2.1 OPEX TUUA'!$H$7,'2.2 OPEX LAP 2023'!J475*'2.1 OPEX TUUA'!$H$8)</f>
        <v>0</v>
      </c>
      <c r="I474" s="3">
        <f>+IF(F474="Pasajero",'2.2 OPEX LAP 2023'!K475*'2.1 OPEX TUUA'!$I$7,'2.2 OPEX LAP 2023'!K475*'2.1 OPEX TUUA'!$I$8)</f>
        <v>0</v>
      </c>
      <c r="J474" s="3">
        <f>+IF(F474="Pasajero",'2.2 OPEX LAP 2023'!L475*'2.1 OPEX TUUA'!$J$7,'2.2 OPEX LAP 2023'!L475*'2.1 OPEX TUUA'!$J$8)</f>
        <v>0</v>
      </c>
      <c r="K474" s="3">
        <f>+IF(F474="Pasajero",'2.2 OPEX LAP 2023'!M475*'2.1 OPEX TUUA'!$K$7,'2.2 OPEX LAP 2023'!M475*'2.1 OPEX TUUA'!$K$8)</f>
        <v>0</v>
      </c>
      <c r="L474" s="3">
        <f>+IF(F474="Pasajero",'2.2 OPEX LAP 2023'!N475*'2.1 OPEX TUUA'!$L$7,'2.2 OPEX LAP 2023'!N475*'2.1 OPEX TUUA'!$L$8)</f>
        <v>0</v>
      </c>
      <c r="M474" s="3"/>
      <c r="N474" s="3">
        <f>+IF(F474="Pasajero",'2.2 OPEX LAP 2023'!I475*'2.1 OPEX TUUA'!$N$7,'2.2 OPEX LAP 2023'!I475*'2.1 OPEX TUUA'!$N$8)</f>
        <v>0</v>
      </c>
      <c r="O474" s="3">
        <f>+IF(F474="Pasajero",'2.2 OPEX LAP 2023'!J475*'2.1 OPEX TUUA'!$O$7,'2.2 OPEX LAP 2023'!J475*'2.1 OPEX TUUA'!$O$8)</f>
        <v>0</v>
      </c>
      <c r="P474" s="3">
        <f>+IF(F474="Pasajero",'2.2 OPEX LAP 2023'!K475*'2.1 OPEX TUUA'!$P$7,'2.2 OPEX LAP 2023'!K475*'2.1 OPEX TUUA'!$P$8)</f>
        <v>0</v>
      </c>
      <c r="Q474" s="3">
        <f>+IF(F474="Pasajero",'2.2 OPEX LAP 2023'!L475*'2.1 OPEX TUUA'!$Q$7,'2.2 OPEX LAP 2023'!L475*'2.1 OPEX TUUA'!$Q$8)</f>
        <v>0</v>
      </c>
      <c r="R474" s="3">
        <f>+IF(F474="Pasajero",'2.2 OPEX LAP 2023'!M475*'2.1 OPEX TUUA'!$R$7,'2.2 OPEX LAP 2023'!M475*'2.1 OPEX TUUA'!$R$8)</f>
        <v>0</v>
      </c>
      <c r="S474" s="3">
        <f>+IF(F474="Pasajero",'2.2 OPEX LAP 2023'!N475*'2.1 OPEX TUUA'!$S$7,'2.2 OPEX LAP 2023'!N475*'2.1 OPEX TUUA'!$S$8)</f>
        <v>0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>
        <v>0</v>
      </c>
      <c r="AA474" s="7">
        <f t="shared" si="45"/>
        <v>0</v>
      </c>
      <c r="AB474" s="7">
        <f t="shared" si="46"/>
        <v>0</v>
      </c>
      <c r="AC474" s="7">
        <f t="shared" si="47"/>
        <v>0</v>
      </c>
      <c r="AD474" s="7">
        <f t="shared" si="48"/>
        <v>0</v>
      </c>
      <c r="AE474" s="7">
        <f t="shared" si="49"/>
        <v>0</v>
      </c>
      <c r="AF474" s="7">
        <f t="shared" si="50"/>
        <v>0</v>
      </c>
    </row>
    <row r="475" spans="2:32" x14ac:dyDescent="0.25">
      <c r="B475" s="17">
        <v>6590000002</v>
      </c>
      <c r="C475" s="193" t="s">
        <v>177</v>
      </c>
      <c r="D475" s="193" t="s">
        <v>38</v>
      </c>
      <c r="E475" s="193" t="s">
        <v>166</v>
      </c>
      <c r="F475" s="163" t="s">
        <v>190</v>
      </c>
      <c r="G475" s="3">
        <f>+IF(F475="Pasajero",'2.2 OPEX LAP 2023'!I476*'2.1 OPEX TUUA'!$G$7,'2.2 OPEX LAP 2023'!I476*'2.1 OPEX TUUA'!$G$8)</f>
        <v>1087.0726597201592</v>
      </c>
      <c r="H475" s="3">
        <f>+IF(F475="Pasajero",'2.2 OPEX LAP 2023'!J476*'2.1 OPEX TUUA'!$H$7,'2.2 OPEX LAP 2023'!J476*'2.1 OPEX TUUA'!$H$8)</f>
        <v>1247.0192396589764</v>
      </c>
      <c r="I475" s="3">
        <f>+IF(F475="Pasajero",'2.2 OPEX LAP 2023'!K476*'2.1 OPEX TUUA'!$I$7,'2.2 OPEX LAP 2023'!K476*'2.1 OPEX TUUA'!$I$8)</f>
        <v>1378.5980482437944</v>
      </c>
      <c r="J475" s="3">
        <f>+IF(F475="Pasajero",'2.2 OPEX LAP 2023'!L476*'2.1 OPEX TUUA'!$J$7,'2.2 OPEX LAP 2023'!L476*'2.1 OPEX TUUA'!$J$8)</f>
        <v>1436.6627508833128</v>
      </c>
      <c r="K475" s="3">
        <f>+IF(F475="Pasajero",'2.2 OPEX LAP 2023'!M476*'2.1 OPEX TUUA'!$K$7,'2.2 OPEX LAP 2023'!M476*'2.1 OPEX TUUA'!$K$8)</f>
        <v>1468.8009301955051</v>
      </c>
      <c r="L475" s="3">
        <f>+IF(F475="Pasajero",'2.2 OPEX LAP 2023'!N476*'2.1 OPEX TUUA'!$L$7,'2.2 OPEX LAP 2023'!N476*'2.1 OPEX TUUA'!$L$8)</f>
        <v>1508.0276118672914</v>
      </c>
      <c r="M475" s="3"/>
      <c r="N475" s="3">
        <f>+IF(F475="Pasajero",'2.2 OPEX LAP 2023'!I476*'2.1 OPEX TUUA'!$N$7,'2.2 OPEX LAP 2023'!I476*'2.1 OPEX TUUA'!$N$8)</f>
        <v>536.16295943543685</v>
      </c>
      <c r="O475" s="3">
        <f>+IF(F475="Pasajero",'2.2 OPEX LAP 2023'!J476*'2.1 OPEX TUUA'!$O$7,'2.2 OPEX LAP 2023'!J476*'2.1 OPEX TUUA'!$O$8)</f>
        <v>516.46951096292253</v>
      </c>
      <c r="P475" s="3">
        <f>+IF(F475="Pasajero",'2.2 OPEX LAP 2023'!K476*'2.1 OPEX TUUA'!$P$7,'2.2 OPEX LAP 2023'!K476*'2.1 OPEX TUUA'!$P$8)</f>
        <v>504.74427857682724</v>
      </c>
      <c r="Q475" s="3">
        <f>+IF(F475="Pasajero",'2.2 OPEX LAP 2023'!L476*'2.1 OPEX TUUA'!$Q$7,'2.2 OPEX LAP 2023'!L476*'2.1 OPEX TUUA'!$Q$8)</f>
        <v>493.2219828270085</v>
      </c>
      <c r="R475" s="3">
        <f>+IF(F475="Pasajero",'2.2 OPEX LAP 2023'!M476*'2.1 OPEX TUUA'!$R$7,'2.2 OPEX LAP 2023'!M476*'2.1 OPEX TUUA'!$R$8)</f>
        <v>486.97443933439365</v>
      </c>
      <c r="S475" s="3">
        <f>+IF(F475="Pasajero",'2.2 OPEX LAP 2023'!N476*'2.1 OPEX TUUA'!$S$7,'2.2 OPEX LAP 2023'!N476*'2.1 OPEX TUUA'!$S$8)</f>
        <v>479.30492163643095</v>
      </c>
      <c r="U475" s="1">
        <v>1107.6129536301155</v>
      </c>
      <c r="V475" s="1">
        <v>1270.5817324371128</v>
      </c>
      <c r="W475" s="1">
        <v>1404.6467293889068</v>
      </c>
      <c r="X475" s="1">
        <v>1463.8085675762156</v>
      </c>
      <c r="Y475" s="1">
        <v>1496.5539994422281</v>
      </c>
      <c r="Z475" s="1">
        <v>1536.5218712851095</v>
      </c>
      <c r="AA475" s="7">
        <f t="shared" si="45"/>
        <v>-20.54029390995629</v>
      </c>
      <c r="AB475" s="7">
        <f t="shared" si="46"/>
        <v>-23.562492778136402</v>
      </c>
      <c r="AC475" s="7">
        <f t="shared" si="47"/>
        <v>-26.048681145112369</v>
      </c>
      <c r="AD475" s="7">
        <f t="shared" si="48"/>
        <v>-27.145816692902827</v>
      </c>
      <c r="AE475" s="7">
        <f t="shared" si="49"/>
        <v>-27.753069246723044</v>
      </c>
      <c r="AF475" s="7">
        <f t="shared" si="50"/>
        <v>-28.494259417818057</v>
      </c>
    </row>
    <row r="476" spans="2:32" x14ac:dyDescent="0.25">
      <c r="B476" s="17">
        <v>6590000003</v>
      </c>
      <c r="C476" s="193" t="s">
        <v>177</v>
      </c>
      <c r="D476" s="193" t="s">
        <v>38</v>
      </c>
      <c r="E476" s="193" t="s">
        <v>167</v>
      </c>
      <c r="F476" s="163" t="s">
        <v>190</v>
      </c>
      <c r="G476" s="3">
        <f>+IF(F476="Pasajero",'2.2 OPEX LAP 2023'!I477*'2.1 OPEX TUUA'!$G$7,'2.2 OPEX LAP 2023'!I477*'2.1 OPEX TUUA'!$G$8)</f>
        <v>0</v>
      </c>
      <c r="H476" s="3">
        <f>+IF(F476="Pasajero",'2.2 OPEX LAP 2023'!J477*'2.1 OPEX TUUA'!$H$7,'2.2 OPEX LAP 2023'!J477*'2.1 OPEX TUUA'!$H$8)</f>
        <v>0</v>
      </c>
      <c r="I476" s="3">
        <f>+IF(F476="Pasajero",'2.2 OPEX LAP 2023'!K477*'2.1 OPEX TUUA'!$I$7,'2.2 OPEX LAP 2023'!K477*'2.1 OPEX TUUA'!$I$8)</f>
        <v>0</v>
      </c>
      <c r="J476" s="3">
        <f>+IF(F476="Pasajero",'2.2 OPEX LAP 2023'!L477*'2.1 OPEX TUUA'!$J$7,'2.2 OPEX LAP 2023'!L477*'2.1 OPEX TUUA'!$J$8)</f>
        <v>0</v>
      </c>
      <c r="K476" s="3">
        <f>+IF(F476="Pasajero",'2.2 OPEX LAP 2023'!M477*'2.1 OPEX TUUA'!$K$7,'2.2 OPEX LAP 2023'!M477*'2.1 OPEX TUUA'!$K$8)</f>
        <v>0</v>
      </c>
      <c r="L476" s="3">
        <f>+IF(F476="Pasajero",'2.2 OPEX LAP 2023'!N477*'2.1 OPEX TUUA'!$L$7,'2.2 OPEX LAP 2023'!N477*'2.1 OPEX TUUA'!$L$8)</f>
        <v>0</v>
      </c>
      <c r="M476" s="3"/>
      <c r="N476" s="3">
        <f>+IF(F476="Pasajero",'2.2 OPEX LAP 2023'!I477*'2.1 OPEX TUUA'!$N$7,'2.2 OPEX LAP 2023'!I477*'2.1 OPEX TUUA'!$N$8)</f>
        <v>0</v>
      </c>
      <c r="O476" s="3">
        <f>+IF(F476="Pasajero",'2.2 OPEX LAP 2023'!J477*'2.1 OPEX TUUA'!$O$7,'2.2 OPEX LAP 2023'!J477*'2.1 OPEX TUUA'!$O$8)</f>
        <v>0</v>
      </c>
      <c r="P476" s="3">
        <f>+IF(F476="Pasajero",'2.2 OPEX LAP 2023'!K477*'2.1 OPEX TUUA'!$P$7,'2.2 OPEX LAP 2023'!K477*'2.1 OPEX TUUA'!$P$8)</f>
        <v>0</v>
      </c>
      <c r="Q476" s="3">
        <f>+IF(F476="Pasajero",'2.2 OPEX LAP 2023'!L477*'2.1 OPEX TUUA'!$Q$7,'2.2 OPEX LAP 2023'!L477*'2.1 OPEX TUUA'!$Q$8)</f>
        <v>0</v>
      </c>
      <c r="R476" s="3">
        <f>+IF(F476="Pasajero",'2.2 OPEX LAP 2023'!M477*'2.1 OPEX TUUA'!$R$7,'2.2 OPEX LAP 2023'!M477*'2.1 OPEX TUUA'!$R$8)</f>
        <v>0</v>
      </c>
      <c r="S476" s="3">
        <f>+IF(F476="Pasajero",'2.2 OPEX LAP 2023'!N477*'2.1 OPEX TUUA'!$S$7,'2.2 OPEX LAP 2023'!N477*'2.1 OPEX TUUA'!$S$8)</f>
        <v>0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>
        <v>0</v>
      </c>
      <c r="AA476" s="7">
        <f t="shared" si="45"/>
        <v>0</v>
      </c>
      <c r="AB476" s="7">
        <f t="shared" si="46"/>
        <v>0</v>
      </c>
      <c r="AC476" s="7">
        <f t="shared" si="47"/>
        <v>0</v>
      </c>
      <c r="AD476" s="7">
        <f t="shared" si="48"/>
        <v>0</v>
      </c>
      <c r="AE476" s="7">
        <f t="shared" si="49"/>
        <v>0</v>
      </c>
      <c r="AF476" s="7">
        <f t="shared" si="50"/>
        <v>0</v>
      </c>
    </row>
    <row r="477" spans="2:32" x14ac:dyDescent="0.25">
      <c r="B477" s="17">
        <v>6590000004</v>
      </c>
      <c r="C477" s="193" t="s">
        <v>177</v>
      </c>
      <c r="D477" s="193" t="s">
        <v>38</v>
      </c>
      <c r="E477" s="193" t="s">
        <v>168</v>
      </c>
      <c r="F477" s="163" t="s">
        <v>190</v>
      </c>
      <c r="G477" s="3">
        <f>+IF(F477="Pasajero",'2.2 OPEX LAP 2023'!I478*'2.1 OPEX TUUA'!$G$7,'2.2 OPEX LAP 2023'!I478*'2.1 OPEX TUUA'!$G$8)</f>
        <v>89.830538529873635</v>
      </c>
      <c r="H477" s="3">
        <f>+IF(F477="Pasajero",'2.2 OPEX LAP 2023'!J478*'2.1 OPEX TUUA'!$H$7,'2.2 OPEX LAP 2023'!J478*'2.1 OPEX TUUA'!$H$8)</f>
        <v>103.04776672841389</v>
      </c>
      <c r="I477" s="3">
        <f>+IF(F477="Pasajero",'2.2 OPEX LAP 2023'!K478*'2.1 OPEX TUUA'!$I$7,'2.2 OPEX LAP 2023'!K478*'2.1 OPEX TUUA'!$I$8)</f>
        <v>113.92081659182971</v>
      </c>
      <c r="J477" s="3">
        <f>+IF(F477="Pasajero",'2.2 OPEX LAP 2023'!L478*'2.1 OPEX TUUA'!$J$7,'2.2 OPEX LAP 2023'!L478*'2.1 OPEX TUUA'!$J$8)</f>
        <v>118.71900874673834</v>
      </c>
      <c r="K477" s="3">
        <f>+IF(F477="Pasajero",'2.2 OPEX LAP 2023'!M478*'2.1 OPEX TUUA'!$K$7,'2.2 OPEX LAP 2023'!M478*'2.1 OPEX TUUA'!$K$8)</f>
        <v>121.37475574687635</v>
      </c>
      <c r="L477" s="3">
        <f>+IF(F477="Pasajero",'2.2 OPEX LAP 2023'!N478*'2.1 OPEX TUUA'!$L$7,'2.2 OPEX LAP 2023'!N478*'2.1 OPEX TUUA'!$L$8)</f>
        <v>124.61626302590551</v>
      </c>
      <c r="M477" s="3"/>
      <c r="N477" s="3">
        <f>+IF(F477="Pasajero",'2.2 OPEX LAP 2023'!I478*'2.1 OPEX TUUA'!$N$7,'2.2 OPEX LAP 2023'!I478*'2.1 OPEX TUUA'!$N$8)</f>
        <v>44.305968837680737</v>
      </c>
      <c r="O477" s="3">
        <f>+IF(F477="Pasajero",'2.2 OPEX LAP 2023'!J478*'2.1 OPEX TUUA'!$O$7,'2.2 OPEX LAP 2023'!J478*'2.1 OPEX TUUA'!$O$8)</f>
        <v>42.678595482295556</v>
      </c>
      <c r="P477" s="3">
        <f>+IF(F477="Pasajero",'2.2 OPEX LAP 2023'!K478*'2.1 OPEX TUUA'!$P$7,'2.2 OPEX LAP 2023'!K478*'2.1 OPEX TUUA'!$P$8)</f>
        <v>41.70967778372885</v>
      </c>
      <c r="Q477" s="3">
        <f>+IF(F477="Pasajero",'2.2 OPEX LAP 2023'!L478*'2.1 OPEX TUUA'!$Q$7,'2.2 OPEX LAP 2023'!L478*'2.1 OPEX TUUA'!$Q$8)</f>
        <v>40.757529808106739</v>
      </c>
      <c r="R477" s="3">
        <f>+IF(F477="Pasajero",'2.2 OPEX LAP 2023'!M478*'2.1 OPEX TUUA'!$R$7,'2.2 OPEX LAP 2023'!M478*'2.1 OPEX TUUA'!$R$8)</f>
        <v>40.241262388986037</v>
      </c>
      <c r="S477" s="3">
        <f>+IF(F477="Pasajero",'2.2 OPEX LAP 2023'!N478*'2.1 OPEX TUUA'!$S$7,'2.2 OPEX LAP 2023'!N478*'2.1 OPEX TUUA'!$S$8)</f>
        <v>39.607489752987867</v>
      </c>
      <c r="U477" s="1">
        <v>91.527891183346</v>
      </c>
      <c r="V477" s="1">
        <v>104.99485958963176</v>
      </c>
      <c r="W477" s="1">
        <v>116.07335629038195</v>
      </c>
      <c r="X477" s="1">
        <v>120.96221053325409</v>
      </c>
      <c r="Y477" s="1">
        <v>123.66813800978028</v>
      </c>
      <c r="Z477" s="1">
        <v>126.97089373584485</v>
      </c>
      <c r="AA477" s="7">
        <f t="shared" si="45"/>
        <v>-1.6973526534723646</v>
      </c>
      <c r="AB477" s="7">
        <f t="shared" si="46"/>
        <v>-1.9470928612178682</v>
      </c>
      <c r="AC477" s="7">
        <f t="shared" si="47"/>
        <v>-2.1525396985522463</v>
      </c>
      <c r="AD477" s="7">
        <f t="shared" si="48"/>
        <v>-2.2432017865157547</v>
      </c>
      <c r="AE477" s="7">
        <f t="shared" si="49"/>
        <v>-2.2933822629039327</v>
      </c>
      <c r="AF477" s="7">
        <f t="shared" si="50"/>
        <v>-2.3546307099393431</v>
      </c>
    </row>
    <row r="478" spans="2:32" x14ac:dyDescent="0.25">
      <c r="B478" s="17">
        <v>6590000005</v>
      </c>
      <c r="C478" s="193" t="s">
        <v>177</v>
      </c>
      <c r="D478" s="193" t="s">
        <v>38</v>
      </c>
      <c r="E478" s="193" t="s">
        <v>169</v>
      </c>
      <c r="F478" s="163" t="s">
        <v>190</v>
      </c>
      <c r="G478" s="3">
        <f>+IF(F478="Pasajero",'2.2 OPEX LAP 2023'!I479*'2.1 OPEX TUUA'!$G$7,'2.2 OPEX LAP 2023'!I479*'2.1 OPEX TUUA'!$G$8)</f>
        <v>0</v>
      </c>
      <c r="H478" s="3">
        <f>+IF(F478="Pasajero",'2.2 OPEX LAP 2023'!J479*'2.1 OPEX TUUA'!$H$7,'2.2 OPEX LAP 2023'!J479*'2.1 OPEX TUUA'!$H$8)</f>
        <v>0</v>
      </c>
      <c r="I478" s="3">
        <f>+IF(F478="Pasajero",'2.2 OPEX LAP 2023'!K479*'2.1 OPEX TUUA'!$I$7,'2.2 OPEX LAP 2023'!K479*'2.1 OPEX TUUA'!$I$8)</f>
        <v>0</v>
      </c>
      <c r="J478" s="3">
        <f>+IF(F478="Pasajero",'2.2 OPEX LAP 2023'!L479*'2.1 OPEX TUUA'!$J$7,'2.2 OPEX LAP 2023'!L479*'2.1 OPEX TUUA'!$J$8)</f>
        <v>0</v>
      </c>
      <c r="K478" s="3">
        <f>+IF(F478="Pasajero",'2.2 OPEX LAP 2023'!M479*'2.1 OPEX TUUA'!$K$7,'2.2 OPEX LAP 2023'!M479*'2.1 OPEX TUUA'!$K$8)</f>
        <v>0</v>
      </c>
      <c r="L478" s="3">
        <f>+IF(F478="Pasajero",'2.2 OPEX LAP 2023'!N479*'2.1 OPEX TUUA'!$L$7,'2.2 OPEX LAP 2023'!N479*'2.1 OPEX TUUA'!$L$8)</f>
        <v>0</v>
      </c>
      <c r="M478" s="3"/>
      <c r="N478" s="3">
        <f>+IF(F478="Pasajero",'2.2 OPEX LAP 2023'!I479*'2.1 OPEX TUUA'!$N$7,'2.2 OPEX LAP 2023'!I479*'2.1 OPEX TUUA'!$N$8)</f>
        <v>0</v>
      </c>
      <c r="O478" s="3">
        <f>+IF(F478="Pasajero",'2.2 OPEX LAP 2023'!J479*'2.1 OPEX TUUA'!$O$7,'2.2 OPEX LAP 2023'!J479*'2.1 OPEX TUUA'!$O$8)</f>
        <v>0</v>
      </c>
      <c r="P478" s="3">
        <f>+IF(F478="Pasajero",'2.2 OPEX LAP 2023'!K479*'2.1 OPEX TUUA'!$P$7,'2.2 OPEX LAP 2023'!K479*'2.1 OPEX TUUA'!$P$8)</f>
        <v>0</v>
      </c>
      <c r="Q478" s="3">
        <f>+IF(F478="Pasajero",'2.2 OPEX LAP 2023'!L479*'2.1 OPEX TUUA'!$Q$7,'2.2 OPEX LAP 2023'!L479*'2.1 OPEX TUUA'!$Q$8)</f>
        <v>0</v>
      </c>
      <c r="R478" s="3">
        <f>+IF(F478="Pasajero",'2.2 OPEX LAP 2023'!M479*'2.1 OPEX TUUA'!$R$7,'2.2 OPEX LAP 2023'!M479*'2.1 OPEX TUUA'!$R$8)</f>
        <v>0</v>
      </c>
      <c r="S478" s="3">
        <f>+IF(F478="Pasajero",'2.2 OPEX LAP 2023'!N479*'2.1 OPEX TUUA'!$S$7,'2.2 OPEX LAP 2023'!N479*'2.1 OPEX TUUA'!$S$8)</f>
        <v>0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>
        <v>0</v>
      </c>
      <c r="AA478" s="7">
        <f t="shared" si="45"/>
        <v>0</v>
      </c>
      <c r="AB478" s="7">
        <f t="shared" si="46"/>
        <v>0</v>
      </c>
      <c r="AC478" s="7">
        <f t="shared" si="47"/>
        <v>0</v>
      </c>
      <c r="AD478" s="7">
        <f t="shared" si="48"/>
        <v>0</v>
      </c>
      <c r="AE478" s="7">
        <f t="shared" si="49"/>
        <v>0</v>
      </c>
      <c r="AF478" s="7">
        <f t="shared" si="50"/>
        <v>0</v>
      </c>
    </row>
    <row r="479" spans="2:32" x14ac:dyDescent="0.25">
      <c r="B479" s="17">
        <v>6590000006</v>
      </c>
      <c r="C479" s="193" t="s">
        <v>177</v>
      </c>
      <c r="D479" s="193" t="s">
        <v>38</v>
      </c>
      <c r="E479" s="193" t="s">
        <v>170</v>
      </c>
      <c r="F479" s="163" t="s">
        <v>190</v>
      </c>
      <c r="G479" s="3">
        <f>+IF(F479="Pasajero",'2.2 OPEX LAP 2023'!I480*'2.1 OPEX TUUA'!$G$7,'2.2 OPEX LAP 2023'!I480*'2.1 OPEX TUUA'!$G$8)</f>
        <v>15774.255187792347</v>
      </c>
      <c r="H479" s="3">
        <f>+IF(F479="Pasajero",'2.2 OPEX LAP 2023'!J480*'2.1 OPEX TUUA'!$H$7,'2.2 OPEX LAP 2023'!J480*'2.1 OPEX TUUA'!$H$8)</f>
        <v>18095.202316587791</v>
      </c>
      <c r="I479" s="3">
        <f>+IF(F479="Pasajero",'2.2 OPEX LAP 2023'!K480*'2.1 OPEX TUUA'!$I$7,'2.2 OPEX LAP 2023'!K480*'2.1 OPEX TUUA'!$I$8)</f>
        <v>20004.511400358606</v>
      </c>
      <c r="J479" s="3">
        <f>+IF(F479="Pasajero",'2.2 OPEX LAP 2023'!L480*'2.1 OPEX TUUA'!$J$7,'2.2 OPEX LAP 2023'!L480*'2.1 OPEX TUUA'!$J$8)</f>
        <v>20847.074616946931</v>
      </c>
      <c r="K479" s="3">
        <f>+IF(F479="Pasajero",'2.2 OPEX LAP 2023'!M480*'2.1 OPEX TUUA'!$K$7,'2.2 OPEX LAP 2023'!M480*'2.1 OPEX TUUA'!$K$8)</f>
        <v>21313.42416332597</v>
      </c>
      <c r="L479" s="3">
        <f>+IF(F479="Pasajero",'2.2 OPEX LAP 2023'!N480*'2.1 OPEX TUUA'!$L$7,'2.2 OPEX LAP 2023'!N480*'2.1 OPEX TUUA'!$L$8)</f>
        <v>21882.633296982538</v>
      </c>
      <c r="M479" s="3"/>
      <c r="N479" s="3">
        <f>+IF(F479="Pasajero",'2.2 OPEX LAP 2023'!I480*'2.1 OPEX TUUA'!$N$7,'2.2 OPEX LAP 2023'!I480*'2.1 OPEX TUUA'!$N$8)</f>
        <v>7780.1343532581677</v>
      </c>
      <c r="O479" s="3">
        <f>+IF(F479="Pasajero",'2.2 OPEX LAP 2023'!J480*'2.1 OPEX TUUA'!$O$7,'2.2 OPEX LAP 2023'!J480*'2.1 OPEX TUUA'!$O$8)</f>
        <v>7494.3673633928811</v>
      </c>
      <c r="P479" s="3">
        <f>+IF(F479="Pasajero",'2.2 OPEX LAP 2023'!K480*'2.1 OPEX TUUA'!$P$7,'2.2 OPEX LAP 2023'!K480*'2.1 OPEX TUUA'!$P$8)</f>
        <v>7324.2252793834768</v>
      </c>
      <c r="Q479" s="3">
        <f>+IF(F479="Pasajero",'2.2 OPEX LAP 2023'!L480*'2.1 OPEX TUUA'!$Q$7,'2.2 OPEX LAP 2023'!L480*'2.1 OPEX TUUA'!$Q$8)</f>
        <v>7157.0279610794323</v>
      </c>
      <c r="R479" s="3">
        <f>+IF(F479="Pasajero",'2.2 OPEX LAP 2023'!M480*'2.1 OPEX TUUA'!$R$7,'2.2 OPEX LAP 2023'!M480*'2.1 OPEX TUUA'!$R$8)</f>
        <v>7066.3713297419208</v>
      </c>
      <c r="S479" s="3">
        <f>+IF(F479="Pasajero",'2.2 OPEX LAP 2023'!N480*'2.1 OPEX TUUA'!$S$7,'2.2 OPEX LAP 2023'!N480*'2.1 OPEX TUUA'!$S$8)</f>
        <v>6955.080765810254</v>
      </c>
      <c r="U479" s="1">
        <v>16072.310552234423</v>
      </c>
      <c r="V479" s="1">
        <v>18437.11209660058</v>
      </c>
      <c r="W479" s="1">
        <v>20382.497673874321</v>
      </c>
      <c r="X479" s="1">
        <v>21240.981165847825</v>
      </c>
      <c r="Y479" s="1">
        <v>21716.142410931403</v>
      </c>
      <c r="Z479" s="1">
        <v>22296.106780493312</v>
      </c>
      <c r="AA479" s="7">
        <f t="shared" si="45"/>
        <v>-298.0553644420761</v>
      </c>
      <c r="AB479" s="7">
        <f t="shared" si="46"/>
        <v>-341.90978001278927</v>
      </c>
      <c r="AC479" s="7">
        <f t="shared" si="47"/>
        <v>-377.98627351571486</v>
      </c>
      <c r="AD479" s="7">
        <f t="shared" si="48"/>
        <v>-393.90654890089354</v>
      </c>
      <c r="AE479" s="7">
        <f t="shared" si="49"/>
        <v>-402.71824760543313</v>
      </c>
      <c r="AF479" s="7">
        <f t="shared" si="50"/>
        <v>-413.4734835107738</v>
      </c>
    </row>
    <row r="480" spans="2:32" x14ac:dyDescent="0.25">
      <c r="B480" s="17">
        <v>6590000007</v>
      </c>
      <c r="C480" s="193" t="s">
        <v>177</v>
      </c>
      <c r="D480" s="193" t="s">
        <v>38</v>
      </c>
      <c r="E480" s="193" t="s">
        <v>171</v>
      </c>
      <c r="F480" s="163" t="s">
        <v>190</v>
      </c>
      <c r="G480" s="3">
        <f>+IF(F480="Pasajero",'2.2 OPEX LAP 2023'!I481*'2.1 OPEX TUUA'!$G$7,'2.2 OPEX LAP 2023'!I481*'2.1 OPEX TUUA'!$G$8)</f>
        <v>0</v>
      </c>
      <c r="H480" s="3">
        <f>+IF(F480="Pasajero",'2.2 OPEX LAP 2023'!J481*'2.1 OPEX TUUA'!$H$7,'2.2 OPEX LAP 2023'!J481*'2.1 OPEX TUUA'!$H$8)</f>
        <v>0</v>
      </c>
      <c r="I480" s="3">
        <f>+IF(F480="Pasajero",'2.2 OPEX LAP 2023'!K481*'2.1 OPEX TUUA'!$I$7,'2.2 OPEX LAP 2023'!K481*'2.1 OPEX TUUA'!$I$8)</f>
        <v>0</v>
      </c>
      <c r="J480" s="3">
        <f>+IF(F480="Pasajero",'2.2 OPEX LAP 2023'!L481*'2.1 OPEX TUUA'!$J$7,'2.2 OPEX LAP 2023'!L481*'2.1 OPEX TUUA'!$J$8)</f>
        <v>0</v>
      </c>
      <c r="K480" s="3">
        <f>+IF(F480="Pasajero",'2.2 OPEX LAP 2023'!M481*'2.1 OPEX TUUA'!$K$7,'2.2 OPEX LAP 2023'!M481*'2.1 OPEX TUUA'!$K$8)</f>
        <v>0</v>
      </c>
      <c r="L480" s="3">
        <f>+IF(F480="Pasajero",'2.2 OPEX LAP 2023'!N481*'2.1 OPEX TUUA'!$L$7,'2.2 OPEX LAP 2023'!N481*'2.1 OPEX TUUA'!$L$8)</f>
        <v>0</v>
      </c>
      <c r="M480" s="3"/>
      <c r="N480" s="3">
        <f>+IF(F480="Pasajero",'2.2 OPEX LAP 2023'!I481*'2.1 OPEX TUUA'!$N$7,'2.2 OPEX LAP 2023'!I481*'2.1 OPEX TUUA'!$N$8)</f>
        <v>0</v>
      </c>
      <c r="O480" s="3">
        <f>+IF(F480="Pasajero",'2.2 OPEX LAP 2023'!J481*'2.1 OPEX TUUA'!$O$7,'2.2 OPEX LAP 2023'!J481*'2.1 OPEX TUUA'!$O$8)</f>
        <v>0</v>
      </c>
      <c r="P480" s="3">
        <f>+IF(F480="Pasajero",'2.2 OPEX LAP 2023'!K481*'2.1 OPEX TUUA'!$P$7,'2.2 OPEX LAP 2023'!K481*'2.1 OPEX TUUA'!$P$8)</f>
        <v>0</v>
      </c>
      <c r="Q480" s="3">
        <f>+IF(F480="Pasajero",'2.2 OPEX LAP 2023'!L481*'2.1 OPEX TUUA'!$Q$7,'2.2 OPEX LAP 2023'!L481*'2.1 OPEX TUUA'!$Q$8)</f>
        <v>0</v>
      </c>
      <c r="R480" s="3">
        <f>+IF(F480="Pasajero",'2.2 OPEX LAP 2023'!M481*'2.1 OPEX TUUA'!$R$7,'2.2 OPEX LAP 2023'!M481*'2.1 OPEX TUUA'!$R$8)</f>
        <v>0</v>
      </c>
      <c r="S480" s="3">
        <f>+IF(F480="Pasajero",'2.2 OPEX LAP 2023'!N481*'2.1 OPEX TUUA'!$S$7,'2.2 OPEX LAP 2023'!N481*'2.1 OPEX TUUA'!$S$8)</f>
        <v>0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>
        <v>0</v>
      </c>
      <c r="AA480" s="7">
        <f t="shared" si="45"/>
        <v>0</v>
      </c>
      <c r="AB480" s="7">
        <f t="shared" si="46"/>
        <v>0</v>
      </c>
      <c r="AC480" s="7">
        <f t="shared" si="47"/>
        <v>0</v>
      </c>
      <c r="AD480" s="7">
        <f t="shared" si="48"/>
        <v>0</v>
      </c>
      <c r="AE480" s="7">
        <f t="shared" si="49"/>
        <v>0</v>
      </c>
      <c r="AF480" s="7">
        <f t="shared" si="50"/>
        <v>0</v>
      </c>
    </row>
    <row r="481" spans="2:32" x14ac:dyDescent="0.25">
      <c r="B481" s="17">
        <v>6590000010</v>
      </c>
      <c r="C481" s="193" t="s">
        <v>177</v>
      </c>
      <c r="D481" s="193" t="s">
        <v>38</v>
      </c>
      <c r="E481" s="193" t="s">
        <v>172</v>
      </c>
      <c r="F481" s="163" t="s">
        <v>190</v>
      </c>
      <c r="G481" s="3">
        <f>+IF(F481="Pasajero",'2.2 OPEX LAP 2023'!I482*'2.1 OPEX TUUA'!$G$7,'2.2 OPEX LAP 2023'!I482*'2.1 OPEX TUUA'!$G$8)</f>
        <v>0</v>
      </c>
      <c r="H481" s="3">
        <f>+IF(F481="Pasajero",'2.2 OPEX LAP 2023'!J482*'2.1 OPEX TUUA'!$H$7,'2.2 OPEX LAP 2023'!J482*'2.1 OPEX TUUA'!$H$8)</f>
        <v>0</v>
      </c>
      <c r="I481" s="3">
        <f>+IF(F481="Pasajero",'2.2 OPEX LAP 2023'!K482*'2.1 OPEX TUUA'!$I$7,'2.2 OPEX LAP 2023'!K482*'2.1 OPEX TUUA'!$I$8)</f>
        <v>0</v>
      </c>
      <c r="J481" s="3">
        <f>+IF(F481="Pasajero",'2.2 OPEX LAP 2023'!L482*'2.1 OPEX TUUA'!$J$7,'2.2 OPEX LAP 2023'!L482*'2.1 OPEX TUUA'!$J$8)</f>
        <v>0</v>
      </c>
      <c r="K481" s="3">
        <f>+IF(F481="Pasajero",'2.2 OPEX LAP 2023'!M482*'2.1 OPEX TUUA'!$K$7,'2.2 OPEX LAP 2023'!M482*'2.1 OPEX TUUA'!$K$8)</f>
        <v>0</v>
      </c>
      <c r="L481" s="3">
        <f>+IF(F481="Pasajero",'2.2 OPEX LAP 2023'!N482*'2.1 OPEX TUUA'!$L$7,'2.2 OPEX LAP 2023'!N482*'2.1 OPEX TUUA'!$L$8)</f>
        <v>0</v>
      </c>
      <c r="M481" s="3"/>
      <c r="N481" s="3">
        <f>+IF(F481="Pasajero",'2.2 OPEX LAP 2023'!I482*'2.1 OPEX TUUA'!$N$7,'2.2 OPEX LAP 2023'!I482*'2.1 OPEX TUUA'!$N$8)</f>
        <v>0</v>
      </c>
      <c r="O481" s="3">
        <f>+IF(F481="Pasajero",'2.2 OPEX LAP 2023'!J482*'2.1 OPEX TUUA'!$O$7,'2.2 OPEX LAP 2023'!J482*'2.1 OPEX TUUA'!$O$8)</f>
        <v>0</v>
      </c>
      <c r="P481" s="3">
        <f>+IF(F481="Pasajero",'2.2 OPEX LAP 2023'!K482*'2.1 OPEX TUUA'!$P$7,'2.2 OPEX LAP 2023'!K482*'2.1 OPEX TUUA'!$P$8)</f>
        <v>0</v>
      </c>
      <c r="Q481" s="3">
        <f>+IF(F481="Pasajero",'2.2 OPEX LAP 2023'!L482*'2.1 OPEX TUUA'!$Q$7,'2.2 OPEX LAP 2023'!L482*'2.1 OPEX TUUA'!$Q$8)</f>
        <v>0</v>
      </c>
      <c r="R481" s="3">
        <f>+IF(F481="Pasajero",'2.2 OPEX LAP 2023'!M482*'2.1 OPEX TUUA'!$R$7,'2.2 OPEX LAP 2023'!M482*'2.1 OPEX TUUA'!$R$8)</f>
        <v>0</v>
      </c>
      <c r="S481" s="3">
        <f>+IF(F481="Pasajero",'2.2 OPEX LAP 2023'!N482*'2.1 OPEX TUUA'!$S$7,'2.2 OPEX LAP 2023'!N482*'2.1 OPEX TUUA'!$S$8)</f>
        <v>0</v>
      </c>
      <c r="U481" s="1">
        <v>0</v>
      </c>
      <c r="V481" s="1">
        <v>0</v>
      </c>
      <c r="W481" s="1">
        <v>0</v>
      </c>
      <c r="X481" s="1">
        <v>0</v>
      </c>
      <c r="Y481" s="1">
        <v>0</v>
      </c>
      <c r="Z481" s="1">
        <v>0</v>
      </c>
      <c r="AA481" s="7">
        <f t="shared" si="45"/>
        <v>0</v>
      </c>
      <c r="AB481" s="7">
        <f t="shared" si="46"/>
        <v>0</v>
      </c>
      <c r="AC481" s="7">
        <f t="shared" si="47"/>
        <v>0</v>
      </c>
      <c r="AD481" s="7">
        <f t="shared" si="48"/>
        <v>0</v>
      </c>
      <c r="AE481" s="7">
        <f t="shared" si="49"/>
        <v>0</v>
      </c>
      <c r="AF481" s="7">
        <f t="shared" si="50"/>
        <v>0</v>
      </c>
    </row>
    <row r="482" spans="2:32" x14ac:dyDescent="0.25">
      <c r="B482" s="17">
        <v>6590000011</v>
      </c>
      <c r="C482" s="193" t="s">
        <v>177</v>
      </c>
      <c r="D482" s="193" t="s">
        <v>38</v>
      </c>
      <c r="E482" s="193" t="s">
        <v>173</v>
      </c>
      <c r="F482" s="163" t="s">
        <v>190</v>
      </c>
      <c r="G482" s="3">
        <f>+IF(F482="Pasajero",'2.2 OPEX LAP 2023'!I483*'2.1 OPEX TUUA'!$G$7,'2.2 OPEX LAP 2023'!I483*'2.1 OPEX TUUA'!$G$8)</f>
        <v>120.30986378968134</v>
      </c>
      <c r="H482" s="3">
        <f>+IF(F482="Pasajero",'2.2 OPEX LAP 2023'!J483*'2.1 OPEX TUUA'!$H$7,'2.2 OPEX LAP 2023'!J483*'2.1 OPEX TUUA'!$H$8)</f>
        <v>138.0116715520237</v>
      </c>
      <c r="I482" s="3">
        <f>+IF(F482="Pasajero",'2.2 OPEX LAP 2023'!K483*'2.1 OPEX TUUA'!$I$7,'2.2 OPEX LAP 2023'!K483*'2.1 OPEX TUUA'!$I$8)</f>
        <v>152.57392587504486</v>
      </c>
      <c r="J482" s="3">
        <f>+IF(F482="Pasajero",'2.2 OPEX LAP 2023'!L483*'2.1 OPEX TUUA'!$J$7,'2.2 OPEX LAP 2023'!L483*'2.1 OPEX TUUA'!$J$8)</f>
        <v>159.00013520253097</v>
      </c>
      <c r="K482" s="3">
        <f>+IF(F482="Pasajero",'2.2 OPEX LAP 2023'!M483*'2.1 OPEX TUUA'!$K$7,'2.2 OPEX LAP 2023'!M483*'2.1 OPEX TUUA'!$K$8)</f>
        <v>162.55697194285847</v>
      </c>
      <c r="L482" s="3">
        <f>+IF(F482="Pasajero",'2.2 OPEX LAP 2023'!N483*'2.1 OPEX TUUA'!$L$7,'2.2 OPEX LAP 2023'!N483*'2.1 OPEX TUUA'!$L$8)</f>
        <v>166.89831627403564</v>
      </c>
      <c r="M482" s="3"/>
      <c r="N482" s="3">
        <f>+IF(F482="Pasajero",'2.2 OPEX LAP 2023'!I483*'2.1 OPEX TUUA'!$N$7,'2.2 OPEX LAP 2023'!I483*'2.1 OPEX TUUA'!$N$8)</f>
        <v>59.338897029528177</v>
      </c>
      <c r="O482" s="3">
        <f>+IF(F482="Pasajero",'2.2 OPEX LAP 2023'!J483*'2.1 OPEX TUUA'!$O$7,'2.2 OPEX LAP 2023'!J483*'2.1 OPEX TUUA'!$O$8)</f>
        <v>57.159359091477896</v>
      </c>
      <c r="P482" s="3">
        <f>+IF(F482="Pasajero",'2.2 OPEX LAP 2023'!K483*'2.1 OPEX TUUA'!$P$7,'2.2 OPEX LAP 2023'!K483*'2.1 OPEX TUUA'!$P$8)</f>
        <v>55.86168952113232</v>
      </c>
      <c r="Q482" s="3">
        <f>+IF(F482="Pasajero",'2.2 OPEX LAP 2023'!L483*'2.1 OPEX TUUA'!$Q$7,'2.2 OPEX LAP 2023'!L483*'2.1 OPEX TUUA'!$Q$8)</f>
        <v>54.586479607783957</v>
      </c>
      <c r="R482" s="3">
        <f>+IF(F482="Pasajero",'2.2 OPEX LAP 2023'!M483*'2.1 OPEX TUUA'!$R$7,'2.2 OPEX LAP 2023'!M483*'2.1 OPEX TUUA'!$R$8)</f>
        <v>53.895043667512873</v>
      </c>
      <c r="S482" s="3">
        <f>+IF(F482="Pasajero",'2.2 OPEX LAP 2023'!N483*'2.1 OPEX TUUA'!$S$7,'2.2 OPEX LAP 2023'!N483*'2.1 OPEX TUUA'!$S$8)</f>
        <v>53.046233221105382</v>
      </c>
      <c r="U482" s="1">
        <v>122.58312486419226</v>
      </c>
      <c r="V482" s="1">
        <v>140.61940919617777</v>
      </c>
      <c r="W482" s="1">
        <v>155.45681806486047</v>
      </c>
      <c r="X482" s="1">
        <v>162.00445094865924</v>
      </c>
      <c r="Y482" s="1">
        <v>165.62849430243872</v>
      </c>
      <c r="Z482" s="1">
        <v>170.05186855841382</v>
      </c>
      <c r="AA482" s="7">
        <f t="shared" si="45"/>
        <v>-2.2732610745109127</v>
      </c>
      <c r="AB482" s="7">
        <f t="shared" si="46"/>
        <v>-2.6077376441540707</v>
      </c>
      <c r="AC482" s="7">
        <f t="shared" si="47"/>
        <v>-2.8828921898156068</v>
      </c>
      <c r="AD482" s="7">
        <f t="shared" si="48"/>
        <v>-3.0043157461282703</v>
      </c>
      <c r="AE482" s="7">
        <f t="shared" si="49"/>
        <v>-3.071522359580257</v>
      </c>
      <c r="AF482" s="7">
        <f t="shared" si="50"/>
        <v>-3.1535522843781791</v>
      </c>
    </row>
    <row r="483" spans="2:32" x14ac:dyDescent="0.25">
      <c r="B483" s="17">
        <v>6840000001</v>
      </c>
      <c r="C483" s="193" t="s">
        <v>177</v>
      </c>
      <c r="D483" s="193" t="s">
        <v>38</v>
      </c>
      <c r="E483" s="193" t="s">
        <v>174</v>
      </c>
      <c r="F483" s="163" t="s">
        <v>190</v>
      </c>
      <c r="G483" s="3">
        <f>+IF(F483="Pasajero",'2.2 OPEX LAP 2023'!I484*'2.1 OPEX TUUA'!$G$7,'2.2 OPEX LAP 2023'!I484*'2.1 OPEX TUUA'!$G$8)</f>
        <v>0</v>
      </c>
      <c r="H483" s="3">
        <f>+IF(F483="Pasajero",'2.2 OPEX LAP 2023'!J484*'2.1 OPEX TUUA'!$H$7,'2.2 OPEX LAP 2023'!J484*'2.1 OPEX TUUA'!$H$8)</f>
        <v>0</v>
      </c>
      <c r="I483" s="3">
        <f>+IF(F483="Pasajero",'2.2 OPEX LAP 2023'!K484*'2.1 OPEX TUUA'!$I$7,'2.2 OPEX LAP 2023'!K484*'2.1 OPEX TUUA'!$I$8)</f>
        <v>0</v>
      </c>
      <c r="J483" s="3">
        <f>+IF(F483="Pasajero",'2.2 OPEX LAP 2023'!L484*'2.1 OPEX TUUA'!$J$7,'2.2 OPEX LAP 2023'!L484*'2.1 OPEX TUUA'!$J$8)</f>
        <v>0</v>
      </c>
      <c r="K483" s="3">
        <f>+IF(F483="Pasajero",'2.2 OPEX LAP 2023'!M484*'2.1 OPEX TUUA'!$K$7,'2.2 OPEX LAP 2023'!M484*'2.1 OPEX TUUA'!$K$8)</f>
        <v>0</v>
      </c>
      <c r="L483" s="3">
        <f>+IF(F483="Pasajero",'2.2 OPEX LAP 2023'!N484*'2.1 OPEX TUUA'!$L$7,'2.2 OPEX LAP 2023'!N484*'2.1 OPEX TUUA'!$L$8)</f>
        <v>0</v>
      </c>
      <c r="M483" s="3"/>
      <c r="N483" s="3">
        <f>+IF(F483="Pasajero",'2.2 OPEX LAP 2023'!I484*'2.1 OPEX TUUA'!$N$7,'2.2 OPEX LAP 2023'!I484*'2.1 OPEX TUUA'!$N$8)</f>
        <v>0</v>
      </c>
      <c r="O483" s="3">
        <f>+IF(F483="Pasajero",'2.2 OPEX LAP 2023'!J484*'2.1 OPEX TUUA'!$O$7,'2.2 OPEX LAP 2023'!J484*'2.1 OPEX TUUA'!$O$8)</f>
        <v>0</v>
      </c>
      <c r="P483" s="3">
        <f>+IF(F483="Pasajero",'2.2 OPEX LAP 2023'!K484*'2.1 OPEX TUUA'!$P$7,'2.2 OPEX LAP 2023'!K484*'2.1 OPEX TUUA'!$P$8)</f>
        <v>0</v>
      </c>
      <c r="Q483" s="3">
        <f>+IF(F483="Pasajero",'2.2 OPEX LAP 2023'!L484*'2.1 OPEX TUUA'!$Q$7,'2.2 OPEX LAP 2023'!L484*'2.1 OPEX TUUA'!$Q$8)</f>
        <v>0</v>
      </c>
      <c r="R483" s="3">
        <f>+IF(F483="Pasajero",'2.2 OPEX LAP 2023'!M484*'2.1 OPEX TUUA'!$R$7,'2.2 OPEX LAP 2023'!M484*'2.1 OPEX TUUA'!$R$8)</f>
        <v>0</v>
      </c>
      <c r="S483" s="3">
        <f>+IF(F483="Pasajero",'2.2 OPEX LAP 2023'!N484*'2.1 OPEX TUUA'!$S$7,'2.2 OPEX LAP 2023'!N484*'2.1 OPEX TUUA'!$S$8)</f>
        <v>0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>
        <v>0</v>
      </c>
      <c r="AA483" s="7">
        <f t="shared" si="45"/>
        <v>0</v>
      </c>
      <c r="AB483" s="7">
        <f t="shared" si="46"/>
        <v>0</v>
      </c>
      <c r="AC483" s="7">
        <f t="shared" si="47"/>
        <v>0</v>
      </c>
      <c r="AD483" s="7">
        <f t="shared" si="48"/>
        <v>0</v>
      </c>
      <c r="AE483" s="7">
        <f t="shared" si="49"/>
        <v>0</v>
      </c>
      <c r="AF483" s="7">
        <f t="shared" si="50"/>
        <v>0</v>
      </c>
    </row>
    <row r="484" spans="2:32" x14ac:dyDescent="0.25">
      <c r="B484" s="192">
        <v>8710000001</v>
      </c>
      <c r="C484" s="194" t="s">
        <v>177</v>
      </c>
      <c r="D484" s="194" t="s">
        <v>14</v>
      </c>
      <c r="E484" s="194" t="s">
        <v>175</v>
      </c>
      <c r="F484" s="164" t="s">
        <v>190</v>
      </c>
      <c r="G484" s="151">
        <f>+IF(F484="Pasajero",'2.2 OPEX LAP 2023'!I485*'2.1 OPEX TUUA'!$G$7,'2.2 OPEX LAP 2023'!I485*'2.1 OPEX TUUA'!$G$8)</f>
        <v>0</v>
      </c>
      <c r="H484" s="151">
        <f>+IF(F484="Pasajero",'2.2 OPEX LAP 2023'!J485*'2.1 OPEX TUUA'!$H$7,'2.2 OPEX LAP 2023'!J485*'2.1 OPEX TUUA'!$H$8)</f>
        <v>0</v>
      </c>
      <c r="I484" s="151">
        <f>+IF(F484="Pasajero",'2.2 OPEX LAP 2023'!K485*'2.1 OPEX TUUA'!$I$7,'2.2 OPEX LAP 2023'!K485*'2.1 OPEX TUUA'!$I$8)</f>
        <v>0</v>
      </c>
      <c r="J484" s="151">
        <f>+IF(F484="Pasajero",'2.2 OPEX LAP 2023'!L485*'2.1 OPEX TUUA'!$J$7,'2.2 OPEX LAP 2023'!L485*'2.1 OPEX TUUA'!$J$8)</f>
        <v>0</v>
      </c>
      <c r="K484" s="151">
        <f>+IF(F484="Pasajero",'2.2 OPEX LAP 2023'!M485*'2.1 OPEX TUUA'!$K$7,'2.2 OPEX LAP 2023'!M485*'2.1 OPEX TUUA'!$K$8)</f>
        <v>0</v>
      </c>
      <c r="L484" s="151">
        <f>+IF(F484="Pasajero",'2.2 OPEX LAP 2023'!N485*'2.1 OPEX TUUA'!$L$7,'2.2 OPEX LAP 2023'!N485*'2.1 OPEX TUUA'!$L$8)</f>
        <v>0</v>
      </c>
      <c r="M484" s="151"/>
      <c r="N484" s="151">
        <f>+IF(F484="Pasajero",'2.2 OPEX LAP 2023'!I485*'2.1 OPEX TUUA'!$N$7,'2.2 OPEX LAP 2023'!I485*'2.1 OPEX TUUA'!$N$8)</f>
        <v>0</v>
      </c>
      <c r="O484" s="151">
        <f>+IF(F484="Pasajero",'2.2 OPEX LAP 2023'!J485*'2.1 OPEX TUUA'!$O$7,'2.2 OPEX LAP 2023'!J485*'2.1 OPEX TUUA'!$O$8)</f>
        <v>0</v>
      </c>
      <c r="P484" s="151">
        <f>+IF(F484="Pasajero",'2.2 OPEX LAP 2023'!K485*'2.1 OPEX TUUA'!$P$7,'2.2 OPEX LAP 2023'!K485*'2.1 OPEX TUUA'!$P$8)</f>
        <v>0</v>
      </c>
      <c r="Q484" s="151">
        <f>+IF(F484="Pasajero",'2.2 OPEX LAP 2023'!L485*'2.1 OPEX TUUA'!$Q$7,'2.2 OPEX LAP 2023'!L485*'2.1 OPEX TUUA'!$Q$8)</f>
        <v>0</v>
      </c>
      <c r="R484" s="151">
        <f>+IF(F484="Pasajero",'2.2 OPEX LAP 2023'!M485*'2.1 OPEX TUUA'!$R$7,'2.2 OPEX LAP 2023'!M485*'2.1 OPEX TUUA'!$R$8)</f>
        <v>0</v>
      </c>
      <c r="S484" s="151">
        <f>+IF(F484="Pasajero",'2.2 OPEX LAP 2023'!N485*'2.1 OPEX TUUA'!$S$7,'2.2 OPEX LAP 2023'!N485*'2.1 OPEX TUUA'!$S$8)</f>
        <v>0</v>
      </c>
      <c r="U484" s="1">
        <v>0</v>
      </c>
      <c r="V484" s="1">
        <v>0</v>
      </c>
      <c r="W484" s="1">
        <v>0</v>
      </c>
      <c r="X484" s="1">
        <v>0</v>
      </c>
      <c r="Y484" s="1">
        <v>0</v>
      </c>
      <c r="Z484" s="1">
        <v>0</v>
      </c>
      <c r="AA484" s="7">
        <f t="shared" si="45"/>
        <v>0</v>
      </c>
      <c r="AB484" s="7">
        <f t="shared" si="46"/>
        <v>0</v>
      </c>
      <c r="AC484" s="7">
        <f t="shared" si="47"/>
        <v>0</v>
      </c>
      <c r="AD484" s="7">
        <f t="shared" si="48"/>
        <v>0</v>
      </c>
      <c r="AE484" s="7">
        <f t="shared" si="49"/>
        <v>0</v>
      </c>
      <c r="AF484" s="7">
        <f t="shared" si="50"/>
        <v>0</v>
      </c>
    </row>
    <row r="485" spans="2:32" x14ac:dyDescent="0.25">
      <c r="G485" s="3"/>
      <c r="H485" s="3"/>
      <c r="I485" s="3"/>
      <c r="J485" s="3"/>
      <c r="K485" s="3"/>
      <c r="L485" s="3"/>
      <c r="M485" s="3"/>
    </row>
    <row r="486" spans="2:32" x14ac:dyDescent="0.25">
      <c r="G486" s="3"/>
      <c r="H486" s="3"/>
      <c r="I486" s="3"/>
      <c r="J486" s="3"/>
      <c r="K486" s="3"/>
      <c r="L486" s="3"/>
      <c r="M486" s="3"/>
    </row>
  </sheetData>
  <mergeCells count="9">
    <mergeCell ref="N6:S6"/>
    <mergeCell ref="G12:L12"/>
    <mergeCell ref="N12:S12"/>
    <mergeCell ref="F12:F13"/>
    <mergeCell ref="B12:B13"/>
    <mergeCell ref="C12:C13"/>
    <mergeCell ref="D12:D13"/>
    <mergeCell ref="E12:E13"/>
    <mergeCell ref="G6:L6"/>
  </mergeCells>
  <hyperlinks>
    <hyperlink ref="S1" location="Índice!A1" display="ÍNDICE" xr:uid="{F3A69065-80CD-4664-B01F-C86A77D5165C}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62C0-7F9E-431C-9B44-58DE3A0DA35F}">
  <sheetPr codeName="Hoja8"/>
  <dimension ref="A1:P486"/>
  <sheetViews>
    <sheetView showGridLines="0" zoomScaleNormal="100" workbookViewId="0">
      <pane ySplit="13" topLeftCell="A14" activePane="bottomLeft" state="frozen"/>
      <selection pane="bottomLeft" activeCell="J15" sqref="J15:N485"/>
    </sheetView>
  </sheetViews>
  <sheetFormatPr baseColWidth="10" defaultColWidth="11.5546875" defaultRowHeight="13.2" x14ac:dyDescent="0.25"/>
  <cols>
    <col min="1" max="1" width="2.6640625" style="1" customWidth="1"/>
    <col min="2" max="2" width="13.109375" style="1" customWidth="1"/>
    <col min="3" max="3" width="13.33203125" style="1" customWidth="1"/>
    <col min="4" max="4" width="28.109375" style="1" bestFit="1" customWidth="1"/>
    <col min="5" max="5" width="25.44140625" style="1" customWidth="1"/>
    <col min="6" max="6" width="13" style="1" bestFit="1" customWidth="1"/>
    <col min="7" max="7" width="19" style="1" customWidth="1"/>
    <col min="8" max="8" width="17.5546875" style="1" customWidth="1"/>
    <col min="9" max="14" width="11.88671875" style="1" customWidth="1"/>
    <col min="15" max="18" width="11.5546875" style="1"/>
    <col min="19" max="19" width="12.33203125" style="1" bestFit="1" customWidth="1"/>
    <col min="20" max="16384" width="11.5546875" style="1"/>
  </cols>
  <sheetData>
    <row r="1" spans="2:16" ht="16.2" thickBot="1" x14ac:dyDescent="0.35">
      <c r="B1" s="130" t="s">
        <v>537</v>
      </c>
      <c r="N1" s="39" t="s">
        <v>389</v>
      </c>
    </row>
    <row r="2" spans="2:16" ht="5.0999999999999996" customHeight="1" x14ac:dyDescent="0.3">
      <c r="B2" s="130"/>
    </row>
    <row r="3" spans="2:16" x14ac:dyDescent="0.25">
      <c r="B3" s="8" t="s">
        <v>532</v>
      </c>
    </row>
    <row r="4" spans="2:16" ht="5.0999999999999996" customHeight="1" x14ac:dyDescent="0.25">
      <c r="B4" s="8"/>
    </row>
    <row r="5" spans="2:16" x14ac:dyDescent="0.25">
      <c r="B5" s="53"/>
      <c r="C5" s="53"/>
      <c r="D5" s="53"/>
      <c r="E5" s="53"/>
      <c r="F5" s="53"/>
      <c r="G5" s="53"/>
      <c r="H5" s="53"/>
      <c r="I5" s="53"/>
      <c r="J5" s="53">
        <v>2026</v>
      </c>
      <c r="K5" s="53">
        <v>2027</v>
      </c>
      <c r="L5" s="53">
        <v>2028</v>
      </c>
      <c r="M5" s="53">
        <v>2029</v>
      </c>
      <c r="N5" s="53">
        <v>2030</v>
      </c>
    </row>
    <row r="6" spans="2:16" ht="17.25" customHeight="1" x14ac:dyDescent="0.25">
      <c r="B6" s="180" t="s">
        <v>183</v>
      </c>
      <c r="C6" s="165"/>
      <c r="D6" s="148"/>
      <c r="E6" s="148"/>
      <c r="F6" s="148"/>
      <c r="G6" s="165"/>
      <c r="H6" s="148"/>
      <c r="I6" s="148"/>
      <c r="J6" s="166">
        <f>+'1. Demanda'!D14/'1. Demanda'!C14-1</f>
        <v>6.5405423491718517E-2</v>
      </c>
      <c r="K6" s="166">
        <f>+'1. Demanda'!E14/'1. Demanda'!D14-1</f>
        <v>4.8912252114231558E-2</v>
      </c>
      <c r="L6" s="166">
        <f>+'1. Demanda'!F14/'1. Demanda'!E14-1</f>
        <v>4.8417879106569917E-2</v>
      </c>
      <c r="M6" s="166">
        <f>+'1. Demanda'!G14/'1. Demanda'!F14-1</f>
        <v>5.2969113345388008E-2</v>
      </c>
      <c r="N6" s="166">
        <f>+'1. Demanda'!H14/'1. Demanda'!G14-1</f>
        <v>4.8288466903117389E-2</v>
      </c>
    </row>
    <row r="7" spans="2:16" ht="17.25" customHeight="1" x14ac:dyDescent="0.25">
      <c r="B7" s="168" t="s">
        <v>184</v>
      </c>
      <c r="C7" s="179"/>
      <c r="D7" s="167"/>
      <c r="E7" s="167"/>
      <c r="F7" s="167"/>
      <c r="G7" s="168"/>
      <c r="H7" s="167"/>
      <c r="I7" s="167"/>
      <c r="J7" s="169">
        <v>0.3448</v>
      </c>
      <c r="K7" s="169">
        <f>+J7</f>
        <v>0.3448</v>
      </c>
      <c r="L7" s="169">
        <f t="shared" ref="L7:N7" si="0">+K7</f>
        <v>0.3448</v>
      </c>
      <c r="M7" s="169">
        <f t="shared" si="0"/>
        <v>0.3448</v>
      </c>
      <c r="N7" s="169">
        <f t="shared" si="0"/>
        <v>0.3448</v>
      </c>
    </row>
    <row r="8" spans="2:16" ht="17.25" customHeight="1" x14ac:dyDescent="0.25">
      <c r="B8" s="185" t="s">
        <v>640</v>
      </c>
      <c r="C8" s="179"/>
      <c r="D8" s="167"/>
      <c r="E8" s="167"/>
      <c r="F8" s="167"/>
      <c r="G8" s="168"/>
      <c r="H8" s="167"/>
      <c r="I8" s="299">
        <f>1+'5.1 Var-Macro'!D140</f>
        <v>1.0188950515186759</v>
      </c>
      <c r="J8" s="299"/>
      <c r="K8" s="169"/>
      <c r="L8" s="169"/>
      <c r="M8" s="169"/>
      <c r="N8" s="169"/>
    </row>
    <row r="10" spans="2:16" x14ac:dyDescent="0.25">
      <c r="B10" s="8" t="s">
        <v>527</v>
      </c>
      <c r="E10" s="247"/>
      <c r="J10" s="2"/>
      <c r="K10" s="2"/>
      <c r="L10" s="2"/>
      <c r="M10" s="2"/>
      <c r="N10" s="2"/>
    </row>
    <row r="11" spans="2:16" ht="5.0999999999999996" customHeight="1" x14ac:dyDescent="0.25"/>
    <row r="12" spans="2:16" ht="15" customHeight="1" x14ac:dyDescent="0.25">
      <c r="B12" s="324" t="s">
        <v>9</v>
      </c>
      <c r="C12" s="325" t="s">
        <v>10</v>
      </c>
      <c r="D12" s="325" t="s">
        <v>11</v>
      </c>
      <c r="E12" s="325" t="s">
        <v>12</v>
      </c>
      <c r="F12" s="324" t="s">
        <v>181</v>
      </c>
      <c r="G12" s="323" t="s">
        <v>180</v>
      </c>
      <c r="H12" s="323" t="s">
        <v>193</v>
      </c>
      <c r="I12" s="322" t="s">
        <v>526</v>
      </c>
      <c r="J12" s="322"/>
      <c r="K12" s="322"/>
      <c r="L12" s="322"/>
      <c r="M12" s="322"/>
      <c r="N12" s="322"/>
    </row>
    <row r="13" spans="2:16" x14ac:dyDescent="0.25">
      <c r="B13" s="324"/>
      <c r="C13" s="325"/>
      <c r="D13" s="325"/>
      <c r="E13" s="325"/>
      <c r="F13" s="324"/>
      <c r="G13" s="323"/>
      <c r="H13" s="323"/>
      <c r="I13" s="40">
        <v>2025</v>
      </c>
      <c r="J13" s="40">
        <f>+I13+1</f>
        <v>2026</v>
      </c>
      <c r="K13" s="40">
        <f t="shared" ref="K13:N13" si="1">+J13+1</f>
        <v>2027</v>
      </c>
      <c r="L13" s="40">
        <f t="shared" si="1"/>
        <v>2028</v>
      </c>
      <c r="M13" s="40">
        <f t="shared" si="1"/>
        <v>2029</v>
      </c>
      <c r="N13" s="40">
        <f t="shared" si="1"/>
        <v>2030</v>
      </c>
    </row>
    <row r="14" spans="2:16" x14ac:dyDescent="0.25">
      <c r="B14" s="170" t="s">
        <v>9</v>
      </c>
      <c r="C14" s="170" t="s">
        <v>10</v>
      </c>
      <c r="D14" s="170" t="s">
        <v>11</v>
      </c>
      <c r="E14" s="170" t="s">
        <v>12</v>
      </c>
      <c r="F14" s="170" t="s">
        <v>181</v>
      </c>
      <c r="G14" s="170" t="s">
        <v>180</v>
      </c>
      <c r="H14" s="170" t="s">
        <v>193</v>
      </c>
      <c r="I14" s="170" t="s">
        <v>182</v>
      </c>
      <c r="J14" s="170" t="s">
        <v>185</v>
      </c>
      <c r="K14" s="170" t="s">
        <v>186</v>
      </c>
      <c r="L14" s="170" t="s">
        <v>187</v>
      </c>
      <c r="M14" s="170" t="s">
        <v>188</v>
      </c>
      <c r="N14" s="170" t="s">
        <v>189</v>
      </c>
    </row>
    <row r="15" spans="2:16" x14ac:dyDescent="0.25">
      <c r="B15" s="18">
        <v>6211000001</v>
      </c>
      <c r="C15" s="161" t="s">
        <v>13</v>
      </c>
      <c r="D15" s="161" t="s">
        <v>14</v>
      </c>
      <c r="E15" s="161" t="s">
        <v>15</v>
      </c>
      <c r="F15" s="155">
        <v>373681.5633588424</v>
      </c>
      <c r="G15" s="162">
        <f>+VLOOKUP(B15,'5.3 Var OPEX 2023-25'!$B$4:$D$160,3,0)</f>
        <v>0.39130162327539963</v>
      </c>
      <c r="H15" s="163" t="s">
        <v>190</v>
      </c>
      <c r="I15" s="300">
        <f t="shared" ref="I15:I78" si="2">+F15*(1+G15)/$I$8</f>
        <v>510262.3326262341</v>
      </c>
      <c r="J15" s="159">
        <f t="shared" ref="J15:N24" si="3">+IF(OR($C15="No Imputables",$H15="m2 fijo"),I15,I15*(1+J$6*J$7))</f>
        <v>521769.66160670802</v>
      </c>
      <c r="K15" s="159">
        <f t="shared" si="3"/>
        <v>530569.27800661349</v>
      </c>
      <c r="L15" s="159">
        <f t="shared" si="3"/>
        <v>539426.8587090451</v>
      </c>
      <c r="M15" s="159">
        <f t="shared" si="3"/>
        <v>549278.8161516356</v>
      </c>
      <c r="N15" s="159">
        <f t="shared" si="3"/>
        <v>558424.23340258969</v>
      </c>
      <c r="P15" s="2"/>
    </row>
    <row r="16" spans="2:16" x14ac:dyDescent="0.25">
      <c r="B16" s="18">
        <v>6212000001</v>
      </c>
      <c r="C16" s="161" t="s">
        <v>13</v>
      </c>
      <c r="D16" s="161" t="s">
        <v>14</v>
      </c>
      <c r="E16" s="161" t="s">
        <v>16</v>
      </c>
      <c r="F16" s="155">
        <v>79946.028028718283</v>
      </c>
      <c r="G16" s="162">
        <f>+VLOOKUP(B16,'5.3 Var OPEX 2023-25'!$B$4:$D$160,3,0)</f>
        <v>0.39130162327539963</v>
      </c>
      <c r="H16" s="163" t="s">
        <v>190</v>
      </c>
      <c r="I16" s="300">
        <f t="shared" si="2"/>
        <v>109166.33504597757</v>
      </c>
      <c r="J16" s="159">
        <f t="shared" si="3"/>
        <v>111628.23131118137</v>
      </c>
      <c r="K16" s="159">
        <f t="shared" si="3"/>
        <v>113510.83524011337</v>
      </c>
      <c r="L16" s="159">
        <f t="shared" si="3"/>
        <v>115405.84014412363</v>
      </c>
      <c r="M16" s="159">
        <f t="shared" si="3"/>
        <v>117513.58358954143</v>
      </c>
      <c r="N16" s="159">
        <f t="shared" si="3"/>
        <v>119470.16870256452</v>
      </c>
      <c r="P16" s="2"/>
    </row>
    <row r="17" spans="2:16" x14ac:dyDescent="0.25">
      <c r="B17" s="18">
        <v>6213000001</v>
      </c>
      <c r="C17" s="161" t="s">
        <v>13</v>
      </c>
      <c r="D17" s="161" t="s">
        <v>14</v>
      </c>
      <c r="E17" s="161" t="s">
        <v>17</v>
      </c>
      <c r="F17" s="155">
        <v>36801.862419904508</v>
      </c>
      <c r="G17" s="162">
        <f>+VLOOKUP(B17,'5.3 Var OPEX 2023-25'!$B$4:$D$160,3,0)</f>
        <v>0.39130162327539963</v>
      </c>
      <c r="H17" s="163" t="s">
        <v>190</v>
      </c>
      <c r="I17" s="300">
        <f t="shared" si="2"/>
        <v>50252.958681125318</v>
      </c>
      <c r="J17" s="159">
        <f t="shared" si="3"/>
        <v>51386.252853183003</v>
      </c>
      <c r="K17" s="159">
        <f t="shared" si="3"/>
        <v>52252.879157104435</v>
      </c>
      <c r="L17" s="159">
        <f t="shared" si="3"/>
        <v>53125.214049556853</v>
      </c>
      <c r="M17" s="159">
        <f t="shared" si="3"/>
        <v>54095.479692608649</v>
      </c>
      <c r="N17" s="159">
        <f t="shared" si="3"/>
        <v>54996.16203940945</v>
      </c>
      <c r="P17" s="2"/>
    </row>
    <row r="18" spans="2:16" x14ac:dyDescent="0.25">
      <c r="B18" s="18">
        <v>6214000001</v>
      </c>
      <c r="C18" s="161" t="s">
        <v>13</v>
      </c>
      <c r="D18" s="161" t="s">
        <v>14</v>
      </c>
      <c r="E18" s="161" t="s">
        <v>18</v>
      </c>
      <c r="F18" s="155">
        <v>5378.2155920651639</v>
      </c>
      <c r="G18" s="162">
        <f>+VLOOKUP(B18,'5.3 Var OPEX 2023-25'!$B$4:$D$160,3,0)</f>
        <v>0.39130162327539963</v>
      </c>
      <c r="H18" s="163" t="s">
        <v>190</v>
      </c>
      <c r="I18" s="300">
        <f t="shared" si="2"/>
        <v>7343.9556629627741</v>
      </c>
      <c r="J18" s="159">
        <f t="shared" si="3"/>
        <v>7509.5750089896937</v>
      </c>
      <c r="K18" s="159">
        <f t="shared" si="3"/>
        <v>7636.2235749525717</v>
      </c>
      <c r="L18" s="159">
        <f t="shared" si="3"/>
        <v>7763.706392712159</v>
      </c>
      <c r="M18" s="159">
        <f t="shared" si="3"/>
        <v>7905.5007875274596</v>
      </c>
      <c r="N18" s="159">
        <f t="shared" si="3"/>
        <v>8037.126295655059</v>
      </c>
      <c r="P18" s="2"/>
    </row>
    <row r="19" spans="2:16" x14ac:dyDescent="0.25">
      <c r="B19" s="18">
        <v>6221000001</v>
      </c>
      <c r="C19" s="161" t="s">
        <v>13</v>
      </c>
      <c r="D19" s="161" t="s">
        <v>14</v>
      </c>
      <c r="E19" s="161" t="s">
        <v>19</v>
      </c>
      <c r="F19" s="155">
        <v>2224.8153566789711</v>
      </c>
      <c r="G19" s="162">
        <f>+VLOOKUP(B19,'5.3 Var OPEX 2023-25'!$B$4:$D$160,3,0)</f>
        <v>0.39130162327539963</v>
      </c>
      <c r="H19" s="163" t="s">
        <v>190</v>
      </c>
      <c r="I19" s="300">
        <f t="shared" si="2"/>
        <v>3037.9863094062266</v>
      </c>
      <c r="J19" s="159">
        <f t="shared" si="3"/>
        <v>3106.4983387394223</v>
      </c>
      <c r="K19" s="159">
        <f t="shared" si="3"/>
        <v>3158.889260901653</v>
      </c>
      <c r="L19" s="159">
        <f t="shared" si="3"/>
        <v>3211.6252893871397</v>
      </c>
      <c r="M19" s="159">
        <f t="shared" si="3"/>
        <v>3270.2816116702238</v>
      </c>
      <c r="N19" s="159">
        <f t="shared" si="3"/>
        <v>3324.7313537454588</v>
      </c>
      <c r="P19" s="2"/>
    </row>
    <row r="20" spans="2:16" x14ac:dyDescent="0.25">
      <c r="B20" s="18">
        <v>6231000001</v>
      </c>
      <c r="C20" s="161" t="s">
        <v>13</v>
      </c>
      <c r="D20" s="161" t="s">
        <v>14</v>
      </c>
      <c r="E20" s="161" t="s">
        <v>20</v>
      </c>
      <c r="F20" s="155">
        <v>0</v>
      </c>
      <c r="G20" s="162">
        <f>+VLOOKUP(B20,'5.3 Var OPEX 2023-25'!$B$4:$D$160,3,0)</f>
        <v>0.39130162327539963</v>
      </c>
      <c r="H20" s="163" t="s">
        <v>190</v>
      </c>
      <c r="I20" s="300">
        <f t="shared" si="2"/>
        <v>0</v>
      </c>
      <c r="J20" s="159">
        <f t="shared" si="3"/>
        <v>0</v>
      </c>
      <c r="K20" s="159">
        <f t="shared" si="3"/>
        <v>0</v>
      </c>
      <c r="L20" s="159">
        <f t="shared" si="3"/>
        <v>0</v>
      </c>
      <c r="M20" s="159">
        <f t="shared" si="3"/>
        <v>0</v>
      </c>
      <c r="N20" s="159">
        <f t="shared" si="3"/>
        <v>0</v>
      </c>
      <c r="P20" s="2"/>
    </row>
    <row r="21" spans="2:16" x14ac:dyDescent="0.25">
      <c r="B21" s="18">
        <v>6240000001</v>
      </c>
      <c r="C21" s="161" t="s">
        <v>13</v>
      </c>
      <c r="D21" s="161" t="s">
        <v>14</v>
      </c>
      <c r="E21" s="161" t="s">
        <v>21</v>
      </c>
      <c r="F21" s="155">
        <v>4782.1442305436194</v>
      </c>
      <c r="G21" s="162">
        <f>+VLOOKUP(B21,'5.3 Var OPEX 2023-25'!$B$4:$D$160,3,0)</f>
        <v>0.39130162327539963</v>
      </c>
      <c r="H21" s="163" t="s">
        <v>190</v>
      </c>
      <c r="I21" s="300">
        <f t="shared" si="2"/>
        <v>6530.0199669980148</v>
      </c>
      <c r="J21" s="159">
        <f t="shared" si="3"/>
        <v>6677.2836061197995</v>
      </c>
      <c r="K21" s="159">
        <f t="shared" si="3"/>
        <v>6789.895623741324</v>
      </c>
      <c r="L21" s="159">
        <f t="shared" si="3"/>
        <v>6903.2494324547379</v>
      </c>
      <c r="M21" s="159">
        <f t="shared" si="3"/>
        <v>7029.3286562199273</v>
      </c>
      <c r="N21" s="159">
        <f t="shared" si="3"/>
        <v>7146.3660180567122</v>
      </c>
      <c r="P21" s="2"/>
    </row>
    <row r="22" spans="2:16" x14ac:dyDescent="0.25">
      <c r="B22" s="18">
        <v>6250000001</v>
      </c>
      <c r="C22" s="161" t="s">
        <v>13</v>
      </c>
      <c r="D22" s="161" t="s">
        <v>14</v>
      </c>
      <c r="E22" s="161" t="s">
        <v>22</v>
      </c>
      <c r="F22" s="155">
        <v>874.59969502647687</v>
      </c>
      <c r="G22" s="162">
        <f>+VLOOKUP(B22,'5.3 Var OPEX 2023-25'!$B$4:$D$160,3,0)</f>
        <v>0.39130162327539963</v>
      </c>
      <c r="H22" s="163" t="s">
        <v>190</v>
      </c>
      <c r="I22" s="300">
        <f t="shared" si="2"/>
        <v>1194.2662530285168</v>
      </c>
      <c r="J22" s="159">
        <f t="shared" si="3"/>
        <v>1221.1990947947218</v>
      </c>
      <c r="K22" s="159">
        <f t="shared" si="3"/>
        <v>1241.7945497872838</v>
      </c>
      <c r="L22" s="159">
        <f t="shared" si="3"/>
        <v>1262.5256699190518</v>
      </c>
      <c r="M22" s="159">
        <f t="shared" si="3"/>
        <v>1285.5841234784239</v>
      </c>
      <c r="N22" s="159">
        <f t="shared" si="3"/>
        <v>1306.988923508372</v>
      </c>
      <c r="P22" s="2"/>
    </row>
    <row r="23" spans="2:16" x14ac:dyDescent="0.25">
      <c r="B23" s="18">
        <v>6250000003</v>
      </c>
      <c r="C23" s="161" t="s">
        <v>13</v>
      </c>
      <c r="D23" s="161" t="s">
        <v>14</v>
      </c>
      <c r="E23" s="161" t="s">
        <v>23</v>
      </c>
      <c r="F23" s="155">
        <v>6863.7478164677841</v>
      </c>
      <c r="G23" s="162">
        <f>+VLOOKUP(B23,'5.3 Var OPEX 2023-25'!$B$4:$D$160,3,0)</f>
        <v>0.39130162327539963</v>
      </c>
      <c r="H23" s="163" t="s">
        <v>190</v>
      </c>
      <c r="I23" s="300">
        <f t="shared" si="2"/>
        <v>9372.4505429395231</v>
      </c>
      <c r="J23" s="159">
        <f t="shared" si="3"/>
        <v>9583.8160795562108</v>
      </c>
      <c r="K23" s="159">
        <f t="shared" si="3"/>
        <v>9745.4466061139392</v>
      </c>
      <c r="L23" s="159">
        <f t="shared" si="3"/>
        <v>9908.1418155297706</v>
      </c>
      <c r="M23" s="159">
        <f t="shared" si="3"/>
        <v>10089.101643402193</v>
      </c>
      <c r="N23" s="159">
        <f t="shared" si="3"/>
        <v>10257.083807474452</v>
      </c>
      <c r="P23" s="2"/>
    </row>
    <row r="24" spans="2:16" x14ac:dyDescent="0.25">
      <c r="B24" s="18">
        <v>6250000004</v>
      </c>
      <c r="C24" s="161" t="s">
        <v>13</v>
      </c>
      <c r="D24" s="161" t="s">
        <v>14</v>
      </c>
      <c r="E24" s="161" t="s">
        <v>24</v>
      </c>
      <c r="F24" s="155">
        <v>3397.8274608768606</v>
      </c>
      <c r="G24" s="162">
        <f>+VLOOKUP(B24,'5.3 Var OPEX 2023-25'!$B$4:$D$160,3,0)</f>
        <v>0.39130162327539963</v>
      </c>
      <c r="H24" s="163" t="s">
        <v>190</v>
      </c>
      <c r="I24" s="300">
        <f t="shared" si="2"/>
        <v>4639.7348332210004</v>
      </c>
      <c r="J24" s="159">
        <f t="shared" si="3"/>
        <v>4744.3691589280224</v>
      </c>
      <c r="K24" s="159">
        <f t="shared" si="3"/>
        <v>4824.38268161838</v>
      </c>
      <c r="L24" s="159">
        <f t="shared" si="3"/>
        <v>4904.9232645605298</v>
      </c>
      <c r="M24" s="159">
        <f t="shared" si="3"/>
        <v>4994.5055582143332</v>
      </c>
      <c r="N24" s="159">
        <f t="shared" si="3"/>
        <v>5077.6633934501815</v>
      </c>
      <c r="P24" s="2"/>
    </row>
    <row r="25" spans="2:16" x14ac:dyDescent="0.25">
      <c r="B25" s="18">
        <v>6250000005</v>
      </c>
      <c r="C25" s="161" t="s">
        <v>13</v>
      </c>
      <c r="D25" s="161" t="s">
        <v>14</v>
      </c>
      <c r="E25" s="161" t="s">
        <v>25</v>
      </c>
      <c r="F25" s="155">
        <v>7057.965299526235</v>
      </c>
      <c r="G25" s="162">
        <f>+VLOOKUP(B25,'5.3 Var OPEX 2023-25'!$B$4:$D$160,3,0)</f>
        <v>0.39130162327539963</v>
      </c>
      <c r="H25" s="163" t="s">
        <v>190</v>
      </c>
      <c r="I25" s="300">
        <f t="shared" si="2"/>
        <v>9637.6545981019535</v>
      </c>
      <c r="J25" s="159">
        <f t="shared" ref="J25:N34" si="4">+IF(OR($C25="No Imputables",$H25="m2 fijo"),I25,I25*(1+J$6*J$7))</f>
        <v>9855.0009608831024</v>
      </c>
      <c r="K25" s="159">
        <f t="shared" si="4"/>
        <v>10021.205005421509</v>
      </c>
      <c r="L25" s="159">
        <f t="shared" si="4"/>
        <v>10188.503859219873</v>
      </c>
      <c r="M25" s="159">
        <f t="shared" si="4"/>
        <v>10374.584149446659</v>
      </c>
      <c r="N25" s="159">
        <f t="shared" si="4"/>
        <v>10547.319558244277</v>
      </c>
      <c r="P25" s="2"/>
    </row>
    <row r="26" spans="2:16" x14ac:dyDescent="0.25">
      <c r="B26" s="18">
        <v>6250000006</v>
      </c>
      <c r="C26" s="161" t="s">
        <v>13</v>
      </c>
      <c r="D26" s="161" t="s">
        <v>14</v>
      </c>
      <c r="E26" s="161" t="s">
        <v>26</v>
      </c>
      <c r="F26" s="155">
        <v>2053.773557139149</v>
      </c>
      <c r="G26" s="162">
        <f>+VLOOKUP(B26,'5.3 Var OPEX 2023-25'!$B$4:$D$160,3,0)</f>
        <v>0.39130162327539963</v>
      </c>
      <c r="H26" s="163" t="s">
        <v>190</v>
      </c>
      <c r="I26" s="300">
        <f t="shared" si="2"/>
        <v>2804.4286598789267</v>
      </c>
      <c r="J26" s="159">
        <f t="shared" si="4"/>
        <v>2867.673546142431</v>
      </c>
      <c r="K26" s="159">
        <f t="shared" si="4"/>
        <v>2916.0367014253666</v>
      </c>
      <c r="L26" s="159">
        <f t="shared" si="4"/>
        <v>2964.7184315684481</v>
      </c>
      <c r="M26" s="159">
        <f t="shared" si="4"/>
        <v>3018.8653086575441</v>
      </c>
      <c r="N26" s="159">
        <f t="shared" si="4"/>
        <v>3069.1290036340529</v>
      </c>
      <c r="P26" s="2"/>
    </row>
    <row r="27" spans="2:16" x14ac:dyDescent="0.25">
      <c r="B27" s="18">
        <v>6250000007</v>
      </c>
      <c r="C27" s="161" t="s">
        <v>13</v>
      </c>
      <c r="D27" s="161" t="s">
        <v>14</v>
      </c>
      <c r="E27" s="161" t="s">
        <v>27</v>
      </c>
      <c r="F27" s="155">
        <v>0</v>
      </c>
      <c r="G27" s="162">
        <f>+VLOOKUP(B27,'5.3 Var OPEX 2023-25'!$B$4:$D$160,3,0)</f>
        <v>0.39130162327539963</v>
      </c>
      <c r="H27" s="163" t="s">
        <v>190</v>
      </c>
      <c r="I27" s="300">
        <f t="shared" si="2"/>
        <v>0</v>
      </c>
      <c r="J27" s="159">
        <f t="shared" si="4"/>
        <v>0</v>
      </c>
      <c r="K27" s="159">
        <f t="shared" si="4"/>
        <v>0</v>
      </c>
      <c r="L27" s="159">
        <f t="shared" si="4"/>
        <v>0</v>
      </c>
      <c r="M27" s="159">
        <f t="shared" si="4"/>
        <v>0</v>
      </c>
      <c r="N27" s="159">
        <f t="shared" si="4"/>
        <v>0</v>
      </c>
      <c r="P27" s="2"/>
    </row>
    <row r="28" spans="2:16" x14ac:dyDescent="0.25">
      <c r="B28" s="18">
        <v>6250000008</v>
      </c>
      <c r="C28" s="161" t="s">
        <v>13</v>
      </c>
      <c r="D28" s="161" t="s">
        <v>14</v>
      </c>
      <c r="E28" s="161" t="s">
        <v>28</v>
      </c>
      <c r="F28" s="155">
        <v>3187.0455172413795</v>
      </c>
      <c r="G28" s="162">
        <f>+VLOOKUP(B28,'5.3 Var OPEX 2023-25'!$B$4:$D$160,3,0)</f>
        <v>0.39130162327539963</v>
      </c>
      <c r="H28" s="163" t="s">
        <v>190</v>
      </c>
      <c r="I28" s="300">
        <f t="shared" si="2"/>
        <v>4351.9120001430701</v>
      </c>
      <c r="J28" s="159">
        <f t="shared" si="4"/>
        <v>4450.0554057555737</v>
      </c>
      <c r="K28" s="159">
        <f t="shared" si="4"/>
        <v>4525.1053433245606</v>
      </c>
      <c r="L28" s="159">
        <f t="shared" si="4"/>
        <v>4600.6496453167356</v>
      </c>
      <c r="M28" s="159">
        <f t="shared" si="4"/>
        <v>4684.6747615714248</v>
      </c>
      <c r="N28" s="159">
        <f t="shared" si="4"/>
        <v>4762.6739563697138</v>
      </c>
      <c r="P28" s="2"/>
    </row>
    <row r="29" spans="2:16" x14ac:dyDescent="0.25">
      <c r="B29" s="18">
        <v>6250000009</v>
      </c>
      <c r="C29" s="161" t="s">
        <v>13</v>
      </c>
      <c r="D29" s="161" t="s">
        <v>14</v>
      </c>
      <c r="E29" s="161" t="s">
        <v>29</v>
      </c>
      <c r="F29" s="155">
        <v>0</v>
      </c>
      <c r="G29" s="162">
        <f>+VLOOKUP(B29,'5.3 Var OPEX 2023-25'!$B$4:$D$160,3,0)</f>
        <v>0.39130162327539963</v>
      </c>
      <c r="H29" s="163" t="s">
        <v>190</v>
      </c>
      <c r="I29" s="300">
        <f t="shared" si="2"/>
        <v>0</v>
      </c>
      <c r="J29" s="159">
        <f t="shared" si="4"/>
        <v>0</v>
      </c>
      <c r="K29" s="159">
        <f t="shared" si="4"/>
        <v>0</v>
      </c>
      <c r="L29" s="159">
        <f t="shared" si="4"/>
        <v>0</v>
      </c>
      <c r="M29" s="159">
        <f t="shared" si="4"/>
        <v>0</v>
      </c>
      <c r="N29" s="159">
        <f t="shared" si="4"/>
        <v>0</v>
      </c>
      <c r="P29" s="2"/>
    </row>
    <row r="30" spans="2:16" x14ac:dyDescent="0.25">
      <c r="B30" s="18">
        <v>6270000001</v>
      </c>
      <c r="C30" s="161" t="s">
        <v>13</v>
      </c>
      <c r="D30" s="161" t="s">
        <v>14</v>
      </c>
      <c r="E30" s="161" t="s">
        <v>30</v>
      </c>
      <c r="F30" s="155">
        <v>12950.965261780868</v>
      </c>
      <c r="G30" s="162">
        <f>+VLOOKUP(B30,'5.3 Var OPEX 2023-25'!$B$4:$D$160,3,0)</f>
        <v>0.39130162327539963</v>
      </c>
      <c r="H30" s="163" t="s">
        <v>190</v>
      </c>
      <c r="I30" s="300">
        <f t="shared" si="2"/>
        <v>17684.54853602629</v>
      </c>
      <c r="J30" s="159">
        <f t="shared" si="4"/>
        <v>18083.366761208272</v>
      </c>
      <c r="K30" s="159">
        <f t="shared" si="4"/>
        <v>18388.341738533378</v>
      </c>
      <c r="L30" s="159">
        <f t="shared" si="4"/>
        <v>18695.325628638904</v>
      </c>
      <c r="M30" s="159">
        <f t="shared" si="4"/>
        <v>19036.772387351499</v>
      </c>
      <c r="N30" s="159">
        <f t="shared" si="4"/>
        <v>19353.73204695306</v>
      </c>
      <c r="P30" s="2"/>
    </row>
    <row r="31" spans="2:16" x14ac:dyDescent="0.25">
      <c r="B31" s="18">
        <v>6270000002</v>
      </c>
      <c r="C31" s="161" t="s">
        <v>13</v>
      </c>
      <c r="D31" s="161" t="s">
        <v>14</v>
      </c>
      <c r="E31" s="161" t="s">
        <v>31</v>
      </c>
      <c r="F31" s="155">
        <v>33366.88714961888</v>
      </c>
      <c r="G31" s="162">
        <f>+VLOOKUP(B31,'5.3 Var OPEX 2023-25'!$B$4:$D$160,3,0)</f>
        <v>0.39130162327539963</v>
      </c>
      <c r="H31" s="163" t="s">
        <v>190</v>
      </c>
      <c r="I31" s="300">
        <f t="shared" si="2"/>
        <v>45562.498498463756</v>
      </c>
      <c r="J31" s="159">
        <f t="shared" si="4"/>
        <v>46590.014397385152</v>
      </c>
      <c r="K31" s="159">
        <f t="shared" si="4"/>
        <v>47375.752405801759</v>
      </c>
      <c r="L31" s="159">
        <f t="shared" si="4"/>
        <v>48166.66618024683</v>
      </c>
      <c r="M31" s="159">
        <f t="shared" si="4"/>
        <v>49046.370143254739</v>
      </c>
      <c r="N31" s="159">
        <f t="shared" si="4"/>
        <v>49862.985505826771</v>
      </c>
      <c r="P31" s="2"/>
    </row>
    <row r="32" spans="2:16" x14ac:dyDescent="0.25">
      <c r="B32" s="18">
        <v>6270000003</v>
      </c>
      <c r="C32" s="161" t="s">
        <v>13</v>
      </c>
      <c r="D32" s="161" t="s">
        <v>14</v>
      </c>
      <c r="E32" s="161" t="s">
        <v>32</v>
      </c>
      <c r="F32" s="155">
        <v>850.13152213777516</v>
      </c>
      <c r="G32" s="162">
        <f>+VLOOKUP(B32,'5.3 Var OPEX 2023-25'!$B$4:$D$160,3,0)</f>
        <v>0.39130162327539963</v>
      </c>
      <c r="H32" s="163" t="s">
        <v>190</v>
      </c>
      <c r="I32" s="300">
        <f t="shared" si="2"/>
        <v>1160.8549526125487</v>
      </c>
      <c r="J32" s="159">
        <f t="shared" si="4"/>
        <v>1187.0343097474795</v>
      </c>
      <c r="K32" s="159">
        <f t="shared" si="4"/>
        <v>1207.0535775353751</v>
      </c>
      <c r="L32" s="159">
        <f t="shared" si="4"/>
        <v>1227.2047150368667</v>
      </c>
      <c r="M32" s="159">
        <f t="shared" si="4"/>
        <v>1249.6180754965667</v>
      </c>
      <c r="N32" s="159">
        <f t="shared" si="4"/>
        <v>1270.4240457410035</v>
      </c>
      <c r="P32" s="2"/>
    </row>
    <row r="33" spans="2:16" x14ac:dyDescent="0.25">
      <c r="B33" s="18">
        <v>6270000004</v>
      </c>
      <c r="C33" s="161" t="s">
        <v>13</v>
      </c>
      <c r="D33" s="161" t="s">
        <v>14</v>
      </c>
      <c r="E33" s="161" t="s">
        <v>33</v>
      </c>
      <c r="F33" s="155">
        <v>1042.9680058637703</v>
      </c>
      <c r="G33" s="162">
        <f>+VLOOKUP(B33,'5.3 Var OPEX 2023-25'!$B$4:$D$160,3,0)</f>
        <v>0.39130162327539963</v>
      </c>
      <c r="H33" s="163" t="s">
        <v>190</v>
      </c>
      <c r="I33" s="300">
        <f t="shared" si="2"/>
        <v>1424.173252603114</v>
      </c>
      <c r="J33" s="159">
        <f t="shared" si="4"/>
        <v>1456.2909087478408</v>
      </c>
      <c r="K33" s="159">
        <f t="shared" si="4"/>
        <v>1480.8511741419413</v>
      </c>
      <c r="L33" s="159">
        <f t="shared" si="4"/>
        <v>1505.5732214352438</v>
      </c>
      <c r="M33" s="159">
        <f t="shared" si="4"/>
        <v>1533.0706347820351</v>
      </c>
      <c r="N33" s="159">
        <f t="shared" si="4"/>
        <v>1558.5960514156091</v>
      </c>
      <c r="P33" s="2"/>
    </row>
    <row r="34" spans="2:16" x14ac:dyDescent="0.25">
      <c r="B34" s="18">
        <v>6270000005</v>
      </c>
      <c r="C34" s="161" t="s">
        <v>13</v>
      </c>
      <c r="D34" s="161" t="s">
        <v>14</v>
      </c>
      <c r="E34" s="161" t="s">
        <v>34</v>
      </c>
      <c r="F34" s="155">
        <v>1923.0055777206956</v>
      </c>
      <c r="G34" s="162">
        <f>+VLOOKUP(B34,'5.3 Var OPEX 2023-25'!$B$4:$D$160,3,0)</f>
        <v>0.39130162327539963</v>
      </c>
      <c r="H34" s="163" t="s">
        <v>190</v>
      </c>
      <c r="I34" s="300">
        <f t="shared" si="2"/>
        <v>2625.8649287408098</v>
      </c>
      <c r="J34" s="159">
        <f t="shared" si="4"/>
        <v>2685.0828832345092</v>
      </c>
      <c r="K34" s="159">
        <f t="shared" si="4"/>
        <v>2730.3666571159915</v>
      </c>
      <c r="L34" s="159">
        <f t="shared" si="4"/>
        <v>2775.9487215421414</v>
      </c>
      <c r="M34" s="159">
        <f t="shared" si="4"/>
        <v>2826.6479557866078</v>
      </c>
      <c r="N34" s="159">
        <f t="shared" si="4"/>
        <v>2873.7112580969751</v>
      </c>
      <c r="P34" s="2"/>
    </row>
    <row r="35" spans="2:16" x14ac:dyDescent="0.25">
      <c r="B35" s="18">
        <v>6270000006</v>
      </c>
      <c r="C35" s="161" t="s">
        <v>13</v>
      </c>
      <c r="D35" s="161" t="s">
        <v>14</v>
      </c>
      <c r="E35" s="161" t="s">
        <v>35</v>
      </c>
      <c r="F35" s="155">
        <v>10116.258293828994</v>
      </c>
      <c r="G35" s="162">
        <f>+VLOOKUP(B35,'5.3 Var OPEX 2023-25'!$B$4:$D$160,3,0)</f>
        <v>0.39130162327539963</v>
      </c>
      <c r="H35" s="163" t="s">
        <v>190</v>
      </c>
      <c r="I35" s="300">
        <f t="shared" si="2"/>
        <v>13813.754973781537</v>
      </c>
      <c r="J35" s="159">
        <f t="shared" ref="J35:N44" si="5">+IF(OR($C35="No Imputables",$H35="m2 fijo"),I35,I35*(1+J$6*J$7))</f>
        <v>14125.279875337223</v>
      </c>
      <c r="K35" s="159">
        <f t="shared" si="5"/>
        <v>14363.501936891202</v>
      </c>
      <c r="L35" s="159">
        <f t="shared" si="5"/>
        <v>14603.293200444083</v>
      </c>
      <c r="M35" s="159">
        <f t="shared" si="5"/>
        <v>14870.004100744371</v>
      </c>
      <c r="N35" s="159">
        <f t="shared" si="5"/>
        <v>15117.587637603661</v>
      </c>
      <c r="P35" s="2"/>
    </row>
    <row r="36" spans="2:16" x14ac:dyDescent="0.25">
      <c r="B36" s="18">
        <v>6270000007</v>
      </c>
      <c r="C36" s="161" t="s">
        <v>13</v>
      </c>
      <c r="D36" s="161" t="s">
        <v>14</v>
      </c>
      <c r="E36" s="161" t="s">
        <v>36</v>
      </c>
      <c r="F36" s="155">
        <v>0.24696403834432315</v>
      </c>
      <c r="G36" s="162">
        <f>+VLOOKUP(B36,'5.3 Var OPEX 2023-25'!$B$4:$D$160,3,0)</f>
        <v>0.39130162327539963</v>
      </c>
      <c r="H36" s="163" t="s">
        <v>190</v>
      </c>
      <c r="I36" s="300">
        <f t="shared" si="2"/>
        <v>0.33722949868778196</v>
      </c>
      <c r="J36" s="159">
        <f t="shared" si="5"/>
        <v>0.34483462753071997</v>
      </c>
      <c r="K36" s="159">
        <f t="shared" si="5"/>
        <v>0.35065024439569947</v>
      </c>
      <c r="L36" s="159">
        <f t="shared" si="5"/>
        <v>0.35650416954140601</v>
      </c>
      <c r="M36" s="159">
        <f t="shared" si="5"/>
        <v>0.36301527266822015</v>
      </c>
      <c r="N36" s="159">
        <f t="shared" si="5"/>
        <v>0.3690594273659743</v>
      </c>
      <c r="P36" s="2"/>
    </row>
    <row r="37" spans="2:16" x14ac:dyDescent="0.25">
      <c r="B37" s="18">
        <v>6290000001</v>
      </c>
      <c r="C37" s="161" t="s">
        <v>13</v>
      </c>
      <c r="D37" s="161" t="s">
        <v>14</v>
      </c>
      <c r="E37" s="161" t="s">
        <v>37</v>
      </c>
      <c r="F37" s="155">
        <v>38677.573685149691</v>
      </c>
      <c r="G37" s="162">
        <f>+VLOOKUP(B37,'5.3 Var OPEX 2023-25'!$B$4:$D$160,3,0)</f>
        <v>0.39130162327539963</v>
      </c>
      <c r="H37" s="163" t="s">
        <v>190</v>
      </c>
      <c r="I37" s="300">
        <f t="shared" si="2"/>
        <v>52814.243206201587</v>
      </c>
      <c r="J37" s="159">
        <f t="shared" si="5"/>
        <v>54005.298929050128</v>
      </c>
      <c r="K37" s="159">
        <f t="shared" si="5"/>
        <v>54916.095299759923</v>
      </c>
      <c r="L37" s="159">
        <f t="shared" si="5"/>
        <v>55832.891213401163</v>
      </c>
      <c r="M37" s="159">
        <f t="shared" si="5"/>
        <v>56852.609196016303</v>
      </c>
      <c r="N37" s="159">
        <f t="shared" si="5"/>
        <v>57799.197372392402</v>
      </c>
      <c r="P37" s="2"/>
    </row>
    <row r="38" spans="2:16" x14ac:dyDescent="0.25">
      <c r="B38" s="18">
        <v>6310000001</v>
      </c>
      <c r="C38" s="161" t="s">
        <v>13</v>
      </c>
      <c r="D38" s="161" t="s">
        <v>38</v>
      </c>
      <c r="E38" s="161" t="s">
        <v>39</v>
      </c>
      <c r="F38" s="155">
        <v>0</v>
      </c>
      <c r="G38" s="162">
        <f>+VLOOKUP(B38,'5.3 Var OPEX 2023-25'!$B$4:$D$160,3,0)</f>
        <v>4.4009396000000096E-2</v>
      </c>
      <c r="H38" s="163" t="s">
        <v>190</v>
      </c>
      <c r="I38" s="300">
        <f t="shared" si="2"/>
        <v>0</v>
      </c>
      <c r="J38" s="159">
        <f t="shared" si="5"/>
        <v>0</v>
      </c>
      <c r="K38" s="159">
        <f t="shared" si="5"/>
        <v>0</v>
      </c>
      <c r="L38" s="159">
        <f t="shared" si="5"/>
        <v>0</v>
      </c>
      <c r="M38" s="159">
        <f t="shared" si="5"/>
        <v>0</v>
      </c>
      <c r="N38" s="159">
        <f t="shared" si="5"/>
        <v>0</v>
      </c>
      <c r="P38" s="2"/>
    </row>
    <row r="39" spans="2:16" x14ac:dyDescent="0.25">
      <c r="B39" s="18">
        <v>6311300001</v>
      </c>
      <c r="C39" s="161" t="s">
        <v>13</v>
      </c>
      <c r="D39" s="161" t="s">
        <v>40</v>
      </c>
      <c r="E39" s="161" t="s">
        <v>41</v>
      </c>
      <c r="F39" s="155">
        <v>0</v>
      </c>
      <c r="G39" s="162">
        <f>+VLOOKUP(B39,'5.3 Var OPEX 2023-25'!$B$4:$D$160,3,0)</f>
        <v>4.4009396000000096E-2</v>
      </c>
      <c r="H39" s="163" t="s">
        <v>190</v>
      </c>
      <c r="I39" s="300">
        <f t="shared" si="2"/>
        <v>0</v>
      </c>
      <c r="J39" s="159">
        <f t="shared" si="5"/>
        <v>0</v>
      </c>
      <c r="K39" s="159">
        <f t="shared" si="5"/>
        <v>0</v>
      </c>
      <c r="L39" s="159">
        <f t="shared" si="5"/>
        <v>0</v>
      </c>
      <c r="M39" s="159">
        <f t="shared" si="5"/>
        <v>0</v>
      </c>
      <c r="N39" s="159">
        <f t="shared" si="5"/>
        <v>0</v>
      </c>
      <c r="P39" s="2"/>
    </row>
    <row r="40" spans="2:16" x14ac:dyDescent="0.25">
      <c r="B40" s="18">
        <v>6311300002</v>
      </c>
      <c r="C40" s="161" t="s">
        <v>13</v>
      </c>
      <c r="D40" s="161" t="s">
        <v>40</v>
      </c>
      <c r="E40" s="161" t="s">
        <v>42</v>
      </c>
      <c r="F40" s="155">
        <v>0</v>
      </c>
      <c r="G40" s="162">
        <f>+VLOOKUP(B40,'5.3 Var OPEX 2023-25'!$B$4:$D$160,3,0)</f>
        <v>4.4009396000000096E-2</v>
      </c>
      <c r="H40" s="163" t="s">
        <v>190</v>
      </c>
      <c r="I40" s="300">
        <f t="shared" si="2"/>
        <v>0</v>
      </c>
      <c r="J40" s="159">
        <f t="shared" si="5"/>
        <v>0</v>
      </c>
      <c r="K40" s="159">
        <f t="shared" si="5"/>
        <v>0</v>
      </c>
      <c r="L40" s="159">
        <f t="shared" si="5"/>
        <v>0</v>
      </c>
      <c r="M40" s="159">
        <f t="shared" si="5"/>
        <v>0</v>
      </c>
      <c r="N40" s="159">
        <f t="shared" si="5"/>
        <v>0</v>
      </c>
      <c r="P40" s="2"/>
    </row>
    <row r="41" spans="2:16" x14ac:dyDescent="0.25">
      <c r="B41" s="18">
        <v>6320000001</v>
      </c>
      <c r="C41" s="161" t="s">
        <v>13</v>
      </c>
      <c r="D41" s="161" t="s">
        <v>40</v>
      </c>
      <c r="E41" s="161" t="s">
        <v>43</v>
      </c>
      <c r="F41" s="155">
        <v>273057.83502205327</v>
      </c>
      <c r="G41" s="162">
        <f>+VLOOKUP(B41,'5.3 Var OPEX 2023-25'!$B$4:$D$160,3,0)</f>
        <v>0.34886581637258263</v>
      </c>
      <c r="H41" s="163" t="s">
        <v>190</v>
      </c>
      <c r="I41" s="300">
        <f t="shared" si="2"/>
        <v>361488.04433289636</v>
      </c>
      <c r="J41" s="159">
        <f t="shared" si="5"/>
        <v>369640.24680341227</v>
      </c>
      <c r="K41" s="159">
        <f t="shared" si="5"/>
        <v>375874.20906143286</v>
      </c>
      <c r="L41" s="159">
        <f t="shared" si="5"/>
        <v>382149.23529972701</v>
      </c>
      <c r="M41" s="159">
        <f t="shared" si="5"/>
        <v>389128.71350350347</v>
      </c>
      <c r="N41" s="159">
        <f t="shared" si="5"/>
        <v>395607.65342376084</v>
      </c>
      <c r="P41" s="2"/>
    </row>
    <row r="42" spans="2:16" x14ac:dyDescent="0.25">
      <c r="B42" s="18">
        <v>6320000002</v>
      </c>
      <c r="C42" s="161" t="s">
        <v>13</v>
      </c>
      <c r="D42" s="161" t="s">
        <v>40</v>
      </c>
      <c r="E42" s="161" t="s">
        <v>44</v>
      </c>
      <c r="F42" s="155">
        <v>0</v>
      </c>
      <c r="G42" s="162">
        <f>+VLOOKUP(B42,'5.3 Var OPEX 2023-25'!$B$4:$D$160,3,0)</f>
        <v>4.4009396000000096E-2</v>
      </c>
      <c r="H42" s="163" t="s">
        <v>190</v>
      </c>
      <c r="I42" s="300">
        <f t="shared" si="2"/>
        <v>0</v>
      </c>
      <c r="J42" s="159">
        <f t="shared" si="5"/>
        <v>0</v>
      </c>
      <c r="K42" s="159">
        <f t="shared" si="5"/>
        <v>0</v>
      </c>
      <c r="L42" s="159">
        <f t="shared" si="5"/>
        <v>0</v>
      </c>
      <c r="M42" s="159">
        <f t="shared" si="5"/>
        <v>0</v>
      </c>
      <c r="N42" s="159">
        <f t="shared" si="5"/>
        <v>0</v>
      </c>
      <c r="P42" s="2"/>
    </row>
    <row r="43" spans="2:16" x14ac:dyDescent="0.25">
      <c r="B43" s="18">
        <v>6320000003</v>
      </c>
      <c r="C43" s="161" t="s">
        <v>13</v>
      </c>
      <c r="D43" s="161" t="s">
        <v>40</v>
      </c>
      <c r="E43" s="161" t="s">
        <v>45</v>
      </c>
      <c r="F43" s="155">
        <v>214650.01844690045</v>
      </c>
      <c r="G43" s="162">
        <f>+VLOOKUP(B43,'5.3 Var OPEX 2023-25'!$B$4:$D$160,3,0)</f>
        <v>4.4009396000000096E-2</v>
      </c>
      <c r="H43" s="163" t="s">
        <v>190</v>
      </c>
      <c r="I43" s="300">
        <f t="shared" si="2"/>
        <v>219940.84255892553</v>
      </c>
      <c r="J43" s="159">
        <f t="shared" si="5"/>
        <v>224900.90225712411</v>
      </c>
      <c r="K43" s="159">
        <f t="shared" si="5"/>
        <v>228693.84349820964</v>
      </c>
      <c r="L43" s="159">
        <f t="shared" si="5"/>
        <v>232511.76937312129</v>
      </c>
      <c r="M43" s="159">
        <f t="shared" si="5"/>
        <v>236758.30626645932</v>
      </c>
      <c r="N43" s="159">
        <f t="shared" si="5"/>
        <v>240700.29972181626</v>
      </c>
      <c r="P43" s="2"/>
    </row>
    <row r="44" spans="2:16" x14ac:dyDescent="0.25">
      <c r="B44" s="18">
        <v>6320000004</v>
      </c>
      <c r="C44" s="161" t="s">
        <v>13</v>
      </c>
      <c r="D44" s="161" t="s">
        <v>40</v>
      </c>
      <c r="E44" s="161" t="s">
        <v>46</v>
      </c>
      <c r="F44" s="155">
        <v>0</v>
      </c>
      <c r="G44" s="162">
        <f>+VLOOKUP(B44,'5.3 Var OPEX 2023-25'!$B$4:$D$160,3,0)</f>
        <v>4.4009396000000096E-2</v>
      </c>
      <c r="H44" s="163" t="s">
        <v>190</v>
      </c>
      <c r="I44" s="300">
        <f t="shared" si="2"/>
        <v>0</v>
      </c>
      <c r="J44" s="159">
        <f t="shared" si="5"/>
        <v>0</v>
      </c>
      <c r="K44" s="159">
        <f t="shared" si="5"/>
        <v>0</v>
      </c>
      <c r="L44" s="159">
        <f t="shared" si="5"/>
        <v>0</v>
      </c>
      <c r="M44" s="159">
        <f t="shared" si="5"/>
        <v>0</v>
      </c>
      <c r="N44" s="159">
        <f t="shared" si="5"/>
        <v>0</v>
      </c>
      <c r="P44" s="2"/>
    </row>
    <row r="45" spans="2:16" x14ac:dyDescent="0.25">
      <c r="B45" s="18">
        <v>6320000005</v>
      </c>
      <c r="C45" s="161" t="s">
        <v>13</v>
      </c>
      <c r="D45" s="161" t="s">
        <v>40</v>
      </c>
      <c r="E45" s="161" t="s">
        <v>47</v>
      </c>
      <c r="F45" s="155">
        <v>0</v>
      </c>
      <c r="G45" s="162">
        <f>+VLOOKUP(B45,'5.3 Var OPEX 2023-25'!$B$4:$D$160,3,0)</f>
        <v>4.4009396000000096E-2</v>
      </c>
      <c r="H45" s="163" t="s">
        <v>190</v>
      </c>
      <c r="I45" s="300">
        <f t="shared" si="2"/>
        <v>0</v>
      </c>
      <c r="J45" s="159">
        <f t="shared" ref="J45:N54" si="6">+IF(OR($C45="No Imputables",$H45="m2 fijo"),I45,I45*(1+J$6*J$7))</f>
        <v>0</v>
      </c>
      <c r="K45" s="159">
        <f t="shared" si="6"/>
        <v>0</v>
      </c>
      <c r="L45" s="159">
        <f t="shared" si="6"/>
        <v>0</v>
      </c>
      <c r="M45" s="159">
        <f t="shared" si="6"/>
        <v>0</v>
      </c>
      <c r="N45" s="159">
        <f t="shared" si="6"/>
        <v>0</v>
      </c>
      <c r="P45" s="2"/>
    </row>
    <row r="46" spans="2:16" x14ac:dyDescent="0.25">
      <c r="B46" s="18">
        <v>6320000006</v>
      </c>
      <c r="C46" s="161" t="s">
        <v>13</v>
      </c>
      <c r="D46" s="161" t="s">
        <v>40</v>
      </c>
      <c r="E46" s="161" t="s">
        <v>48</v>
      </c>
      <c r="F46" s="155">
        <v>0</v>
      </c>
      <c r="G46" s="162">
        <f>+VLOOKUP(B46,'5.3 Var OPEX 2023-25'!$B$4:$D$160,3,0)</f>
        <v>4.4009396000000096E-2</v>
      </c>
      <c r="H46" s="163" t="s">
        <v>190</v>
      </c>
      <c r="I46" s="300">
        <f t="shared" si="2"/>
        <v>0</v>
      </c>
      <c r="J46" s="159">
        <f t="shared" si="6"/>
        <v>0</v>
      </c>
      <c r="K46" s="159">
        <f t="shared" si="6"/>
        <v>0</v>
      </c>
      <c r="L46" s="159">
        <f t="shared" si="6"/>
        <v>0</v>
      </c>
      <c r="M46" s="159">
        <f t="shared" si="6"/>
        <v>0</v>
      </c>
      <c r="N46" s="159">
        <f t="shared" si="6"/>
        <v>0</v>
      </c>
      <c r="P46" s="2"/>
    </row>
    <row r="47" spans="2:16" x14ac:dyDescent="0.25">
      <c r="B47" s="18">
        <v>6320000007</v>
      </c>
      <c r="C47" s="161" t="s">
        <v>13</v>
      </c>
      <c r="D47" s="161" t="s">
        <v>49</v>
      </c>
      <c r="E47" s="161" t="s">
        <v>50</v>
      </c>
      <c r="F47" s="155">
        <v>726068.13</v>
      </c>
      <c r="G47" s="162">
        <f>+VLOOKUP(B47,'5.3 Var OPEX 2023-25'!$B$4:$D$160,3,0)</f>
        <v>1.0054865169395515</v>
      </c>
      <c r="H47" s="163" t="s">
        <v>190</v>
      </c>
      <c r="I47" s="300">
        <f t="shared" si="2"/>
        <v>1429116.6130644646</v>
      </c>
      <c r="J47" s="159">
        <f t="shared" si="6"/>
        <v>1461345.7508363088</v>
      </c>
      <c r="K47" s="159">
        <f t="shared" si="6"/>
        <v>1485991.2658618339</v>
      </c>
      <c r="L47" s="159">
        <f t="shared" si="6"/>
        <v>1510799.1243377926</v>
      </c>
      <c r="M47" s="159">
        <f t="shared" si="6"/>
        <v>1538391.9822701914</v>
      </c>
      <c r="N47" s="159">
        <f t="shared" si="6"/>
        <v>1564005.9986124844</v>
      </c>
      <c r="P47" s="2"/>
    </row>
    <row r="48" spans="2:16" x14ac:dyDescent="0.25">
      <c r="B48" s="18">
        <v>6329000003</v>
      </c>
      <c r="C48" s="161" t="s">
        <v>13</v>
      </c>
      <c r="D48" s="161" t="s">
        <v>40</v>
      </c>
      <c r="E48" s="161" t="s">
        <v>51</v>
      </c>
      <c r="F48" s="155">
        <v>0</v>
      </c>
      <c r="G48" s="162">
        <f>+VLOOKUP(B48,'5.3 Var OPEX 2023-25'!$B$4:$D$160,3,0)</f>
        <v>4.4009396000000096E-2</v>
      </c>
      <c r="H48" s="163" t="s">
        <v>190</v>
      </c>
      <c r="I48" s="300">
        <f t="shared" si="2"/>
        <v>0</v>
      </c>
      <c r="J48" s="159">
        <f t="shared" si="6"/>
        <v>0</v>
      </c>
      <c r="K48" s="159">
        <f t="shared" si="6"/>
        <v>0</v>
      </c>
      <c r="L48" s="159">
        <f t="shared" si="6"/>
        <v>0</v>
      </c>
      <c r="M48" s="159">
        <f t="shared" si="6"/>
        <v>0</v>
      </c>
      <c r="N48" s="159">
        <f t="shared" si="6"/>
        <v>0</v>
      </c>
      <c r="P48" s="2"/>
    </row>
    <row r="49" spans="2:16" x14ac:dyDescent="0.25">
      <c r="B49" s="18">
        <v>6341100001</v>
      </c>
      <c r="C49" s="161" t="s">
        <v>13</v>
      </c>
      <c r="D49" s="161" t="s">
        <v>52</v>
      </c>
      <c r="E49" s="161" t="s">
        <v>53</v>
      </c>
      <c r="F49" s="155">
        <v>3574.182413793103</v>
      </c>
      <c r="G49" s="162">
        <f>+VLOOKUP(B49,'5.3 Var OPEX 2023-25'!$B$4:$D$160,3,0)</f>
        <v>4.4009396000000096E-2</v>
      </c>
      <c r="H49" s="163" t="s">
        <v>190</v>
      </c>
      <c r="I49" s="300">
        <f t="shared" si="2"/>
        <v>3662.2810342008652</v>
      </c>
      <c r="J49" s="159">
        <f t="shared" si="6"/>
        <v>3744.8720270781887</v>
      </c>
      <c r="K49" s="159">
        <f t="shared" si="6"/>
        <v>3808.0290860830173</v>
      </c>
      <c r="L49" s="159">
        <f t="shared" si="6"/>
        <v>3871.6021694585056</v>
      </c>
      <c r="M49" s="159">
        <f t="shared" si="6"/>
        <v>3942.3121446707696</v>
      </c>
      <c r="N49" s="159">
        <f t="shared" si="6"/>
        <v>4007.9511033131594</v>
      </c>
      <c r="P49" s="2"/>
    </row>
    <row r="50" spans="2:16" x14ac:dyDescent="0.25">
      <c r="B50" s="18">
        <v>6341100002</v>
      </c>
      <c r="C50" s="161" t="s">
        <v>13</v>
      </c>
      <c r="D50" s="161" t="s">
        <v>52</v>
      </c>
      <c r="E50" s="161" t="s">
        <v>54</v>
      </c>
      <c r="F50" s="155">
        <v>8157.7441379310349</v>
      </c>
      <c r="G50" s="162">
        <f>+VLOOKUP(B50,'5.3 Var OPEX 2023-25'!$B$4:$D$160,3,0)</f>
        <v>4.4009396000000096E-2</v>
      </c>
      <c r="H50" s="163" t="s">
        <v>190</v>
      </c>
      <c r="I50" s="300">
        <f t="shared" si="2"/>
        <v>8358.82117345607</v>
      </c>
      <c r="J50" s="159">
        <f t="shared" si="6"/>
        <v>8547.327553374118</v>
      </c>
      <c r="K50" s="159">
        <f t="shared" si="6"/>
        <v>8691.4777584328549</v>
      </c>
      <c r="L50" s="159">
        <f t="shared" si="6"/>
        <v>8836.5775010299913</v>
      </c>
      <c r="M50" s="159">
        <f t="shared" si="6"/>
        <v>8997.9665458518339</v>
      </c>
      <c r="N50" s="159">
        <f t="shared" si="6"/>
        <v>9147.7814596118151</v>
      </c>
      <c r="P50" s="2"/>
    </row>
    <row r="51" spans="2:16" x14ac:dyDescent="0.25">
      <c r="B51" s="18">
        <v>6341100003</v>
      </c>
      <c r="C51" s="161" t="s">
        <v>13</v>
      </c>
      <c r="D51" s="161" t="s">
        <v>52</v>
      </c>
      <c r="E51" s="161" t="s">
        <v>55</v>
      </c>
      <c r="F51" s="155">
        <v>63374.213569551604</v>
      </c>
      <c r="G51" s="162">
        <f>+VLOOKUP(B51,'5.3 Var OPEX 2023-25'!$B$4:$D$160,3,0)</f>
        <v>0.13114375863339878</v>
      </c>
      <c r="H51" s="163" t="s">
        <v>190</v>
      </c>
      <c r="I51" s="300">
        <f t="shared" si="2"/>
        <v>70355.966525355514</v>
      </c>
      <c r="J51" s="159">
        <f t="shared" si="6"/>
        <v>71942.619509085576</v>
      </c>
      <c r="K51" s="159">
        <f t="shared" si="6"/>
        <v>73155.927796376331</v>
      </c>
      <c r="L51" s="159">
        <f t="shared" si="6"/>
        <v>74377.228314853739</v>
      </c>
      <c r="M51" s="159">
        <f t="shared" si="6"/>
        <v>75735.635439425576</v>
      </c>
      <c r="N51" s="159">
        <f t="shared" si="6"/>
        <v>76996.623423110141</v>
      </c>
      <c r="P51" s="2"/>
    </row>
    <row r="52" spans="2:16" x14ac:dyDescent="0.25">
      <c r="B52" s="18">
        <v>6341100004</v>
      </c>
      <c r="C52" s="161" t="s">
        <v>13</v>
      </c>
      <c r="D52" s="161" t="s">
        <v>52</v>
      </c>
      <c r="E52" s="161" t="s">
        <v>56</v>
      </c>
      <c r="F52" s="155">
        <v>2279.3620689655172</v>
      </c>
      <c r="G52" s="162">
        <f>+VLOOKUP(B52,'5.3 Var OPEX 2023-25'!$B$4:$D$160,3,0)</f>
        <v>4.4009396000000096E-2</v>
      </c>
      <c r="H52" s="163" t="s">
        <v>190</v>
      </c>
      <c r="I52" s="300">
        <f t="shared" si="2"/>
        <v>2335.5451705639989</v>
      </c>
      <c r="J52" s="159">
        <f t="shared" si="6"/>
        <v>2388.2158948326537</v>
      </c>
      <c r="K52" s="159">
        <f t="shared" si="6"/>
        <v>2428.4930234222516</v>
      </c>
      <c r="L52" s="159">
        <f t="shared" si="6"/>
        <v>2469.0354630845541</v>
      </c>
      <c r="M52" s="159">
        <f t="shared" si="6"/>
        <v>2514.1293102184727</v>
      </c>
      <c r="N52" s="159">
        <f t="shared" si="6"/>
        <v>2555.9892197738668</v>
      </c>
      <c r="P52" s="2"/>
    </row>
    <row r="53" spans="2:16" x14ac:dyDescent="0.25">
      <c r="B53" s="18">
        <v>6341100005</v>
      </c>
      <c r="C53" s="161" t="s">
        <v>13</v>
      </c>
      <c r="D53" s="161" t="s">
        <v>52</v>
      </c>
      <c r="E53" s="161" t="s">
        <v>57</v>
      </c>
      <c r="F53" s="155">
        <v>0</v>
      </c>
      <c r="G53" s="162">
        <f>+VLOOKUP(B53,'5.3 Var OPEX 2023-25'!$B$4:$D$160,3,0)</f>
        <v>4.4009396000000096E-2</v>
      </c>
      <c r="H53" s="163" t="s">
        <v>190</v>
      </c>
      <c r="I53" s="300">
        <f t="shared" si="2"/>
        <v>0</v>
      </c>
      <c r="J53" s="159">
        <f t="shared" si="6"/>
        <v>0</v>
      </c>
      <c r="K53" s="159">
        <f t="shared" si="6"/>
        <v>0</v>
      </c>
      <c r="L53" s="159">
        <f t="shared" si="6"/>
        <v>0</v>
      </c>
      <c r="M53" s="159">
        <f t="shared" si="6"/>
        <v>0</v>
      </c>
      <c r="N53" s="159">
        <f t="shared" si="6"/>
        <v>0</v>
      </c>
      <c r="P53" s="2"/>
    </row>
    <row r="54" spans="2:16" x14ac:dyDescent="0.25">
      <c r="B54" s="18">
        <v>6341100007</v>
      </c>
      <c r="C54" s="161" t="s">
        <v>13</v>
      </c>
      <c r="D54" s="161" t="s">
        <v>52</v>
      </c>
      <c r="E54" s="161" t="s">
        <v>58</v>
      </c>
      <c r="F54" s="155">
        <v>0</v>
      </c>
      <c r="G54" s="162">
        <f>+VLOOKUP(B54,'5.3 Var OPEX 2023-25'!$B$4:$D$160,3,0)</f>
        <v>4.4009396000000096E-2</v>
      </c>
      <c r="H54" s="163" t="s">
        <v>190</v>
      </c>
      <c r="I54" s="300">
        <f t="shared" si="2"/>
        <v>0</v>
      </c>
      <c r="J54" s="159">
        <f t="shared" si="6"/>
        <v>0</v>
      </c>
      <c r="K54" s="159">
        <f t="shared" si="6"/>
        <v>0</v>
      </c>
      <c r="L54" s="159">
        <f t="shared" si="6"/>
        <v>0</v>
      </c>
      <c r="M54" s="159">
        <f t="shared" si="6"/>
        <v>0</v>
      </c>
      <c r="N54" s="159">
        <f t="shared" si="6"/>
        <v>0</v>
      </c>
      <c r="P54" s="2"/>
    </row>
    <row r="55" spans="2:16" x14ac:dyDescent="0.25">
      <c r="B55" s="18">
        <v>6341100008</v>
      </c>
      <c r="C55" s="161" t="s">
        <v>13</v>
      </c>
      <c r="D55" s="161" t="s">
        <v>52</v>
      </c>
      <c r="E55" s="161" t="s">
        <v>59</v>
      </c>
      <c r="F55" s="155">
        <v>0</v>
      </c>
      <c r="G55" s="162">
        <f>+VLOOKUP(B55,'5.3 Var OPEX 2023-25'!$B$4:$D$160,3,0)</f>
        <v>4.4009396000000096E-2</v>
      </c>
      <c r="H55" s="163" t="s">
        <v>190</v>
      </c>
      <c r="I55" s="300">
        <f t="shared" si="2"/>
        <v>0</v>
      </c>
      <c r="J55" s="159">
        <f t="shared" ref="J55:N64" si="7">+IF(OR($C55="No Imputables",$H55="m2 fijo"),I55,I55*(1+J$6*J$7))</f>
        <v>0</v>
      </c>
      <c r="K55" s="159">
        <f t="shared" si="7"/>
        <v>0</v>
      </c>
      <c r="L55" s="159">
        <f t="shared" si="7"/>
        <v>0</v>
      </c>
      <c r="M55" s="159">
        <f t="shared" si="7"/>
        <v>0</v>
      </c>
      <c r="N55" s="159">
        <f t="shared" si="7"/>
        <v>0</v>
      </c>
      <c r="P55" s="2"/>
    </row>
    <row r="56" spans="2:16" x14ac:dyDescent="0.25">
      <c r="B56" s="18">
        <v>6341100009</v>
      </c>
      <c r="C56" s="161" t="s">
        <v>13</v>
      </c>
      <c r="D56" s="161" t="s">
        <v>52</v>
      </c>
      <c r="E56" s="161" t="s">
        <v>60</v>
      </c>
      <c r="F56" s="155">
        <v>0</v>
      </c>
      <c r="G56" s="162">
        <f>+VLOOKUP(B56,'5.3 Var OPEX 2023-25'!$B$4:$D$160,3,0)</f>
        <v>4.4009396000000096E-2</v>
      </c>
      <c r="H56" s="163" t="s">
        <v>190</v>
      </c>
      <c r="I56" s="300">
        <f t="shared" si="2"/>
        <v>0</v>
      </c>
      <c r="J56" s="159">
        <f t="shared" si="7"/>
        <v>0</v>
      </c>
      <c r="K56" s="159">
        <f t="shared" si="7"/>
        <v>0</v>
      </c>
      <c r="L56" s="159">
        <f t="shared" si="7"/>
        <v>0</v>
      </c>
      <c r="M56" s="159">
        <f t="shared" si="7"/>
        <v>0</v>
      </c>
      <c r="N56" s="159">
        <f t="shared" si="7"/>
        <v>0</v>
      </c>
      <c r="P56" s="2"/>
    </row>
    <row r="57" spans="2:16" x14ac:dyDescent="0.25">
      <c r="B57" s="18">
        <v>6341100010</v>
      </c>
      <c r="C57" s="161" t="s">
        <v>13</v>
      </c>
      <c r="D57" s="161" t="s">
        <v>52</v>
      </c>
      <c r="E57" s="161" t="s">
        <v>61</v>
      </c>
      <c r="F57" s="155">
        <v>56620.739495049769</v>
      </c>
      <c r="G57" s="162">
        <f>+VLOOKUP(B57,'5.3 Var OPEX 2023-25'!$B$4:$D$160,3,0)</f>
        <v>4.4009396000000096E-2</v>
      </c>
      <c r="H57" s="163" t="s">
        <v>190</v>
      </c>
      <c r="I57" s="300">
        <f t="shared" si="2"/>
        <v>58016.361894379806</v>
      </c>
      <c r="J57" s="159">
        <f t="shared" si="7"/>
        <v>59324.734705542971</v>
      </c>
      <c r="K57" s="159">
        <f t="shared" si="7"/>
        <v>60325.243065548821</v>
      </c>
      <c r="L57" s="159">
        <f t="shared" si="7"/>
        <v>61332.341913892313</v>
      </c>
      <c r="M57" s="159">
        <f t="shared" si="7"/>
        <v>62452.500490786588</v>
      </c>
      <c r="N57" s="159">
        <f t="shared" si="7"/>
        <v>63492.326092209354</v>
      </c>
      <c r="P57" s="2"/>
    </row>
    <row r="58" spans="2:16" x14ac:dyDescent="0.25">
      <c r="B58" s="18">
        <v>6342000001</v>
      </c>
      <c r="C58" s="161" t="s">
        <v>13</v>
      </c>
      <c r="D58" s="161" t="s">
        <v>52</v>
      </c>
      <c r="E58" s="161" t="s">
        <v>62</v>
      </c>
      <c r="F58" s="155">
        <v>0</v>
      </c>
      <c r="G58" s="162">
        <f>+VLOOKUP(B58,'5.3 Var OPEX 2023-25'!$B$4:$D$160,3,0)</f>
        <v>4.4009396000000096E-2</v>
      </c>
      <c r="H58" s="163" t="s">
        <v>190</v>
      </c>
      <c r="I58" s="300">
        <f t="shared" si="2"/>
        <v>0</v>
      </c>
      <c r="J58" s="159">
        <f t="shared" si="7"/>
        <v>0</v>
      </c>
      <c r="K58" s="159">
        <f t="shared" si="7"/>
        <v>0</v>
      </c>
      <c r="L58" s="159">
        <f t="shared" si="7"/>
        <v>0</v>
      </c>
      <c r="M58" s="159">
        <f t="shared" si="7"/>
        <v>0</v>
      </c>
      <c r="N58" s="159">
        <f t="shared" si="7"/>
        <v>0</v>
      </c>
      <c r="P58" s="2"/>
    </row>
    <row r="59" spans="2:16" x14ac:dyDescent="0.25">
      <c r="B59" s="18">
        <v>6342000002</v>
      </c>
      <c r="C59" s="161" t="s">
        <v>13</v>
      </c>
      <c r="D59" s="161" t="s">
        <v>52</v>
      </c>
      <c r="E59" s="161" t="s">
        <v>63</v>
      </c>
      <c r="F59" s="155">
        <v>0</v>
      </c>
      <c r="G59" s="162">
        <f>+VLOOKUP(B59,'5.3 Var OPEX 2023-25'!$B$4:$D$160,3,0)</f>
        <v>4.4009396000000096E-2</v>
      </c>
      <c r="H59" s="163" t="s">
        <v>190</v>
      </c>
      <c r="I59" s="300">
        <f t="shared" si="2"/>
        <v>0</v>
      </c>
      <c r="J59" s="159">
        <f t="shared" si="7"/>
        <v>0</v>
      </c>
      <c r="K59" s="159">
        <f t="shared" si="7"/>
        <v>0</v>
      </c>
      <c r="L59" s="159">
        <f t="shared" si="7"/>
        <v>0</v>
      </c>
      <c r="M59" s="159">
        <f t="shared" si="7"/>
        <v>0</v>
      </c>
      <c r="N59" s="159">
        <f t="shared" si="7"/>
        <v>0</v>
      </c>
      <c r="P59" s="2"/>
    </row>
    <row r="60" spans="2:16" x14ac:dyDescent="0.25">
      <c r="B60" s="18">
        <v>6343000001</v>
      </c>
      <c r="C60" s="161" t="s">
        <v>13</v>
      </c>
      <c r="D60" s="161" t="s">
        <v>52</v>
      </c>
      <c r="E60" s="161" t="s">
        <v>64</v>
      </c>
      <c r="F60" s="155">
        <v>455915.95000000042</v>
      </c>
      <c r="G60" s="162">
        <f>+VLOOKUP(B60,'5.3 Var OPEX 2023-25'!$B$4:$D$160,3,0)</f>
        <v>1.922702215525852</v>
      </c>
      <c r="H60" s="163" t="s">
        <v>190</v>
      </c>
      <c r="I60" s="300">
        <f t="shared" si="2"/>
        <v>1307795.6902160402</v>
      </c>
      <c r="J60" s="159">
        <f t="shared" si="7"/>
        <v>1337288.8240107808</v>
      </c>
      <c r="K60" s="159">
        <f t="shared" si="7"/>
        <v>1359842.1258469569</v>
      </c>
      <c r="L60" s="159">
        <f t="shared" si="7"/>
        <v>1382543.9894330075</v>
      </c>
      <c r="M60" s="159">
        <f t="shared" si="7"/>
        <v>1407794.4276091866</v>
      </c>
      <c r="N60" s="159">
        <f t="shared" si="7"/>
        <v>1431234.0125075416</v>
      </c>
      <c r="P60" s="2"/>
    </row>
    <row r="61" spans="2:16" x14ac:dyDescent="0.25">
      <c r="B61" s="18">
        <v>6343000002</v>
      </c>
      <c r="C61" s="161" t="s">
        <v>13</v>
      </c>
      <c r="D61" s="161" t="s">
        <v>52</v>
      </c>
      <c r="E61" s="161" t="s">
        <v>65</v>
      </c>
      <c r="F61" s="155">
        <v>77756.2</v>
      </c>
      <c r="G61" s="162">
        <f>+VLOOKUP(B61,'5.3 Var OPEX 2023-25'!$B$4:$D$160,3,0)</f>
        <v>4.4009396000000096E-2</v>
      </c>
      <c r="H61" s="163" t="s">
        <v>190</v>
      </c>
      <c r="I61" s="300">
        <f t="shared" si="2"/>
        <v>79672.782075306051</v>
      </c>
      <c r="J61" s="159">
        <f t="shared" si="7"/>
        <v>81469.545926973151</v>
      </c>
      <c r="K61" s="159">
        <f t="shared" si="7"/>
        <v>82843.525299833316</v>
      </c>
      <c r="L61" s="159">
        <f t="shared" si="7"/>
        <v>84226.555266766416</v>
      </c>
      <c r="M61" s="159">
        <f t="shared" si="7"/>
        <v>85764.848039228731</v>
      </c>
      <c r="N61" s="159">
        <f t="shared" si="7"/>
        <v>87192.821042591182</v>
      </c>
      <c r="P61" s="2"/>
    </row>
    <row r="62" spans="2:16" x14ac:dyDescent="0.25">
      <c r="B62" s="18">
        <v>6343100001</v>
      </c>
      <c r="C62" s="161" t="s">
        <v>13</v>
      </c>
      <c r="D62" s="161" t="s">
        <v>52</v>
      </c>
      <c r="E62" s="161" t="s">
        <v>66</v>
      </c>
      <c r="F62" s="155">
        <v>9684.6427894368608</v>
      </c>
      <c r="G62" s="162">
        <f>+VLOOKUP(B62,'5.3 Var OPEX 2023-25'!$B$4:$D$160,3,0)</f>
        <v>4.4009396000000096E-2</v>
      </c>
      <c r="H62" s="163" t="s">
        <v>190</v>
      </c>
      <c r="I62" s="300">
        <f t="shared" si="2"/>
        <v>9923.3557509238781</v>
      </c>
      <c r="J62" s="159">
        <f t="shared" si="7"/>
        <v>10147.145186111922</v>
      </c>
      <c r="K62" s="159">
        <f t="shared" si="7"/>
        <v>10318.276226803277</v>
      </c>
      <c r="L62" s="159">
        <f t="shared" si="7"/>
        <v>10490.534531566547</v>
      </c>
      <c r="M62" s="159">
        <f t="shared" si="7"/>
        <v>10682.131034570424</v>
      </c>
      <c r="N62" s="159">
        <f t="shared" si="7"/>
        <v>10859.987056990818</v>
      </c>
      <c r="P62" s="2"/>
    </row>
    <row r="63" spans="2:16" x14ac:dyDescent="0.25">
      <c r="B63" s="18">
        <v>6343100002</v>
      </c>
      <c r="C63" s="161" t="s">
        <v>13</v>
      </c>
      <c r="D63" s="161" t="s">
        <v>52</v>
      </c>
      <c r="E63" s="161" t="s">
        <v>67</v>
      </c>
      <c r="F63" s="155">
        <v>16321.236054804693</v>
      </c>
      <c r="G63" s="162">
        <f>+VLOOKUP(B63,'5.3 Var OPEX 2023-25'!$B$4:$D$160,3,0)</f>
        <v>4.4009396000000096E-2</v>
      </c>
      <c r="H63" s="163" t="s">
        <v>190</v>
      </c>
      <c r="I63" s="300">
        <f t="shared" si="2"/>
        <v>16723.531800603454</v>
      </c>
      <c r="J63" s="159">
        <f t="shared" si="7"/>
        <v>17100.677378162527</v>
      </c>
      <c r="K63" s="159">
        <f t="shared" si="7"/>
        <v>17389.079353553341</v>
      </c>
      <c r="L63" s="159">
        <f t="shared" si="7"/>
        <v>17679.381073045599</v>
      </c>
      <c r="M63" s="159">
        <f t="shared" si="7"/>
        <v>18002.272874095001</v>
      </c>
      <c r="N63" s="159">
        <f t="shared" si="7"/>
        <v>18302.008258125687</v>
      </c>
      <c r="P63" s="2"/>
    </row>
    <row r="64" spans="2:16" x14ac:dyDescent="0.25">
      <c r="B64" s="18">
        <v>6343100003</v>
      </c>
      <c r="C64" s="161" t="s">
        <v>13</v>
      </c>
      <c r="D64" s="161" t="s">
        <v>52</v>
      </c>
      <c r="E64" s="161" t="s">
        <v>68</v>
      </c>
      <c r="F64" s="155">
        <v>0</v>
      </c>
      <c r="G64" s="162">
        <f>+VLOOKUP(B64,'5.3 Var OPEX 2023-25'!$B$4:$D$160,3,0)</f>
        <v>4.4009396000000096E-2</v>
      </c>
      <c r="H64" s="163" t="s">
        <v>190</v>
      </c>
      <c r="I64" s="300">
        <f t="shared" si="2"/>
        <v>0</v>
      </c>
      <c r="J64" s="159">
        <f t="shared" si="7"/>
        <v>0</v>
      </c>
      <c r="K64" s="159">
        <f t="shared" si="7"/>
        <v>0</v>
      </c>
      <c r="L64" s="159">
        <f t="shared" si="7"/>
        <v>0</v>
      </c>
      <c r="M64" s="159">
        <f t="shared" si="7"/>
        <v>0</v>
      </c>
      <c r="N64" s="159">
        <f t="shared" si="7"/>
        <v>0</v>
      </c>
      <c r="P64" s="2"/>
    </row>
    <row r="65" spans="2:16" x14ac:dyDescent="0.25">
      <c r="B65" s="18">
        <v>6343100004</v>
      </c>
      <c r="C65" s="161" t="s">
        <v>13</v>
      </c>
      <c r="D65" s="161" t="s">
        <v>52</v>
      </c>
      <c r="E65" s="161" t="s">
        <v>69</v>
      </c>
      <c r="F65" s="155">
        <v>0</v>
      </c>
      <c r="G65" s="162">
        <f>+VLOOKUP(B65,'5.3 Var OPEX 2023-25'!$B$4:$D$160,3,0)</f>
        <v>4.4009396000000096E-2</v>
      </c>
      <c r="H65" s="163" t="s">
        <v>190</v>
      </c>
      <c r="I65" s="300">
        <f t="shared" si="2"/>
        <v>0</v>
      </c>
      <c r="J65" s="159">
        <f t="shared" ref="J65:N74" si="8">+IF(OR($C65="No Imputables",$H65="m2 fijo"),I65,I65*(1+J$6*J$7))</f>
        <v>0</v>
      </c>
      <c r="K65" s="159">
        <f t="shared" si="8"/>
        <v>0</v>
      </c>
      <c r="L65" s="159">
        <f t="shared" si="8"/>
        <v>0</v>
      </c>
      <c r="M65" s="159">
        <f t="shared" si="8"/>
        <v>0</v>
      </c>
      <c r="N65" s="159">
        <f t="shared" si="8"/>
        <v>0</v>
      </c>
      <c r="P65" s="2"/>
    </row>
    <row r="66" spans="2:16" x14ac:dyDescent="0.25">
      <c r="B66" s="18">
        <v>6343100005</v>
      </c>
      <c r="C66" s="161" t="s">
        <v>13</v>
      </c>
      <c r="D66" s="161" t="s">
        <v>52</v>
      </c>
      <c r="E66" s="161" t="s">
        <v>70</v>
      </c>
      <c r="F66" s="155">
        <v>0</v>
      </c>
      <c r="G66" s="162">
        <f>+VLOOKUP(B66,'5.3 Var OPEX 2023-25'!$B$4:$D$160,3,0)</f>
        <v>4.4009396000000096E-2</v>
      </c>
      <c r="H66" s="163" t="s">
        <v>190</v>
      </c>
      <c r="I66" s="300">
        <f t="shared" si="2"/>
        <v>0</v>
      </c>
      <c r="J66" s="159">
        <f t="shared" si="8"/>
        <v>0</v>
      </c>
      <c r="K66" s="159">
        <f t="shared" si="8"/>
        <v>0</v>
      </c>
      <c r="L66" s="159">
        <f t="shared" si="8"/>
        <v>0</v>
      </c>
      <c r="M66" s="159">
        <f t="shared" si="8"/>
        <v>0</v>
      </c>
      <c r="N66" s="159">
        <f t="shared" si="8"/>
        <v>0</v>
      </c>
      <c r="P66" s="2"/>
    </row>
    <row r="67" spans="2:16" x14ac:dyDescent="0.25">
      <c r="B67" s="18">
        <v>6343100006</v>
      </c>
      <c r="C67" s="161" t="s">
        <v>13</v>
      </c>
      <c r="D67" s="161" t="s">
        <v>52</v>
      </c>
      <c r="E67" s="161" t="s">
        <v>71</v>
      </c>
      <c r="F67" s="155">
        <v>0</v>
      </c>
      <c r="G67" s="162">
        <f>+VLOOKUP(B67,'5.3 Var OPEX 2023-25'!$B$4:$D$160,3,0)</f>
        <v>4.4009396000000096E-2</v>
      </c>
      <c r="H67" s="163" t="s">
        <v>190</v>
      </c>
      <c r="I67" s="300">
        <f t="shared" si="2"/>
        <v>0</v>
      </c>
      <c r="J67" s="159">
        <f t="shared" si="8"/>
        <v>0</v>
      </c>
      <c r="K67" s="159">
        <f t="shared" si="8"/>
        <v>0</v>
      </c>
      <c r="L67" s="159">
        <f t="shared" si="8"/>
        <v>0</v>
      </c>
      <c r="M67" s="159">
        <f t="shared" si="8"/>
        <v>0</v>
      </c>
      <c r="N67" s="159">
        <f t="shared" si="8"/>
        <v>0</v>
      </c>
      <c r="P67" s="2"/>
    </row>
    <row r="68" spans="2:16" x14ac:dyDescent="0.25">
      <c r="B68" s="18">
        <v>6343100007</v>
      </c>
      <c r="C68" s="161" t="s">
        <v>13</v>
      </c>
      <c r="D68" s="161" t="s">
        <v>52</v>
      </c>
      <c r="E68" s="161" t="s">
        <v>72</v>
      </c>
      <c r="F68" s="155">
        <v>96360</v>
      </c>
      <c r="G68" s="162">
        <f>+VLOOKUP(B68,'5.3 Var OPEX 2023-25'!$B$4:$D$160,3,0)</f>
        <v>4.4009396000000096E-2</v>
      </c>
      <c r="H68" s="163" t="s">
        <v>190</v>
      </c>
      <c r="I68" s="300">
        <f t="shared" si="2"/>
        <v>98735.139844494624</v>
      </c>
      <c r="J68" s="159">
        <f t="shared" si="8"/>
        <v>100961.79398585753</v>
      </c>
      <c r="K68" s="159">
        <f t="shared" si="8"/>
        <v>102664.50904097603</v>
      </c>
      <c r="L68" s="159">
        <f t="shared" si="8"/>
        <v>104378.44011803064</v>
      </c>
      <c r="M68" s="159">
        <f t="shared" si="8"/>
        <v>106284.78188311779</v>
      </c>
      <c r="N68" s="159">
        <f t="shared" si="8"/>
        <v>108054.40898171578</v>
      </c>
      <c r="P68" s="2"/>
    </row>
    <row r="69" spans="2:16" x14ac:dyDescent="0.25">
      <c r="B69" s="18">
        <v>6343100008</v>
      </c>
      <c r="C69" s="161" t="s">
        <v>13</v>
      </c>
      <c r="D69" s="161" t="s">
        <v>52</v>
      </c>
      <c r="E69" s="161" t="s">
        <v>73</v>
      </c>
      <c r="F69" s="155">
        <v>18500</v>
      </c>
      <c r="G69" s="162">
        <f>+VLOOKUP(B69,'5.3 Var OPEX 2023-25'!$B$4:$D$160,3,0)</f>
        <v>4.4009396000000096E-2</v>
      </c>
      <c r="H69" s="163" t="s">
        <v>190</v>
      </c>
      <c r="I69" s="300">
        <f t="shared" si="2"/>
        <v>18955.999243702267</v>
      </c>
      <c r="J69" s="159">
        <f t="shared" si="8"/>
        <v>19383.490958264469</v>
      </c>
      <c r="K69" s="159">
        <f t="shared" si="8"/>
        <v>19710.39245805372</v>
      </c>
      <c r="L69" s="159">
        <f t="shared" si="8"/>
        <v>20039.447303689984</v>
      </c>
      <c r="M69" s="159">
        <f t="shared" si="8"/>
        <v>20405.44276502365</v>
      </c>
      <c r="N69" s="159">
        <f t="shared" si="8"/>
        <v>20745.190599436923</v>
      </c>
      <c r="P69" s="2"/>
    </row>
    <row r="70" spans="2:16" x14ac:dyDescent="0.25">
      <c r="B70" s="18">
        <v>6343100009</v>
      </c>
      <c r="C70" s="161" t="s">
        <v>13</v>
      </c>
      <c r="D70" s="161" t="s">
        <v>52</v>
      </c>
      <c r="E70" s="161" t="s">
        <v>74</v>
      </c>
      <c r="F70" s="155">
        <v>0</v>
      </c>
      <c r="G70" s="162">
        <f>+VLOOKUP(B70,'5.3 Var OPEX 2023-25'!$B$4:$D$160,3,0)</f>
        <v>4.4009396000000096E-2</v>
      </c>
      <c r="H70" s="163" t="s">
        <v>190</v>
      </c>
      <c r="I70" s="300">
        <f t="shared" si="2"/>
        <v>0</v>
      </c>
      <c r="J70" s="159">
        <f t="shared" si="8"/>
        <v>0</v>
      </c>
      <c r="K70" s="159">
        <f t="shared" si="8"/>
        <v>0</v>
      </c>
      <c r="L70" s="159">
        <f t="shared" si="8"/>
        <v>0</v>
      </c>
      <c r="M70" s="159">
        <f t="shared" si="8"/>
        <v>0</v>
      </c>
      <c r="N70" s="159">
        <f t="shared" si="8"/>
        <v>0</v>
      </c>
      <c r="P70" s="2"/>
    </row>
    <row r="71" spans="2:16" x14ac:dyDescent="0.25">
      <c r="B71" s="18">
        <v>6343100010</v>
      </c>
      <c r="C71" s="161" t="s">
        <v>13</v>
      </c>
      <c r="D71" s="161" t="s">
        <v>52</v>
      </c>
      <c r="E71" s="161" t="s">
        <v>75</v>
      </c>
      <c r="F71" s="155">
        <v>0</v>
      </c>
      <c r="G71" s="162">
        <f>+VLOOKUP(B71,'5.3 Var OPEX 2023-25'!$B$4:$D$160,3,0)</f>
        <v>4.4009396000000096E-2</v>
      </c>
      <c r="H71" s="163" t="s">
        <v>190</v>
      </c>
      <c r="I71" s="300">
        <f t="shared" si="2"/>
        <v>0</v>
      </c>
      <c r="J71" s="159">
        <f t="shared" si="8"/>
        <v>0</v>
      </c>
      <c r="K71" s="159">
        <f t="shared" si="8"/>
        <v>0</v>
      </c>
      <c r="L71" s="159">
        <f t="shared" si="8"/>
        <v>0</v>
      </c>
      <c r="M71" s="159">
        <f t="shared" si="8"/>
        <v>0</v>
      </c>
      <c r="N71" s="159">
        <f t="shared" si="8"/>
        <v>0</v>
      </c>
      <c r="P71" s="2"/>
    </row>
    <row r="72" spans="2:16" x14ac:dyDescent="0.25">
      <c r="B72" s="18">
        <v>6343100011</v>
      </c>
      <c r="C72" s="161" t="s">
        <v>13</v>
      </c>
      <c r="D72" s="161" t="s">
        <v>52</v>
      </c>
      <c r="E72" s="161" t="s">
        <v>76</v>
      </c>
      <c r="F72" s="155">
        <v>0</v>
      </c>
      <c r="G72" s="162">
        <f>+VLOOKUP(B72,'5.3 Var OPEX 2023-25'!$B$4:$D$160,3,0)</f>
        <v>4.4009396000000096E-2</v>
      </c>
      <c r="H72" s="163" t="s">
        <v>190</v>
      </c>
      <c r="I72" s="300">
        <f t="shared" si="2"/>
        <v>0</v>
      </c>
      <c r="J72" s="159">
        <f t="shared" si="8"/>
        <v>0</v>
      </c>
      <c r="K72" s="159">
        <f t="shared" si="8"/>
        <v>0</v>
      </c>
      <c r="L72" s="159">
        <f t="shared" si="8"/>
        <v>0</v>
      </c>
      <c r="M72" s="159">
        <f t="shared" si="8"/>
        <v>0</v>
      </c>
      <c r="N72" s="159">
        <f t="shared" si="8"/>
        <v>0</v>
      </c>
      <c r="P72" s="2"/>
    </row>
    <row r="73" spans="2:16" x14ac:dyDescent="0.25">
      <c r="B73" s="18">
        <v>6343100012</v>
      </c>
      <c r="C73" s="161" t="s">
        <v>13</v>
      </c>
      <c r="D73" s="161" t="s">
        <v>52</v>
      </c>
      <c r="E73" s="161" t="s">
        <v>77</v>
      </c>
      <c r="F73" s="155">
        <v>0</v>
      </c>
      <c r="G73" s="162">
        <f>+VLOOKUP(B73,'5.3 Var OPEX 2023-25'!$B$4:$D$160,3,0)</f>
        <v>4.4009396000000096E-2</v>
      </c>
      <c r="H73" s="163" t="s">
        <v>190</v>
      </c>
      <c r="I73" s="300">
        <f t="shared" si="2"/>
        <v>0</v>
      </c>
      <c r="J73" s="159">
        <f t="shared" si="8"/>
        <v>0</v>
      </c>
      <c r="K73" s="159">
        <f t="shared" si="8"/>
        <v>0</v>
      </c>
      <c r="L73" s="159">
        <f t="shared" si="8"/>
        <v>0</v>
      </c>
      <c r="M73" s="159">
        <f t="shared" si="8"/>
        <v>0</v>
      </c>
      <c r="N73" s="159">
        <f t="shared" si="8"/>
        <v>0</v>
      </c>
      <c r="P73" s="2"/>
    </row>
    <row r="74" spans="2:16" x14ac:dyDescent="0.25">
      <c r="B74" s="18">
        <v>6343100013</v>
      </c>
      <c r="C74" s="161" t="s">
        <v>13</v>
      </c>
      <c r="D74" s="161" t="s">
        <v>52</v>
      </c>
      <c r="E74" s="161" t="s">
        <v>78</v>
      </c>
      <c r="F74" s="155">
        <v>0</v>
      </c>
      <c r="G74" s="162">
        <f>+VLOOKUP(B74,'5.3 Var OPEX 2023-25'!$B$4:$D$160,3,0)</f>
        <v>4.4009396000000096E-2</v>
      </c>
      <c r="H74" s="163" t="s">
        <v>190</v>
      </c>
      <c r="I74" s="300">
        <f t="shared" si="2"/>
        <v>0</v>
      </c>
      <c r="J74" s="159">
        <f t="shared" si="8"/>
        <v>0</v>
      </c>
      <c r="K74" s="159">
        <f t="shared" si="8"/>
        <v>0</v>
      </c>
      <c r="L74" s="159">
        <f t="shared" si="8"/>
        <v>0</v>
      </c>
      <c r="M74" s="159">
        <f t="shared" si="8"/>
        <v>0</v>
      </c>
      <c r="N74" s="159">
        <f t="shared" si="8"/>
        <v>0</v>
      </c>
      <c r="P74" s="2"/>
    </row>
    <row r="75" spans="2:16" x14ac:dyDescent="0.25">
      <c r="B75" s="18">
        <v>6343100014</v>
      </c>
      <c r="C75" s="161" t="s">
        <v>13</v>
      </c>
      <c r="D75" s="161" t="s">
        <v>52</v>
      </c>
      <c r="E75" s="161" t="s">
        <v>79</v>
      </c>
      <c r="F75" s="155">
        <v>0</v>
      </c>
      <c r="G75" s="162">
        <f>+VLOOKUP(B75,'5.3 Var OPEX 2023-25'!$B$4:$D$160,3,0)</f>
        <v>4.4009396000000096E-2</v>
      </c>
      <c r="H75" s="163" t="s">
        <v>190</v>
      </c>
      <c r="I75" s="300">
        <f t="shared" si="2"/>
        <v>0</v>
      </c>
      <c r="J75" s="159">
        <f t="shared" ref="J75:N84" si="9">+IF(OR($C75="No Imputables",$H75="m2 fijo"),I75,I75*(1+J$6*J$7))</f>
        <v>0</v>
      </c>
      <c r="K75" s="159">
        <f t="shared" si="9"/>
        <v>0</v>
      </c>
      <c r="L75" s="159">
        <f t="shared" si="9"/>
        <v>0</v>
      </c>
      <c r="M75" s="159">
        <f t="shared" si="9"/>
        <v>0</v>
      </c>
      <c r="N75" s="159">
        <f t="shared" si="9"/>
        <v>0</v>
      </c>
      <c r="P75" s="2"/>
    </row>
    <row r="76" spans="2:16" x14ac:dyDescent="0.25">
      <c r="B76" s="18">
        <v>6343100015</v>
      </c>
      <c r="C76" s="161" t="s">
        <v>13</v>
      </c>
      <c r="D76" s="161" t="s">
        <v>52</v>
      </c>
      <c r="E76" s="161" t="s">
        <v>80</v>
      </c>
      <c r="F76" s="155">
        <v>2049.3580911571257</v>
      </c>
      <c r="G76" s="162">
        <f>+VLOOKUP(B76,'5.3 Var OPEX 2023-25'!$B$4:$D$160,3,0)</f>
        <v>4.4009396000000096E-2</v>
      </c>
      <c r="H76" s="163" t="s">
        <v>190</v>
      </c>
      <c r="I76" s="300">
        <f t="shared" si="2"/>
        <v>2099.8719149215999</v>
      </c>
      <c r="J76" s="159">
        <f t="shared" si="9"/>
        <v>2147.2277854156905</v>
      </c>
      <c r="K76" s="159">
        <f t="shared" si="9"/>
        <v>2183.4406629078258</v>
      </c>
      <c r="L76" s="159">
        <f t="shared" si="9"/>
        <v>2219.8920796829143</v>
      </c>
      <c r="M76" s="159">
        <f t="shared" si="9"/>
        <v>2260.4356342780998</v>
      </c>
      <c r="N76" s="159">
        <f t="shared" si="9"/>
        <v>2298.0715787866379</v>
      </c>
      <c r="P76" s="2"/>
    </row>
    <row r="77" spans="2:16" x14ac:dyDescent="0.25">
      <c r="B77" s="18">
        <v>6343100016</v>
      </c>
      <c r="C77" s="161" t="s">
        <v>13</v>
      </c>
      <c r="D77" s="161" t="s">
        <v>52</v>
      </c>
      <c r="E77" s="161" t="s">
        <v>81</v>
      </c>
      <c r="F77" s="155">
        <v>0</v>
      </c>
      <c r="G77" s="162">
        <f>+VLOOKUP(B77,'5.3 Var OPEX 2023-25'!$B$4:$D$160,3,0)</f>
        <v>4.4009396000000096E-2</v>
      </c>
      <c r="H77" s="163" t="s">
        <v>190</v>
      </c>
      <c r="I77" s="300">
        <f t="shared" si="2"/>
        <v>0</v>
      </c>
      <c r="J77" s="159">
        <f t="shared" si="9"/>
        <v>0</v>
      </c>
      <c r="K77" s="159">
        <f t="shared" si="9"/>
        <v>0</v>
      </c>
      <c r="L77" s="159">
        <f t="shared" si="9"/>
        <v>0</v>
      </c>
      <c r="M77" s="159">
        <f t="shared" si="9"/>
        <v>0</v>
      </c>
      <c r="N77" s="159">
        <f t="shared" si="9"/>
        <v>0</v>
      </c>
      <c r="P77" s="2"/>
    </row>
    <row r="78" spans="2:16" x14ac:dyDescent="0.25">
      <c r="B78" s="18">
        <v>6343100017</v>
      </c>
      <c r="C78" s="161" t="s">
        <v>13</v>
      </c>
      <c r="D78" s="161" t="s">
        <v>52</v>
      </c>
      <c r="E78" s="161" t="s">
        <v>82</v>
      </c>
      <c r="F78" s="155">
        <v>0</v>
      </c>
      <c r="G78" s="162">
        <f>+VLOOKUP(B78,'5.3 Var OPEX 2023-25'!$B$4:$D$160,3,0)</f>
        <v>4.4009396000000096E-2</v>
      </c>
      <c r="H78" s="163" t="s">
        <v>190</v>
      </c>
      <c r="I78" s="300">
        <f t="shared" si="2"/>
        <v>0</v>
      </c>
      <c r="J78" s="159">
        <f t="shared" si="9"/>
        <v>0</v>
      </c>
      <c r="K78" s="159">
        <f t="shared" si="9"/>
        <v>0</v>
      </c>
      <c r="L78" s="159">
        <f t="shared" si="9"/>
        <v>0</v>
      </c>
      <c r="M78" s="159">
        <f t="shared" si="9"/>
        <v>0</v>
      </c>
      <c r="N78" s="159">
        <f t="shared" si="9"/>
        <v>0</v>
      </c>
      <c r="P78" s="2"/>
    </row>
    <row r="79" spans="2:16" x14ac:dyDescent="0.25">
      <c r="B79" s="18">
        <v>6344000001</v>
      </c>
      <c r="C79" s="161" t="s">
        <v>13</v>
      </c>
      <c r="D79" s="161" t="s">
        <v>52</v>
      </c>
      <c r="E79" s="161" t="s">
        <v>83</v>
      </c>
      <c r="F79" s="155">
        <v>0</v>
      </c>
      <c r="G79" s="162">
        <f>+VLOOKUP(B79,'5.3 Var OPEX 2023-25'!$B$4:$D$160,3,0)</f>
        <v>4.4009396000000096E-2</v>
      </c>
      <c r="H79" s="163" t="s">
        <v>190</v>
      </c>
      <c r="I79" s="300">
        <f t="shared" ref="I79:I142" si="10">+F79*(1+G79)/$I$8</f>
        <v>0</v>
      </c>
      <c r="J79" s="159">
        <f t="shared" si="9"/>
        <v>0</v>
      </c>
      <c r="K79" s="159">
        <f t="shared" si="9"/>
        <v>0</v>
      </c>
      <c r="L79" s="159">
        <f t="shared" si="9"/>
        <v>0</v>
      </c>
      <c r="M79" s="159">
        <f t="shared" si="9"/>
        <v>0</v>
      </c>
      <c r="N79" s="159">
        <f t="shared" si="9"/>
        <v>0</v>
      </c>
      <c r="P79" s="2"/>
    </row>
    <row r="80" spans="2:16" x14ac:dyDescent="0.25">
      <c r="B80" s="18">
        <v>6344000002</v>
      </c>
      <c r="C80" s="161" t="s">
        <v>13</v>
      </c>
      <c r="D80" s="161" t="s">
        <v>52</v>
      </c>
      <c r="E80" s="161" t="s">
        <v>84</v>
      </c>
      <c r="F80" s="155">
        <v>0</v>
      </c>
      <c r="G80" s="162">
        <f>+VLOOKUP(B80,'5.3 Var OPEX 2023-25'!$B$4:$D$160,3,0)</f>
        <v>4.4009396000000096E-2</v>
      </c>
      <c r="H80" s="163" t="s">
        <v>190</v>
      </c>
      <c r="I80" s="300">
        <f t="shared" si="10"/>
        <v>0</v>
      </c>
      <c r="J80" s="159">
        <f t="shared" si="9"/>
        <v>0</v>
      </c>
      <c r="K80" s="159">
        <f t="shared" si="9"/>
        <v>0</v>
      </c>
      <c r="L80" s="159">
        <f t="shared" si="9"/>
        <v>0</v>
      </c>
      <c r="M80" s="159">
        <f t="shared" si="9"/>
        <v>0</v>
      </c>
      <c r="N80" s="159">
        <f t="shared" si="9"/>
        <v>0</v>
      </c>
      <c r="P80" s="2"/>
    </row>
    <row r="81" spans="2:16" x14ac:dyDescent="0.25">
      <c r="B81" s="18">
        <v>6344000003</v>
      </c>
      <c r="C81" s="161" t="s">
        <v>13</v>
      </c>
      <c r="D81" s="161" t="s">
        <v>52</v>
      </c>
      <c r="E81" s="161" t="s">
        <v>85</v>
      </c>
      <c r="F81" s="155">
        <v>0</v>
      </c>
      <c r="G81" s="162">
        <f>+VLOOKUP(B81,'5.3 Var OPEX 2023-25'!$B$4:$D$160,3,0)</f>
        <v>4.4009396000000096E-2</v>
      </c>
      <c r="H81" s="163" t="s">
        <v>190</v>
      </c>
      <c r="I81" s="300">
        <f t="shared" si="10"/>
        <v>0</v>
      </c>
      <c r="J81" s="159">
        <f t="shared" si="9"/>
        <v>0</v>
      </c>
      <c r="K81" s="159">
        <f t="shared" si="9"/>
        <v>0</v>
      </c>
      <c r="L81" s="159">
        <f t="shared" si="9"/>
        <v>0</v>
      </c>
      <c r="M81" s="159">
        <f t="shared" si="9"/>
        <v>0</v>
      </c>
      <c r="N81" s="159">
        <f t="shared" si="9"/>
        <v>0</v>
      </c>
      <c r="P81" s="2"/>
    </row>
    <row r="82" spans="2:16" x14ac:dyDescent="0.25">
      <c r="B82" s="18">
        <v>6345000001</v>
      </c>
      <c r="C82" s="161" t="s">
        <v>13</v>
      </c>
      <c r="D82" s="161" t="s">
        <v>52</v>
      </c>
      <c r="E82" s="161" t="s">
        <v>86</v>
      </c>
      <c r="F82" s="155">
        <v>0</v>
      </c>
      <c r="G82" s="162">
        <f>+VLOOKUP(B82,'5.3 Var OPEX 2023-25'!$B$4:$D$160,3,0)</f>
        <v>4.4009396000000096E-2</v>
      </c>
      <c r="H82" s="163" t="s">
        <v>190</v>
      </c>
      <c r="I82" s="300">
        <f t="shared" si="10"/>
        <v>0</v>
      </c>
      <c r="J82" s="159">
        <f t="shared" si="9"/>
        <v>0</v>
      </c>
      <c r="K82" s="159">
        <f t="shared" si="9"/>
        <v>0</v>
      </c>
      <c r="L82" s="159">
        <f t="shared" si="9"/>
        <v>0</v>
      </c>
      <c r="M82" s="159">
        <f t="shared" si="9"/>
        <v>0</v>
      </c>
      <c r="N82" s="159">
        <f t="shared" si="9"/>
        <v>0</v>
      </c>
      <c r="P82" s="2"/>
    </row>
    <row r="83" spans="2:16" x14ac:dyDescent="0.25">
      <c r="B83" s="18">
        <v>6346000001</v>
      </c>
      <c r="C83" s="161" t="s">
        <v>13</v>
      </c>
      <c r="D83" s="161" t="s">
        <v>52</v>
      </c>
      <c r="E83" s="161" t="s">
        <v>87</v>
      </c>
      <c r="F83" s="155">
        <v>0</v>
      </c>
      <c r="G83" s="162">
        <f>+VLOOKUP(B83,'5.3 Var OPEX 2023-25'!$B$4:$D$160,3,0)</f>
        <v>4.4009396000000096E-2</v>
      </c>
      <c r="H83" s="163" t="s">
        <v>190</v>
      </c>
      <c r="I83" s="300">
        <f t="shared" si="10"/>
        <v>0</v>
      </c>
      <c r="J83" s="159">
        <f t="shared" si="9"/>
        <v>0</v>
      </c>
      <c r="K83" s="159">
        <f t="shared" si="9"/>
        <v>0</v>
      </c>
      <c r="L83" s="159">
        <f t="shared" si="9"/>
        <v>0</v>
      </c>
      <c r="M83" s="159">
        <f t="shared" si="9"/>
        <v>0</v>
      </c>
      <c r="N83" s="159">
        <f t="shared" si="9"/>
        <v>0</v>
      </c>
      <c r="P83" s="2"/>
    </row>
    <row r="84" spans="2:16" x14ac:dyDescent="0.25">
      <c r="B84" s="18">
        <v>6347000001</v>
      </c>
      <c r="C84" s="161" t="s">
        <v>13</v>
      </c>
      <c r="D84" s="161" t="s">
        <v>52</v>
      </c>
      <c r="E84" s="161" t="s">
        <v>88</v>
      </c>
      <c r="F84" s="155">
        <v>26571.09</v>
      </c>
      <c r="G84" s="162">
        <f>+VLOOKUP(B84,'5.3 Var OPEX 2023-25'!$B$4:$D$160,3,0)</f>
        <v>1.0811688463956868</v>
      </c>
      <c r="H84" s="163" t="s">
        <v>190</v>
      </c>
      <c r="I84" s="300">
        <f t="shared" si="10"/>
        <v>54273.425550896754</v>
      </c>
      <c r="J84" s="159">
        <f t="shared" si="9"/>
        <v>55497.388447583675</v>
      </c>
      <c r="K84" s="159">
        <f t="shared" si="9"/>
        <v>56433.348825255816</v>
      </c>
      <c r="L84" s="159">
        <f t="shared" si="9"/>
        <v>57375.47450468866</v>
      </c>
      <c r="M84" s="159">
        <f t="shared" si="9"/>
        <v>58423.365843324274</v>
      </c>
      <c r="N84" s="159">
        <f t="shared" si="9"/>
        <v>59396.106903294152</v>
      </c>
      <c r="P84" s="2"/>
    </row>
    <row r="85" spans="2:16" x14ac:dyDescent="0.25">
      <c r="B85" s="18">
        <v>6348000001</v>
      </c>
      <c r="C85" s="161" t="s">
        <v>13</v>
      </c>
      <c r="D85" s="161" t="s">
        <v>52</v>
      </c>
      <c r="E85" s="161" t="s">
        <v>89</v>
      </c>
      <c r="F85" s="155">
        <v>858.05207552917261</v>
      </c>
      <c r="G85" s="162">
        <f>+VLOOKUP(B85,'5.3 Var OPEX 2023-25'!$B$4:$D$160,3,0)</f>
        <v>4.4009396000000096E-2</v>
      </c>
      <c r="H85" s="163" t="s">
        <v>190</v>
      </c>
      <c r="I85" s="300">
        <f t="shared" si="10"/>
        <v>879.20186458314356</v>
      </c>
      <c r="J85" s="159">
        <f t="shared" ref="J85:N94" si="11">+IF(OR($C85="No Imputables",$H85="m2 fijo"),I85,I85*(1+J$6*J$7))</f>
        <v>899.02944041836633</v>
      </c>
      <c r="K85" s="159">
        <f t="shared" si="11"/>
        <v>914.19152206094827</v>
      </c>
      <c r="L85" s="159">
        <f t="shared" si="11"/>
        <v>929.45347845344156</v>
      </c>
      <c r="M85" s="159">
        <f t="shared" si="11"/>
        <v>946.42878468217725</v>
      </c>
      <c r="N85" s="159">
        <f t="shared" si="11"/>
        <v>962.18669465379082</v>
      </c>
      <c r="P85" s="2"/>
    </row>
    <row r="86" spans="2:16" x14ac:dyDescent="0.25">
      <c r="B86" s="18">
        <v>6354000001</v>
      </c>
      <c r="C86" s="161" t="s">
        <v>13</v>
      </c>
      <c r="D86" s="161" t="s">
        <v>40</v>
      </c>
      <c r="E86" s="161" t="s">
        <v>90</v>
      </c>
      <c r="F86" s="155">
        <v>0</v>
      </c>
      <c r="G86" s="162">
        <f>+VLOOKUP(B86,'5.3 Var OPEX 2023-25'!$B$4:$D$160,3,0)</f>
        <v>1.1277145310168262</v>
      </c>
      <c r="H86" s="163" t="s">
        <v>190</v>
      </c>
      <c r="I86" s="300">
        <f t="shared" si="10"/>
        <v>0</v>
      </c>
      <c r="J86" s="159">
        <f t="shared" si="11"/>
        <v>0</v>
      </c>
      <c r="K86" s="159">
        <f t="shared" si="11"/>
        <v>0</v>
      </c>
      <c r="L86" s="159">
        <f t="shared" si="11"/>
        <v>0</v>
      </c>
      <c r="M86" s="159">
        <f t="shared" si="11"/>
        <v>0</v>
      </c>
      <c r="N86" s="159">
        <f t="shared" si="11"/>
        <v>0</v>
      </c>
      <c r="P86" s="2"/>
    </row>
    <row r="87" spans="2:16" x14ac:dyDescent="0.25">
      <c r="B87" s="18">
        <v>6356000001</v>
      </c>
      <c r="C87" s="161" t="s">
        <v>13</v>
      </c>
      <c r="D87" s="161" t="s">
        <v>40</v>
      </c>
      <c r="E87" s="161" t="s">
        <v>91</v>
      </c>
      <c r="F87" s="155">
        <v>0</v>
      </c>
      <c r="G87" s="162">
        <f>+VLOOKUP(B87,'5.3 Var OPEX 2023-25'!$B$4:$D$160,3,0)</f>
        <v>4.4009396000000096E-2</v>
      </c>
      <c r="H87" s="163" t="s">
        <v>190</v>
      </c>
      <c r="I87" s="300">
        <f t="shared" si="10"/>
        <v>0</v>
      </c>
      <c r="J87" s="159">
        <f t="shared" si="11"/>
        <v>0</v>
      </c>
      <c r="K87" s="159">
        <f t="shared" si="11"/>
        <v>0</v>
      </c>
      <c r="L87" s="159">
        <f t="shared" si="11"/>
        <v>0</v>
      </c>
      <c r="M87" s="159">
        <f t="shared" si="11"/>
        <v>0</v>
      </c>
      <c r="N87" s="159">
        <f t="shared" si="11"/>
        <v>0</v>
      </c>
      <c r="P87" s="2"/>
    </row>
    <row r="88" spans="2:16" x14ac:dyDescent="0.25">
      <c r="B88" s="18">
        <v>6356000002</v>
      </c>
      <c r="C88" s="161" t="s">
        <v>13</v>
      </c>
      <c r="D88" s="161" t="s">
        <v>40</v>
      </c>
      <c r="E88" s="161" t="s">
        <v>92</v>
      </c>
      <c r="F88" s="155">
        <v>0</v>
      </c>
      <c r="G88" s="162">
        <f>+VLOOKUP(B88,'5.3 Var OPEX 2023-25'!$B$4:$D$160,3,0)</f>
        <v>4.4009396000000096E-2</v>
      </c>
      <c r="H88" s="163" t="s">
        <v>190</v>
      </c>
      <c r="I88" s="300">
        <f t="shared" si="10"/>
        <v>0</v>
      </c>
      <c r="J88" s="159">
        <f t="shared" si="11"/>
        <v>0</v>
      </c>
      <c r="K88" s="159">
        <f t="shared" si="11"/>
        <v>0</v>
      </c>
      <c r="L88" s="159">
        <f t="shared" si="11"/>
        <v>0</v>
      </c>
      <c r="M88" s="159">
        <f t="shared" si="11"/>
        <v>0</v>
      </c>
      <c r="N88" s="159">
        <f t="shared" si="11"/>
        <v>0</v>
      </c>
      <c r="P88" s="2"/>
    </row>
    <row r="89" spans="2:16" x14ac:dyDescent="0.25">
      <c r="B89" s="18">
        <v>6357000001</v>
      </c>
      <c r="C89" s="161" t="s">
        <v>13</v>
      </c>
      <c r="D89" s="161" t="s">
        <v>40</v>
      </c>
      <c r="E89" s="161" t="s">
        <v>93</v>
      </c>
      <c r="F89" s="155">
        <v>0</v>
      </c>
      <c r="G89" s="162">
        <f>+VLOOKUP(B89,'5.3 Var OPEX 2023-25'!$B$4:$D$160,3,0)</f>
        <v>4.4009396000000096E-2</v>
      </c>
      <c r="H89" s="163" t="s">
        <v>190</v>
      </c>
      <c r="I89" s="300">
        <f t="shared" si="10"/>
        <v>0</v>
      </c>
      <c r="J89" s="159">
        <f t="shared" si="11"/>
        <v>0</v>
      </c>
      <c r="K89" s="159">
        <f t="shared" si="11"/>
        <v>0</v>
      </c>
      <c r="L89" s="159">
        <f t="shared" si="11"/>
        <v>0</v>
      </c>
      <c r="M89" s="159">
        <f t="shared" si="11"/>
        <v>0</v>
      </c>
      <c r="N89" s="159">
        <f t="shared" si="11"/>
        <v>0</v>
      </c>
      <c r="P89" s="2"/>
    </row>
    <row r="90" spans="2:16" x14ac:dyDescent="0.25">
      <c r="B90" s="18">
        <v>6358000001</v>
      </c>
      <c r="C90" s="161" t="s">
        <v>13</v>
      </c>
      <c r="D90" s="161" t="s">
        <v>40</v>
      </c>
      <c r="E90" s="161" t="s">
        <v>94</v>
      </c>
      <c r="F90" s="155">
        <v>0</v>
      </c>
      <c r="G90" s="162">
        <f>+VLOOKUP(B90,'5.3 Var OPEX 2023-25'!$B$4:$D$160,3,0)</f>
        <v>4.4009396000000096E-2</v>
      </c>
      <c r="H90" s="163" t="s">
        <v>190</v>
      </c>
      <c r="I90" s="300">
        <f t="shared" si="10"/>
        <v>0</v>
      </c>
      <c r="J90" s="159">
        <f t="shared" si="11"/>
        <v>0</v>
      </c>
      <c r="K90" s="159">
        <f t="shared" si="11"/>
        <v>0</v>
      </c>
      <c r="L90" s="159">
        <f t="shared" si="11"/>
        <v>0</v>
      </c>
      <c r="M90" s="159">
        <f t="shared" si="11"/>
        <v>0</v>
      </c>
      <c r="N90" s="159">
        <f t="shared" si="11"/>
        <v>0</v>
      </c>
      <c r="P90" s="2"/>
    </row>
    <row r="91" spans="2:16" x14ac:dyDescent="0.25">
      <c r="B91" s="18">
        <v>6360000001</v>
      </c>
      <c r="C91" s="161" t="s">
        <v>13</v>
      </c>
      <c r="D91" s="161" t="s">
        <v>40</v>
      </c>
      <c r="E91" s="161" t="s">
        <v>95</v>
      </c>
      <c r="F91" s="155">
        <v>7675.559850111099</v>
      </c>
      <c r="G91" s="162">
        <f>+VLOOKUP(B91,'5.3 Var OPEX 2023-25'!$B$4:$D$160,3,0)</f>
        <v>4.4009396000000096E-2</v>
      </c>
      <c r="H91" s="163" t="s">
        <v>190</v>
      </c>
      <c r="I91" s="300">
        <f t="shared" si="10"/>
        <v>7864.7517142539173</v>
      </c>
      <c r="J91" s="159">
        <f t="shared" si="11"/>
        <v>8042.1159434727706</v>
      </c>
      <c r="K91" s="159">
        <f t="shared" si="11"/>
        <v>8177.7457827551207</v>
      </c>
      <c r="L91" s="159">
        <f t="shared" si="11"/>
        <v>8314.2690347362131</v>
      </c>
      <c r="M91" s="159">
        <f t="shared" si="11"/>
        <v>8466.1187681597585</v>
      </c>
      <c r="N91" s="159">
        <f t="shared" si="11"/>
        <v>8607.0784890778505</v>
      </c>
      <c r="P91" s="2"/>
    </row>
    <row r="92" spans="2:16" x14ac:dyDescent="0.25">
      <c r="B92" s="18">
        <v>6360000002</v>
      </c>
      <c r="C92" s="161" t="s">
        <v>13</v>
      </c>
      <c r="D92" s="161" t="s">
        <v>40</v>
      </c>
      <c r="E92" s="161" t="s">
        <v>96</v>
      </c>
      <c r="F92" s="155">
        <v>1510411.4876295526</v>
      </c>
      <c r="G92" s="162">
        <f>+VLOOKUP(B92,'5.3 Var OPEX 2023-25'!$B$4:$D$160,3,0)</f>
        <v>0.77919024215254873</v>
      </c>
      <c r="H92" s="163" t="s">
        <v>191</v>
      </c>
      <c r="I92" s="300">
        <f t="shared" si="10"/>
        <v>2637474.1701023541</v>
      </c>
      <c r="J92" s="159">
        <f t="shared" si="11"/>
        <v>2696953.9337695302</v>
      </c>
      <c r="K92" s="159">
        <f t="shared" si="11"/>
        <v>2742437.9122597864</v>
      </c>
      <c r="L92" s="159">
        <f t="shared" si="11"/>
        <v>2788221.5000704364</v>
      </c>
      <c r="M92" s="159">
        <f t="shared" si="11"/>
        <v>2839144.8812772036</v>
      </c>
      <c r="N92" s="159">
        <f t="shared" si="11"/>
        <v>2886416.2556897616</v>
      </c>
      <c r="P92" s="2"/>
    </row>
    <row r="93" spans="2:16" x14ac:dyDescent="0.25">
      <c r="B93" s="18">
        <v>6360000003</v>
      </c>
      <c r="C93" s="161" t="s">
        <v>13</v>
      </c>
      <c r="D93" s="161" t="s">
        <v>40</v>
      </c>
      <c r="E93" s="161" t="s">
        <v>97</v>
      </c>
      <c r="F93" s="155">
        <v>490272.48739221616</v>
      </c>
      <c r="G93" s="162">
        <f>+VLOOKUP(B93,'5.3 Var OPEX 2023-25'!$B$4:$D$160,3,0)</f>
        <v>0.33589966958431128</v>
      </c>
      <c r="H93" s="163" t="s">
        <v>191</v>
      </c>
      <c r="I93" s="300">
        <f t="shared" si="10"/>
        <v>642808.94576661417</v>
      </c>
      <c r="J93" s="159">
        <f t="shared" si="11"/>
        <v>657305.43813448481</v>
      </c>
      <c r="K93" s="159">
        <f t="shared" si="11"/>
        <v>668390.85788722441</v>
      </c>
      <c r="L93" s="159">
        <f t="shared" si="11"/>
        <v>679549.29884850024</v>
      </c>
      <c r="M93" s="159">
        <f t="shared" si="11"/>
        <v>691960.41754663072</v>
      </c>
      <c r="N93" s="159">
        <f t="shared" si="11"/>
        <v>703481.4639688204</v>
      </c>
      <c r="P93" s="2"/>
    </row>
    <row r="94" spans="2:16" x14ac:dyDescent="0.25">
      <c r="B94" s="18">
        <v>6360000004</v>
      </c>
      <c r="C94" s="161" t="s">
        <v>13</v>
      </c>
      <c r="D94" s="161" t="s">
        <v>40</v>
      </c>
      <c r="E94" s="161" t="s">
        <v>98</v>
      </c>
      <c r="F94" s="155">
        <v>0</v>
      </c>
      <c r="G94" s="162">
        <f>+VLOOKUP(B94,'5.3 Var OPEX 2023-25'!$B$4:$D$160,3,0)</f>
        <v>4.4009396000000096E-2</v>
      </c>
      <c r="H94" s="163" t="s">
        <v>190</v>
      </c>
      <c r="I94" s="300">
        <f t="shared" si="10"/>
        <v>0</v>
      </c>
      <c r="J94" s="159">
        <f t="shared" si="11"/>
        <v>0</v>
      </c>
      <c r="K94" s="159">
        <f t="shared" si="11"/>
        <v>0</v>
      </c>
      <c r="L94" s="159">
        <f t="shared" si="11"/>
        <v>0</v>
      </c>
      <c r="M94" s="159">
        <f t="shared" si="11"/>
        <v>0</v>
      </c>
      <c r="N94" s="159">
        <f t="shared" si="11"/>
        <v>0</v>
      </c>
      <c r="P94" s="2"/>
    </row>
    <row r="95" spans="2:16" x14ac:dyDescent="0.25">
      <c r="B95" s="18">
        <v>6360000005</v>
      </c>
      <c r="C95" s="161" t="s">
        <v>13</v>
      </c>
      <c r="D95" s="161" t="s">
        <v>40</v>
      </c>
      <c r="E95" s="161" t="s">
        <v>99</v>
      </c>
      <c r="F95" s="155">
        <v>0</v>
      </c>
      <c r="G95" s="162">
        <f>+VLOOKUP(B95,'5.3 Var OPEX 2023-25'!$B$4:$D$160,3,0)</f>
        <v>4.4009396000000096E-2</v>
      </c>
      <c r="H95" s="163" t="s">
        <v>190</v>
      </c>
      <c r="I95" s="300">
        <f t="shared" si="10"/>
        <v>0</v>
      </c>
      <c r="J95" s="159">
        <f t="shared" ref="J95:N104" si="12">+IF(OR($C95="No Imputables",$H95="m2 fijo"),I95,I95*(1+J$6*J$7))</f>
        <v>0</v>
      </c>
      <c r="K95" s="159">
        <f t="shared" si="12"/>
        <v>0</v>
      </c>
      <c r="L95" s="159">
        <f t="shared" si="12"/>
        <v>0</v>
      </c>
      <c r="M95" s="159">
        <f t="shared" si="12"/>
        <v>0</v>
      </c>
      <c r="N95" s="159">
        <f t="shared" si="12"/>
        <v>0</v>
      </c>
      <c r="P95" s="2"/>
    </row>
    <row r="96" spans="2:16" x14ac:dyDescent="0.25">
      <c r="B96" s="18">
        <v>6370000001</v>
      </c>
      <c r="C96" s="161" t="s">
        <v>13</v>
      </c>
      <c r="D96" s="161" t="s">
        <v>40</v>
      </c>
      <c r="E96" s="161" t="s">
        <v>100</v>
      </c>
      <c r="F96" s="155">
        <v>0</v>
      </c>
      <c r="G96" s="162">
        <f>+VLOOKUP(B96,'5.3 Var OPEX 2023-25'!$B$4:$D$160,3,0)</f>
        <v>0.48851763260317993</v>
      </c>
      <c r="H96" s="163" t="s">
        <v>190</v>
      </c>
      <c r="I96" s="300">
        <f t="shared" si="10"/>
        <v>0</v>
      </c>
      <c r="J96" s="159">
        <f t="shared" si="12"/>
        <v>0</v>
      </c>
      <c r="K96" s="159">
        <f t="shared" si="12"/>
        <v>0</v>
      </c>
      <c r="L96" s="159">
        <f t="shared" si="12"/>
        <v>0</v>
      </c>
      <c r="M96" s="159">
        <f t="shared" si="12"/>
        <v>0</v>
      </c>
      <c r="N96" s="159">
        <f t="shared" si="12"/>
        <v>0</v>
      </c>
      <c r="P96" s="2"/>
    </row>
    <row r="97" spans="2:16" x14ac:dyDescent="0.25">
      <c r="B97" s="18">
        <v>6370000002</v>
      </c>
      <c r="C97" s="161" t="s">
        <v>13</v>
      </c>
      <c r="D97" s="161" t="s">
        <v>40</v>
      </c>
      <c r="E97" s="161" t="s">
        <v>101</v>
      </c>
      <c r="F97" s="155">
        <v>0</v>
      </c>
      <c r="G97" s="162">
        <f>+VLOOKUP(B97,'5.3 Var OPEX 2023-25'!$B$4:$D$160,3,0)</f>
        <v>4.4009396000000096E-2</v>
      </c>
      <c r="H97" s="163" t="s">
        <v>190</v>
      </c>
      <c r="I97" s="300">
        <f t="shared" si="10"/>
        <v>0</v>
      </c>
      <c r="J97" s="159">
        <f t="shared" si="12"/>
        <v>0</v>
      </c>
      <c r="K97" s="159">
        <f t="shared" si="12"/>
        <v>0</v>
      </c>
      <c r="L97" s="159">
        <f t="shared" si="12"/>
        <v>0</v>
      </c>
      <c r="M97" s="159">
        <f t="shared" si="12"/>
        <v>0</v>
      </c>
      <c r="N97" s="159">
        <f t="shared" si="12"/>
        <v>0</v>
      </c>
      <c r="P97" s="2"/>
    </row>
    <row r="98" spans="2:16" x14ac:dyDescent="0.25">
      <c r="B98" s="18">
        <v>6370000003</v>
      </c>
      <c r="C98" s="161" t="s">
        <v>13</v>
      </c>
      <c r="D98" s="161" t="s">
        <v>40</v>
      </c>
      <c r="E98" s="161" t="s">
        <v>102</v>
      </c>
      <c r="F98" s="155">
        <v>0</v>
      </c>
      <c r="G98" s="162">
        <f>+VLOOKUP(B98,'5.3 Var OPEX 2023-25'!$B$4:$D$160,3,0)</f>
        <v>4.4009396000000096E-2</v>
      </c>
      <c r="H98" s="163" t="s">
        <v>190</v>
      </c>
      <c r="I98" s="300">
        <f t="shared" si="10"/>
        <v>0</v>
      </c>
      <c r="J98" s="159">
        <f t="shared" si="12"/>
        <v>0</v>
      </c>
      <c r="K98" s="159">
        <f t="shared" si="12"/>
        <v>0</v>
      </c>
      <c r="L98" s="159">
        <f t="shared" si="12"/>
        <v>0</v>
      </c>
      <c r="M98" s="159">
        <f t="shared" si="12"/>
        <v>0</v>
      </c>
      <c r="N98" s="159">
        <f t="shared" si="12"/>
        <v>0</v>
      </c>
      <c r="P98" s="2"/>
    </row>
    <row r="99" spans="2:16" x14ac:dyDescent="0.25">
      <c r="B99" s="18">
        <v>6380000002</v>
      </c>
      <c r="C99" s="161" t="s">
        <v>13</v>
      </c>
      <c r="D99" s="161" t="s">
        <v>40</v>
      </c>
      <c r="E99" s="161" t="s">
        <v>103</v>
      </c>
      <c r="F99" s="155">
        <v>0</v>
      </c>
      <c r="G99" s="162">
        <f>+VLOOKUP(B99,'5.3 Var OPEX 2023-25'!$B$4:$D$160,3,0)</f>
        <v>4.4009396000000096E-2</v>
      </c>
      <c r="H99" s="163" t="s">
        <v>190</v>
      </c>
      <c r="I99" s="300">
        <f t="shared" si="10"/>
        <v>0</v>
      </c>
      <c r="J99" s="159">
        <f t="shared" si="12"/>
        <v>0</v>
      </c>
      <c r="K99" s="159">
        <f t="shared" si="12"/>
        <v>0</v>
      </c>
      <c r="L99" s="159">
        <f t="shared" si="12"/>
        <v>0</v>
      </c>
      <c r="M99" s="159">
        <f t="shared" si="12"/>
        <v>0</v>
      </c>
      <c r="N99" s="159">
        <f t="shared" si="12"/>
        <v>0</v>
      </c>
      <c r="P99" s="2"/>
    </row>
    <row r="100" spans="2:16" x14ac:dyDescent="0.25">
      <c r="B100" s="18">
        <v>6380000003</v>
      </c>
      <c r="C100" s="161" t="s">
        <v>13</v>
      </c>
      <c r="D100" s="161" t="s">
        <v>38</v>
      </c>
      <c r="E100" s="161" t="s">
        <v>104</v>
      </c>
      <c r="F100" s="155">
        <v>0</v>
      </c>
      <c r="G100" s="162">
        <f>+VLOOKUP(B100,'5.3 Var OPEX 2023-25'!$B$4:$D$160,3,0)</f>
        <v>4.4009396000000096E-2</v>
      </c>
      <c r="H100" s="163" t="s">
        <v>190</v>
      </c>
      <c r="I100" s="300">
        <f t="shared" si="10"/>
        <v>0</v>
      </c>
      <c r="J100" s="159">
        <f t="shared" si="12"/>
        <v>0</v>
      </c>
      <c r="K100" s="159">
        <f t="shared" si="12"/>
        <v>0</v>
      </c>
      <c r="L100" s="159">
        <f t="shared" si="12"/>
        <v>0</v>
      </c>
      <c r="M100" s="159">
        <f t="shared" si="12"/>
        <v>0</v>
      </c>
      <c r="N100" s="159">
        <f t="shared" si="12"/>
        <v>0</v>
      </c>
      <c r="P100" s="2"/>
    </row>
    <row r="101" spans="2:16" x14ac:dyDescent="0.25">
      <c r="B101" s="18">
        <v>6380000004</v>
      </c>
      <c r="C101" s="161" t="s">
        <v>13</v>
      </c>
      <c r="D101" s="161" t="s">
        <v>49</v>
      </c>
      <c r="E101" s="161" t="s">
        <v>105</v>
      </c>
      <c r="F101" s="155">
        <v>2004434.74517241</v>
      </c>
      <c r="G101" s="162">
        <f>+VLOOKUP(B101,'5.3 Var OPEX 2023-25'!$B$4:$D$160,3,0)</f>
        <v>1.1454126819228176</v>
      </c>
      <c r="H101" s="163" t="s">
        <v>191</v>
      </c>
      <c r="I101" s="300">
        <f t="shared" si="10"/>
        <v>4220591.42987289</v>
      </c>
      <c r="J101" s="159">
        <f t="shared" si="12"/>
        <v>4315773.3215593612</v>
      </c>
      <c r="K101" s="159">
        <f t="shared" si="12"/>
        <v>4388558.5992271416</v>
      </c>
      <c r="L101" s="159">
        <f t="shared" si="12"/>
        <v>4461823.3236869695</v>
      </c>
      <c r="M101" s="159">
        <f t="shared" si="12"/>
        <v>4543312.9506709147</v>
      </c>
      <c r="N101" s="159">
        <f t="shared" si="12"/>
        <v>4618958.490629402</v>
      </c>
      <c r="P101" s="2"/>
    </row>
    <row r="102" spans="2:16" x14ac:dyDescent="0.25">
      <c r="B102" s="18">
        <v>6380000005</v>
      </c>
      <c r="C102" s="161" t="s">
        <v>13</v>
      </c>
      <c r="D102" s="161" t="s">
        <v>38</v>
      </c>
      <c r="E102" s="161" t="s">
        <v>106</v>
      </c>
      <c r="F102" s="155">
        <v>375999.96000000014</v>
      </c>
      <c r="G102" s="162">
        <f>+VLOOKUP(B102,'5.3 Var OPEX 2023-25'!$B$4:$D$160,3,0)</f>
        <v>4.4009396000000096E-2</v>
      </c>
      <c r="H102" s="163" t="s">
        <v>190</v>
      </c>
      <c r="I102" s="300">
        <f t="shared" si="10"/>
        <v>385267.83553470729</v>
      </c>
      <c r="J102" s="159">
        <f t="shared" si="12"/>
        <v>393956.31486312457</v>
      </c>
      <c r="K102" s="159">
        <f t="shared" si="12"/>
        <v>400600.36626013531</v>
      </c>
      <c r="L102" s="159">
        <f t="shared" si="12"/>
        <v>407288.18295186723</v>
      </c>
      <c r="M102" s="159">
        <f t="shared" si="12"/>
        <v>414726.79261790187</v>
      </c>
      <c r="N102" s="159">
        <f t="shared" si="12"/>
        <v>421631.93705841416</v>
      </c>
      <c r="P102" s="2"/>
    </row>
    <row r="103" spans="2:16" x14ac:dyDescent="0.25">
      <c r="B103" s="18">
        <v>6380000007</v>
      </c>
      <c r="C103" s="161" t="s">
        <v>13</v>
      </c>
      <c r="D103" s="161" t="s">
        <v>40</v>
      </c>
      <c r="E103" s="161" t="s">
        <v>107</v>
      </c>
      <c r="F103" s="155">
        <v>12121.169655172414</v>
      </c>
      <c r="G103" s="162">
        <f>+VLOOKUP(B103,'5.3 Var OPEX 2023-25'!$B$4:$D$160,3,0)</f>
        <v>4.4009396000000096E-2</v>
      </c>
      <c r="H103" s="163" t="s">
        <v>191</v>
      </c>
      <c r="I103" s="300">
        <f t="shared" si="10"/>
        <v>12419.939611688387</v>
      </c>
      <c r="J103" s="159">
        <f t="shared" si="12"/>
        <v>12700.031481871576</v>
      </c>
      <c r="K103" s="159">
        <f t="shared" si="12"/>
        <v>12914.216808329729</v>
      </c>
      <c r="L103" s="159">
        <f t="shared" si="12"/>
        <v>13129.813003454794</v>
      </c>
      <c r="M103" s="159">
        <f t="shared" si="12"/>
        <v>13369.61262939255</v>
      </c>
      <c r="N103" s="159">
        <f t="shared" si="12"/>
        <v>13592.214853225021</v>
      </c>
      <c r="P103" s="2"/>
    </row>
    <row r="104" spans="2:16" x14ac:dyDescent="0.25">
      <c r="B104" s="18">
        <v>6380000008</v>
      </c>
      <c r="C104" s="161" t="s">
        <v>13</v>
      </c>
      <c r="D104" s="161" t="s">
        <v>40</v>
      </c>
      <c r="E104" s="161" t="s">
        <v>108</v>
      </c>
      <c r="F104" s="155">
        <v>273487.03999999998</v>
      </c>
      <c r="G104" s="162">
        <f>+VLOOKUP(B104,'5.3 Var OPEX 2023-25'!$B$4:$D$160,3,0)</f>
        <v>1.7577982488676596</v>
      </c>
      <c r="H104" s="163" t="s">
        <v>190</v>
      </c>
      <c r="I104" s="300">
        <f t="shared" si="10"/>
        <v>740235.29594713612</v>
      </c>
      <c r="J104" s="159">
        <f t="shared" si="12"/>
        <v>756928.92690668744</v>
      </c>
      <c r="K104" s="159">
        <f t="shared" si="12"/>
        <v>769694.49127135437</v>
      </c>
      <c r="L104" s="159">
        <f t="shared" si="12"/>
        <v>782544.14419183135</v>
      </c>
      <c r="M104" s="159">
        <f t="shared" si="12"/>
        <v>796836.33502559306</v>
      </c>
      <c r="N104" s="159">
        <f t="shared" si="12"/>
        <v>810103.55114651902</v>
      </c>
      <c r="P104" s="2"/>
    </row>
    <row r="105" spans="2:16" x14ac:dyDescent="0.25">
      <c r="B105" s="18">
        <v>6380000009</v>
      </c>
      <c r="C105" s="161" t="s">
        <v>13</v>
      </c>
      <c r="D105" s="161" t="s">
        <v>40</v>
      </c>
      <c r="E105" s="161" t="s">
        <v>109</v>
      </c>
      <c r="F105" s="155">
        <v>1501398</v>
      </c>
      <c r="G105" s="162">
        <f>+VLOOKUP(B105,'5.3 Var OPEX 2023-25'!$B$4:$D$160,3,0)</f>
        <v>9.5138088966381096E-2</v>
      </c>
      <c r="H105" s="163" t="s">
        <v>190</v>
      </c>
      <c r="I105" s="300">
        <f t="shared" si="10"/>
        <v>1613746.3167057186</v>
      </c>
      <c r="J105" s="159">
        <f t="shared" ref="J105:N114" si="13">+IF(OR($C105="No Imputables",$H105="m2 fijo"),I105,I105*(1+J$6*J$7))</f>
        <v>1650139.1847855248</v>
      </c>
      <c r="K105" s="159">
        <f t="shared" si="13"/>
        <v>1677968.6906020406</v>
      </c>
      <c r="L105" s="159">
        <f t="shared" si="13"/>
        <v>1705981.5132611312</v>
      </c>
      <c r="M105" s="159">
        <f t="shared" si="13"/>
        <v>1737139.1336041705</v>
      </c>
      <c r="N105" s="159">
        <f t="shared" si="13"/>
        <v>1766062.2628649671</v>
      </c>
      <c r="P105" s="2"/>
    </row>
    <row r="106" spans="2:16" x14ac:dyDescent="0.25">
      <c r="B106" s="18">
        <v>6380000010</v>
      </c>
      <c r="C106" s="161" t="s">
        <v>13</v>
      </c>
      <c r="D106" s="161" t="s">
        <v>40</v>
      </c>
      <c r="E106" s="161" t="s">
        <v>110</v>
      </c>
      <c r="F106" s="155">
        <v>16.023596418844964</v>
      </c>
      <c r="G106" s="162">
        <f>+VLOOKUP(B106,'5.3 Var OPEX 2023-25'!$B$4:$D$160,3,0)</f>
        <v>4.4009396000000096E-2</v>
      </c>
      <c r="H106" s="163" t="s">
        <v>190</v>
      </c>
      <c r="I106" s="300">
        <f t="shared" si="10"/>
        <v>16.418555762000835</v>
      </c>
      <c r="J106" s="159">
        <f t="shared" si="13"/>
        <v>16.788823583976228</v>
      </c>
      <c r="K106" s="159">
        <f t="shared" si="13"/>
        <v>17.071966162426936</v>
      </c>
      <c r="L106" s="159">
        <f t="shared" si="13"/>
        <v>17.356973840596709</v>
      </c>
      <c r="M106" s="159">
        <f t="shared" si="13"/>
        <v>17.673977276463717</v>
      </c>
      <c r="N106" s="159">
        <f t="shared" si="13"/>
        <v>17.968246583642898</v>
      </c>
      <c r="P106" s="2"/>
    </row>
    <row r="107" spans="2:16" x14ac:dyDescent="0.25">
      <c r="B107" s="18">
        <v>6380000012</v>
      </c>
      <c r="C107" s="161" t="s">
        <v>13</v>
      </c>
      <c r="D107" s="161" t="s">
        <v>40</v>
      </c>
      <c r="E107" s="161" t="s">
        <v>111</v>
      </c>
      <c r="F107" s="155">
        <v>0</v>
      </c>
      <c r="G107" s="162">
        <f>+VLOOKUP(B107,'5.3 Var OPEX 2023-25'!$B$4:$D$160,3,0)</f>
        <v>4.4009396000000096E-2</v>
      </c>
      <c r="H107" s="163" t="s">
        <v>190</v>
      </c>
      <c r="I107" s="300">
        <f t="shared" si="10"/>
        <v>0</v>
      </c>
      <c r="J107" s="159">
        <f t="shared" si="13"/>
        <v>0</v>
      </c>
      <c r="K107" s="159">
        <f t="shared" si="13"/>
        <v>0</v>
      </c>
      <c r="L107" s="159">
        <f t="shared" si="13"/>
        <v>0</v>
      </c>
      <c r="M107" s="159">
        <f t="shared" si="13"/>
        <v>0</v>
      </c>
      <c r="N107" s="159">
        <f t="shared" si="13"/>
        <v>0</v>
      </c>
      <c r="P107" s="2"/>
    </row>
    <row r="108" spans="2:16" x14ac:dyDescent="0.25">
      <c r="B108" s="18">
        <v>6380000014</v>
      </c>
      <c r="C108" s="161" t="s">
        <v>13</v>
      </c>
      <c r="D108" s="161" t="s">
        <v>49</v>
      </c>
      <c r="E108" s="161" t="s">
        <v>112</v>
      </c>
      <c r="F108" s="155">
        <v>0</v>
      </c>
      <c r="G108" s="162">
        <f>+VLOOKUP(B108,'5.3 Var OPEX 2023-25'!$B$4:$D$160,3,0)</f>
        <v>4.4009396000000096E-2</v>
      </c>
      <c r="H108" s="163" t="s">
        <v>190</v>
      </c>
      <c r="I108" s="300">
        <f t="shared" si="10"/>
        <v>0</v>
      </c>
      <c r="J108" s="159">
        <f t="shared" si="13"/>
        <v>0</v>
      </c>
      <c r="K108" s="159">
        <f t="shared" si="13"/>
        <v>0</v>
      </c>
      <c r="L108" s="159">
        <f t="shared" si="13"/>
        <v>0</v>
      </c>
      <c r="M108" s="159">
        <f t="shared" si="13"/>
        <v>0</v>
      </c>
      <c r="N108" s="159">
        <f t="shared" si="13"/>
        <v>0</v>
      </c>
      <c r="P108" s="2"/>
    </row>
    <row r="109" spans="2:16" x14ac:dyDescent="0.25">
      <c r="B109" s="18">
        <v>6380000015</v>
      </c>
      <c r="C109" s="161" t="s">
        <v>13</v>
      </c>
      <c r="D109" s="161" t="s">
        <v>40</v>
      </c>
      <c r="E109" s="161" t="s">
        <v>113</v>
      </c>
      <c r="F109" s="155">
        <v>56382.219999999994</v>
      </c>
      <c r="G109" s="162">
        <f>+VLOOKUP(B109,'5.3 Var OPEX 2023-25'!$B$4:$D$160,3,0)</f>
        <v>4.4009396000000096E-2</v>
      </c>
      <c r="H109" s="163" t="s">
        <v>190</v>
      </c>
      <c r="I109" s="300">
        <f t="shared" si="10"/>
        <v>57771.963225851607</v>
      </c>
      <c r="J109" s="159">
        <f t="shared" si="13"/>
        <v>59074.82440956097</v>
      </c>
      <c r="K109" s="159">
        <f t="shared" si="13"/>
        <v>60071.118046287862</v>
      </c>
      <c r="L109" s="159">
        <f t="shared" si="13"/>
        <v>61073.974408381364</v>
      </c>
      <c r="M109" s="159">
        <f t="shared" si="13"/>
        <v>62189.41422567414</v>
      </c>
      <c r="N109" s="159">
        <f t="shared" si="13"/>
        <v>63224.859476723475</v>
      </c>
      <c r="P109" s="2"/>
    </row>
    <row r="110" spans="2:16" x14ac:dyDescent="0.25">
      <c r="B110" s="18">
        <v>6380000016</v>
      </c>
      <c r="C110" s="161" t="s">
        <v>13</v>
      </c>
      <c r="D110" s="161" t="s">
        <v>49</v>
      </c>
      <c r="E110" s="161" t="s">
        <v>114</v>
      </c>
      <c r="F110" s="155">
        <v>0</v>
      </c>
      <c r="G110" s="162">
        <f>+VLOOKUP(B110,'5.3 Var OPEX 2023-25'!$B$4:$D$160,3,0)</f>
        <v>0</v>
      </c>
      <c r="H110" s="163" t="s">
        <v>190</v>
      </c>
      <c r="I110" s="300">
        <f t="shared" si="10"/>
        <v>0</v>
      </c>
      <c r="J110" s="159">
        <f t="shared" si="13"/>
        <v>0</v>
      </c>
      <c r="K110" s="159">
        <f t="shared" si="13"/>
        <v>0</v>
      </c>
      <c r="L110" s="159">
        <f t="shared" si="13"/>
        <v>0</v>
      </c>
      <c r="M110" s="159">
        <f t="shared" si="13"/>
        <v>0</v>
      </c>
      <c r="N110" s="159">
        <f t="shared" si="13"/>
        <v>0</v>
      </c>
      <c r="P110" s="2"/>
    </row>
    <row r="111" spans="2:16" x14ac:dyDescent="0.25">
      <c r="B111" s="18">
        <v>6380000017</v>
      </c>
      <c r="C111" s="161" t="s">
        <v>13</v>
      </c>
      <c r="D111" s="161" t="s">
        <v>49</v>
      </c>
      <c r="E111" s="161" t="s">
        <v>115</v>
      </c>
      <c r="F111" s="155">
        <v>0</v>
      </c>
      <c r="G111" s="162">
        <f>+VLOOKUP(B111,'5.3 Var OPEX 2023-25'!$B$4:$D$160,3,0)</f>
        <v>4.4009396000000096E-2</v>
      </c>
      <c r="H111" s="163" t="s">
        <v>190</v>
      </c>
      <c r="I111" s="300">
        <f t="shared" si="10"/>
        <v>0</v>
      </c>
      <c r="J111" s="159">
        <f t="shared" si="13"/>
        <v>0</v>
      </c>
      <c r="K111" s="159">
        <f t="shared" si="13"/>
        <v>0</v>
      </c>
      <c r="L111" s="159">
        <f t="shared" si="13"/>
        <v>0</v>
      </c>
      <c r="M111" s="159">
        <f t="shared" si="13"/>
        <v>0</v>
      </c>
      <c r="N111" s="159">
        <f t="shared" si="13"/>
        <v>0</v>
      </c>
      <c r="P111" s="2"/>
    </row>
    <row r="112" spans="2:16" x14ac:dyDescent="0.25">
      <c r="B112" s="18">
        <v>6380000018</v>
      </c>
      <c r="C112" s="161" t="s">
        <v>13</v>
      </c>
      <c r="D112" s="161" t="s">
        <v>49</v>
      </c>
      <c r="E112" s="161" t="s">
        <v>116</v>
      </c>
      <c r="F112" s="155">
        <v>0</v>
      </c>
      <c r="G112" s="162">
        <f>+VLOOKUP(B112,'5.3 Var OPEX 2023-25'!$B$4:$D$160,3,0)</f>
        <v>4.4009396000000096E-2</v>
      </c>
      <c r="H112" s="163" t="s">
        <v>190</v>
      </c>
      <c r="I112" s="300">
        <f t="shared" si="10"/>
        <v>0</v>
      </c>
      <c r="J112" s="159">
        <f t="shared" si="13"/>
        <v>0</v>
      </c>
      <c r="K112" s="159">
        <f t="shared" si="13"/>
        <v>0</v>
      </c>
      <c r="L112" s="159">
        <f t="shared" si="13"/>
        <v>0</v>
      </c>
      <c r="M112" s="159">
        <f t="shared" si="13"/>
        <v>0</v>
      </c>
      <c r="N112" s="159">
        <f t="shared" si="13"/>
        <v>0</v>
      </c>
      <c r="P112" s="2"/>
    </row>
    <row r="113" spans="2:16" x14ac:dyDescent="0.25">
      <c r="B113" s="18">
        <v>6380000019</v>
      </c>
      <c r="C113" s="161" t="s">
        <v>13</v>
      </c>
      <c r="D113" s="161" t="s">
        <v>40</v>
      </c>
      <c r="E113" s="161" t="s">
        <v>117</v>
      </c>
      <c r="F113" s="155">
        <v>0</v>
      </c>
      <c r="G113" s="162">
        <f>+VLOOKUP(B113,'5.3 Var OPEX 2023-25'!$B$4:$D$160,3,0)</f>
        <v>4.4009396000000096E-2</v>
      </c>
      <c r="H113" s="163" t="s">
        <v>190</v>
      </c>
      <c r="I113" s="300">
        <f t="shared" si="10"/>
        <v>0</v>
      </c>
      <c r="J113" s="159">
        <f t="shared" si="13"/>
        <v>0</v>
      </c>
      <c r="K113" s="159">
        <f t="shared" si="13"/>
        <v>0</v>
      </c>
      <c r="L113" s="159">
        <f t="shared" si="13"/>
        <v>0</v>
      </c>
      <c r="M113" s="159">
        <f t="shared" si="13"/>
        <v>0</v>
      </c>
      <c r="N113" s="159">
        <f t="shared" si="13"/>
        <v>0</v>
      </c>
      <c r="P113" s="2"/>
    </row>
    <row r="114" spans="2:16" x14ac:dyDescent="0.25">
      <c r="B114" s="18">
        <v>6380000020</v>
      </c>
      <c r="C114" s="161" t="s">
        <v>13</v>
      </c>
      <c r="D114" s="161" t="s">
        <v>49</v>
      </c>
      <c r="E114" s="161" t="s">
        <v>118</v>
      </c>
      <c r="F114" s="155">
        <v>29982.710000000003</v>
      </c>
      <c r="G114" s="162">
        <f>+VLOOKUP(B114,'5.3 Var OPEX 2023-25'!$B$4:$D$160,3,0)</f>
        <v>4.4009396000000096E-2</v>
      </c>
      <c r="H114" s="163" t="s">
        <v>190</v>
      </c>
      <c r="I114" s="300">
        <f t="shared" si="10"/>
        <v>30721.742058602402</v>
      </c>
      <c r="J114" s="159">
        <f t="shared" si="13"/>
        <v>31414.572334554901</v>
      </c>
      <c r="K114" s="159">
        <f t="shared" si="13"/>
        <v>31944.377354379019</v>
      </c>
      <c r="L114" s="159">
        <f t="shared" si="13"/>
        <v>32477.67227388209</v>
      </c>
      <c r="M114" s="159">
        <f t="shared" si="13"/>
        <v>33070.836370016339</v>
      </c>
      <c r="N114" s="159">
        <f t="shared" si="13"/>
        <v>33621.461277710456</v>
      </c>
      <c r="P114" s="2"/>
    </row>
    <row r="115" spans="2:16" x14ac:dyDescent="0.25">
      <c r="B115" s="18">
        <v>6380000021</v>
      </c>
      <c r="C115" s="161" t="s">
        <v>13</v>
      </c>
      <c r="D115" s="161" t="s">
        <v>40</v>
      </c>
      <c r="E115" s="161" t="s">
        <v>119</v>
      </c>
      <c r="F115" s="155">
        <v>10696.489344584652</v>
      </c>
      <c r="G115" s="162">
        <f>+VLOOKUP(B115,'5.3 Var OPEX 2023-25'!$B$4:$D$160,3,0)</f>
        <v>4.4009396000000096E-2</v>
      </c>
      <c r="H115" s="163" t="s">
        <v>190</v>
      </c>
      <c r="I115" s="300">
        <f t="shared" si="10"/>
        <v>10960.142914930595</v>
      </c>
      <c r="J115" s="159">
        <f t="shared" ref="J115:N124" si="14">+IF(OR($C115="No Imputables",$H115="m2 fijo"),I115,I115*(1+J$6*J$7))</f>
        <v>11207.313756536692</v>
      </c>
      <c r="K115" s="159">
        <f t="shared" si="14"/>
        <v>11396.324481359638</v>
      </c>
      <c r="L115" s="159">
        <f t="shared" si="14"/>
        <v>11586.58024623165</v>
      </c>
      <c r="M115" s="159">
        <f t="shared" si="14"/>
        <v>11798.194654465266</v>
      </c>
      <c r="N115" s="159">
        <f t="shared" si="14"/>
        <v>11994.632983689444</v>
      </c>
      <c r="P115" s="2"/>
    </row>
    <row r="116" spans="2:16" x14ac:dyDescent="0.25">
      <c r="B116" s="18">
        <v>6380000022</v>
      </c>
      <c r="C116" s="161" t="s">
        <v>13</v>
      </c>
      <c r="D116" s="161" t="s">
        <v>40</v>
      </c>
      <c r="E116" s="161" t="s">
        <v>120</v>
      </c>
      <c r="F116" s="155">
        <v>24000.606523173399</v>
      </c>
      <c r="G116" s="162">
        <f>+VLOOKUP(B116,'5.3 Var OPEX 2023-25'!$B$4:$D$160,3,0)</f>
        <v>4.4009396000000096E-2</v>
      </c>
      <c r="H116" s="163" t="s">
        <v>190</v>
      </c>
      <c r="I116" s="300">
        <f t="shared" si="10"/>
        <v>24592.188059549764</v>
      </c>
      <c r="J116" s="159">
        <f t="shared" si="14"/>
        <v>25146.785920799717</v>
      </c>
      <c r="K116" s="159">
        <f t="shared" si="14"/>
        <v>25570.885070436318</v>
      </c>
      <c r="L116" s="159">
        <f t="shared" si="14"/>
        <v>25997.777820417912</v>
      </c>
      <c r="M116" s="159">
        <f t="shared" si="14"/>
        <v>26472.594742403679</v>
      </c>
      <c r="N116" s="159">
        <f t="shared" si="14"/>
        <v>26913.359828395744</v>
      </c>
      <c r="P116" s="2"/>
    </row>
    <row r="117" spans="2:16" x14ac:dyDescent="0.25">
      <c r="B117" s="18">
        <v>6380000023</v>
      </c>
      <c r="C117" s="161" t="s">
        <v>13</v>
      </c>
      <c r="D117" s="161" t="s">
        <v>49</v>
      </c>
      <c r="E117" s="161" t="s">
        <v>121</v>
      </c>
      <c r="F117" s="155">
        <v>45240.369999999995</v>
      </c>
      <c r="G117" s="162">
        <f>+VLOOKUP(B117,'5.3 Var OPEX 2023-25'!$B$4:$D$160,3,0)</f>
        <v>4.4009396000000096E-2</v>
      </c>
      <c r="H117" s="163" t="s">
        <v>190</v>
      </c>
      <c r="I117" s="300">
        <f t="shared" si="10"/>
        <v>46355.482135395163</v>
      </c>
      <c r="J117" s="159">
        <f t="shared" si="14"/>
        <v>47400.881234785884</v>
      </c>
      <c r="K117" s="159">
        <f t="shared" si="14"/>
        <v>48200.294467435648</v>
      </c>
      <c r="L117" s="159">
        <f t="shared" si="14"/>
        <v>49004.973546726316</v>
      </c>
      <c r="M117" s="159">
        <f t="shared" si="14"/>
        <v>49899.98814613474</v>
      </c>
      <c r="N117" s="159">
        <f t="shared" si="14"/>
        <v>50730.816131840424</v>
      </c>
      <c r="P117" s="2"/>
    </row>
    <row r="118" spans="2:16" x14ac:dyDescent="0.25">
      <c r="B118" s="18">
        <v>6380000024</v>
      </c>
      <c r="C118" s="161" t="s">
        <v>13</v>
      </c>
      <c r="D118" s="161" t="s">
        <v>49</v>
      </c>
      <c r="E118" s="161" t="s">
        <v>122</v>
      </c>
      <c r="F118" s="155">
        <v>73683.37</v>
      </c>
      <c r="G118" s="162">
        <f>+VLOOKUP(B118,'5.3 Var OPEX 2023-25'!$B$4:$D$160,3,0)</f>
        <v>4.4009396000000096E-2</v>
      </c>
      <c r="H118" s="163" t="s">
        <v>190</v>
      </c>
      <c r="I118" s="300">
        <f t="shared" si="10"/>
        <v>75499.562486131588</v>
      </c>
      <c r="J118" s="159">
        <f t="shared" si="14"/>
        <v>77202.212765916513</v>
      </c>
      <c r="K118" s="159">
        <f t="shared" si="14"/>
        <v>78504.223801728745</v>
      </c>
      <c r="L118" s="159">
        <f t="shared" si="14"/>
        <v>79814.81136612386</v>
      </c>
      <c r="M118" s="159">
        <f t="shared" si="14"/>
        <v>81272.529149678958</v>
      </c>
      <c r="N118" s="159">
        <f t="shared" si="14"/>
        <v>82625.705657234197</v>
      </c>
      <c r="P118" s="2"/>
    </row>
    <row r="119" spans="2:16" x14ac:dyDescent="0.25">
      <c r="B119" s="18">
        <v>6380000025</v>
      </c>
      <c r="C119" s="161" t="s">
        <v>13</v>
      </c>
      <c r="D119" s="161" t="s">
        <v>49</v>
      </c>
      <c r="E119" s="161" t="s">
        <v>123</v>
      </c>
      <c r="F119" s="155">
        <v>0</v>
      </c>
      <c r="G119" s="162">
        <f>+VLOOKUP(B119,'5.3 Var OPEX 2023-25'!$B$4:$D$160,3,0)</f>
        <v>4.4009396000000096E-2</v>
      </c>
      <c r="H119" s="163" t="s">
        <v>190</v>
      </c>
      <c r="I119" s="300">
        <f t="shared" si="10"/>
        <v>0</v>
      </c>
      <c r="J119" s="159">
        <f t="shared" si="14"/>
        <v>0</v>
      </c>
      <c r="K119" s="159">
        <f t="shared" si="14"/>
        <v>0</v>
      </c>
      <c r="L119" s="159">
        <f t="shared" si="14"/>
        <v>0</v>
      </c>
      <c r="M119" s="159">
        <f t="shared" si="14"/>
        <v>0</v>
      </c>
      <c r="N119" s="159">
        <f t="shared" si="14"/>
        <v>0</v>
      </c>
      <c r="P119" s="2"/>
    </row>
    <row r="120" spans="2:16" x14ac:dyDescent="0.25">
      <c r="B120" s="18">
        <v>6380000026</v>
      </c>
      <c r="C120" s="161" t="s">
        <v>13</v>
      </c>
      <c r="D120" s="161" t="s">
        <v>49</v>
      </c>
      <c r="E120" s="161" t="s">
        <v>124</v>
      </c>
      <c r="F120" s="155">
        <v>0</v>
      </c>
      <c r="G120" s="162">
        <f>+VLOOKUP(B120,'5.3 Var OPEX 2023-25'!$B$4:$D$160,3,0)</f>
        <v>4.4009396000000096E-2</v>
      </c>
      <c r="H120" s="163" t="s">
        <v>190</v>
      </c>
      <c r="I120" s="300">
        <f t="shared" si="10"/>
        <v>0</v>
      </c>
      <c r="J120" s="159">
        <f t="shared" si="14"/>
        <v>0</v>
      </c>
      <c r="K120" s="159">
        <f t="shared" si="14"/>
        <v>0</v>
      </c>
      <c r="L120" s="159">
        <f t="shared" si="14"/>
        <v>0</v>
      </c>
      <c r="M120" s="159">
        <f t="shared" si="14"/>
        <v>0</v>
      </c>
      <c r="N120" s="159">
        <f t="shared" si="14"/>
        <v>0</v>
      </c>
      <c r="P120" s="2"/>
    </row>
    <row r="121" spans="2:16" x14ac:dyDescent="0.25">
      <c r="B121" s="18">
        <v>6380000027</v>
      </c>
      <c r="C121" s="161" t="s">
        <v>13</v>
      </c>
      <c r="D121" s="161" t="s">
        <v>49</v>
      </c>
      <c r="E121" s="161" t="s">
        <v>125</v>
      </c>
      <c r="F121" s="155">
        <v>0</v>
      </c>
      <c r="G121" s="162">
        <f>+VLOOKUP(B121,'5.3 Var OPEX 2023-25'!$B$4:$D$160,3,0)</f>
        <v>4.4009396000000096E-2</v>
      </c>
      <c r="H121" s="163" t="s">
        <v>190</v>
      </c>
      <c r="I121" s="300">
        <f t="shared" si="10"/>
        <v>0</v>
      </c>
      <c r="J121" s="159">
        <f t="shared" si="14"/>
        <v>0</v>
      </c>
      <c r="K121" s="159">
        <f t="shared" si="14"/>
        <v>0</v>
      </c>
      <c r="L121" s="159">
        <f t="shared" si="14"/>
        <v>0</v>
      </c>
      <c r="M121" s="159">
        <f t="shared" si="14"/>
        <v>0</v>
      </c>
      <c r="N121" s="159">
        <f t="shared" si="14"/>
        <v>0</v>
      </c>
      <c r="P121" s="2"/>
    </row>
    <row r="122" spans="2:16" x14ac:dyDescent="0.25">
      <c r="B122" s="18">
        <v>6380000028</v>
      </c>
      <c r="C122" s="161" t="s">
        <v>13</v>
      </c>
      <c r="D122" s="161" t="s">
        <v>49</v>
      </c>
      <c r="E122" s="161" t="s">
        <v>126</v>
      </c>
      <c r="F122" s="155">
        <v>146711.59999999998</v>
      </c>
      <c r="G122" s="162">
        <f>+VLOOKUP(B122,'5.3 Var OPEX 2023-25'!$B$4:$D$160,3,0)</f>
        <v>4.4009396000000096E-2</v>
      </c>
      <c r="H122" s="163" t="s">
        <v>190</v>
      </c>
      <c r="I122" s="300">
        <f t="shared" si="10"/>
        <v>150327.83668337023</v>
      </c>
      <c r="J122" s="159">
        <f t="shared" si="14"/>
        <v>153717.99849040611</v>
      </c>
      <c r="K122" s="159">
        <f t="shared" si="14"/>
        <v>156310.44400805372</v>
      </c>
      <c r="L122" s="159">
        <f t="shared" si="14"/>
        <v>158919.96632648879</v>
      </c>
      <c r="M122" s="159">
        <f t="shared" si="14"/>
        <v>161822.44090621854</v>
      </c>
      <c r="N122" s="159">
        <f t="shared" si="14"/>
        <v>164516.7624404513</v>
      </c>
      <c r="P122" s="2"/>
    </row>
    <row r="123" spans="2:16" x14ac:dyDescent="0.25">
      <c r="B123" s="18">
        <v>6380000029</v>
      </c>
      <c r="C123" s="161" t="s">
        <v>13</v>
      </c>
      <c r="D123" s="161" t="s">
        <v>40</v>
      </c>
      <c r="E123" s="161" t="s">
        <v>127</v>
      </c>
      <c r="F123" s="155">
        <v>0</v>
      </c>
      <c r="G123" s="162">
        <f>+VLOOKUP(B123,'5.3 Var OPEX 2023-25'!$B$4:$D$160,3,0)</f>
        <v>4.4009396000000096E-2</v>
      </c>
      <c r="H123" s="163" t="s">
        <v>190</v>
      </c>
      <c r="I123" s="300">
        <f t="shared" si="10"/>
        <v>0</v>
      </c>
      <c r="J123" s="159">
        <f t="shared" si="14"/>
        <v>0</v>
      </c>
      <c r="K123" s="159">
        <f t="shared" si="14"/>
        <v>0</v>
      </c>
      <c r="L123" s="159">
        <f t="shared" si="14"/>
        <v>0</v>
      </c>
      <c r="M123" s="159">
        <f t="shared" si="14"/>
        <v>0</v>
      </c>
      <c r="N123" s="159">
        <f t="shared" si="14"/>
        <v>0</v>
      </c>
      <c r="P123" s="2"/>
    </row>
    <row r="124" spans="2:16" x14ac:dyDescent="0.25">
      <c r="B124" s="18">
        <v>6380000030</v>
      </c>
      <c r="C124" s="161" t="s">
        <v>13</v>
      </c>
      <c r="D124" s="161" t="s">
        <v>40</v>
      </c>
      <c r="E124" s="161" t="s">
        <v>128</v>
      </c>
      <c r="F124" s="155">
        <v>98927.204846608147</v>
      </c>
      <c r="G124" s="162">
        <f>+VLOOKUP(B124,'5.3 Var OPEX 2023-25'!$B$4:$D$160,3,0)</f>
        <v>3.290536457674488</v>
      </c>
      <c r="H124" s="163" t="s">
        <v>190</v>
      </c>
      <c r="I124" s="300">
        <f t="shared" si="10"/>
        <v>416579.48815980146</v>
      </c>
      <c r="J124" s="159">
        <f t="shared" si="14"/>
        <v>425974.10130339727</v>
      </c>
      <c r="K124" s="159">
        <f t="shared" si="14"/>
        <v>433158.13089266414</v>
      </c>
      <c r="L124" s="159">
        <f t="shared" si="14"/>
        <v>440389.4826884392</v>
      </c>
      <c r="M124" s="159">
        <f t="shared" si="14"/>
        <v>448432.64622685529</v>
      </c>
      <c r="N124" s="159">
        <f t="shared" si="14"/>
        <v>455898.98852533911</v>
      </c>
      <c r="P124" s="2"/>
    </row>
    <row r="125" spans="2:16" x14ac:dyDescent="0.25">
      <c r="B125" s="18">
        <v>6380000031</v>
      </c>
      <c r="C125" s="161" t="s">
        <v>13</v>
      </c>
      <c r="D125" s="161" t="s">
        <v>49</v>
      </c>
      <c r="E125" s="161" t="s">
        <v>129</v>
      </c>
      <c r="F125" s="155">
        <v>0</v>
      </c>
      <c r="G125" s="162">
        <f>+VLOOKUP(B125,'5.3 Var OPEX 2023-25'!$B$4:$D$160,3,0)</f>
        <v>4.4009396000000096E-2</v>
      </c>
      <c r="H125" s="163" t="s">
        <v>190</v>
      </c>
      <c r="I125" s="300">
        <f t="shared" si="10"/>
        <v>0</v>
      </c>
      <c r="J125" s="159">
        <f t="shared" ref="J125:N134" si="15">+IF(OR($C125="No Imputables",$H125="m2 fijo"),I125,I125*(1+J$6*J$7))</f>
        <v>0</v>
      </c>
      <c r="K125" s="159">
        <f t="shared" si="15"/>
        <v>0</v>
      </c>
      <c r="L125" s="159">
        <f t="shared" si="15"/>
        <v>0</v>
      </c>
      <c r="M125" s="159">
        <f t="shared" si="15"/>
        <v>0</v>
      </c>
      <c r="N125" s="159">
        <f t="shared" si="15"/>
        <v>0</v>
      </c>
      <c r="P125" s="2"/>
    </row>
    <row r="126" spans="2:16" x14ac:dyDescent="0.25">
      <c r="B126" s="18">
        <v>6381000001</v>
      </c>
      <c r="C126" s="161" t="s">
        <v>13</v>
      </c>
      <c r="D126" s="161" t="s">
        <v>49</v>
      </c>
      <c r="E126" s="161" t="s">
        <v>130</v>
      </c>
      <c r="F126" s="155">
        <v>0</v>
      </c>
      <c r="G126" s="162">
        <f>+VLOOKUP(B126,'5.3 Var OPEX 2023-25'!$B$4:$D$160,3,0)</f>
        <v>4.4009396000000096E-2</v>
      </c>
      <c r="H126" s="163" t="s">
        <v>190</v>
      </c>
      <c r="I126" s="300">
        <f t="shared" si="10"/>
        <v>0</v>
      </c>
      <c r="J126" s="159">
        <f t="shared" si="15"/>
        <v>0</v>
      </c>
      <c r="K126" s="159">
        <f t="shared" si="15"/>
        <v>0</v>
      </c>
      <c r="L126" s="159">
        <f t="shared" si="15"/>
        <v>0</v>
      </c>
      <c r="M126" s="159">
        <f t="shared" si="15"/>
        <v>0</v>
      </c>
      <c r="N126" s="159">
        <f t="shared" si="15"/>
        <v>0</v>
      </c>
      <c r="P126" s="2"/>
    </row>
    <row r="127" spans="2:16" x14ac:dyDescent="0.25">
      <c r="B127" s="18">
        <v>6381000002</v>
      </c>
      <c r="C127" s="161" t="s">
        <v>13</v>
      </c>
      <c r="D127" s="161" t="s">
        <v>49</v>
      </c>
      <c r="E127" s="161" t="s">
        <v>131</v>
      </c>
      <c r="F127" s="155">
        <v>1449265.2713381464</v>
      </c>
      <c r="G127" s="162">
        <f>+VLOOKUP(B127,'5.3 Var OPEX 2023-25'!$B$4:$D$160,3,0)</f>
        <v>4.4009396000000096E-2</v>
      </c>
      <c r="H127" s="163" t="s">
        <v>190</v>
      </c>
      <c r="I127" s="300">
        <f t="shared" si="10"/>
        <v>1484987.6425626953</v>
      </c>
      <c r="J127" s="159">
        <f t="shared" si="15"/>
        <v>1518476.7720599817</v>
      </c>
      <c r="K127" s="159">
        <f t="shared" si="15"/>
        <v>1544085.7985893285</v>
      </c>
      <c r="L127" s="159">
        <f t="shared" si="15"/>
        <v>1569863.5153539863</v>
      </c>
      <c r="M127" s="159">
        <f t="shared" si="15"/>
        <v>1598535.1105744331</v>
      </c>
      <c r="N127" s="159">
        <f t="shared" si="15"/>
        <v>1625150.5017867305</v>
      </c>
      <c r="P127" s="2"/>
    </row>
    <row r="128" spans="2:16" x14ac:dyDescent="0.25">
      <c r="B128" s="18">
        <v>6381000003</v>
      </c>
      <c r="C128" s="161" t="s">
        <v>13</v>
      </c>
      <c r="D128" s="161" t="s">
        <v>49</v>
      </c>
      <c r="E128" s="161" t="s">
        <v>132</v>
      </c>
      <c r="F128" s="155">
        <v>0</v>
      </c>
      <c r="G128" s="162">
        <f>+VLOOKUP(B128,'5.3 Var OPEX 2023-25'!$B$4:$D$160,3,0)</f>
        <v>4.4009396000000096E-2</v>
      </c>
      <c r="H128" s="163" t="s">
        <v>190</v>
      </c>
      <c r="I128" s="300">
        <f t="shared" si="10"/>
        <v>0</v>
      </c>
      <c r="J128" s="159">
        <f t="shared" si="15"/>
        <v>0</v>
      </c>
      <c r="K128" s="159">
        <f t="shared" si="15"/>
        <v>0</v>
      </c>
      <c r="L128" s="159">
        <f t="shared" si="15"/>
        <v>0</v>
      </c>
      <c r="M128" s="159">
        <f t="shared" si="15"/>
        <v>0</v>
      </c>
      <c r="N128" s="159">
        <f t="shared" si="15"/>
        <v>0</v>
      </c>
      <c r="P128" s="2"/>
    </row>
    <row r="129" spans="1:16" x14ac:dyDescent="0.25">
      <c r="B129" s="18">
        <v>6381000004</v>
      </c>
      <c r="C129" s="161" t="s">
        <v>13</v>
      </c>
      <c r="D129" s="161" t="s">
        <v>40</v>
      </c>
      <c r="E129" s="161" t="s">
        <v>133</v>
      </c>
      <c r="F129" s="155">
        <v>0</v>
      </c>
      <c r="G129" s="162">
        <f>+VLOOKUP(B129,'5.3 Var OPEX 2023-25'!$B$4:$D$160,3,0)</f>
        <v>4.4009396000000096E-2</v>
      </c>
      <c r="H129" s="163" t="s">
        <v>190</v>
      </c>
      <c r="I129" s="300">
        <f t="shared" si="10"/>
        <v>0</v>
      </c>
      <c r="J129" s="159">
        <f t="shared" si="15"/>
        <v>0</v>
      </c>
      <c r="K129" s="159">
        <f t="shared" si="15"/>
        <v>0</v>
      </c>
      <c r="L129" s="159">
        <f t="shared" si="15"/>
        <v>0</v>
      </c>
      <c r="M129" s="159">
        <f t="shared" si="15"/>
        <v>0</v>
      </c>
      <c r="N129" s="159">
        <f t="shared" si="15"/>
        <v>0</v>
      </c>
      <c r="P129" s="2"/>
    </row>
    <row r="130" spans="1:16" x14ac:dyDescent="0.25">
      <c r="B130" s="18">
        <v>6381000005</v>
      </c>
      <c r="C130" s="161" t="s">
        <v>13</v>
      </c>
      <c r="D130" s="161" t="s">
        <v>49</v>
      </c>
      <c r="E130" s="161" t="s">
        <v>134</v>
      </c>
      <c r="F130" s="155">
        <v>0</v>
      </c>
      <c r="G130" s="162">
        <f>+VLOOKUP(B130,'5.3 Var OPEX 2023-25'!$B$4:$D$160,3,0)</f>
        <v>4.4009396000000096E-2</v>
      </c>
      <c r="H130" s="163" t="s">
        <v>190</v>
      </c>
      <c r="I130" s="300">
        <f t="shared" si="10"/>
        <v>0</v>
      </c>
      <c r="J130" s="159">
        <f t="shared" si="15"/>
        <v>0</v>
      </c>
      <c r="K130" s="159">
        <f t="shared" si="15"/>
        <v>0</v>
      </c>
      <c r="L130" s="159">
        <f t="shared" si="15"/>
        <v>0</v>
      </c>
      <c r="M130" s="159">
        <f t="shared" si="15"/>
        <v>0</v>
      </c>
      <c r="N130" s="159">
        <f t="shared" si="15"/>
        <v>0</v>
      </c>
      <c r="P130" s="2"/>
    </row>
    <row r="131" spans="1:16" x14ac:dyDescent="0.25">
      <c r="B131" s="18">
        <v>6381000006</v>
      </c>
      <c r="C131" s="161" t="s">
        <v>13</v>
      </c>
      <c r="D131" s="161" t="s">
        <v>49</v>
      </c>
      <c r="E131" s="161" t="s">
        <v>135</v>
      </c>
      <c r="F131" s="155">
        <v>0</v>
      </c>
      <c r="G131" s="162">
        <f>+VLOOKUP(B131,'5.3 Var OPEX 2023-25'!$B$4:$D$160,3,0)</f>
        <v>4.4009396000000096E-2</v>
      </c>
      <c r="H131" s="163" t="s">
        <v>190</v>
      </c>
      <c r="I131" s="300">
        <f t="shared" si="10"/>
        <v>0</v>
      </c>
      <c r="J131" s="159">
        <f t="shared" si="15"/>
        <v>0</v>
      </c>
      <c r="K131" s="159">
        <f t="shared" si="15"/>
        <v>0</v>
      </c>
      <c r="L131" s="159">
        <f t="shared" si="15"/>
        <v>0</v>
      </c>
      <c r="M131" s="159">
        <f t="shared" si="15"/>
        <v>0</v>
      </c>
      <c r="N131" s="159">
        <f t="shared" si="15"/>
        <v>0</v>
      </c>
      <c r="P131" s="2"/>
    </row>
    <row r="132" spans="1:16" x14ac:dyDescent="0.25">
      <c r="B132" s="18">
        <v>6382000001</v>
      </c>
      <c r="C132" s="161" t="s">
        <v>13</v>
      </c>
      <c r="D132" s="161" t="s">
        <v>40</v>
      </c>
      <c r="E132" s="161" t="s">
        <v>136</v>
      </c>
      <c r="F132" s="155">
        <v>0</v>
      </c>
      <c r="G132" s="162">
        <f>+VLOOKUP(B132,'5.3 Var OPEX 2023-25'!$B$4:$D$160,3,0)</f>
        <v>1.0528702981147076</v>
      </c>
      <c r="H132" s="163" t="s">
        <v>190</v>
      </c>
      <c r="I132" s="300">
        <f t="shared" si="10"/>
        <v>0</v>
      </c>
      <c r="J132" s="159">
        <f t="shared" si="15"/>
        <v>0</v>
      </c>
      <c r="K132" s="159">
        <f t="shared" si="15"/>
        <v>0</v>
      </c>
      <c r="L132" s="159">
        <f t="shared" si="15"/>
        <v>0</v>
      </c>
      <c r="M132" s="159">
        <f t="shared" si="15"/>
        <v>0</v>
      </c>
      <c r="N132" s="159">
        <f t="shared" si="15"/>
        <v>0</v>
      </c>
      <c r="P132" s="2"/>
    </row>
    <row r="133" spans="1:16" x14ac:dyDescent="0.25">
      <c r="B133" s="18">
        <v>6382000002</v>
      </c>
      <c r="C133" s="161" t="s">
        <v>13</v>
      </c>
      <c r="D133" s="161" t="s">
        <v>40</v>
      </c>
      <c r="E133" s="161" t="s">
        <v>137</v>
      </c>
      <c r="F133" s="155">
        <v>0</v>
      </c>
      <c r="G133" s="162">
        <f>+VLOOKUP(B133,'5.3 Var OPEX 2023-25'!$B$4:$D$160,3,0)</f>
        <v>4.4009396000000096E-2</v>
      </c>
      <c r="H133" s="163" t="s">
        <v>190</v>
      </c>
      <c r="I133" s="300">
        <f t="shared" si="10"/>
        <v>0</v>
      </c>
      <c r="J133" s="159">
        <f t="shared" si="15"/>
        <v>0</v>
      </c>
      <c r="K133" s="159">
        <f t="shared" si="15"/>
        <v>0</v>
      </c>
      <c r="L133" s="159">
        <f t="shared" si="15"/>
        <v>0</v>
      </c>
      <c r="M133" s="159">
        <f t="shared" si="15"/>
        <v>0</v>
      </c>
      <c r="N133" s="159">
        <f t="shared" si="15"/>
        <v>0</v>
      </c>
      <c r="P133" s="2"/>
    </row>
    <row r="134" spans="1:16" x14ac:dyDescent="0.25">
      <c r="B134" s="18">
        <v>6390000001</v>
      </c>
      <c r="C134" s="161" t="s">
        <v>13</v>
      </c>
      <c r="D134" s="161" t="s">
        <v>38</v>
      </c>
      <c r="E134" s="161" t="s">
        <v>138</v>
      </c>
      <c r="F134" s="155">
        <v>0</v>
      </c>
      <c r="G134" s="162">
        <f>+VLOOKUP(B134,'5.3 Var OPEX 2023-25'!$B$4:$D$160,3,0)</f>
        <v>4.4009396000000096E-2</v>
      </c>
      <c r="H134" s="163" t="s">
        <v>190</v>
      </c>
      <c r="I134" s="300">
        <f t="shared" si="10"/>
        <v>0</v>
      </c>
      <c r="J134" s="159">
        <f t="shared" si="15"/>
        <v>0</v>
      </c>
      <c r="K134" s="159">
        <f t="shared" si="15"/>
        <v>0</v>
      </c>
      <c r="L134" s="159">
        <f t="shared" si="15"/>
        <v>0</v>
      </c>
      <c r="M134" s="159">
        <f t="shared" si="15"/>
        <v>0</v>
      </c>
      <c r="N134" s="159">
        <f t="shared" si="15"/>
        <v>0</v>
      </c>
      <c r="P134" s="2"/>
    </row>
    <row r="135" spans="1:16" x14ac:dyDescent="0.25">
      <c r="B135" s="18">
        <v>6391000001</v>
      </c>
      <c r="C135" s="161" t="s">
        <v>13</v>
      </c>
      <c r="D135" s="161" t="s">
        <v>38</v>
      </c>
      <c r="E135" s="161" t="s">
        <v>139</v>
      </c>
      <c r="F135" s="155">
        <v>749.9899999999999</v>
      </c>
      <c r="G135" s="162">
        <f>+VLOOKUP(B135,'5.3 Var OPEX 2023-25'!$B$4:$D$160,3,0)</f>
        <v>4.4009396000000096E-2</v>
      </c>
      <c r="H135" s="163" t="s">
        <v>190</v>
      </c>
      <c r="I135" s="300">
        <f t="shared" si="10"/>
        <v>768.47620933968972</v>
      </c>
      <c r="J135" s="159">
        <f t="shared" ref="J135:N144" si="16">+IF(OR($C135="No Imputables",$H135="m2 fijo"),I135,I135*(1+J$6*J$7))</f>
        <v>785.80672344804134</v>
      </c>
      <c r="K135" s="159">
        <f t="shared" si="16"/>
        <v>799.05931024949757</v>
      </c>
      <c r="L135" s="159">
        <f t="shared" si="16"/>
        <v>812.39919369159168</v>
      </c>
      <c r="M135" s="159">
        <f t="shared" si="16"/>
        <v>827.23664969405854</v>
      </c>
      <c r="N135" s="159">
        <f t="shared" si="16"/>
        <v>841.01002690117264</v>
      </c>
      <c r="P135" s="2"/>
    </row>
    <row r="136" spans="1:16" x14ac:dyDescent="0.25">
      <c r="B136" s="18">
        <v>6391000003</v>
      </c>
      <c r="C136" s="161" t="s">
        <v>13</v>
      </c>
      <c r="D136" s="161" t="s">
        <v>38</v>
      </c>
      <c r="E136" s="161" t="s">
        <v>140</v>
      </c>
      <c r="F136" s="155">
        <v>0</v>
      </c>
      <c r="G136" s="162">
        <f>+VLOOKUP(B136,'5.3 Var OPEX 2023-25'!$B$4:$D$160,3,0)</f>
        <v>4.4009396000000096E-2</v>
      </c>
      <c r="H136" s="163" t="s">
        <v>190</v>
      </c>
      <c r="I136" s="300">
        <f t="shared" si="10"/>
        <v>0</v>
      </c>
      <c r="J136" s="159">
        <f t="shared" si="16"/>
        <v>0</v>
      </c>
      <c r="K136" s="159">
        <f t="shared" si="16"/>
        <v>0</v>
      </c>
      <c r="L136" s="159">
        <f t="shared" si="16"/>
        <v>0</v>
      </c>
      <c r="M136" s="159">
        <f t="shared" si="16"/>
        <v>0</v>
      </c>
      <c r="N136" s="159">
        <f t="shared" si="16"/>
        <v>0</v>
      </c>
      <c r="P136" s="2"/>
    </row>
    <row r="137" spans="1:16" x14ac:dyDescent="0.25">
      <c r="A137" s="38"/>
      <c r="B137" s="18">
        <v>6410000001</v>
      </c>
      <c r="C137" s="161" t="s">
        <v>13</v>
      </c>
      <c r="D137" s="161" t="s">
        <v>38</v>
      </c>
      <c r="E137" s="161" t="s">
        <v>141</v>
      </c>
      <c r="F137" s="155">
        <v>0</v>
      </c>
      <c r="G137" s="162">
        <f>+VLOOKUP(B137,'5.3 Var OPEX 2023-25'!$B$4:$D$160,3,0)</f>
        <v>4.4009396000000096E-2</v>
      </c>
      <c r="H137" s="163" t="s">
        <v>190</v>
      </c>
      <c r="I137" s="300">
        <f t="shared" si="10"/>
        <v>0</v>
      </c>
      <c r="J137" s="159">
        <f t="shared" si="16"/>
        <v>0</v>
      </c>
      <c r="K137" s="159">
        <f t="shared" si="16"/>
        <v>0</v>
      </c>
      <c r="L137" s="159">
        <f t="shared" si="16"/>
        <v>0</v>
      </c>
      <c r="M137" s="159">
        <f t="shared" si="16"/>
        <v>0</v>
      </c>
      <c r="N137" s="159">
        <f t="shared" si="16"/>
        <v>0</v>
      </c>
      <c r="P137" s="2"/>
    </row>
    <row r="138" spans="1:16" x14ac:dyDescent="0.25">
      <c r="B138" s="18">
        <v>6410000002</v>
      </c>
      <c r="C138" s="161" t="s">
        <v>13</v>
      </c>
      <c r="D138" s="161" t="s">
        <v>38</v>
      </c>
      <c r="E138" s="161" t="s">
        <v>142</v>
      </c>
      <c r="F138" s="155">
        <v>45115.373151887812</v>
      </c>
      <c r="G138" s="162">
        <f>+VLOOKUP(B138,'5.3 Var OPEX 2023-25'!$B$4:$D$160,3,0)</f>
        <v>4.4009396000000096E-2</v>
      </c>
      <c r="H138" s="163" t="s">
        <v>190</v>
      </c>
      <c r="I138" s="300">
        <f t="shared" si="10"/>
        <v>46227.404289001672</v>
      </c>
      <c r="J138" s="159">
        <f t="shared" si="16"/>
        <v>47269.915003694325</v>
      </c>
      <c r="K138" s="159">
        <f t="shared" si="16"/>
        <v>48067.119498121559</v>
      </c>
      <c r="L138" s="159">
        <f t="shared" si="16"/>
        <v>48869.575289922468</v>
      </c>
      <c r="M138" s="159">
        <f t="shared" si="16"/>
        <v>49762.117009380076</v>
      </c>
      <c r="N138" s="159">
        <f t="shared" si="16"/>
        <v>50590.649459493623</v>
      </c>
      <c r="P138" s="2"/>
    </row>
    <row r="139" spans="1:16" x14ac:dyDescent="0.25">
      <c r="B139" s="18">
        <v>6430000001</v>
      </c>
      <c r="C139" s="161" t="s">
        <v>13</v>
      </c>
      <c r="D139" s="161" t="s">
        <v>38</v>
      </c>
      <c r="E139" s="161" t="s">
        <v>143</v>
      </c>
      <c r="F139" s="155">
        <v>373856.48022623092</v>
      </c>
      <c r="G139" s="162">
        <f>+VLOOKUP(B139,'5.3 Var OPEX 2023-25'!$B$4:$D$160,3,0)</f>
        <v>4.4009396000000096E-2</v>
      </c>
      <c r="H139" s="163" t="s">
        <v>192</v>
      </c>
      <c r="I139" s="300">
        <f t="shared" si="10"/>
        <v>383071.52196873649</v>
      </c>
      <c r="J139" s="159">
        <f t="shared" si="16"/>
        <v>383071.52196873649</v>
      </c>
      <c r="K139" s="159">
        <f t="shared" si="16"/>
        <v>383071.52196873649</v>
      </c>
      <c r="L139" s="159">
        <f t="shared" si="16"/>
        <v>383071.52196873649</v>
      </c>
      <c r="M139" s="159">
        <f t="shared" si="16"/>
        <v>383071.52196873649</v>
      </c>
      <c r="N139" s="159">
        <f t="shared" si="16"/>
        <v>383071.52196873649</v>
      </c>
      <c r="P139" s="2"/>
    </row>
    <row r="140" spans="1:16" x14ac:dyDescent="0.25">
      <c r="B140" s="18">
        <v>6430000002</v>
      </c>
      <c r="C140" s="161" t="s">
        <v>13</v>
      </c>
      <c r="D140" s="161" t="s">
        <v>38</v>
      </c>
      <c r="E140" s="161" t="s">
        <v>144</v>
      </c>
      <c r="F140" s="155">
        <v>1700.2259566660457</v>
      </c>
      <c r="G140" s="162">
        <f>+VLOOKUP(B140,'5.3 Var OPEX 2023-25'!$B$4:$D$160,3,0)</f>
        <v>4.4009396000000096E-2</v>
      </c>
      <c r="H140" s="163" t="s">
        <v>192</v>
      </c>
      <c r="I140" s="300">
        <f t="shared" si="10"/>
        <v>1742.1341593883526</v>
      </c>
      <c r="J140" s="159">
        <f t="shared" si="16"/>
        <v>1742.1341593883526</v>
      </c>
      <c r="K140" s="159">
        <f t="shared" si="16"/>
        <v>1742.1341593883526</v>
      </c>
      <c r="L140" s="159">
        <f t="shared" si="16"/>
        <v>1742.1341593883526</v>
      </c>
      <c r="M140" s="159">
        <f t="shared" si="16"/>
        <v>1742.1341593883526</v>
      </c>
      <c r="N140" s="159">
        <f t="shared" si="16"/>
        <v>1742.1341593883526</v>
      </c>
      <c r="P140" s="2"/>
    </row>
    <row r="141" spans="1:16" x14ac:dyDescent="0.25">
      <c r="B141" s="18">
        <v>6430000003</v>
      </c>
      <c r="C141" s="161" t="s">
        <v>13</v>
      </c>
      <c r="D141" s="161" t="s">
        <v>38</v>
      </c>
      <c r="E141" s="161" t="s">
        <v>145</v>
      </c>
      <c r="F141" s="155">
        <v>0</v>
      </c>
      <c r="G141" s="162">
        <f>+VLOOKUP(B141,'5.3 Var OPEX 2023-25'!$B$4:$D$160,3,0)</f>
        <v>4.4009396000000096E-2</v>
      </c>
      <c r="H141" s="163" t="s">
        <v>190</v>
      </c>
      <c r="I141" s="300">
        <f t="shared" si="10"/>
        <v>0</v>
      </c>
      <c r="J141" s="159">
        <f t="shared" si="16"/>
        <v>0</v>
      </c>
      <c r="K141" s="159">
        <f t="shared" si="16"/>
        <v>0</v>
      </c>
      <c r="L141" s="159">
        <f t="shared" si="16"/>
        <v>0</v>
      </c>
      <c r="M141" s="159">
        <f t="shared" si="16"/>
        <v>0</v>
      </c>
      <c r="N141" s="159">
        <f t="shared" si="16"/>
        <v>0</v>
      </c>
      <c r="P141" s="2"/>
    </row>
    <row r="142" spans="1:16" x14ac:dyDescent="0.25">
      <c r="B142" s="18">
        <v>6510000001</v>
      </c>
      <c r="C142" s="161" t="s">
        <v>13</v>
      </c>
      <c r="D142" s="161" t="s">
        <v>38</v>
      </c>
      <c r="E142" s="161" t="s">
        <v>146</v>
      </c>
      <c r="F142" s="155">
        <v>1215931.769269841</v>
      </c>
      <c r="G142" s="162">
        <f>+VLOOKUP(B142,'5.3 Var OPEX 2023-25'!$B$4:$D$160,3,0)</f>
        <v>0.2404668693070342</v>
      </c>
      <c r="H142" s="163" t="s">
        <v>192</v>
      </c>
      <c r="I142" s="300">
        <f t="shared" si="10"/>
        <v>1480351.7524880981</v>
      </c>
      <c r="J142" s="159">
        <f t="shared" si="16"/>
        <v>1480351.7524880981</v>
      </c>
      <c r="K142" s="159">
        <f t="shared" si="16"/>
        <v>1480351.7524880981</v>
      </c>
      <c r="L142" s="159">
        <f t="shared" si="16"/>
        <v>1480351.7524880981</v>
      </c>
      <c r="M142" s="159">
        <f t="shared" si="16"/>
        <v>1480351.7524880981</v>
      </c>
      <c r="N142" s="159">
        <f t="shared" si="16"/>
        <v>1480351.7524880981</v>
      </c>
      <c r="P142" s="2"/>
    </row>
    <row r="143" spans="1:16" x14ac:dyDescent="0.25">
      <c r="B143" s="18">
        <v>6530000001</v>
      </c>
      <c r="C143" s="161" t="s">
        <v>13</v>
      </c>
      <c r="D143" s="161" t="s">
        <v>38</v>
      </c>
      <c r="E143" s="161" t="s">
        <v>147</v>
      </c>
      <c r="F143" s="155">
        <v>113.24</v>
      </c>
      <c r="G143" s="162">
        <f>+VLOOKUP(B143,'5.3 Var OPEX 2023-25'!$B$4:$D$160,3,0)</f>
        <v>4.4009396000000096E-2</v>
      </c>
      <c r="H143" s="163" t="s">
        <v>190</v>
      </c>
      <c r="I143" s="300">
        <f t="shared" ref="I143:I206" si="17">+F143*(1+G143)/$I$8</f>
        <v>116.03120834361322</v>
      </c>
      <c r="J143" s="159">
        <f t="shared" si="16"/>
        <v>118.64791978993883</v>
      </c>
      <c r="K143" s="159">
        <f t="shared" si="16"/>
        <v>120.64891037567584</v>
      </c>
      <c r="L143" s="159">
        <f t="shared" si="16"/>
        <v>122.66308176593802</v>
      </c>
      <c r="M143" s="159">
        <f t="shared" si="16"/>
        <v>124.90336966006906</v>
      </c>
      <c r="N143" s="159">
        <f t="shared" si="16"/>
        <v>126.98299370163441</v>
      </c>
      <c r="P143" s="2"/>
    </row>
    <row r="144" spans="1:16" x14ac:dyDescent="0.25">
      <c r="B144" s="18">
        <v>6530000002</v>
      </c>
      <c r="C144" s="161" t="s">
        <v>13</v>
      </c>
      <c r="D144" s="161" t="s">
        <v>38</v>
      </c>
      <c r="E144" s="161" t="s">
        <v>148</v>
      </c>
      <c r="F144" s="155">
        <v>701.42172413793105</v>
      </c>
      <c r="G144" s="162">
        <f>+VLOOKUP(B144,'5.3 Var OPEX 2023-25'!$B$4:$D$160,3,0)</f>
        <v>0.17007525835504156</v>
      </c>
      <c r="H144" s="163" t="s">
        <v>190</v>
      </c>
      <c r="I144" s="300">
        <f t="shared" si="17"/>
        <v>805.49631079593576</v>
      </c>
      <c r="J144" s="159">
        <f t="shared" si="16"/>
        <v>823.66169445884566</v>
      </c>
      <c r="K144" s="159">
        <f t="shared" si="16"/>
        <v>837.55270324654555</v>
      </c>
      <c r="L144" s="159">
        <f t="shared" si="16"/>
        <v>851.53521404969376</v>
      </c>
      <c r="M144" s="159">
        <f t="shared" si="16"/>
        <v>867.08744055499233</v>
      </c>
      <c r="N144" s="159">
        <f t="shared" si="16"/>
        <v>881.52432798585244</v>
      </c>
      <c r="P144" s="2"/>
    </row>
    <row r="145" spans="2:16" x14ac:dyDescent="0.25">
      <c r="B145" s="18">
        <v>6540000001</v>
      </c>
      <c r="C145" s="161" t="s">
        <v>13</v>
      </c>
      <c r="D145" s="161" t="s">
        <v>38</v>
      </c>
      <c r="E145" s="161" t="s">
        <v>149</v>
      </c>
      <c r="F145" s="155">
        <v>20.513183845468063</v>
      </c>
      <c r="G145" s="162">
        <f>+VLOOKUP(B145,'5.3 Var OPEX 2023-25'!$B$4:$D$160,3,0)</f>
        <v>4.4009396000000096E-2</v>
      </c>
      <c r="H145" s="163" t="s">
        <v>190</v>
      </c>
      <c r="I145" s="300">
        <f t="shared" si="17"/>
        <v>21.018805268141524</v>
      </c>
      <c r="J145" s="159">
        <f t="shared" ref="J145:N154" si="18">+IF(OR($C145="No Imputables",$H145="m2 fijo"),I145,I145*(1+J$6*J$7))</f>
        <v>21.492816951018757</v>
      </c>
      <c r="K145" s="159">
        <f t="shared" si="18"/>
        <v>21.855292116669361</v>
      </c>
      <c r="L145" s="159">
        <f t="shared" si="18"/>
        <v>22.220154956873618</v>
      </c>
      <c r="M145" s="159">
        <f t="shared" si="18"/>
        <v>22.625978318221964</v>
      </c>
      <c r="N145" s="159">
        <f t="shared" si="18"/>
        <v>23.002697766244619</v>
      </c>
      <c r="P145" s="2"/>
    </row>
    <row r="146" spans="2:16" x14ac:dyDescent="0.25">
      <c r="B146" s="18">
        <v>6561000001</v>
      </c>
      <c r="C146" s="161" t="s">
        <v>13</v>
      </c>
      <c r="D146" s="161" t="s">
        <v>38</v>
      </c>
      <c r="E146" s="161" t="s">
        <v>150</v>
      </c>
      <c r="F146" s="155">
        <v>17166.354893468459</v>
      </c>
      <c r="G146" s="162">
        <f>+VLOOKUP(B146,'5.3 Var OPEX 2023-25'!$B$4:$D$160,3,0)</f>
        <v>4.4009396000000096E-2</v>
      </c>
      <c r="H146" s="163" t="s">
        <v>190</v>
      </c>
      <c r="I146" s="300">
        <f t="shared" si="17"/>
        <v>17589.481642038532</v>
      </c>
      <c r="J146" s="159">
        <f t="shared" si="18"/>
        <v>17986.155938589454</v>
      </c>
      <c r="K146" s="159">
        <f t="shared" si="18"/>
        <v>18289.491460783476</v>
      </c>
      <c r="L146" s="159">
        <f t="shared" si="18"/>
        <v>18594.82509643794</v>
      </c>
      <c r="M146" s="159">
        <f t="shared" si="18"/>
        <v>18934.436338527263</v>
      </c>
      <c r="N146" s="159">
        <f t="shared" si="18"/>
        <v>19249.692116896214</v>
      </c>
      <c r="P146" s="2"/>
    </row>
    <row r="147" spans="2:16" x14ac:dyDescent="0.25">
      <c r="B147" s="18">
        <v>6561000002</v>
      </c>
      <c r="C147" s="161" t="s">
        <v>13</v>
      </c>
      <c r="D147" s="161" t="s">
        <v>38</v>
      </c>
      <c r="E147" s="161" t="s">
        <v>151</v>
      </c>
      <c r="F147" s="155">
        <v>232443.04223818105</v>
      </c>
      <c r="G147" s="162">
        <f>+VLOOKUP(B147,'5.3 Var OPEX 2023-25'!$B$4:$D$160,3,0)</f>
        <v>4.4009396000000096E-2</v>
      </c>
      <c r="H147" s="163" t="s">
        <v>190</v>
      </c>
      <c r="I147" s="300">
        <f t="shared" si="17"/>
        <v>238172.43961463857</v>
      </c>
      <c r="J147" s="159">
        <f t="shared" si="18"/>
        <v>243543.65446136583</v>
      </c>
      <c r="K147" s="159">
        <f t="shared" si="18"/>
        <v>247651.00468424355</v>
      </c>
      <c r="L147" s="159">
        <f t="shared" si="18"/>
        <v>251785.41059683319</v>
      </c>
      <c r="M147" s="159">
        <f t="shared" si="18"/>
        <v>256383.95646049612</v>
      </c>
      <c r="N147" s="159">
        <f t="shared" si="18"/>
        <v>260652.71431048829</v>
      </c>
      <c r="P147" s="2"/>
    </row>
    <row r="148" spans="2:16" x14ac:dyDescent="0.25">
      <c r="B148" s="18">
        <v>6561000003</v>
      </c>
      <c r="C148" s="161" t="s">
        <v>13</v>
      </c>
      <c r="D148" s="161" t="s">
        <v>38</v>
      </c>
      <c r="E148" s="161" t="s">
        <v>152</v>
      </c>
      <c r="F148" s="155">
        <v>24175.541579498898</v>
      </c>
      <c r="G148" s="162">
        <f>+VLOOKUP(B148,'5.3 Var OPEX 2023-25'!$B$4:$D$160,3,0)</f>
        <v>9.8026320203328909E-2</v>
      </c>
      <c r="H148" s="163" t="s">
        <v>190</v>
      </c>
      <c r="I148" s="300">
        <f t="shared" si="17"/>
        <v>26053.106176041903</v>
      </c>
      <c r="J148" s="159">
        <f t="shared" si="18"/>
        <v>26640.650355891321</v>
      </c>
      <c r="K148" s="159">
        <f t="shared" si="18"/>
        <v>27089.943446359564</v>
      </c>
      <c r="L148" s="159">
        <f t="shared" si="18"/>
        <v>27542.196093180639</v>
      </c>
      <c r="M148" s="159">
        <f t="shared" si="18"/>
        <v>28045.219884830312</v>
      </c>
      <c r="N148" s="159">
        <f t="shared" si="18"/>
        <v>28512.168964604622</v>
      </c>
      <c r="P148" s="2"/>
    </row>
    <row r="149" spans="2:16" x14ac:dyDescent="0.25">
      <c r="B149" s="18">
        <v>6561000004</v>
      </c>
      <c r="C149" s="161" t="s">
        <v>13</v>
      </c>
      <c r="D149" s="161" t="s">
        <v>38</v>
      </c>
      <c r="E149" s="161" t="s">
        <v>153</v>
      </c>
      <c r="F149" s="155">
        <v>5595.5635427922289</v>
      </c>
      <c r="G149" s="162">
        <f>+VLOOKUP(B149,'5.3 Var OPEX 2023-25'!$B$4:$D$160,3,0)</f>
        <v>4.4009396000000096E-2</v>
      </c>
      <c r="H149" s="163" t="s">
        <v>190</v>
      </c>
      <c r="I149" s="300">
        <f t="shared" si="17"/>
        <v>5733.4863937977007</v>
      </c>
      <c r="J149" s="159">
        <f t="shared" si="18"/>
        <v>5862.786775032836</v>
      </c>
      <c r="K149" s="159">
        <f t="shared" si="18"/>
        <v>5961.662348779043</v>
      </c>
      <c r="L149" s="159">
        <f t="shared" si="18"/>
        <v>6061.1892297423619</v>
      </c>
      <c r="M149" s="159">
        <f t="shared" si="18"/>
        <v>6171.8892762432315</v>
      </c>
      <c r="N149" s="159">
        <f t="shared" si="18"/>
        <v>6274.6503895397464</v>
      </c>
      <c r="P149" s="2"/>
    </row>
    <row r="150" spans="2:16" x14ac:dyDescent="0.25">
      <c r="B150" s="18">
        <v>6561000005</v>
      </c>
      <c r="C150" s="161" t="s">
        <v>13</v>
      </c>
      <c r="D150" s="161" t="s">
        <v>38</v>
      </c>
      <c r="E150" s="161" t="s">
        <v>154</v>
      </c>
      <c r="F150" s="155">
        <v>38.890394948961386</v>
      </c>
      <c r="G150" s="162">
        <f>+VLOOKUP(B150,'5.3 Var OPEX 2023-25'!$B$4:$D$160,3,0)</f>
        <v>4.4009396000000096E-2</v>
      </c>
      <c r="H150" s="163" t="s">
        <v>190</v>
      </c>
      <c r="I150" s="300">
        <f t="shared" si="17"/>
        <v>39.848989039988894</v>
      </c>
      <c r="J150" s="159">
        <f t="shared" si="18"/>
        <v>40.747655073325795</v>
      </c>
      <c r="K150" s="159">
        <f t="shared" si="18"/>
        <v>41.434862015823732</v>
      </c>
      <c r="L150" s="159">
        <f t="shared" si="18"/>
        <v>42.126595686454209</v>
      </c>
      <c r="M150" s="159">
        <f t="shared" si="18"/>
        <v>42.895985310280892</v>
      </c>
      <c r="N150" s="159">
        <f t="shared" si="18"/>
        <v>43.610197605599083</v>
      </c>
      <c r="P150" s="2"/>
    </row>
    <row r="151" spans="2:16" x14ac:dyDescent="0.25">
      <c r="B151" s="18">
        <v>6562000001</v>
      </c>
      <c r="C151" s="161" t="s">
        <v>13</v>
      </c>
      <c r="D151" s="161" t="s">
        <v>38</v>
      </c>
      <c r="E151" s="161" t="s">
        <v>155</v>
      </c>
      <c r="F151" s="155">
        <v>0</v>
      </c>
      <c r="G151" s="162">
        <f>+VLOOKUP(B151,'5.3 Var OPEX 2023-25'!$B$4:$D$160,3,0)</f>
        <v>4.4009396000000096E-2</v>
      </c>
      <c r="H151" s="163" t="s">
        <v>190</v>
      </c>
      <c r="I151" s="300">
        <f t="shared" si="17"/>
        <v>0</v>
      </c>
      <c r="J151" s="159">
        <f t="shared" si="18"/>
        <v>0</v>
      </c>
      <c r="K151" s="159">
        <f t="shared" si="18"/>
        <v>0</v>
      </c>
      <c r="L151" s="159">
        <f t="shared" si="18"/>
        <v>0</v>
      </c>
      <c r="M151" s="159">
        <f t="shared" si="18"/>
        <v>0</v>
      </c>
      <c r="N151" s="159">
        <f t="shared" si="18"/>
        <v>0</v>
      </c>
      <c r="P151" s="2"/>
    </row>
    <row r="152" spans="2:16" x14ac:dyDescent="0.25">
      <c r="B152" s="18">
        <v>6562000002</v>
      </c>
      <c r="C152" s="161" t="s">
        <v>13</v>
      </c>
      <c r="D152" s="161" t="s">
        <v>38</v>
      </c>
      <c r="E152" s="161" t="s">
        <v>156</v>
      </c>
      <c r="F152" s="155">
        <v>0</v>
      </c>
      <c r="G152" s="162">
        <f>+VLOOKUP(B152,'5.3 Var OPEX 2023-25'!$B$4:$D$160,3,0)</f>
        <v>4.4009396000000096E-2</v>
      </c>
      <c r="H152" s="163" t="s">
        <v>190</v>
      </c>
      <c r="I152" s="300">
        <f t="shared" si="17"/>
        <v>0</v>
      </c>
      <c r="J152" s="159">
        <f t="shared" si="18"/>
        <v>0</v>
      </c>
      <c r="K152" s="159">
        <f t="shared" si="18"/>
        <v>0</v>
      </c>
      <c r="L152" s="159">
        <f t="shared" si="18"/>
        <v>0</v>
      </c>
      <c r="M152" s="159">
        <f t="shared" si="18"/>
        <v>0</v>
      </c>
      <c r="N152" s="159">
        <f t="shared" si="18"/>
        <v>0</v>
      </c>
      <c r="P152" s="2"/>
    </row>
    <row r="153" spans="2:16" x14ac:dyDescent="0.25">
      <c r="B153" s="18">
        <v>6562000003</v>
      </c>
      <c r="C153" s="161" t="s">
        <v>13</v>
      </c>
      <c r="D153" s="161" t="s">
        <v>38</v>
      </c>
      <c r="E153" s="161" t="s">
        <v>157</v>
      </c>
      <c r="F153" s="155">
        <v>16.043381754902278</v>
      </c>
      <c r="G153" s="162">
        <f>+VLOOKUP(B153,'5.3 Var OPEX 2023-25'!$B$4:$D$160,3,0)</f>
        <v>4.4009396000000096E-2</v>
      </c>
      <c r="H153" s="163" t="s">
        <v>190</v>
      </c>
      <c r="I153" s="300">
        <f t="shared" si="17"/>
        <v>16.43882877904618</v>
      </c>
      <c r="J153" s="159">
        <f t="shared" si="18"/>
        <v>16.809553793845051</v>
      </c>
      <c r="K153" s="159">
        <f t="shared" si="18"/>
        <v>17.093045986135269</v>
      </c>
      <c r="L153" s="159">
        <f t="shared" si="18"/>
        <v>17.378405581099756</v>
      </c>
      <c r="M153" s="159">
        <f t="shared" si="18"/>
        <v>17.69580044092341</v>
      </c>
      <c r="N153" s="159">
        <f t="shared" si="18"/>
        <v>17.990433100809543</v>
      </c>
      <c r="P153" s="2"/>
    </row>
    <row r="154" spans="2:16" x14ac:dyDescent="0.25">
      <c r="B154" s="18">
        <v>6562000004</v>
      </c>
      <c r="C154" s="161" t="s">
        <v>13</v>
      </c>
      <c r="D154" s="161" t="s">
        <v>38</v>
      </c>
      <c r="E154" s="161" t="s">
        <v>158</v>
      </c>
      <c r="F154" s="155">
        <v>0</v>
      </c>
      <c r="G154" s="162">
        <f>+VLOOKUP(B154,'5.3 Var OPEX 2023-25'!$B$4:$D$160,3,0)</f>
        <v>4.4009396000000096E-2</v>
      </c>
      <c r="H154" s="163" t="s">
        <v>190</v>
      </c>
      <c r="I154" s="300">
        <f t="shared" si="17"/>
        <v>0</v>
      </c>
      <c r="J154" s="159">
        <f t="shared" si="18"/>
        <v>0</v>
      </c>
      <c r="K154" s="159">
        <f t="shared" si="18"/>
        <v>0</v>
      </c>
      <c r="L154" s="159">
        <f t="shared" si="18"/>
        <v>0</v>
      </c>
      <c r="M154" s="159">
        <f t="shared" si="18"/>
        <v>0</v>
      </c>
      <c r="N154" s="159">
        <f t="shared" si="18"/>
        <v>0</v>
      </c>
      <c r="P154" s="2"/>
    </row>
    <row r="155" spans="2:16" x14ac:dyDescent="0.25">
      <c r="B155" s="18">
        <v>6562000005</v>
      </c>
      <c r="C155" s="161" t="s">
        <v>13</v>
      </c>
      <c r="D155" s="161" t="s">
        <v>38</v>
      </c>
      <c r="E155" s="161" t="s">
        <v>159</v>
      </c>
      <c r="F155" s="155">
        <v>1.3470867102854108E-2</v>
      </c>
      <c r="G155" s="162">
        <f>+VLOOKUP(B155,'5.3 Var OPEX 2023-25'!$B$4:$D$160,3,0)</f>
        <v>4.4009396000000096E-2</v>
      </c>
      <c r="H155" s="163" t="s">
        <v>190</v>
      </c>
      <c r="I155" s="300">
        <f t="shared" si="17"/>
        <v>1.3802905222363038E-2</v>
      </c>
      <c r="J155" s="159">
        <f t="shared" ref="J155:N164" si="19">+IF(OR($C155="No Imputables",$H155="m2 fijo"),I155,I155*(1+J$6*J$7))</f>
        <v>1.4114185442602966E-2</v>
      </c>
      <c r="K155" s="159">
        <f t="shared" si="19"/>
        <v>1.43522203971643E-2</v>
      </c>
      <c r="L155" s="159">
        <f t="shared" si="19"/>
        <v>1.4591823321224639E-2</v>
      </c>
      <c r="M155" s="159">
        <f t="shared" si="19"/>
        <v>1.4858324738515104E-2</v>
      </c>
      <c r="N155" s="159">
        <f t="shared" si="19"/>
        <v>1.5105713815588817E-2</v>
      </c>
      <c r="P155" s="2"/>
    </row>
    <row r="156" spans="2:16" x14ac:dyDescent="0.25">
      <c r="B156" s="18">
        <v>6563000001</v>
      </c>
      <c r="C156" s="161" t="s">
        <v>13</v>
      </c>
      <c r="D156" s="161" t="s">
        <v>38</v>
      </c>
      <c r="E156" s="161" t="s">
        <v>160</v>
      </c>
      <c r="F156" s="155">
        <v>0</v>
      </c>
      <c r="G156" s="162">
        <f>+VLOOKUP(B156,'5.3 Var OPEX 2023-25'!$B$4:$D$160,3,0)</f>
        <v>4.4009396000000096E-2</v>
      </c>
      <c r="H156" s="163" t="s">
        <v>190</v>
      </c>
      <c r="I156" s="300">
        <f t="shared" si="17"/>
        <v>0</v>
      </c>
      <c r="J156" s="159">
        <f t="shared" si="19"/>
        <v>0</v>
      </c>
      <c r="K156" s="159">
        <f t="shared" si="19"/>
        <v>0</v>
      </c>
      <c r="L156" s="159">
        <f t="shared" si="19"/>
        <v>0</v>
      </c>
      <c r="M156" s="159">
        <f t="shared" si="19"/>
        <v>0</v>
      </c>
      <c r="N156" s="159">
        <f t="shared" si="19"/>
        <v>0</v>
      </c>
      <c r="P156" s="2"/>
    </row>
    <row r="157" spans="2:16" x14ac:dyDescent="0.25">
      <c r="B157" s="18">
        <v>6563000002</v>
      </c>
      <c r="C157" s="161" t="s">
        <v>13</v>
      </c>
      <c r="D157" s="161" t="s">
        <v>38</v>
      </c>
      <c r="E157" s="161" t="s">
        <v>161</v>
      </c>
      <c r="F157" s="155">
        <v>0</v>
      </c>
      <c r="G157" s="162">
        <f>+VLOOKUP(B157,'5.3 Var OPEX 2023-25'!$B$4:$D$160,3,0)</f>
        <v>4.4009396000000096E-2</v>
      </c>
      <c r="H157" s="163" t="s">
        <v>190</v>
      </c>
      <c r="I157" s="300">
        <f t="shared" si="17"/>
        <v>0</v>
      </c>
      <c r="J157" s="159">
        <f t="shared" si="19"/>
        <v>0</v>
      </c>
      <c r="K157" s="159">
        <f t="shared" si="19"/>
        <v>0</v>
      </c>
      <c r="L157" s="159">
        <f t="shared" si="19"/>
        <v>0</v>
      </c>
      <c r="M157" s="159">
        <f t="shared" si="19"/>
        <v>0</v>
      </c>
      <c r="N157" s="159">
        <f t="shared" si="19"/>
        <v>0</v>
      </c>
      <c r="P157" s="2"/>
    </row>
    <row r="158" spans="2:16" x14ac:dyDescent="0.25">
      <c r="B158" s="18">
        <v>6563000003</v>
      </c>
      <c r="C158" s="161" t="s">
        <v>13</v>
      </c>
      <c r="D158" s="161" t="s">
        <v>38</v>
      </c>
      <c r="E158" s="161" t="s">
        <v>162</v>
      </c>
      <c r="F158" s="155">
        <v>0</v>
      </c>
      <c r="G158" s="162">
        <f>+VLOOKUP(B158,'5.3 Var OPEX 2023-25'!$B$4:$D$160,3,0)</f>
        <v>4.4009396000000096E-2</v>
      </c>
      <c r="H158" s="163" t="s">
        <v>190</v>
      </c>
      <c r="I158" s="300">
        <f t="shared" si="17"/>
        <v>0</v>
      </c>
      <c r="J158" s="159">
        <f t="shared" si="19"/>
        <v>0</v>
      </c>
      <c r="K158" s="159">
        <f t="shared" si="19"/>
        <v>0</v>
      </c>
      <c r="L158" s="159">
        <f t="shared" si="19"/>
        <v>0</v>
      </c>
      <c r="M158" s="159">
        <f t="shared" si="19"/>
        <v>0</v>
      </c>
      <c r="N158" s="159">
        <f t="shared" si="19"/>
        <v>0</v>
      </c>
      <c r="P158" s="2"/>
    </row>
    <row r="159" spans="2:16" x14ac:dyDescent="0.25">
      <c r="B159" s="18">
        <v>6563000004</v>
      </c>
      <c r="C159" s="161" t="s">
        <v>13</v>
      </c>
      <c r="D159" s="161" t="s">
        <v>38</v>
      </c>
      <c r="E159" s="161" t="s">
        <v>163</v>
      </c>
      <c r="F159" s="155">
        <v>0</v>
      </c>
      <c r="G159" s="162">
        <f>+VLOOKUP(B159,'5.3 Var OPEX 2023-25'!$B$4:$D$160,3,0)</f>
        <v>4.4009396000000096E-2</v>
      </c>
      <c r="H159" s="163" t="s">
        <v>190</v>
      </c>
      <c r="I159" s="300">
        <f t="shared" si="17"/>
        <v>0</v>
      </c>
      <c r="J159" s="159">
        <f t="shared" si="19"/>
        <v>0</v>
      </c>
      <c r="K159" s="159">
        <f t="shared" si="19"/>
        <v>0</v>
      </c>
      <c r="L159" s="159">
        <f t="shared" si="19"/>
        <v>0</v>
      </c>
      <c r="M159" s="159">
        <f t="shared" si="19"/>
        <v>0</v>
      </c>
      <c r="N159" s="159">
        <f t="shared" si="19"/>
        <v>0</v>
      </c>
      <c r="P159" s="2"/>
    </row>
    <row r="160" spans="2:16" x14ac:dyDescent="0.25">
      <c r="B160" s="18">
        <v>6563000005</v>
      </c>
      <c r="C160" s="161" t="s">
        <v>13</v>
      </c>
      <c r="D160" s="161" t="s">
        <v>38</v>
      </c>
      <c r="E160" s="161" t="s">
        <v>164</v>
      </c>
      <c r="F160" s="155">
        <v>0</v>
      </c>
      <c r="G160" s="162">
        <f>+VLOOKUP(B160,'5.3 Var OPEX 2023-25'!$B$4:$D$160,3,0)</f>
        <v>4.4009396000000096E-2</v>
      </c>
      <c r="H160" s="163" t="s">
        <v>190</v>
      </c>
      <c r="I160" s="300">
        <f t="shared" si="17"/>
        <v>0</v>
      </c>
      <c r="J160" s="159">
        <f t="shared" si="19"/>
        <v>0</v>
      </c>
      <c r="K160" s="159">
        <f t="shared" si="19"/>
        <v>0</v>
      </c>
      <c r="L160" s="159">
        <f t="shared" si="19"/>
        <v>0</v>
      </c>
      <c r="M160" s="159">
        <f t="shared" si="19"/>
        <v>0</v>
      </c>
      <c r="N160" s="159">
        <f t="shared" si="19"/>
        <v>0</v>
      </c>
      <c r="P160" s="2"/>
    </row>
    <row r="161" spans="1:16" x14ac:dyDescent="0.25">
      <c r="B161" s="18">
        <v>6590000001</v>
      </c>
      <c r="C161" s="161" t="s">
        <v>13</v>
      </c>
      <c r="D161" s="161" t="s">
        <v>38</v>
      </c>
      <c r="E161" s="161" t="s">
        <v>165</v>
      </c>
      <c r="F161" s="155">
        <v>0</v>
      </c>
      <c r="G161" s="162">
        <f>+VLOOKUP(B161,'5.3 Var OPEX 2023-25'!$B$4:$D$160,3,0)</f>
        <v>4.4009396000000096E-2</v>
      </c>
      <c r="H161" s="163" t="s">
        <v>190</v>
      </c>
      <c r="I161" s="300">
        <f t="shared" si="17"/>
        <v>0</v>
      </c>
      <c r="J161" s="159">
        <f t="shared" si="19"/>
        <v>0</v>
      </c>
      <c r="K161" s="159">
        <f t="shared" si="19"/>
        <v>0</v>
      </c>
      <c r="L161" s="159">
        <f t="shared" si="19"/>
        <v>0</v>
      </c>
      <c r="M161" s="159">
        <f t="shared" si="19"/>
        <v>0</v>
      </c>
      <c r="N161" s="159">
        <f t="shared" si="19"/>
        <v>0</v>
      </c>
      <c r="P161" s="2"/>
    </row>
    <row r="162" spans="1:16" x14ac:dyDescent="0.25">
      <c r="B162" s="18">
        <v>6590000002</v>
      </c>
      <c r="C162" s="161" t="s">
        <v>13</v>
      </c>
      <c r="D162" s="161" t="s">
        <v>38</v>
      </c>
      <c r="E162" s="161" t="s">
        <v>166</v>
      </c>
      <c r="F162" s="155">
        <v>1925.3600000000001</v>
      </c>
      <c r="G162" s="162">
        <f>+VLOOKUP(B162,'5.3 Var OPEX 2023-25'!$B$4:$D$160,3,0)</f>
        <v>4.4009396000000096E-2</v>
      </c>
      <c r="H162" s="163" t="s">
        <v>190</v>
      </c>
      <c r="I162" s="300">
        <f t="shared" si="17"/>
        <v>1972.8174434516</v>
      </c>
      <c r="J162" s="159">
        <f t="shared" si="19"/>
        <v>2017.3080081840044</v>
      </c>
      <c r="K162" s="159">
        <f t="shared" si="19"/>
        <v>2051.3297958399089</v>
      </c>
      <c r="L162" s="159">
        <f t="shared" si="19"/>
        <v>2085.5756897639217</v>
      </c>
      <c r="M162" s="159">
        <f t="shared" si="19"/>
        <v>2123.6661233549157</v>
      </c>
      <c r="N162" s="159">
        <f t="shared" si="19"/>
        <v>2159.0248741909122</v>
      </c>
      <c r="P162" s="2"/>
    </row>
    <row r="163" spans="1:16" x14ac:dyDescent="0.25">
      <c r="A163" s="38"/>
      <c r="B163" s="18">
        <v>6590000003</v>
      </c>
      <c r="C163" s="161" t="s">
        <v>13</v>
      </c>
      <c r="D163" s="161" t="s">
        <v>38</v>
      </c>
      <c r="E163" s="161" t="s">
        <v>167</v>
      </c>
      <c r="F163" s="155">
        <v>0</v>
      </c>
      <c r="G163" s="162">
        <f>+VLOOKUP(B163,'5.3 Var OPEX 2023-25'!$B$4:$D$160,3,0)</f>
        <v>4.4009396000000096E-2</v>
      </c>
      <c r="H163" s="163" t="s">
        <v>190</v>
      </c>
      <c r="I163" s="300">
        <f t="shared" si="17"/>
        <v>0</v>
      </c>
      <c r="J163" s="159">
        <f t="shared" si="19"/>
        <v>0</v>
      </c>
      <c r="K163" s="159">
        <f t="shared" si="19"/>
        <v>0</v>
      </c>
      <c r="L163" s="159">
        <f t="shared" si="19"/>
        <v>0</v>
      </c>
      <c r="M163" s="159">
        <f t="shared" si="19"/>
        <v>0</v>
      </c>
      <c r="N163" s="159">
        <f t="shared" si="19"/>
        <v>0</v>
      </c>
      <c r="P163" s="2"/>
    </row>
    <row r="164" spans="1:16" x14ac:dyDescent="0.25">
      <c r="B164" s="18">
        <v>6590000004</v>
      </c>
      <c r="C164" s="161" t="s">
        <v>13</v>
      </c>
      <c r="D164" s="161" t="s">
        <v>38</v>
      </c>
      <c r="E164" s="161" t="s">
        <v>168</v>
      </c>
      <c r="F164" s="155">
        <v>0</v>
      </c>
      <c r="G164" s="162">
        <f>+VLOOKUP(B164,'5.3 Var OPEX 2023-25'!$B$4:$D$160,3,0)</f>
        <v>4.4009396000000096E-2</v>
      </c>
      <c r="H164" s="163" t="s">
        <v>190</v>
      </c>
      <c r="I164" s="300">
        <f t="shared" si="17"/>
        <v>0</v>
      </c>
      <c r="J164" s="159">
        <f t="shared" si="19"/>
        <v>0</v>
      </c>
      <c r="K164" s="159">
        <f t="shared" si="19"/>
        <v>0</v>
      </c>
      <c r="L164" s="159">
        <f t="shared" si="19"/>
        <v>0</v>
      </c>
      <c r="M164" s="159">
        <f t="shared" si="19"/>
        <v>0</v>
      </c>
      <c r="N164" s="159">
        <f t="shared" si="19"/>
        <v>0</v>
      </c>
      <c r="P164" s="2"/>
    </row>
    <row r="165" spans="1:16" x14ac:dyDescent="0.25">
      <c r="A165" s="38"/>
      <c r="B165" s="18">
        <v>6590000005</v>
      </c>
      <c r="C165" s="161" t="s">
        <v>13</v>
      </c>
      <c r="D165" s="161" t="s">
        <v>38</v>
      </c>
      <c r="E165" s="161" t="s">
        <v>169</v>
      </c>
      <c r="F165" s="155">
        <v>0</v>
      </c>
      <c r="G165" s="162">
        <f>+VLOOKUP(B165,'5.3 Var OPEX 2023-25'!$B$4:$D$160,3,0)</f>
        <v>4.4009396000000096E-2</v>
      </c>
      <c r="H165" s="163" t="s">
        <v>190</v>
      </c>
      <c r="I165" s="300">
        <f t="shared" si="17"/>
        <v>0</v>
      </c>
      <c r="J165" s="159">
        <f t="shared" ref="J165:N174" si="20">+IF(OR($C165="No Imputables",$H165="m2 fijo"),I165,I165*(1+J$6*J$7))</f>
        <v>0</v>
      </c>
      <c r="K165" s="159">
        <f t="shared" si="20"/>
        <v>0</v>
      </c>
      <c r="L165" s="159">
        <f t="shared" si="20"/>
        <v>0</v>
      </c>
      <c r="M165" s="159">
        <f t="shared" si="20"/>
        <v>0</v>
      </c>
      <c r="N165" s="159">
        <f t="shared" si="20"/>
        <v>0</v>
      </c>
      <c r="P165" s="2"/>
    </row>
    <row r="166" spans="1:16" x14ac:dyDescent="0.25">
      <c r="A166" s="38"/>
      <c r="B166" s="18">
        <v>6590000006</v>
      </c>
      <c r="C166" s="161" t="s">
        <v>13</v>
      </c>
      <c r="D166" s="161" t="s">
        <v>38</v>
      </c>
      <c r="E166" s="161" t="s">
        <v>170</v>
      </c>
      <c r="F166" s="155">
        <v>0</v>
      </c>
      <c r="G166" s="162">
        <f>+VLOOKUP(B166,'5.3 Var OPEX 2023-25'!$B$4:$D$160,3,0)</f>
        <v>0.55350740986062807</v>
      </c>
      <c r="H166" s="163" t="s">
        <v>190</v>
      </c>
      <c r="I166" s="300">
        <f t="shared" si="17"/>
        <v>0</v>
      </c>
      <c r="J166" s="159">
        <f t="shared" si="20"/>
        <v>0</v>
      </c>
      <c r="K166" s="159">
        <f t="shared" si="20"/>
        <v>0</v>
      </c>
      <c r="L166" s="159">
        <f t="shared" si="20"/>
        <v>0</v>
      </c>
      <c r="M166" s="159">
        <f t="shared" si="20"/>
        <v>0</v>
      </c>
      <c r="N166" s="159">
        <f t="shared" si="20"/>
        <v>0</v>
      </c>
      <c r="P166" s="2"/>
    </row>
    <row r="167" spans="1:16" x14ac:dyDescent="0.25">
      <c r="B167" s="18">
        <v>6590000007</v>
      </c>
      <c r="C167" s="161" t="s">
        <v>13</v>
      </c>
      <c r="D167" s="161" t="s">
        <v>38</v>
      </c>
      <c r="E167" s="161" t="s">
        <v>171</v>
      </c>
      <c r="F167" s="155">
        <v>0</v>
      </c>
      <c r="G167" s="162">
        <f>+VLOOKUP(B167,'5.3 Var OPEX 2023-25'!$B$4:$D$160,3,0)</f>
        <v>4.4009396000000096E-2</v>
      </c>
      <c r="H167" s="163" t="s">
        <v>190</v>
      </c>
      <c r="I167" s="300">
        <f t="shared" si="17"/>
        <v>0</v>
      </c>
      <c r="J167" s="159">
        <f t="shared" si="20"/>
        <v>0</v>
      </c>
      <c r="K167" s="159">
        <f t="shared" si="20"/>
        <v>0</v>
      </c>
      <c r="L167" s="159">
        <f t="shared" si="20"/>
        <v>0</v>
      </c>
      <c r="M167" s="159">
        <f t="shared" si="20"/>
        <v>0</v>
      </c>
      <c r="N167" s="159">
        <f t="shared" si="20"/>
        <v>0</v>
      </c>
      <c r="P167" s="2"/>
    </row>
    <row r="168" spans="1:16" x14ac:dyDescent="0.25">
      <c r="B168" s="18">
        <v>6590000010</v>
      </c>
      <c r="C168" s="161" t="s">
        <v>13</v>
      </c>
      <c r="D168" s="161" t="s">
        <v>38</v>
      </c>
      <c r="E168" s="161" t="s">
        <v>172</v>
      </c>
      <c r="F168" s="155">
        <v>0</v>
      </c>
      <c r="G168" s="162">
        <f>+VLOOKUP(B168,'5.3 Var OPEX 2023-25'!$B$4:$D$160,3,0)</f>
        <v>4.4009396000000096E-2</v>
      </c>
      <c r="H168" s="163" t="s">
        <v>190</v>
      </c>
      <c r="I168" s="300">
        <f t="shared" si="17"/>
        <v>0</v>
      </c>
      <c r="J168" s="159">
        <f t="shared" si="20"/>
        <v>0</v>
      </c>
      <c r="K168" s="159">
        <f t="shared" si="20"/>
        <v>0</v>
      </c>
      <c r="L168" s="159">
        <f t="shared" si="20"/>
        <v>0</v>
      </c>
      <c r="M168" s="159">
        <f t="shared" si="20"/>
        <v>0</v>
      </c>
      <c r="N168" s="159">
        <f t="shared" si="20"/>
        <v>0</v>
      </c>
      <c r="P168" s="2"/>
    </row>
    <row r="169" spans="1:16" x14ac:dyDescent="0.25">
      <c r="B169" s="18">
        <v>6590000011</v>
      </c>
      <c r="C169" s="161" t="s">
        <v>13</v>
      </c>
      <c r="D169" s="161" t="s">
        <v>38</v>
      </c>
      <c r="E169" s="161" t="s">
        <v>173</v>
      </c>
      <c r="F169" s="155">
        <v>0</v>
      </c>
      <c r="G169" s="162">
        <f>+VLOOKUP(B169,'5.3 Var OPEX 2023-25'!$B$4:$D$160,3,0)</f>
        <v>4.4009396000000096E-2</v>
      </c>
      <c r="H169" s="163" t="s">
        <v>190</v>
      </c>
      <c r="I169" s="300">
        <f t="shared" si="17"/>
        <v>0</v>
      </c>
      <c r="J169" s="159">
        <f t="shared" si="20"/>
        <v>0</v>
      </c>
      <c r="K169" s="159">
        <f t="shared" si="20"/>
        <v>0</v>
      </c>
      <c r="L169" s="159">
        <f t="shared" si="20"/>
        <v>0</v>
      </c>
      <c r="M169" s="159">
        <f t="shared" si="20"/>
        <v>0</v>
      </c>
      <c r="N169" s="159">
        <f t="shared" si="20"/>
        <v>0</v>
      </c>
      <c r="P169" s="2"/>
    </row>
    <row r="170" spans="1:16" x14ac:dyDescent="0.25">
      <c r="A170" s="38"/>
      <c r="B170" s="18">
        <v>6840000001</v>
      </c>
      <c r="C170" s="161" t="s">
        <v>13</v>
      </c>
      <c r="D170" s="161" t="s">
        <v>38</v>
      </c>
      <c r="E170" s="161" t="s">
        <v>174</v>
      </c>
      <c r="F170" s="155">
        <v>0</v>
      </c>
      <c r="G170" s="162">
        <f>+VLOOKUP(B170,'5.3 Var OPEX 2023-25'!$B$4:$D$160,3,0)</f>
        <v>4.4009396000000096E-2</v>
      </c>
      <c r="H170" s="163" t="s">
        <v>190</v>
      </c>
      <c r="I170" s="300">
        <f t="shared" si="17"/>
        <v>0</v>
      </c>
      <c r="J170" s="159">
        <f t="shared" si="20"/>
        <v>0</v>
      </c>
      <c r="K170" s="159">
        <f t="shared" si="20"/>
        <v>0</v>
      </c>
      <c r="L170" s="159">
        <f t="shared" si="20"/>
        <v>0</v>
      </c>
      <c r="M170" s="159">
        <f t="shared" si="20"/>
        <v>0</v>
      </c>
      <c r="N170" s="159">
        <f t="shared" si="20"/>
        <v>0</v>
      </c>
      <c r="P170" s="2"/>
    </row>
    <row r="171" spans="1:16" x14ac:dyDescent="0.25">
      <c r="A171" s="38"/>
      <c r="B171" s="18">
        <v>8710000001</v>
      </c>
      <c r="C171" s="161" t="s">
        <v>13</v>
      </c>
      <c r="D171" s="161" t="s">
        <v>14</v>
      </c>
      <c r="E171" s="161" t="s">
        <v>175</v>
      </c>
      <c r="F171" s="155">
        <v>0</v>
      </c>
      <c r="G171" s="162">
        <f>+VLOOKUP(B171,'5.3 Var OPEX 2023-25'!$B$4:$D$160,3,0)</f>
        <v>0</v>
      </c>
      <c r="H171" s="163" t="s">
        <v>190</v>
      </c>
      <c r="I171" s="300">
        <f t="shared" si="17"/>
        <v>0</v>
      </c>
      <c r="J171" s="159">
        <f t="shared" si="20"/>
        <v>0</v>
      </c>
      <c r="K171" s="159">
        <f t="shared" si="20"/>
        <v>0</v>
      </c>
      <c r="L171" s="159">
        <f t="shared" si="20"/>
        <v>0</v>
      </c>
      <c r="M171" s="159">
        <f t="shared" si="20"/>
        <v>0</v>
      </c>
      <c r="N171" s="159">
        <f t="shared" si="20"/>
        <v>0</v>
      </c>
      <c r="P171" s="2"/>
    </row>
    <row r="172" spans="1:16" x14ac:dyDescent="0.25">
      <c r="B172" s="18">
        <v>6211000001</v>
      </c>
      <c r="C172" s="161" t="s">
        <v>176</v>
      </c>
      <c r="D172" s="161" t="s">
        <v>14</v>
      </c>
      <c r="E172" s="161" t="s">
        <v>15</v>
      </c>
      <c r="F172" s="155">
        <v>5610675.7894375483</v>
      </c>
      <c r="G172" s="162">
        <f>+VLOOKUP(B172,'5.3 Var OPEX 2023-25'!$B$4:$D$160,3,0)</f>
        <v>0.39130162327539963</v>
      </c>
      <c r="H172" s="163" t="s">
        <v>190</v>
      </c>
      <c r="I172" s="300">
        <f t="shared" si="17"/>
        <v>7661380.1606763052</v>
      </c>
      <c r="J172" s="159">
        <f t="shared" si="20"/>
        <v>7834157.9973228462</v>
      </c>
      <c r="K172" s="159">
        <f t="shared" si="20"/>
        <v>7966280.6373790158</v>
      </c>
      <c r="L172" s="159">
        <f t="shared" si="20"/>
        <v>8099273.5877226712</v>
      </c>
      <c r="M172" s="159">
        <f t="shared" si="20"/>
        <v>8247196.6979903039</v>
      </c>
      <c r="N172" s="159">
        <f t="shared" si="20"/>
        <v>8384511.3963474138</v>
      </c>
      <c r="P172" s="2"/>
    </row>
    <row r="173" spans="1:16" x14ac:dyDescent="0.25">
      <c r="B173" s="18">
        <v>6212000001</v>
      </c>
      <c r="C173" s="161" t="s">
        <v>176</v>
      </c>
      <c r="D173" s="161" t="s">
        <v>14</v>
      </c>
      <c r="E173" s="161" t="s">
        <v>16</v>
      </c>
      <c r="F173" s="155">
        <v>1067617.7738845646</v>
      </c>
      <c r="G173" s="162">
        <f>+VLOOKUP(B173,'5.3 Var OPEX 2023-25'!$B$4:$D$160,3,0)</f>
        <v>0.39130162327539963</v>
      </c>
      <c r="H173" s="163" t="s">
        <v>190</v>
      </c>
      <c r="I173" s="300">
        <f t="shared" si="17"/>
        <v>1457832.5212486684</v>
      </c>
      <c r="J173" s="159">
        <f t="shared" si="20"/>
        <v>1490709.2541521147</v>
      </c>
      <c r="K173" s="159">
        <f t="shared" si="20"/>
        <v>1515849.9830322377</v>
      </c>
      <c r="L173" s="159">
        <f t="shared" si="20"/>
        <v>1541156.3174056355</v>
      </c>
      <c r="M173" s="159">
        <f t="shared" si="20"/>
        <v>1569303.6115314723</v>
      </c>
      <c r="N173" s="159">
        <f t="shared" si="20"/>
        <v>1595432.3022780721</v>
      </c>
      <c r="P173" s="2"/>
    </row>
    <row r="174" spans="1:16" x14ac:dyDescent="0.25">
      <c r="B174" s="18">
        <v>6213000001</v>
      </c>
      <c r="C174" s="161" t="s">
        <v>176</v>
      </c>
      <c r="D174" s="161" t="s">
        <v>14</v>
      </c>
      <c r="E174" s="161" t="s">
        <v>17</v>
      </c>
      <c r="F174" s="155">
        <v>566810.7486170067</v>
      </c>
      <c r="G174" s="162">
        <f>+VLOOKUP(B174,'5.3 Var OPEX 2023-25'!$B$4:$D$160,3,0)</f>
        <v>0.39130162327539963</v>
      </c>
      <c r="H174" s="163" t="s">
        <v>190</v>
      </c>
      <c r="I174" s="300">
        <f t="shared" si="17"/>
        <v>773980.31668262661</v>
      </c>
      <c r="J174" s="159">
        <f t="shared" si="20"/>
        <v>791434.95826402341</v>
      </c>
      <c r="K174" s="159">
        <f t="shared" si="20"/>
        <v>804782.46493344731</v>
      </c>
      <c r="L174" s="159">
        <f t="shared" si="20"/>
        <v>818217.89349393954</v>
      </c>
      <c r="M174" s="159">
        <f t="shared" si="20"/>
        <v>833161.62077655946</v>
      </c>
      <c r="N174" s="159">
        <f t="shared" si="20"/>
        <v>847033.64794277621</v>
      </c>
      <c r="P174" s="2"/>
    </row>
    <row r="175" spans="1:16" x14ac:dyDescent="0.25">
      <c r="B175" s="18">
        <v>6214000001</v>
      </c>
      <c r="C175" s="161" t="s">
        <v>176</v>
      </c>
      <c r="D175" s="161" t="s">
        <v>14</v>
      </c>
      <c r="E175" s="161" t="s">
        <v>18</v>
      </c>
      <c r="F175" s="155">
        <v>160278.06132253038</v>
      </c>
      <c r="G175" s="162">
        <f>+VLOOKUP(B175,'5.3 Var OPEX 2023-25'!$B$4:$D$160,3,0)</f>
        <v>0.39130162327539963</v>
      </c>
      <c r="H175" s="163" t="s">
        <v>190</v>
      </c>
      <c r="I175" s="300">
        <f t="shared" si="17"/>
        <v>218859.76044450654</v>
      </c>
      <c r="J175" s="159">
        <f t="shared" ref="J175:N184" si="21">+IF(OR($C175="No Imputables",$H175="m2 fijo"),I175,I175*(1+J$6*J$7))</f>
        <v>223795.43980586642</v>
      </c>
      <c r="K175" s="159">
        <f t="shared" si="21"/>
        <v>227569.73748403261</v>
      </c>
      <c r="L175" s="159">
        <f t="shared" si="21"/>
        <v>231368.8969882715</v>
      </c>
      <c r="M175" s="159">
        <f t="shared" si="21"/>
        <v>235594.56074576901</v>
      </c>
      <c r="N175" s="159">
        <f t="shared" si="21"/>
        <v>239517.17799718783</v>
      </c>
      <c r="P175" s="2"/>
    </row>
    <row r="176" spans="1:16" x14ac:dyDescent="0.25">
      <c r="B176" s="18">
        <v>6221000001</v>
      </c>
      <c r="C176" s="161" t="s">
        <v>176</v>
      </c>
      <c r="D176" s="161" t="s">
        <v>14</v>
      </c>
      <c r="E176" s="161" t="s">
        <v>19</v>
      </c>
      <c r="F176" s="155">
        <v>59421.733144107522</v>
      </c>
      <c r="G176" s="162">
        <f>+VLOOKUP(B176,'5.3 Var OPEX 2023-25'!$B$4:$D$160,3,0)</f>
        <v>0.39130162327539963</v>
      </c>
      <c r="H176" s="163" t="s">
        <v>190</v>
      </c>
      <c r="I176" s="300">
        <f t="shared" si="17"/>
        <v>81140.401710665334</v>
      </c>
      <c r="J176" s="159">
        <f t="shared" si="21"/>
        <v>82970.263012178213</v>
      </c>
      <c r="K176" s="159">
        <f t="shared" si="21"/>
        <v>84369.551895434066</v>
      </c>
      <c r="L176" s="159">
        <f t="shared" si="21"/>
        <v>85778.058090043545</v>
      </c>
      <c r="M176" s="159">
        <f t="shared" si="21"/>
        <v>87344.687122631221</v>
      </c>
      <c r="N176" s="159">
        <f t="shared" si="21"/>
        <v>88798.964230907659</v>
      </c>
      <c r="P176" s="2"/>
    </row>
    <row r="177" spans="2:16" x14ac:dyDescent="0.25">
      <c r="B177" s="18">
        <v>6231000001</v>
      </c>
      <c r="C177" s="161" t="s">
        <v>176</v>
      </c>
      <c r="D177" s="161" t="s">
        <v>14</v>
      </c>
      <c r="E177" s="161" t="s">
        <v>20</v>
      </c>
      <c r="F177" s="155">
        <v>0</v>
      </c>
      <c r="G177" s="162">
        <f>+VLOOKUP(B177,'5.3 Var OPEX 2023-25'!$B$4:$D$160,3,0)</f>
        <v>0.39130162327539963</v>
      </c>
      <c r="H177" s="163" t="s">
        <v>190</v>
      </c>
      <c r="I177" s="300">
        <f t="shared" si="17"/>
        <v>0</v>
      </c>
      <c r="J177" s="159">
        <f t="shared" si="21"/>
        <v>0</v>
      </c>
      <c r="K177" s="159">
        <f t="shared" si="21"/>
        <v>0</v>
      </c>
      <c r="L177" s="159">
        <f t="shared" si="21"/>
        <v>0</v>
      </c>
      <c r="M177" s="159">
        <f t="shared" si="21"/>
        <v>0</v>
      </c>
      <c r="N177" s="159">
        <f t="shared" si="21"/>
        <v>0</v>
      </c>
      <c r="P177" s="2"/>
    </row>
    <row r="178" spans="2:16" x14ac:dyDescent="0.25">
      <c r="B178" s="18">
        <v>6240000001</v>
      </c>
      <c r="C178" s="161" t="s">
        <v>176</v>
      </c>
      <c r="D178" s="161" t="s">
        <v>14</v>
      </c>
      <c r="E178" s="161" t="s">
        <v>21</v>
      </c>
      <c r="F178" s="155">
        <v>46638.24177122589</v>
      </c>
      <c r="G178" s="162">
        <f>+VLOOKUP(B178,'5.3 Var OPEX 2023-25'!$B$4:$D$160,3,0)</f>
        <v>0.39130162327539963</v>
      </c>
      <c r="H178" s="163" t="s">
        <v>190</v>
      </c>
      <c r="I178" s="300">
        <f t="shared" si="17"/>
        <v>63684.538840679379</v>
      </c>
      <c r="J178" s="159">
        <f t="shared" si="21"/>
        <v>65120.739188131382</v>
      </c>
      <c r="K178" s="159">
        <f t="shared" si="21"/>
        <v>66218.996842225853</v>
      </c>
      <c r="L178" s="159">
        <f t="shared" si="21"/>
        <v>67324.488872913629</v>
      </c>
      <c r="M178" s="159">
        <f t="shared" si="21"/>
        <v>68554.086525517458</v>
      </c>
      <c r="N178" s="159">
        <f t="shared" si="21"/>
        <v>69695.502700869809</v>
      </c>
      <c r="P178" s="2"/>
    </row>
    <row r="179" spans="2:16" x14ac:dyDescent="0.25">
      <c r="B179" s="18">
        <v>6250000001</v>
      </c>
      <c r="C179" s="161" t="s">
        <v>176</v>
      </c>
      <c r="D179" s="161" t="s">
        <v>14</v>
      </c>
      <c r="E179" s="161" t="s">
        <v>22</v>
      </c>
      <c r="F179" s="155">
        <v>25474.186583074217</v>
      </c>
      <c r="G179" s="162">
        <f>+VLOOKUP(B179,'5.3 Var OPEX 2023-25'!$B$4:$D$160,3,0)</f>
        <v>0.39130162327539963</v>
      </c>
      <c r="H179" s="163" t="s">
        <v>190</v>
      </c>
      <c r="I179" s="300">
        <f t="shared" si="17"/>
        <v>34785.01254061878</v>
      </c>
      <c r="J179" s="159">
        <f t="shared" si="21"/>
        <v>35569.476839275951</v>
      </c>
      <c r="K179" s="159">
        <f t="shared" si="21"/>
        <v>36169.354093095426</v>
      </c>
      <c r="L179" s="159">
        <f t="shared" si="21"/>
        <v>36773.182822188224</v>
      </c>
      <c r="M179" s="159">
        <f t="shared" si="21"/>
        <v>37444.79905030824</v>
      </c>
      <c r="N179" s="159">
        <f t="shared" si="21"/>
        <v>38068.249839094278</v>
      </c>
      <c r="P179" s="2"/>
    </row>
    <row r="180" spans="2:16" x14ac:dyDescent="0.25">
      <c r="B180" s="18">
        <v>6250000003</v>
      </c>
      <c r="C180" s="161" t="s">
        <v>176</v>
      </c>
      <c r="D180" s="161" t="s">
        <v>14</v>
      </c>
      <c r="E180" s="161" t="s">
        <v>23</v>
      </c>
      <c r="F180" s="155">
        <v>67465.884224211186</v>
      </c>
      <c r="G180" s="162">
        <f>+VLOOKUP(B180,'5.3 Var OPEX 2023-25'!$B$4:$D$160,3,0)</f>
        <v>0.39130162327539963</v>
      </c>
      <c r="H180" s="163" t="s">
        <v>190</v>
      </c>
      <c r="I180" s="300">
        <f t="shared" si="17"/>
        <v>92124.693408754552</v>
      </c>
      <c r="J180" s="159">
        <f t="shared" si="21"/>
        <v>94202.270150160562</v>
      </c>
      <c r="K180" s="159">
        <f t="shared" si="21"/>
        <v>95790.986210747666</v>
      </c>
      <c r="L180" s="159">
        <f t="shared" si="21"/>
        <v>97390.167365968329</v>
      </c>
      <c r="M180" s="159">
        <f t="shared" si="21"/>
        <v>99168.877062612868</v>
      </c>
      <c r="N180" s="159">
        <f t="shared" si="21"/>
        <v>100820.02531806607</v>
      </c>
      <c r="P180" s="2"/>
    </row>
    <row r="181" spans="2:16" x14ac:dyDescent="0.25">
      <c r="B181" s="18">
        <v>6250000004</v>
      </c>
      <c r="C181" s="161" t="s">
        <v>176</v>
      </c>
      <c r="D181" s="161" t="s">
        <v>14</v>
      </c>
      <c r="E181" s="161" t="s">
        <v>24</v>
      </c>
      <c r="F181" s="155">
        <v>41174.207858167567</v>
      </c>
      <c r="G181" s="162">
        <f>+VLOOKUP(B181,'5.3 Var OPEX 2023-25'!$B$4:$D$160,3,0)</f>
        <v>0.39130162327539963</v>
      </c>
      <c r="H181" s="163" t="s">
        <v>190</v>
      </c>
      <c r="I181" s="300">
        <f t="shared" si="17"/>
        <v>56223.398224146971</v>
      </c>
      <c r="J181" s="159">
        <f t="shared" si="21"/>
        <v>57491.336495105657</v>
      </c>
      <c r="K181" s="159">
        <f t="shared" si="21"/>
        <v>58460.924695992944</v>
      </c>
      <c r="L181" s="159">
        <f t="shared" si="21"/>
        <v>59436.899709810234</v>
      </c>
      <c r="M181" s="159">
        <f t="shared" si="21"/>
        <v>60522.440403616158</v>
      </c>
      <c r="N181" s="159">
        <f t="shared" si="21"/>
        <v>61530.130768256531</v>
      </c>
      <c r="P181" s="2"/>
    </row>
    <row r="182" spans="2:16" x14ac:dyDescent="0.25">
      <c r="B182" s="18">
        <v>6250000005</v>
      </c>
      <c r="C182" s="161" t="s">
        <v>176</v>
      </c>
      <c r="D182" s="161" t="s">
        <v>14</v>
      </c>
      <c r="E182" s="161" t="s">
        <v>25</v>
      </c>
      <c r="F182" s="155">
        <v>16242.997594558161</v>
      </c>
      <c r="G182" s="162">
        <f>+VLOOKUP(B182,'5.3 Var OPEX 2023-25'!$B$4:$D$160,3,0)</f>
        <v>0.39130162327539963</v>
      </c>
      <c r="H182" s="163" t="s">
        <v>190</v>
      </c>
      <c r="I182" s="300">
        <f t="shared" si="17"/>
        <v>22179.820077134758</v>
      </c>
      <c r="J182" s="159">
        <f t="shared" si="21"/>
        <v>22680.014722194453</v>
      </c>
      <c r="K182" s="159">
        <f t="shared" si="21"/>
        <v>23062.511912400871</v>
      </c>
      <c r="L182" s="159">
        <f t="shared" si="21"/>
        <v>23447.528665033755</v>
      </c>
      <c r="M182" s="159">
        <f t="shared" si="21"/>
        <v>23875.768473290005</v>
      </c>
      <c r="N182" s="159">
        <f t="shared" si="21"/>
        <v>24273.296756658452</v>
      </c>
      <c r="P182" s="2"/>
    </row>
    <row r="183" spans="2:16" x14ac:dyDescent="0.25">
      <c r="B183" s="18">
        <v>6250000006</v>
      </c>
      <c r="C183" s="161" t="s">
        <v>176</v>
      </c>
      <c r="D183" s="161" t="s">
        <v>14</v>
      </c>
      <c r="E183" s="161" t="s">
        <v>26</v>
      </c>
      <c r="F183" s="155">
        <v>20187.15725321525</v>
      </c>
      <c r="G183" s="162">
        <f>+VLOOKUP(B183,'5.3 Var OPEX 2023-25'!$B$4:$D$160,3,0)</f>
        <v>0.39130162327539963</v>
      </c>
      <c r="H183" s="163" t="s">
        <v>190</v>
      </c>
      <c r="I183" s="300">
        <f t="shared" si="17"/>
        <v>27565.57175721971</v>
      </c>
      <c r="J183" s="159">
        <f t="shared" si="21"/>
        <v>28187.224743268242</v>
      </c>
      <c r="K183" s="159">
        <f t="shared" si="21"/>
        <v>28662.600724989552</v>
      </c>
      <c r="L183" s="159">
        <f t="shared" si="21"/>
        <v>29141.108074712134</v>
      </c>
      <c r="M183" s="159">
        <f t="shared" si="21"/>
        <v>29673.333995514582</v>
      </c>
      <c r="N183" s="159">
        <f t="shared" si="21"/>
        <v>30167.390952812177</v>
      </c>
      <c r="P183" s="2"/>
    </row>
    <row r="184" spans="2:16" x14ac:dyDescent="0.25">
      <c r="B184" s="18">
        <v>6250000007</v>
      </c>
      <c r="C184" s="161" t="s">
        <v>176</v>
      </c>
      <c r="D184" s="161" t="s">
        <v>14</v>
      </c>
      <c r="E184" s="161" t="s">
        <v>27</v>
      </c>
      <c r="F184" s="155">
        <v>0</v>
      </c>
      <c r="G184" s="162">
        <f>+VLOOKUP(B184,'5.3 Var OPEX 2023-25'!$B$4:$D$160,3,0)</f>
        <v>0.39130162327539963</v>
      </c>
      <c r="H184" s="163" t="s">
        <v>190</v>
      </c>
      <c r="I184" s="300">
        <f t="shared" si="17"/>
        <v>0</v>
      </c>
      <c r="J184" s="159">
        <f t="shared" si="21"/>
        <v>0</v>
      </c>
      <c r="K184" s="159">
        <f t="shared" si="21"/>
        <v>0</v>
      </c>
      <c r="L184" s="159">
        <f t="shared" si="21"/>
        <v>0</v>
      </c>
      <c r="M184" s="159">
        <f t="shared" si="21"/>
        <v>0</v>
      </c>
      <c r="N184" s="159">
        <f t="shared" si="21"/>
        <v>0</v>
      </c>
      <c r="P184" s="2"/>
    </row>
    <row r="185" spans="2:16" x14ac:dyDescent="0.25">
      <c r="B185" s="18">
        <v>6250000008</v>
      </c>
      <c r="C185" s="161" t="s">
        <v>176</v>
      </c>
      <c r="D185" s="161" t="s">
        <v>14</v>
      </c>
      <c r="E185" s="161" t="s">
        <v>28</v>
      </c>
      <c r="F185" s="155">
        <v>27708.164989595643</v>
      </c>
      <c r="G185" s="162">
        <f>+VLOOKUP(B185,'5.3 Var OPEX 2023-25'!$B$4:$D$160,3,0)</f>
        <v>0.39130162327539963</v>
      </c>
      <c r="H185" s="163" t="s">
        <v>190</v>
      </c>
      <c r="I185" s="300">
        <f t="shared" si="17"/>
        <v>37835.510998455764</v>
      </c>
      <c r="J185" s="159">
        <f t="shared" ref="J185:N194" si="22">+IF(OR($C185="No Imputables",$H185="m2 fijo"),I185,I185*(1+J$6*J$7))</f>
        <v>38688.769497790243</v>
      </c>
      <c r="K185" s="159">
        <f t="shared" si="22"/>
        <v>39341.253449265241</v>
      </c>
      <c r="L185" s="159">
        <f t="shared" si="22"/>
        <v>39998.035403680136</v>
      </c>
      <c r="M185" s="159">
        <f t="shared" si="22"/>
        <v>40728.549534043137</v>
      </c>
      <c r="N185" s="159">
        <f t="shared" si="22"/>
        <v>41406.674319784281</v>
      </c>
      <c r="P185" s="2"/>
    </row>
    <row r="186" spans="2:16" x14ac:dyDescent="0.25">
      <c r="B186" s="18">
        <v>6250000009</v>
      </c>
      <c r="C186" s="161" t="s">
        <v>176</v>
      </c>
      <c r="D186" s="161" t="s">
        <v>14</v>
      </c>
      <c r="E186" s="161" t="s">
        <v>29</v>
      </c>
      <c r="F186" s="155">
        <v>0</v>
      </c>
      <c r="G186" s="162">
        <f>+VLOOKUP(B186,'5.3 Var OPEX 2023-25'!$B$4:$D$160,3,0)</f>
        <v>0.39130162327539963</v>
      </c>
      <c r="H186" s="163" t="s">
        <v>190</v>
      </c>
      <c r="I186" s="300">
        <f t="shared" si="17"/>
        <v>0</v>
      </c>
      <c r="J186" s="159">
        <f t="shared" si="22"/>
        <v>0</v>
      </c>
      <c r="K186" s="159">
        <f t="shared" si="22"/>
        <v>0</v>
      </c>
      <c r="L186" s="159">
        <f t="shared" si="22"/>
        <v>0</v>
      </c>
      <c r="M186" s="159">
        <f t="shared" si="22"/>
        <v>0</v>
      </c>
      <c r="N186" s="159">
        <f t="shared" si="22"/>
        <v>0</v>
      </c>
      <c r="P186" s="2"/>
    </row>
    <row r="187" spans="2:16" x14ac:dyDescent="0.25">
      <c r="B187" s="18">
        <v>6270000001</v>
      </c>
      <c r="C187" s="161" t="s">
        <v>176</v>
      </c>
      <c r="D187" s="161" t="s">
        <v>14</v>
      </c>
      <c r="E187" s="161" t="s">
        <v>30</v>
      </c>
      <c r="F187" s="155">
        <v>247905.62686987402</v>
      </c>
      <c r="G187" s="162">
        <f>+VLOOKUP(B187,'5.3 Var OPEX 2023-25'!$B$4:$D$160,3,0)</f>
        <v>0.39130162327539963</v>
      </c>
      <c r="H187" s="163" t="s">
        <v>190</v>
      </c>
      <c r="I187" s="300">
        <f t="shared" si="17"/>
        <v>338515.23821719061</v>
      </c>
      <c r="J187" s="159">
        <f t="shared" si="22"/>
        <v>346149.36278801621</v>
      </c>
      <c r="K187" s="159">
        <f t="shared" si="22"/>
        <v>351987.15259018028</v>
      </c>
      <c r="L187" s="159">
        <f t="shared" si="22"/>
        <v>357863.3967293062</v>
      </c>
      <c r="M187" s="159">
        <f t="shared" si="22"/>
        <v>364399.32444205595</v>
      </c>
      <c r="N187" s="159">
        <f t="shared" si="22"/>
        <v>370466.52341276669</v>
      </c>
      <c r="P187" s="2"/>
    </row>
    <row r="188" spans="2:16" x14ac:dyDescent="0.25">
      <c r="B188" s="18">
        <v>6270000002</v>
      </c>
      <c r="C188" s="161" t="s">
        <v>176</v>
      </c>
      <c r="D188" s="161" t="s">
        <v>14</v>
      </c>
      <c r="E188" s="161" t="s">
        <v>31</v>
      </c>
      <c r="F188" s="155">
        <v>503996.0508754875</v>
      </c>
      <c r="G188" s="162">
        <f>+VLOOKUP(B188,'5.3 Var OPEX 2023-25'!$B$4:$D$160,3,0)</f>
        <v>0.39130162327539963</v>
      </c>
      <c r="H188" s="163" t="s">
        <v>190</v>
      </c>
      <c r="I188" s="300">
        <f t="shared" si="17"/>
        <v>688206.82038085628</v>
      </c>
      <c r="J188" s="159">
        <f t="shared" si="22"/>
        <v>703727.11608437903</v>
      </c>
      <c r="K188" s="159">
        <f t="shared" si="22"/>
        <v>715595.43486068607</v>
      </c>
      <c r="L188" s="159">
        <f t="shared" si="22"/>
        <v>727541.93191076803</v>
      </c>
      <c r="M188" s="159">
        <f t="shared" si="22"/>
        <v>740829.57607449894</v>
      </c>
      <c r="N188" s="159">
        <f t="shared" si="22"/>
        <v>753164.28731007362</v>
      </c>
      <c r="P188" s="2"/>
    </row>
    <row r="189" spans="2:16" x14ac:dyDescent="0.25">
      <c r="B189" s="18">
        <v>6270000003</v>
      </c>
      <c r="C189" s="161" t="s">
        <v>176</v>
      </c>
      <c r="D189" s="161" t="s">
        <v>14</v>
      </c>
      <c r="E189" s="161" t="s">
        <v>32</v>
      </c>
      <c r="F189" s="155">
        <v>12764.390821994753</v>
      </c>
      <c r="G189" s="162">
        <f>+VLOOKUP(B189,'5.3 Var OPEX 2023-25'!$B$4:$D$160,3,0)</f>
        <v>0.39130162327539963</v>
      </c>
      <c r="H189" s="163" t="s">
        <v>190</v>
      </c>
      <c r="I189" s="300">
        <f t="shared" si="17"/>
        <v>17429.781059680998</v>
      </c>
      <c r="J189" s="159">
        <f t="shared" si="22"/>
        <v>17822.85382223253</v>
      </c>
      <c r="K189" s="159">
        <f t="shared" si="22"/>
        <v>18123.435263292726</v>
      </c>
      <c r="L189" s="159">
        <f t="shared" si="22"/>
        <v>18425.996676296192</v>
      </c>
      <c r="M189" s="159">
        <f t="shared" si="22"/>
        <v>18762.524478279625</v>
      </c>
      <c r="N189" s="159">
        <f t="shared" si="22"/>
        <v>19074.917947660644</v>
      </c>
      <c r="P189" s="2"/>
    </row>
    <row r="190" spans="2:16" x14ac:dyDescent="0.25">
      <c r="B190" s="18">
        <v>6270000004</v>
      </c>
      <c r="C190" s="161" t="s">
        <v>176</v>
      </c>
      <c r="D190" s="161" t="s">
        <v>14</v>
      </c>
      <c r="E190" s="161" t="s">
        <v>33</v>
      </c>
      <c r="F190" s="155">
        <v>15659.687656879058</v>
      </c>
      <c r="G190" s="162">
        <f>+VLOOKUP(B190,'5.3 Var OPEX 2023-25'!$B$4:$D$160,3,0)</f>
        <v>0.39130162327539963</v>
      </c>
      <c r="H190" s="163" t="s">
        <v>190</v>
      </c>
      <c r="I190" s="300">
        <f t="shared" si="17"/>
        <v>21383.310110817845</v>
      </c>
      <c r="J190" s="159">
        <f t="shared" si="22"/>
        <v>21865.542030368368</v>
      </c>
      <c r="K190" s="159">
        <f t="shared" si="22"/>
        <v>22234.303183806765</v>
      </c>
      <c r="L190" s="159">
        <f t="shared" si="22"/>
        <v>22605.493418478523</v>
      </c>
      <c r="M190" s="159">
        <f t="shared" si="22"/>
        <v>23018.354505263476</v>
      </c>
      <c r="N190" s="159">
        <f t="shared" si="22"/>
        <v>23401.606963197151</v>
      </c>
      <c r="P190" s="2"/>
    </row>
    <row r="191" spans="2:16" x14ac:dyDescent="0.25">
      <c r="B191" s="18">
        <v>6270000005</v>
      </c>
      <c r="C191" s="161" t="s">
        <v>176</v>
      </c>
      <c r="D191" s="161" t="s">
        <v>14</v>
      </c>
      <c r="E191" s="161" t="s">
        <v>34</v>
      </c>
      <c r="F191" s="155">
        <v>28873.135403427073</v>
      </c>
      <c r="G191" s="162">
        <f>+VLOOKUP(B191,'5.3 Var OPEX 2023-25'!$B$4:$D$160,3,0)</f>
        <v>0.39130162327539963</v>
      </c>
      <c r="H191" s="163" t="s">
        <v>190</v>
      </c>
      <c r="I191" s="300">
        <f t="shared" si="17"/>
        <v>39426.278590677968</v>
      </c>
      <c r="J191" s="159">
        <f t="shared" si="22"/>
        <v>40315.411746722777</v>
      </c>
      <c r="K191" s="159">
        <f t="shared" si="22"/>
        <v>40995.328929494528</v>
      </c>
      <c r="L191" s="159">
        <f t="shared" si="22"/>
        <v>41679.724821733129</v>
      </c>
      <c r="M191" s="159">
        <f t="shared" si="22"/>
        <v>42440.952907678475</v>
      </c>
      <c r="N191" s="159">
        <f t="shared" si="22"/>
        <v>43147.58897565613</v>
      </c>
      <c r="P191" s="2"/>
    </row>
    <row r="192" spans="2:16" x14ac:dyDescent="0.25">
      <c r="B192" s="18">
        <v>6270000006</v>
      </c>
      <c r="C192" s="161" t="s">
        <v>176</v>
      </c>
      <c r="D192" s="161" t="s">
        <v>14</v>
      </c>
      <c r="E192" s="161" t="s">
        <v>35</v>
      </c>
      <c r="F192" s="155">
        <v>142967.63661312277</v>
      </c>
      <c r="G192" s="162">
        <f>+VLOOKUP(B192,'5.3 Var OPEX 2023-25'!$B$4:$D$160,3,0)</f>
        <v>0.39130162327539963</v>
      </c>
      <c r="H192" s="163" t="s">
        <v>190</v>
      </c>
      <c r="I192" s="300">
        <f t="shared" si="17"/>
        <v>195222.36819111611</v>
      </c>
      <c r="J192" s="159">
        <f t="shared" si="22"/>
        <v>199624.98204575846</v>
      </c>
      <c r="K192" s="159">
        <f t="shared" si="22"/>
        <v>202991.6462945602</v>
      </c>
      <c r="L192" s="159">
        <f t="shared" si="22"/>
        <v>206380.48723108933</v>
      </c>
      <c r="M192" s="159">
        <f t="shared" si="22"/>
        <v>210149.76891285012</v>
      </c>
      <c r="N192" s="159">
        <f t="shared" si="22"/>
        <v>213648.73385630979</v>
      </c>
      <c r="P192" s="2"/>
    </row>
    <row r="193" spans="2:16" x14ac:dyDescent="0.25">
      <c r="B193" s="18">
        <v>6270000007</v>
      </c>
      <c r="C193" s="161" t="s">
        <v>176</v>
      </c>
      <c r="D193" s="161" t="s">
        <v>14</v>
      </c>
      <c r="E193" s="161" t="s">
        <v>36</v>
      </c>
      <c r="F193" s="155">
        <v>12628.609560177694</v>
      </c>
      <c r="G193" s="162">
        <f>+VLOOKUP(B193,'5.3 Var OPEX 2023-25'!$B$4:$D$160,3,0)</f>
        <v>0.39130162327539963</v>
      </c>
      <c r="H193" s="163" t="s">
        <v>190</v>
      </c>
      <c r="I193" s="300">
        <f t="shared" si="17"/>
        <v>17244.371689309752</v>
      </c>
      <c r="J193" s="159">
        <f t="shared" si="22"/>
        <v>17633.263138672941</v>
      </c>
      <c r="K193" s="159">
        <f t="shared" si="22"/>
        <v>17930.647143371691</v>
      </c>
      <c r="L193" s="159">
        <f t="shared" si="22"/>
        <v>18229.990058053718</v>
      </c>
      <c r="M193" s="159">
        <f t="shared" si="22"/>
        <v>18562.93804410805</v>
      </c>
      <c r="N193" s="159">
        <f t="shared" si="22"/>
        <v>18872.008426625973</v>
      </c>
      <c r="P193" s="2"/>
    </row>
    <row r="194" spans="2:16" x14ac:dyDescent="0.25">
      <c r="B194" s="18">
        <v>6290000001</v>
      </c>
      <c r="C194" s="161" t="s">
        <v>176</v>
      </c>
      <c r="D194" s="161" t="s">
        <v>14</v>
      </c>
      <c r="E194" s="161" t="s">
        <v>37</v>
      </c>
      <c r="F194" s="155">
        <v>575906.2731901143</v>
      </c>
      <c r="G194" s="162">
        <f>+VLOOKUP(B194,'5.3 Var OPEX 2023-25'!$B$4:$D$160,3,0)</f>
        <v>0.39130162327539963</v>
      </c>
      <c r="H194" s="163" t="s">
        <v>190</v>
      </c>
      <c r="I194" s="300">
        <f t="shared" si="17"/>
        <v>786400.25932955963</v>
      </c>
      <c r="J194" s="159">
        <f t="shared" si="22"/>
        <v>804134.99284958979</v>
      </c>
      <c r="K194" s="159">
        <f t="shared" si="22"/>
        <v>817696.68489781546</v>
      </c>
      <c r="L194" s="159">
        <f t="shared" si="22"/>
        <v>831347.70970612124</v>
      </c>
      <c r="M194" s="159">
        <f t="shared" si="22"/>
        <v>846531.23667328223</v>
      </c>
      <c r="N194" s="159">
        <f t="shared" si="22"/>
        <v>860625.86611773202</v>
      </c>
      <c r="P194" s="2"/>
    </row>
    <row r="195" spans="2:16" x14ac:dyDescent="0.25">
      <c r="B195" s="18">
        <v>6310000001</v>
      </c>
      <c r="C195" s="161" t="s">
        <v>176</v>
      </c>
      <c r="D195" s="161" t="s">
        <v>38</v>
      </c>
      <c r="E195" s="161" t="s">
        <v>39</v>
      </c>
      <c r="F195" s="155">
        <v>58511.95</v>
      </c>
      <c r="G195" s="162">
        <f>+VLOOKUP(B195,'5.3 Var OPEX 2023-25'!$B$4:$D$160,3,0)</f>
        <v>4.4009396000000096E-2</v>
      </c>
      <c r="H195" s="163" t="s">
        <v>190</v>
      </c>
      <c r="I195" s="300">
        <f t="shared" si="17"/>
        <v>59954.188105272689</v>
      </c>
      <c r="J195" s="159">
        <f t="shared" ref="J195:N204" si="23">+IF(OR($C195="No Imputables",$H195="m2 fijo"),I195,I195*(1+J$6*J$7))</f>
        <v>61306.262366239054</v>
      </c>
      <c r="K195" s="159">
        <f t="shared" si="23"/>
        <v>62340.189080325203</v>
      </c>
      <c r="L195" s="159">
        <f t="shared" si="23"/>
        <v>63380.926414115835</v>
      </c>
      <c r="M195" s="159">
        <f t="shared" si="23"/>
        <v>64538.499826752726</v>
      </c>
      <c r="N195" s="159">
        <f t="shared" si="23"/>
        <v>65613.05703214719</v>
      </c>
      <c r="P195" s="2"/>
    </row>
    <row r="196" spans="2:16" x14ac:dyDescent="0.25">
      <c r="B196" s="18">
        <v>6311300001</v>
      </c>
      <c r="C196" s="161" t="s">
        <v>176</v>
      </c>
      <c r="D196" s="161" t="s">
        <v>40</v>
      </c>
      <c r="E196" s="161" t="s">
        <v>41</v>
      </c>
      <c r="F196" s="155">
        <v>0</v>
      </c>
      <c r="G196" s="162">
        <f>+VLOOKUP(B196,'5.3 Var OPEX 2023-25'!$B$4:$D$160,3,0)</f>
        <v>4.4009396000000096E-2</v>
      </c>
      <c r="H196" s="163" t="s">
        <v>190</v>
      </c>
      <c r="I196" s="300">
        <f t="shared" si="17"/>
        <v>0</v>
      </c>
      <c r="J196" s="159">
        <f t="shared" si="23"/>
        <v>0</v>
      </c>
      <c r="K196" s="159">
        <f t="shared" si="23"/>
        <v>0</v>
      </c>
      <c r="L196" s="159">
        <f t="shared" si="23"/>
        <v>0</v>
      </c>
      <c r="M196" s="159">
        <f t="shared" si="23"/>
        <v>0</v>
      </c>
      <c r="N196" s="159">
        <f t="shared" si="23"/>
        <v>0</v>
      </c>
      <c r="P196" s="2"/>
    </row>
    <row r="197" spans="2:16" x14ac:dyDescent="0.25">
      <c r="B197" s="18">
        <v>6311300002</v>
      </c>
      <c r="C197" s="161" t="s">
        <v>176</v>
      </c>
      <c r="D197" s="161" t="s">
        <v>40</v>
      </c>
      <c r="E197" s="161" t="s">
        <v>42</v>
      </c>
      <c r="F197" s="155">
        <v>193.92000000000002</v>
      </c>
      <c r="G197" s="162">
        <f>+VLOOKUP(B197,'5.3 Var OPEX 2023-25'!$B$4:$D$160,3,0)</f>
        <v>4.4009396000000096E-2</v>
      </c>
      <c r="H197" s="163" t="s">
        <v>190</v>
      </c>
      <c r="I197" s="300">
        <f t="shared" si="17"/>
        <v>198.69985801831049</v>
      </c>
      <c r="J197" s="159">
        <f t="shared" si="23"/>
        <v>203.18089549333223</v>
      </c>
      <c r="K197" s="159">
        <f t="shared" si="23"/>
        <v>206.6075300251772</v>
      </c>
      <c r="L197" s="159">
        <f t="shared" si="23"/>
        <v>210.05673627738173</v>
      </c>
      <c r="M197" s="159">
        <f t="shared" si="23"/>
        <v>213.89316005369659</v>
      </c>
      <c r="N197" s="159">
        <f t="shared" si="23"/>
        <v>217.45445194825993</v>
      </c>
      <c r="P197" s="2"/>
    </row>
    <row r="198" spans="2:16" x14ac:dyDescent="0.25">
      <c r="B198" s="18">
        <v>6320000001</v>
      </c>
      <c r="C198" s="161" t="s">
        <v>176</v>
      </c>
      <c r="D198" s="161" t="s">
        <v>40</v>
      </c>
      <c r="E198" s="161" t="s">
        <v>43</v>
      </c>
      <c r="F198" s="155">
        <v>155472.39184712523</v>
      </c>
      <c r="G198" s="162">
        <f>+VLOOKUP(B198,'5.3 Var OPEX 2023-25'!$B$4:$D$160,3,0)</f>
        <v>0.34886581637258263</v>
      </c>
      <c r="H198" s="163" t="s">
        <v>190</v>
      </c>
      <c r="I198" s="300">
        <f t="shared" si="17"/>
        <v>205822.37045875643</v>
      </c>
      <c r="J198" s="159">
        <f t="shared" si="23"/>
        <v>210464.03333874955</v>
      </c>
      <c r="K198" s="159">
        <f t="shared" si="23"/>
        <v>214013.49758635444</v>
      </c>
      <c r="L198" s="159">
        <f t="shared" si="23"/>
        <v>217586.34265081584</v>
      </c>
      <c r="M198" s="159">
        <f t="shared" si="23"/>
        <v>221560.28527765302</v>
      </c>
      <c r="N198" s="159">
        <f t="shared" si="23"/>
        <v>225249.23375977541</v>
      </c>
      <c r="P198" s="2"/>
    </row>
    <row r="199" spans="2:16" x14ac:dyDescent="0.25">
      <c r="B199" s="18">
        <v>6320000002</v>
      </c>
      <c r="C199" s="161" t="s">
        <v>176</v>
      </c>
      <c r="D199" s="161" t="s">
        <v>40</v>
      </c>
      <c r="E199" s="161" t="s">
        <v>44</v>
      </c>
      <c r="F199" s="155">
        <v>20996.050000000003</v>
      </c>
      <c r="G199" s="162">
        <f>+VLOOKUP(B199,'5.3 Var OPEX 2023-25'!$B$4:$D$160,3,0)</f>
        <v>4.4009396000000096E-2</v>
      </c>
      <c r="H199" s="163" t="s">
        <v>190</v>
      </c>
      <c r="I199" s="300">
        <f t="shared" si="17"/>
        <v>21513.573401120815</v>
      </c>
      <c r="J199" s="159">
        <f t="shared" si="23"/>
        <v>21998.742991041556</v>
      </c>
      <c r="K199" s="159">
        <f t="shared" si="23"/>
        <v>22369.750571292912</v>
      </c>
      <c r="L199" s="159">
        <f t="shared" si="23"/>
        <v>22743.20203030487</v>
      </c>
      <c r="M199" s="159">
        <f t="shared" si="23"/>
        <v>23158.578192787831</v>
      </c>
      <c r="N199" s="159">
        <f t="shared" si="23"/>
        <v>23544.165355962577</v>
      </c>
      <c r="P199" s="2"/>
    </row>
    <row r="200" spans="2:16" x14ac:dyDescent="0.25">
      <c r="B200" s="18">
        <v>6320000003</v>
      </c>
      <c r="C200" s="161" t="s">
        <v>176</v>
      </c>
      <c r="D200" s="161" t="s">
        <v>40</v>
      </c>
      <c r="E200" s="161" t="s">
        <v>45</v>
      </c>
      <c r="F200" s="155">
        <v>0</v>
      </c>
      <c r="G200" s="162">
        <f>+VLOOKUP(B200,'5.3 Var OPEX 2023-25'!$B$4:$D$160,3,0)</f>
        <v>4.4009396000000096E-2</v>
      </c>
      <c r="H200" s="163" t="s">
        <v>190</v>
      </c>
      <c r="I200" s="300">
        <f t="shared" si="17"/>
        <v>0</v>
      </c>
      <c r="J200" s="159">
        <f t="shared" si="23"/>
        <v>0</v>
      </c>
      <c r="K200" s="159">
        <f t="shared" si="23"/>
        <v>0</v>
      </c>
      <c r="L200" s="159">
        <f t="shared" si="23"/>
        <v>0</v>
      </c>
      <c r="M200" s="159">
        <f t="shared" si="23"/>
        <v>0</v>
      </c>
      <c r="N200" s="159">
        <f t="shared" si="23"/>
        <v>0</v>
      </c>
      <c r="P200" s="2"/>
    </row>
    <row r="201" spans="2:16" x14ac:dyDescent="0.25">
      <c r="B201" s="18">
        <v>6320000004</v>
      </c>
      <c r="C201" s="161" t="s">
        <v>176</v>
      </c>
      <c r="D201" s="161" t="s">
        <v>40</v>
      </c>
      <c r="E201" s="161" t="s">
        <v>46</v>
      </c>
      <c r="F201" s="155">
        <v>578586.58375994535</v>
      </c>
      <c r="G201" s="162">
        <f>+VLOOKUP(B201,'5.3 Var OPEX 2023-25'!$B$4:$D$160,3,0)</f>
        <v>4.4009396000000096E-2</v>
      </c>
      <c r="H201" s="163" t="s">
        <v>190</v>
      </c>
      <c r="I201" s="300">
        <f t="shared" si="17"/>
        <v>592847.93752269202</v>
      </c>
      <c r="J201" s="159">
        <f t="shared" si="23"/>
        <v>606217.71972346096</v>
      </c>
      <c r="K201" s="159">
        <f t="shared" si="23"/>
        <v>616441.5479390861</v>
      </c>
      <c r="L201" s="159">
        <f t="shared" si="23"/>
        <v>626732.72193942883</v>
      </c>
      <c r="M201" s="159">
        <f t="shared" si="23"/>
        <v>638179.21186616889</v>
      </c>
      <c r="N201" s="159">
        <f t="shared" si="23"/>
        <v>648804.80856092647</v>
      </c>
      <c r="P201" s="2"/>
    </row>
    <row r="202" spans="2:16" x14ac:dyDescent="0.25">
      <c r="B202" s="18">
        <v>6320000005</v>
      </c>
      <c r="C202" s="161" t="s">
        <v>176</v>
      </c>
      <c r="D202" s="161" t="s">
        <v>40</v>
      </c>
      <c r="E202" s="161" t="s">
        <v>47</v>
      </c>
      <c r="F202" s="155">
        <v>0</v>
      </c>
      <c r="G202" s="162">
        <f>+VLOOKUP(B202,'5.3 Var OPEX 2023-25'!$B$4:$D$160,3,0)</f>
        <v>4.4009396000000096E-2</v>
      </c>
      <c r="H202" s="163" t="s">
        <v>190</v>
      </c>
      <c r="I202" s="300">
        <f t="shared" si="17"/>
        <v>0</v>
      </c>
      <c r="J202" s="159">
        <f t="shared" si="23"/>
        <v>0</v>
      </c>
      <c r="K202" s="159">
        <f t="shared" si="23"/>
        <v>0</v>
      </c>
      <c r="L202" s="159">
        <f t="shared" si="23"/>
        <v>0</v>
      </c>
      <c r="M202" s="159">
        <f t="shared" si="23"/>
        <v>0</v>
      </c>
      <c r="N202" s="159">
        <f t="shared" si="23"/>
        <v>0</v>
      </c>
      <c r="P202" s="2"/>
    </row>
    <row r="203" spans="2:16" x14ac:dyDescent="0.25">
      <c r="B203" s="18">
        <v>6320000006</v>
      </c>
      <c r="C203" s="161" t="s">
        <v>176</v>
      </c>
      <c r="D203" s="161" t="s">
        <v>40</v>
      </c>
      <c r="E203" s="161" t="s">
        <v>48</v>
      </c>
      <c r="F203" s="155">
        <v>0</v>
      </c>
      <c r="G203" s="162">
        <f>+VLOOKUP(B203,'5.3 Var OPEX 2023-25'!$B$4:$D$160,3,0)</f>
        <v>4.4009396000000096E-2</v>
      </c>
      <c r="H203" s="163" t="s">
        <v>190</v>
      </c>
      <c r="I203" s="300">
        <f t="shared" si="17"/>
        <v>0</v>
      </c>
      <c r="J203" s="159">
        <f t="shared" si="23"/>
        <v>0</v>
      </c>
      <c r="K203" s="159">
        <f t="shared" si="23"/>
        <v>0</v>
      </c>
      <c r="L203" s="159">
        <f t="shared" si="23"/>
        <v>0</v>
      </c>
      <c r="M203" s="159">
        <f t="shared" si="23"/>
        <v>0</v>
      </c>
      <c r="N203" s="159">
        <f t="shared" si="23"/>
        <v>0</v>
      </c>
      <c r="P203" s="2"/>
    </row>
    <row r="204" spans="2:16" x14ac:dyDescent="0.25">
      <c r="B204" s="18">
        <v>6320000007</v>
      </c>
      <c r="C204" s="161" t="s">
        <v>176</v>
      </c>
      <c r="D204" s="161" t="s">
        <v>49</v>
      </c>
      <c r="E204" s="161" t="s">
        <v>50</v>
      </c>
      <c r="F204" s="155">
        <v>0</v>
      </c>
      <c r="G204" s="162">
        <f>+VLOOKUP(B204,'5.3 Var OPEX 2023-25'!$B$4:$D$160,3,0)</f>
        <v>1.0054865169395515</v>
      </c>
      <c r="H204" s="163" t="s">
        <v>190</v>
      </c>
      <c r="I204" s="300">
        <f t="shared" si="17"/>
        <v>0</v>
      </c>
      <c r="J204" s="159">
        <f t="shared" si="23"/>
        <v>0</v>
      </c>
      <c r="K204" s="159">
        <f t="shared" si="23"/>
        <v>0</v>
      </c>
      <c r="L204" s="159">
        <f t="shared" si="23"/>
        <v>0</v>
      </c>
      <c r="M204" s="159">
        <f t="shared" si="23"/>
        <v>0</v>
      </c>
      <c r="N204" s="159">
        <f t="shared" si="23"/>
        <v>0</v>
      </c>
      <c r="P204" s="2"/>
    </row>
    <row r="205" spans="2:16" x14ac:dyDescent="0.25">
      <c r="B205" s="18">
        <v>6329000003</v>
      </c>
      <c r="C205" s="161" t="s">
        <v>176</v>
      </c>
      <c r="D205" s="161" t="s">
        <v>40</v>
      </c>
      <c r="E205" s="161" t="s">
        <v>51</v>
      </c>
      <c r="F205" s="155">
        <v>0</v>
      </c>
      <c r="G205" s="162">
        <f>+VLOOKUP(B205,'5.3 Var OPEX 2023-25'!$B$4:$D$160,3,0)</f>
        <v>4.4009396000000096E-2</v>
      </c>
      <c r="H205" s="163" t="s">
        <v>190</v>
      </c>
      <c r="I205" s="300">
        <f t="shared" si="17"/>
        <v>0</v>
      </c>
      <c r="J205" s="159">
        <f t="shared" ref="J205:N214" si="24">+IF(OR($C205="No Imputables",$H205="m2 fijo"),I205,I205*(1+J$6*J$7))</f>
        <v>0</v>
      </c>
      <c r="K205" s="159">
        <f t="shared" si="24"/>
        <v>0</v>
      </c>
      <c r="L205" s="159">
        <f t="shared" si="24"/>
        <v>0</v>
      </c>
      <c r="M205" s="159">
        <f t="shared" si="24"/>
        <v>0</v>
      </c>
      <c r="N205" s="159">
        <f t="shared" si="24"/>
        <v>0</v>
      </c>
      <c r="P205" s="2"/>
    </row>
    <row r="206" spans="2:16" x14ac:dyDescent="0.25">
      <c r="B206" s="18">
        <v>6341100001</v>
      </c>
      <c r="C206" s="161" t="s">
        <v>176</v>
      </c>
      <c r="D206" s="161" t="s">
        <v>52</v>
      </c>
      <c r="E206" s="161" t="s">
        <v>53</v>
      </c>
      <c r="F206" s="155">
        <v>31073.933714005409</v>
      </c>
      <c r="G206" s="162">
        <f>+VLOOKUP(B206,'5.3 Var OPEX 2023-25'!$B$4:$D$160,3,0)</f>
        <v>4.4009396000000096E-2</v>
      </c>
      <c r="H206" s="163" t="s">
        <v>190</v>
      </c>
      <c r="I206" s="300">
        <f t="shared" si="17"/>
        <v>31839.862917921128</v>
      </c>
      <c r="J206" s="159">
        <f t="shared" si="24"/>
        <v>32557.908820709905</v>
      </c>
      <c r="K206" s="159">
        <f t="shared" si="24"/>
        <v>33106.996146950994</v>
      </c>
      <c r="L206" s="159">
        <f t="shared" si="24"/>
        <v>33659.700388117133</v>
      </c>
      <c r="M206" s="159">
        <f t="shared" si="24"/>
        <v>34274.452750555465</v>
      </c>
      <c r="N206" s="159">
        <f t="shared" si="24"/>
        <v>34845.11770655735</v>
      </c>
      <c r="P206" s="2"/>
    </row>
    <row r="207" spans="2:16" x14ac:dyDescent="0.25">
      <c r="B207" s="18">
        <v>6341100002</v>
      </c>
      <c r="C207" s="161" t="s">
        <v>176</v>
      </c>
      <c r="D207" s="161" t="s">
        <v>52</v>
      </c>
      <c r="E207" s="161" t="s">
        <v>54</v>
      </c>
      <c r="F207" s="155">
        <v>70923.41983119912</v>
      </c>
      <c r="G207" s="162">
        <f>+VLOOKUP(B207,'5.3 Var OPEX 2023-25'!$B$4:$D$160,3,0)</f>
        <v>4.4009396000000096E-2</v>
      </c>
      <c r="H207" s="163" t="s">
        <v>190</v>
      </c>
      <c r="I207" s="300">
        <f t="shared" ref="I207:I270" si="25">+F207*(1+G207)/$I$8</f>
        <v>72671.583388161569</v>
      </c>
      <c r="J207" s="159">
        <f t="shared" si="24"/>
        <v>74310.457677148283</v>
      </c>
      <c r="K207" s="159">
        <f t="shared" si="24"/>
        <v>75563.699423797021</v>
      </c>
      <c r="L207" s="159">
        <f t="shared" si="24"/>
        <v>76825.196448907896</v>
      </c>
      <c r="M207" s="159">
        <f t="shared" si="24"/>
        <v>78228.312652177148</v>
      </c>
      <c r="N207" s="159">
        <f t="shared" si="24"/>
        <v>79530.803370924899</v>
      </c>
      <c r="P207" s="2"/>
    </row>
    <row r="208" spans="2:16" x14ac:dyDescent="0.25">
      <c r="B208" s="18">
        <v>6341100003</v>
      </c>
      <c r="C208" s="161" t="s">
        <v>176</v>
      </c>
      <c r="D208" s="161" t="s">
        <v>52</v>
      </c>
      <c r="E208" s="161" t="s">
        <v>55</v>
      </c>
      <c r="F208" s="155">
        <v>34658.168464408525</v>
      </c>
      <c r="G208" s="162">
        <f>+VLOOKUP(B208,'5.3 Var OPEX 2023-25'!$B$4:$D$160,3,0)</f>
        <v>0.13114375863339878</v>
      </c>
      <c r="H208" s="163" t="s">
        <v>190</v>
      </c>
      <c r="I208" s="300">
        <f t="shared" si="25"/>
        <v>38476.358174227535</v>
      </c>
      <c r="J208" s="159">
        <f t="shared" si="24"/>
        <v>39344.068924504892</v>
      </c>
      <c r="K208" s="159">
        <f t="shared" si="24"/>
        <v>40007.604464461307</v>
      </c>
      <c r="L208" s="159">
        <f t="shared" si="24"/>
        <v>40675.510805714846</v>
      </c>
      <c r="M208" s="159">
        <f t="shared" si="24"/>
        <v>41418.398177642463</v>
      </c>
      <c r="N208" s="159">
        <f t="shared" si="24"/>
        <v>42108.008849058067</v>
      </c>
      <c r="P208" s="2"/>
    </row>
    <row r="209" spans="2:16" x14ac:dyDescent="0.25">
      <c r="B209" s="18">
        <v>6341100004</v>
      </c>
      <c r="C209" s="161" t="s">
        <v>176</v>
      </c>
      <c r="D209" s="161" t="s">
        <v>52</v>
      </c>
      <c r="E209" s="161" t="s">
        <v>56</v>
      </c>
      <c r="F209" s="155">
        <v>19816.764904152456</v>
      </c>
      <c r="G209" s="162">
        <f>+VLOOKUP(B209,'5.3 Var OPEX 2023-25'!$B$4:$D$160,3,0)</f>
        <v>4.4009396000000096E-2</v>
      </c>
      <c r="H209" s="163" t="s">
        <v>190</v>
      </c>
      <c r="I209" s="300">
        <f t="shared" si="25"/>
        <v>20305.220569499437</v>
      </c>
      <c r="J209" s="159">
        <f t="shared" si="24"/>
        <v>20763.139640091449</v>
      </c>
      <c r="K209" s="159">
        <f t="shared" si="24"/>
        <v>21113.308838369201</v>
      </c>
      <c r="L209" s="159">
        <f t="shared" si="24"/>
        <v>21465.784650074391</v>
      </c>
      <c r="M209" s="159">
        <f t="shared" si="24"/>
        <v>21857.830380519586</v>
      </c>
      <c r="N209" s="159">
        <f t="shared" si="24"/>
        <v>22221.760270317573</v>
      </c>
      <c r="P209" s="2"/>
    </row>
    <row r="210" spans="2:16" x14ac:dyDescent="0.25">
      <c r="B210" s="18">
        <v>6341100005</v>
      </c>
      <c r="C210" s="161" t="s">
        <v>176</v>
      </c>
      <c r="D210" s="161" t="s">
        <v>52</v>
      </c>
      <c r="E210" s="161" t="s">
        <v>57</v>
      </c>
      <c r="F210" s="155">
        <v>30857.56</v>
      </c>
      <c r="G210" s="162">
        <f>+VLOOKUP(B210,'5.3 Var OPEX 2023-25'!$B$4:$D$160,3,0)</f>
        <v>4.4009396000000096E-2</v>
      </c>
      <c r="H210" s="163" t="s">
        <v>190</v>
      </c>
      <c r="I210" s="300">
        <f t="shared" si="25"/>
        <v>31618.155893107963</v>
      </c>
      <c r="J210" s="159">
        <f t="shared" si="24"/>
        <v>32331.201905627207</v>
      </c>
      <c r="K210" s="159">
        <f t="shared" si="24"/>
        <v>32876.46583232109</v>
      </c>
      <c r="L210" s="159">
        <f t="shared" si="24"/>
        <v>33425.321488673071</v>
      </c>
      <c r="M210" s="159">
        <f t="shared" si="24"/>
        <v>34035.793213420708</v>
      </c>
      <c r="N210" s="159">
        <f t="shared" si="24"/>
        <v>34602.484520733015</v>
      </c>
      <c r="P210" s="2"/>
    </row>
    <row r="211" spans="2:16" x14ac:dyDescent="0.25">
      <c r="B211" s="18">
        <v>6341100007</v>
      </c>
      <c r="C211" s="161" t="s">
        <v>176</v>
      </c>
      <c r="D211" s="161" t="s">
        <v>52</v>
      </c>
      <c r="E211" s="161" t="s">
        <v>58</v>
      </c>
      <c r="F211" s="155">
        <v>19921.36</v>
      </c>
      <c r="G211" s="162">
        <f>+VLOOKUP(B211,'5.3 Var OPEX 2023-25'!$B$4:$D$160,3,0)</f>
        <v>4.4009396000000096E-2</v>
      </c>
      <c r="H211" s="163" t="s">
        <v>190</v>
      </c>
      <c r="I211" s="300">
        <f t="shared" si="25"/>
        <v>20412.393788838952</v>
      </c>
      <c r="J211" s="159">
        <f t="shared" si="24"/>
        <v>20872.729807369269</v>
      </c>
      <c r="K211" s="159">
        <f t="shared" si="24"/>
        <v>21224.747237739084</v>
      </c>
      <c r="L211" s="159">
        <f t="shared" si="24"/>
        <v>21579.083456099324</v>
      </c>
      <c r="M211" s="159">
        <f t="shared" si="24"/>
        <v>21973.198447644951</v>
      </c>
      <c r="N211" s="159">
        <f t="shared" si="24"/>
        <v>22339.049199999936</v>
      </c>
      <c r="P211" s="2"/>
    </row>
    <row r="212" spans="2:16" x14ac:dyDescent="0.25">
      <c r="B212" s="18">
        <v>6341100008</v>
      </c>
      <c r="C212" s="161" t="s">
        <v>176</v>
      </c>
      <c r="D212" s="161" t="s">
        <v>52</v>
      </c>
      <c r="E212" s="161" t="s">
        <v>59</v>
      </c>
      <c r="F212" s="155">
        <v>106223.8</v>
      </c>
      <c r="G212" s="162">
        <f>+VLOOKUP(B212,'5.3 Var OPEX 2023-25'!$B$4:$D$160,3,0)</f>
        <v>4.4009396000000096E-2</v>
      </c>
      <c r="H212" s="163" t="s">
        <v>190</v>
      </c>
      <c r="I212" s="300">
        <f t="shared" si="25"/>
        <v>108842.06878179355</v>
      </c>
      <c r="J212" s="159">
        <f t="shared" si="24"/>
        <v>111296.65226229692</v>
      </c>
      <c r="K212" s="159">
        <f t="shared" si="24"/>
        <v>113173.66412896251</v>
      </c>
      <c r="L212" s="159">
        <f t="shared" si="24"/>
        <v>115063.040135011</v>
      </c>
      <c r="M212" s="159">
        <f t="shared" si="24"/>
        <v>117164.52276666588</v>
      </c>
      <c r="N212" s="159">
        <f t="shared" si="24"/>
        <v>119115.29606467391</v>
      </c>
      <c r="P212" s="2"/>
    </row>
    <row r="213" spans="2:16" x14ac:dyDescent="0.25">
      <c r="B213" s="18">
        <v>6341100009</v>
      </c>
      <c r="C213" s="161" t="s">
        <v>176</v>
      </c>
      <c r="D213" s="161" t="s">
        <v>52</v>
      </c>
      <c r="E213" s="161" t="s">
        <v>60</v>
      </c>
      <c r="F213" s="155">
        <v>0</v>
      </c>
      <c r="G213" s="162">
        <f>+VLOOKUP(B213,'5.3 Var OPEX 2023-25'!$B$4:$D$160,3,0)</f>
        <v>4.4009396000000096E-2</v>
      </c>
      <c r="H213" s="163" t="s">
        <v>190</v>
      </c>
      <c r="I213" s="300">
        <f t="shared" si="25"/>
        <v>0</v>
      </c>
      <c r="J213" s="159">
        <f t="shared" si="24"/>
        <v>0</v>
      </c>
      <c r="K213" s="159">
        <f t="shared" si="24"/>
        <v>0</v>
      </c>
      <c r="L213" s="159">
        <f t="shared" si="24"/>
        <v>0</v>
      </c>
      <c r="M213" s="159">
        <f t="shared" si="24"/>
        <v>0</v>
      </c>
      <c r="N213" s="159">
        <f t="shared" si="24"/>
        <v>0</v>
      </c>
      <c r="P213" s="2"/>
    </row>
    <row r="214" spans="2:16" x14ac:dyDescent="0.25">
      <c r="B214" s="18">
        <v>6341100010</v>
      </c>
      <c r="C214" s="161" t="s">
        <v>176</v>
      </c>
      <c r="D214" s="161" t="s">
        <v>52</v>
      </c>
      <c r="E214" s="161" t="s">
        <v>61</v>
      </c>
      <c r="F214" s="155">
        <v>100181.49706417829</v>
      </c>
      <c r="G214" s="162">
        <f>+VLOOKUP(B214,'5.3 Var OPEX 2023-25'!$B$4:$D$160,3,0)</f>
        <v>4.4009396000000096E-2</v>
      </c>
      <c r="H214" s="163" t="s">
        <v>190</v>
      </c>
      <c r="I214" s="300">
        <f t="shared" si="25"/>
        <v>102650.83149089321</v>
      </c>
      <c r="J214" s="159">
        <f t="shared" si="24"/>
        <v>104965.79148804855</v>
      </c>
      <c r="K214" s="159">
        <f t="shared" si="24"/>
        <v>106736.0337389357</v>
      </c>
      <c r="L214" s="159">
        <f t="shared" si="24"/>
        <v>108517.93682283099</v>
      </c>
      <c r="M214" s="159">
        <f t="shared" si="24"/>
        <v>110499.88132202566</v>
      </c>
      <c r="N214" s="159">
        <f t="shared" si="24"/>
        <v>112339.68925044913</v>
      </c>
      <c r="P214" s="2"/>
    </row>
    <row r="215" spans="2:16" x14ac:dyDescent="0.25">
      <c r="B215" s="18">
        <v>6342000001</v>
      </c>
      <c r="C215" s="161" t="s">
        <v>176</v>
      </c>
      <c r="D215" s="161" t="s">
        <v>52</v>
      </c>
      <c r="E215" s="161" t="s">
        <v>62</v>
      </c>
      <c r="F215" s="155">
        <v>2222.5387148119062</v>
      </c>
      <c r="G215" s="162">
        <f>+VLOOKUP(B215,'5.3 Var OPEX 2023-25'!$B$4:$D$160,3,0)</f>
        <v>4.4009396000000096E-2</v>
      </c>
      <c r="H215" s="163" t="s">
        <v>190</v>
      </c>
      <c r="I215" s="300">
        <f t="shared" si="25"/>
        <v>2277.321199841811</v>
      </c>
      <c r="J215" s="159">
        <f t="shared" ref="J215:N224" si="26">+IF(OR($C215="No Imputables",$H215="m2 fijo"),I215,I215*(1+J$6*J$7))</f>
        <v>2328.6788693486119</v>
      </c>
      <c r="K215" s="159">
        <f t="shared" si="26"/>
        <v>2367.9519093060003</v>
      </c>
      <c r="L215" s="159">
        <f t="shared" si="26"/>
        <v>2407.4836462640028</v>
      </c>
      <c r="M215" s="159">
        <f t="shared" si="26"/>
        <v>2451.453326386139</v>
      </c>
      <c r="N215" s="159">
        <f t="shared" si="26"/>
        <v>2492.269689373004</v>
      </c>
      <c r="P215" s="2"/>
    </row>
    <row r="216" spans="2:16" x14ac:dyDescent="0.25">
      <c r="B216" s="18">
        <v>6342000002</v>
      </c>
      <c r="C216" s="161" t="s">
        <v>176</v>
      </c>
      <c r="D216" s="161" t="s">
        <v>52</v>
      </c>
      <c r="E216" s="161" t="s">
        <v>63</v>
      </c>
      <c r="F216" s="155">
        <v>18859.948201001687</v>
      </c>
      <c r="G216" s="162">
        <f>+VLOOKUP(B216,'5.3 Var OPEX 2023-25'!$B$4:$D$160,3,0)</f>
        <v>4.4009396000000096E-2</v>
      </c>
      <c r="H216" s="163" t="s">
        <v>190</v>
      </c>
      <c r="I216" s="300">
        <f t="shared" si="25"/>
        <v>19324.81966672713</v>
      </c>
      <c r="J216" s="159">
        <f t="shared" si="26"/>
        <v>19760.628942024454</v>
      </c>
      <c r="K216" s="159">
        <f t="shared" si="26"/>
        <v>20093.890852989593</v>
      </c>
      <c r="L216" s="159">
        <f t="shared" si="26"/>
        <v>20429.348006718701</v>
      </c>
      <c r="M216" s="159">
        <f t="shared" si="26"/>
        <v>20802.46451712706</v>
      </c>
      <c r="N216" s="159">
        <f t="shared" si="26"/>
        <v>21148.822709474996</v>
      </c>
      <c r="P216" s="2"/>
    </row>
    <row r="217" spans="2:16" x14ac:dyDescent="0.25">
      <c r="B217" s="18">
        <v>6343000001</v>
      </c>
      <c r="C217" s="161" t="s">
        <v>176</v>
      </c>
      <c r="D217" s="161" t="s">
        <v>52</v>
      </c>
      <c r="E217" s="161" t="s">
        <v>64</v>
      </c>
      <c r="F217" s="155">
        <v>560059.74992484774</v>
      </c>
      <c r="G217" s="162">
        <f>+VLOOKUP(B217,'5.3 Var OPEX 2023-25'!$B$4:$D$160,3,0)</f>
        <v>1.922702215525852</v>
      </c>
      <c r="H217" s="163" t="s">
        <v>190</v>
      </c>
      <c r="I217" s="300">
        <f t="shared" si="25"/>
        <v>1606532.3602194409</v>
      </c>
      <c r="J217" s="159">
        <f t="shared" si="26"/>
        <v>1642762.5406673558</v>
      </c>
      <c r="K217" s="159">
        <f t="shared" si="26"/>
        <v>1670467.6397900085</v>
      </c>
      <c r="L217" s="159">
        <f t="shared" si="26"/>
        <v>1698355.2362709641</v>
      </c>
      <c r="M217" s="159">
        <f t="shared" si="26"/>
        <v>1729373.5721954776</v>
      </c>
      <c r="N217" s="159">
        <f t="shared" si="26"/>
        <v>1758167.4059196869</v>
      </c>
      <c r="P217" s="2"/>
    </row>
    <row r="218" spans="2:16" x14ac:dyDescent="0.25">
      <c r="B218" s="18">
        <v>6343000002</v>
      </c>
      <c r="C218" s="161" t="s">
        <v>176</v>
      </c>
      <c r="D218" s="161" t="s">
        <v>52</v>
      </c>
      <c r="E218" s="161" t="s">
        <v>65</v>
      </c>
      <c r="F218" s="155">
        <v>57282.21</v>
      </c>
      <c r="G218" s="162">
        <f>+VLOOKUP(B218,'5.3 Var OPEX 2023-25'!$B$4:$D$160,3,0)</f>
        <v>4.4009396000000096E-2</v>
      </c>
      <c r="H218" s="163" t="s">
        <v>190</v>
      </c>
      <c r="I218" s="300">
        <f t="shared" si="25"/>
        <v>58694.136726356453</v>
      </c>
      <c r="J218" s="159">
        <f t="shared" si="26"/>
        <v>60017.794573211162</v>
      </c>
      <c r="K218" s="159">
        <f t="shared" si="26"/>
        <v>61029.991349440505</v>
      </c>
      <c r="L218" s="159">
        <f t="shared" si="26"/>
        <v>62048.855607238016</v>
      </c>
      <c r="M218" s="159">
        <f t="shared" si="26"/>
        <v>63182.100411300824</v>
      </c>
      <c r="N218" s="159">
        <f t="shared" si="26"/>
        <v>64234.073751728196</v>
      </c>
      <c r="P218" s="2"/>
    </row>
    <row r="219" spans="2:16" x14ac:dyDescent="0.25">
      <c r="B219" s="18">
        <v>6343100001</v>
      </c>
      <c r="C219" s="161" t="s">
        <v>176</v>
      </c>
      <c r="D219" s="161" t="s">
        <v>52</v>
      </c>
      <c r="E219" s="161" t="s">
        <v>66</v>
      </c>
      <c r="F219" s="155">
        <v>5296.3531494183526</v>
      </c>
      <c r="G219" s="162">
        <f>+VLOOKUP(B219,'5.3 Var OPEX 2023-25'!$B$4:$D$160,3,0)</f>
        <v>4.4009396000000096E-2</v>
      </c>
      <c r="H219" s="163" t="s">
        <v>190</v>
      </c>
      <c r="I219" s="300">
        <f t="shared" si="25"/>
        <v>5426.9008807975351</v>
      </c>
      <c r="J219" s="159">
        <f t="shared" si="26"/>
        <v>5549.2872099203332</v>
      </c>
      <c r="K219" s="159">
        <f t="shared" si="26"/>
        <v>5642.875630891057</v>
      </c>
      <c r="L219" s="159">
        <f t="shared" si="26"/>
        <v>5737.0805318649482</v>
      </c>
      <c r="M219" s="159">
        <f t="shared" si="26"/>
        <v>5841.861138043726</v>
      </c>
      <c r="N219" s="159">
        <f t="shared" si="26"/>
        <v>5939.1273279249581</v>
      </c>
      <c r="P219" s="2"/>
    </row>
    <row r="220" spans="2:16" x14ac:dyDescent="0.25">
      <c r="B220" s="18">
        <v>6343100002</v>
      </c>
      <c r="C220" s="161" t="s">
        <v>176</v>
      </c>
      <c r="D220" s="161" t="s">
        <v>52</v>
      </c>
      <c r="E220" s="161" t="s">
        <v>67</v>
      </c>
      <c r="F220" s="155">
        <v>8925.762126960828</v>
      </c>
      <c r="G220" s="162">
        <f>+VLOOKUP(B220,'5.3 Var OPEX 2023-25'!$B$4:$D$160,3,0)</f>
        <v>4.4009396000000096E-2</v>
      </c>
      <c r="H220" s="163" t="s">
        <v>190</v>
      </c>
      <c r="I220" s="300">
        <f t="shared" si="25"/>
        <v>9145.7697366559896</v>
      </c>
      <c r="J220" s="159">
        <f t="shared" si="26"/>
        <v>9352.0232153278193</v>
      </c>
      <c r="K220" s="159">
        <f t="shared" si="26"/>
        <v>9509.744568088121</v>
      </c>
      <c r="L220" s="159">
        <f t="shared" si="26"/>
        <v>9668.5048534326124</v>
      </c>
      <c r="M220" s="159">
        <f t="shared" si="26"/>
        <v>9845.0880116710778</v>
      </c>
      <c r="N220" s="159">
        <f t="shared" si="26"/>
        <v>10009.007382110156</v>
      </c>
      <c r="P220" s="2"/>
    </row>
    <row r="221" spans="2:16" x14ac:dyDescent="0.25">
      <c r="B221" s="18">
        <v>6343100003</v>
      </c>
      <c r="C221" s="161" t="s">
        <v>176</v>
      </c>
      <c r="D221" s="161" t="s">
        <v>52</v>
      </c>
      <c r="E221" s="161" t="s">
        <v>68</v>
      </c>
      <c r="F221" s="155">
        <v>20111.009999999998</v>
      </c>
      <c r="G221" s="162">
        <f>+VLOOKUP(B221,'5.3 Var OPEX 2023-25'!$B$4:$D$160,3,0)</f>
        <v>4.4009396000000096E-2</v>
      </c>
      <c r="H221" s="163" t="s">
        <v>190</v>
      </c>
      <c r="I221" s="300">
        <f t="shared" si="25"/>
        <v>20606.718397302091</v>
      </c>
      <c r="J221" s="159">
        <f t="shared" si="26"/>
        <v>21071.436783598176</v>
      </c>
      <c r="K221" s="159">
        <f t="shared" si="26"/>
        <v>21426.805396099615</v>
      </c>
      <c r="L221" s="159">
        <f t="shared" si="26"/>
        <v>21784.514871296335</v>
      </c>
      <c r="M221" s="159">
        <f t="shared" si="26"/>
        <v>22182.38181090909</v>
      </c>
      <c r="N221" s="159">
        <f t="shared" si="26"/>
        <v>22551.715437685503</v>
      </c>
      <c r="P221" s="2"/>
    </row>
    <row r="222" spans="2:16" x14ac:dyDescent="0.25">
      <c r="B222" s="18">
        <v>6343100004</v>
      </c>
      <c r="C222" s="161" t="s">
        <v>176</v>
      </c>
      <c r="D222" s="161" t="s">
        <v>52</v>
      </c>
      <c r="E222" s="161" t="s">
        <v>69</v>
      </c>
      <c r="F222" s="155">
        <v>0</v>
      </c>
      <c r="G222" s="162">
        <f>+VLOOKUP(B222,'5.3 Var OPEX 2023-25'!$B$4:$D$160,3,0)</f>
        <v>4.4009396000000096E-2</v>
      </c>
      <c r="H222" s="163" t="s">
        <v>190</v>
      </c>
      <c r="I222" s="300">
        <f t="shared" si="25"/>
        <v>0</v>
      </c>
      <c r="J222" s="159">
        <f t="shared" si="26"/>
        <v>0</v>
      </c>
      <c r="K222" s="159">
        <f t="shared" si="26"/>
        <v>0</v>
      </c>
      <c r="L222" s="159">
        <f t="shared" si="26"/>
        <v>0</v>
      </c>
      <c r="M222" s="159">
        <f t="shared" si="26"/>
        <v>0</v>
      </c>
      <c r="N222" s="159">
        <f t="shared" si="26"/>
        <v>0</v>
      </c>
      <c r="P222" s="2"/>
    </row>
    <row r="223" spans="2:16" x14ac:dyDescent="0.25">
      <c r="B223" s="18">
        <v>6343100005</v>
      </c>
      <c r="C223" s="161" t="s">
        <v>176</v>
      </c>
      <c r="D223" s="161" t="s">
        <v>52</v>
      </c>
      <c r="E223" s="161" t="s">
        <v>70</v>
      </c>
      <c r="F223" s="155">
        <v>25381.8</v>
      </c>
      <c r="G223" s="162">
        <f>+VLOOKUP(B223,'5.3 Var OPEX 2023-25'!$B$4:$D$160,3,0)</f>
        <v>4.4009396000000096E-2</v>
      </c>
      <c r="H223" s="163" t="s">
        <v>190</v>
      </c>
      <c r="I223" s="300">
        <f t="shared" si="25"/>
        <v>26007.426032637955</v>
      </c>
      <c r="J223" s="159">
        <f t="shared" si="26"/>
        <v>26593.940043485247</v>
      </c>
      <c r="K223" s="159">
        <f t="shared" si="26"/>
        <v>27042.445367125831</v>
      </c>
      <c r="L223" s="159">
        <f t="shared" si="26"/>
        <v>27493.905057989101</v>
      </c>
      <c r="M223" s="159">
        <f t="shared" si="26"/>
        <v>27996.0468742312</v>
      </c>
      <c r="N223" s="159">
        <f t="shared" si="26"/>
        <v>28462.177230096648</v>
      </c>
      <c r="P223" s="2"/>
    </row>
    <row r="224" spans="2:16" x14ac:dyDescent="0.25">
      <c r="B224" s="18">
        <v>6343100006</v>
      </c>
      <c r="C224" s="161" t="s">
        <v>176</v>
      </c>
      <c r="D224" s="161" t="s">
        <v>52</v>
      </c>
      <c r="E224" s="161" t="s">
        <v>71</v>
      </c>
      <c r="F224" s="155">
        <v>36675.040000000001</v>
      </c>
      <c r="G224" s="162">
        <f>+VLOOKUP(B224,'5.3 Var OPEX 2023-25'!$B$4:$D$160,3,0)</f>
        <v>4.4009396000000096E-2</v>
      </c>
      <c r="H224" s="163" t="s">
        <v>190</v>
      </c>
      <c r="I224" s="300">
        <f t="shared" si="25"/>
        <v>37579.028675824346</v>
      </c>
      <c r="J224" s="159">
        <f t="shared" si="26"/>
        <v>38426.503039675008</v>
      </c>
      <c r="K224" s="159">
        <f t="shared" si="26"/>
        <v>39074.563881882081</v>
      </c>
      <c r="L224" s="159">
        <f t="shared" si="26"/>
        <v>39726.893591390392</v>
      </c>
      <c r="M224" s="159">
        <f t="shared" si="26"/>
        <v>40452.45565540286</v>
      </c>
      <c r="N224" s="159">
        <f t="shared" si="26"/>
        <v>41125.983515782325</v>
      </c>
      <c r="P224" s="2"/>
    </row>
    <row r="225" spans="2:16" x14ac:dyDescent="0.25">
      <c r="B225" s="18">
        <v>6343100007</v>
      </c>
      <c r="C225" s="161" t="s">
        <v>176</v>
      </c>
      <c r="D225" s="161" t="s">
        <v>52</v>
      </c>
      <c r="E225" s="161" t="s">
        <v>72</v>
      </c>
      <c r="F225" s="155">
        <v>0</v>
      </c>
      <c r="G225" s="162">
        <f>+VLOOKUP(B225,'5.3 Var OPEX 2023-25'!$B$4:$D$160,3,0)</f>
        <v>4.4009396000000096E-2</v>
      </c>
      <c r="H225" s="163" t="s">
        <v>190</v>
      </c>
      <c r="I225" s="300">
        <f t="shared" si="25"/>
        <v>0</v>
      </c>
      <c r="J225" s="159">
        <f t="shared" ref="J225:N234" si="27">+IF(OR($C225="No Imputables",$H225="m2 fijo"),I225,I225*(1+J$6*J$7))</f>
        <v>0</v>
      </c>
      <c r="K225" s="159">
        <f t="shared" si="27"/>
        <v>0</v>
      </c>
      <c r="L225" s="159">
        <f t="shared" si="27"/>
        <v>0</v>
      </c>
      <c r="M225" s="159">
        <f t="shared" si="27"/>
        <v>0</v>
      </c>
      <c r="N225" s="159">
        <f t="shared" si="27"/>
        <v>0</v>
      </c>
      <c r="P225" s="2"/>
    </row>
    <row r="226" spans="2:16" x14ac:dyDescent="0.25">
      <c r="B226" s="18">
        <v>6343100008</v>
      </c>
      <c r="C226" s="161" t="s">
        <v>176</v>
      </c>
      <c r="D226" s="161" t="s">
        <v>52</v>
      </c>
      <c r="E226" s="161" t="s">
        <v>73</v>
      </c>
      <c r="F226" s="155">
        <v>0</v>
      </c>
      <c r="G226" s="162">
        <f>+VLOOKUP(B226,'5.3 Var OPEX 2023-25'!$B$4:$D$160,3,0)</f>
        <v>4.4009396000000096E-2</v>
      </c>
      <c r="H226" s="163" t="s">
        <v>190</v>
      </c>
      <c r="I226" s="300">
        <f t="shared" si="25"/>
        <v>0</v>
      </c>
      <c r="J226" s="159">
        <f t="shared" si="27"/>
        <v>0</v>
      </c>
      <c r="K226" s="159">
        <f t="shared" si="27"/>
        <v>0</v>
      </c>
      <c r="L226" s="159">
        <f t="shared" si="27"/>
        <v>0</v>
      </c>
      <c r="M226" s="159">
        <f t="shared" si="27"/>
        <v>0</v>
      </c>
      <c r="N226" s="159">
        <f t="shared" si="27"/>
        <v>0</v>
      </c>
      <c r="P226" s="2"/>
    </row>
    <row r="227" spans="2:16" x14ac:dyDescent="0.25">
      <c r="B227" s="18">
        <v>6343100009</v>
      </c>
      <c r="C227" s="161" t="s">
        <v>176</v>
      </c>
      <c r="D227" s="161" t="s">
        <v>52</v>
      </c>
      <c r="E227" s="161" t="s">
        <v>74</v>
      </c>
      <c r="F227" s="155">
        <v>0</v>
      </c>
      <c r="G227" s="162">
        <f>+VLOOKUP(B227,'5.3 Var OPEX 2023-25'!$B$4:$D$160,3,0)</f>
        <v>4.4009396000000096E-2</v>
      </c>
      <c r="H227" s="163" t="s">
        <v>190</v>
      </c>
      <c r="I227" s="300">
        <f t="shared" si="25"/>
        <v>0</v>
      </c>
      <c r="J227" s="159">
        <f t="shared" si="27"/>
        <v>0</v>
      </c>
      <c r="K227" s="159">
        <f t="shared" si="27"/>
        <v>0</v>
      </c>
      <c r="L227" s="159">
        <f t="shared" si="27"/>
        <v>0</v>
      </c>
      <c r="M227" s="159">
        <f t="shared" si="27"/>
        <v>0</v>
      </c>
      <c r="N227" s="159">
        <f t="shared" si="27"/>
        <v>0</v>
      </c>
      <c r="P227" s="2"/>
    </row>
    <row r="228" spans="2:16" x14ac:dyDescent="0.25">
      <c r="B228" s="18">
        <v>6343100010</v>
      </c>
      <c r="C228" s="161" t="s">
        <v>176</v>
      </c>
      <c r="D228" s="161" t="s">
        <v>52</v>
      </c>
      <c r="E228" s="161" t="s">
        <v>75</v>
      </c>
      <c r="F228" s="155">
        <v>78492.88</v>
      </c>
      <c r="G228" s="162">
        <f>+VLOOKUP(B228,'5.3 Var OPEX 2023-25'!$B$4:$D$160,3,0)</f>
        <v>4.4009396000000096E-2</v>
      </c>
      <c r="H228" s="163" t="s">
        <v>190</v>
      </c>
      <c r="I228" s="300">
        <f t="shared" si="25"/>
        <v>80427.62021167636</v>
      </c>
      <c r="J228" s="159">
        <f t="shared" si="27"/>
        <v>82241.407014493932</v>
      </c>
      <c r="K228" s="159">
        <f t="shared" si="27"/>
        <v>83628.403781779212</v>
      </c>
      <c r="L228" s="159">
        <f t="shared" si="27"/>
        <v>85024.53689053304</v>
      </c>
      <c r="M228" s="159">
        <f t="shared" si="27"/>
        <v>86577.403800101049</v>
      </c>
      <c r="N228" s="159">
        <f t="shared" si="27"/>
        <v>88018.905745877317</v>
      </c>
      <c r="P228" s="2"/>
    </row>
    <row r="229" spans="2:16" x14ac:dyDescent="0.25">
      <c r="B229" s="18">
        <v>6343100011</v>
      </c>
      <c r="C229" s="161" t="s">
        <v>176</v>
      </c>
      <c r="D229" s="161" t="s">
        <v>52</v>
      </c>
      <c r="E229" s="161" t="s">
        <v>76</v>
      </c>
      <c r="F229" s="155">
        <v>0</v>
      </c>
      <c r="G229" s="162">
        <f>+VLOOKUP(B229,'5.3 Var OPEX 2023-25'!$B$4:$D$160,3,0)</f>
        <v>4.4009396000000096E-2</v>
      </c>
      <c r="H229" s="163" t="s">
        <v>190</v>
      </c>
      <c r="I229" s="300">
        <f t="shared" si="25"/>
        <v>0</v>
      </c>
      <c r="J229" s="159">
        <f t="shared" si="27"/>
        <v>0</v>
      </c>
      <c r="K229" s="159">
        <f t="shared" si="27"/>
        <v>0</v>
      </c>
      <c r="L229" s="159">
        <f t="shared" si="27"/>
        <v>0</v>
      </c>
      <c r="M229" s="159">
        <f t="shared" si="27"/>
        <v>0</v>
      </c>
      <c r="N229" s="159">
        <f t="shared" si="27"/>
        <v>0</v>
      </c>
      <c r="P229" s="2"/>
    </row>
    <row r="230" spans="2:16" x14ac:dyDescent="0.25">
      <c r="B230" s="18">
        <v>6343100012</v>
      </c>
      <c r="C230" s="161" t="s">
        <v>176</v>
      </c>
      <c r="D230" s="161" t="s">
        <v>52</v>
      </c>
      <c r="E230" s="161" t="s">
        <v>77</v>
      </c>
      <c r="F230" s="155">
        <v>47340.560734568695</v>
      </c>
      <c r="G230" s="162">
        <f>+VLOOKUP(B230,'5.3 Var OPEX 2023-25'!$B$4:$D$160,3,0)</f>
        <v>4.4009396000000096E-2</v>
      </c>
      <c r="H230" s="163" t="s">
        <v>190</v>
      </c>
      <c r="I230" s="300">
        <f t="shared" si="25"/>
        <v>48507.43964761759</v>
      </c>
      <c r="J230" s="159">
        <f t="shared" si="27"/>
        <v>49601.369240955799</v>
      </c>
      <c r="K230" s="159">
        <f t="shared" si="27"/>
        <v>50437.893581766322</v>
      </c>
      <c r="L230" s="159">
        <f t="shared" si="27"/>
        <v>51279.9282252716</v>
      </c>
      <c r="M230" s="159">
        <f t="shared" si="27"/>
        <v>52216.492028830675</v>
      </c>
      <c r="N230" s="159">
        <f t="shared" si="27"/>
        <v>53085.88948772147</v>
      </c>
      <c r="P230" s="2"/>
    </row>
    <row r="231" spans="2:16" x14ac:dyDescent="0.25">
      <c r="B231" s="18">
        <v>6343100013</v>
      </c>
      <c r="C231" s="161" t="s">
        <v>176</v>
      </c>
      <c r="D231" s="161" t="s">
        <v>52</v>
      </c>
      <c r="E231" s="161" t="s">
        <v>78</v>
      </c>
      <c r="F231" s="155">
        <v>149477.67805028841</v>
      </c>
      <c r="G231" s="162">
        <f>+VLOOKUP(B231,'5.3 Var OPEX 2023-25'!$B$4:$D$160,3,0)</f>
        <v>4.4009396000000096E-2</v>
      </c>
      <c r="H231" s="163" t="s">
        <v>190</v>
      </c>
      <c r="I231" s="300">
        <f t="shared" si="25"/>
        <v>153162.09470657504</v>
      </c>
      <c r="J231" s="159">
        <f t="shared" si="27"/>
        <v>156616.17410541259</v>
      </c>
      <c r="K231" s="159">
        <f t="shared" si="27"/>
        <v>159257.49719404255</v>
      </c>
      <c r="L231" s="159">
        <f t="shared" si="27"/>
        <v>161916.21904684821</v>
      </c>
      <c r="M231" s="159">
        <f t="shared" si="27"/>
        <v>164873.41643804286</v>
      </c>
      <c r="N231" s="159">
        <f t="shared" si="27"/>
        <v>167618.53629808122</v>
      </c>
      <c r="P231" s="2"/>
    </row>
    <row r="232" spans="2:16" x14ac:dyDescent="0.25">
      <c r="B232" s="18">
        <v>6343100014</v>
      </c>
      <c r="C232" s="161" t="s">
        <v>176</v>
      </c>
      <c r="D232" s="161" t="s">
        <v>52</v>
      </c>
      <c r="E232" s="161" t="s">
        <v>79</v>
      </c>
      <c r="F232" s="155">
        <v>50814.937967986516</v>
      </c>
      <c r="G232" s="162">
        <f>+VLOOKUP(B232,'5.3 Var OPEX 2023-25'!$B$4:$D$160,3,0)</f>
        <v>4.4009396000000096E-2</v>
      </c>
      <c r="H232" s="163" t="s">
        <v>190</v>
      </c>
      <c r="I232" s="300">
        <f t="shared" si="25"/>
        <v>52067.45544269892</v>
      </c>
      <c r="J232" s="159">
        <f t="shared" si="27"/>
        <v>53241.669764715487</v>
      </c>
      <c r="K232" s="159">
        <f t="shared" si="27"/>
        <v>54139.587571928059</v>
      </c>
      <c r="L232" s="159">
        <f t="shared" si="27"/>
        <v>55043.420089175197</v>
      </c>
      <c r="M232" s="159">
        <f t="shared" si="27"/>
        <v>56048.719368323029</v>
      </c>
      <c r="N232" s="159">
        <f t="shared" si="27"/>
        <v>56981.922888888876</v>
      </c>
      <c r="P232" s="2"/>
    </row>
    <row r="233" spans="2:16" x14ac:dyDescent="0.25">
      <c r="B233" s="18">
        <v>6343100015</v>
      </c>
      <c r="C233" s="161" t="s">
        <v>176</v>
      </c>
      <c r="D233" s="161" t="s">
        <v>52</v>
      </c>
      <c r="E233" s="161" t="s">
        <v>80</v>
      </c>
      <c r="F233" s="155">
        <v>3626.0236482894215</v>
      </c>
      <c r="G233" s="162">
        <f>+VLOOKUP(B233,'5.3 Var OPEX 2023-25'!$B$4:$D$160,3,0)</f>
        <v>4.4009396000000096E-2</v>
      </c>
      <c r="H233" s="163" t="s">
        <v>190</v>
      </c>
      <c r="I233" s="300">
        <f t="shared" si="25"/>
        <v>3715.4000829524762</v>
      </c>
      <c r="J233" s="159">
        <f t="shared" si="27"/>
        <v>3799.189005463305</v>
      </c>
      <c r="K233" s="159">
        <f t="shared" si="27"/>
        <v>3863.262117295581</v>
      </c>
      <c r="L233" s="159">
        <f t="shared" si="27"/>
        <v>3927.7572876664626</v>
      </c>
      <c r="M233" s="159">
        <f t="shared" si="27"/>
        <v>3999.4928659347042</v>
      </c>
      <c r="N233" s="159">
        <f t="shared" si="27"/>
        <v>4066.0838757745769</v>
      </c>
      <c r="P233" s="2"/>
    </row>
    <row r="234" spans="2:16" x14ac:dyDescent="0.25">
      <c r="B234" s="18">
        <v>6343100016</v>
      </c>
      <c r="C234" s="161" t="s">
        <v>176</v>
      </c>
      <c r="D234" s="161" t="s">
        <v>52</v>
      </c>
      <c r="E234" s="161" t="s">
        <v>81</v>
      </c>
      <c r="F234" s="155">
        <v>333440.81492784055</v>
      </c>
      <c r="G234" s="162">
        <f>+VLOOKUP(B234,'5.3 Var OPEX 2023-25'!$B$4:$D$160,3,0)</f>
        <v>4.4009396000000096E-2</v>
      </c>
      <c r="H234" s="163" t="s">
        <v>190</v>
      </c>
      <c r="I234" s="300">
        <f t="shared" si="25"/>
        <v>341659.66678873583</v>
      </c>
      <c r="J234" s="159">
        <f t="shared" si="27"/>
        <v>349364.70385243965</v>
      </c>
      <c r="K234" s="159">
        <f t="shared" si="27"/>
        <v>355256.72020329704</v>
      </c>
      <c r="L234" s="159">
        <f t="shared" si="27"/>
        <v>361187.54808896786</v>
      </c>
      <c r="M234" s="159">
        <f t="shared" si="27"/>
        <v>367784.18727204832</v>
      </c>
      <c r="N234" s="159">
        <f t="shared" si="27"/>
        <v>373907.74374646618</v>
      </c>
      <c r="P234" s="2"/>
    </row>
    <row r="235" spans="2:16" x14ac:dyDescent="0.25">
      <c r="B235" s="18">
        <v>6343100017</v>
      </c>
      <c r="C235" s="161" t="s">
        <v>176</v>
      </c>
      <c r="D235" s="161" t="s">
        <v>52</v>
      </c>
      <c r="E235" s="161" t="s">
        <v>82</v>
      </c>
      <c r="F235" s="155">
        <v>66.33</v>
      </c>
      <c r="G235" s="162">
        <f>+VLOOKUP(B235,'5.3 Var OPEX 2023-25'!$B$4:$D$160,3,0)</f>
        <v>4.4009396000000096E-2</v>
      </c>
      <c r="H235" s="163" t="s">
        <v>190</v>
      </c>
      <c r="I235" s="300">
        <f t="shared" si="25"/>
        <v>67.964942153230879</v>
      </c>
      <c r="J235" s="159">
        <f t="shared" ref="J235:N244" si="28">+IF(OR($C235="No Imputables",$H235="m2 fijo"),I235,I235*(1+J$6*J$7))</f>
        <v>69.497673257388215</v>
      </c>
      <c r="K235" s="159">
        <f t="shared" si="28"/>
        <v>70.66974766176773</v>
      </c>
      <c r="L235" s="159">
        <f t="shared" si="28"/>
        <v>71.849542683986826</v>
      </c>
      <c r="M235" s="159">
        <f t="shared" si="28"/>
        <v>73.161784789406397</v>
      </c>
      <c r="N235" s="159">
        <f t="shared" si="28"/>
        <v>74.379918511386521</v>
      </c>
      <c r="P235" s="2"/>
    </row>
    <row r="236" spans="2:16" x14ac:dyDescent="0.25">
      <c r="B236" s="18">
        <v>6344000001</v>
      </c>
      <c r="C236" s="161" t="s">
        <v>176</v>
      </c>
      <c r="D236" s="161" t="s">
        <v>52</v>
      </c>
      <c r="E236" s="161" t="s">
        <v>83</v>
      </c>
      <c r="F236" s="155">
        <v>0</v>
      </c>
      <c r="G236" s="162">
        <f>+VLOOKUP(B236,'5.3 Var OPEX 2023-25'!$B$4:$D$160,3,0)</f>
        <v>4.4009396000000096E-2</v>
      </c>
      <c r="H236" s="163" t="s">
        <v>190</v>
      </c>
      <c r="I236" s="300">
        <f t="shared" si="25"/>
        <v>0</v>
      </c>
      <c r="J236" s="159">
        <f t="shared" si="28"/>
        <v>0</v>
      </c>
      <c r="K236" s="159">
        <f t="shared" si="28"/>
        <v>0</v>
      </c>
      <c r="L236" s="159">
        <f t="shared" si="28"/>
        <v>0</v>
      </c>
      <c r="M236" s="159">
        <f t="shared" si="28"/>
        <v>0</v>
      </c>
      <c r="N236" s="159">
        <f t="shared" si="28"/>
        <v>0</v>
      </c>
      <c r="P236" s="2"/>
    </row>
    <row r="237" spans="2:16" x14ac:dyDescent="0.25">
      <c r="B237" s="18">
        <v>6344000002</v>
      </c>
      <c r="C237" s="161" t="s">
        <v>176</v>
      </c>
      <c r="D237" s="161" t="s">
        <v>52</v>
      </c>
      <c r="E237" s="161" t="s">
        <v>84</v>
      </c>
      <c r="F237" s="155">
        <v>4744.18</v>
      </c>
      <c r="G237" s="162">
        <f>+VLOOKUP(B237,'5.3 Var OPEX 2023-25'!$B$4:$D$160,3,0)</f>
        <v>4.4009396000000096E-2</v>
      </c>
      <c r="H237" s="163" t="s">
        <v>190</v>
      </c>
      <c r="I237" s="300">
        <f t="shared" si="25"/>
        <v>4861.1174319993197</v>
      </c>
      <c r="J237" s="159">
        <f t="shared" si="28"/>
        <v>4970.74433158806</v>
      </c>
      <c r="K237" s="159">
        <f t="shared" si="28"/>
        <v>5054.5756590080691</v>
      </c>
      <c r="L237" s="159">
        <f t="shared" si="28"/>
        <v>5138.9591950929689</v>
      </c>
      <c r="M237" s="159">
        <f t="shared" si="28"/>
        <v>5232.8158625389124</v>
      </c>
      <c r="N237" s="159">
        <f t="shared" si="28"/>
        <v>5319.9415317857647</v>
      </c>
      <c r="P237" s="2"/>
    </row>
    <row r="238" spans="2:16" x14ac:dyDescent="0.25">
      <c r="B238" s="18">
        <v>6344000003</v>
      </c>
      <c r="C238" s="161" t="s">
        <v>176</v>
      </c>
      <c r="D238" s="161" t="s">
        <v>52</v>
      </c>
      <c r="E238" s="161" t="s">
        <v>85</v>
      </c>
      <c r="F238" s="155">
        <v>12706.69</v>
      </c>
      <c r="G238" s="162">
        <f>+VLOOKUP(B238,'5.3 Var OPEX 2023-25'!$B$4:$D$160,3,0)</f>
        <v>4.4009396000000096E-2</v>
      </c>
      <c r="H238" s="163" t="s">
        <v>190</v>
      </c>
      <c r="I238" s="300">
        <f t="shared" si="25"/>
        <v>13019.89221783563</v>
      </c>
      <c r="J238" s="159">
        <f t="shared" si="28"/>
        <v>13313.51409321457</v>
      </c>
      <c r="K238" s="159">
        <f t="shared" si="28"/>
        <v>13538.045769882519</v>
      </c>
      <c r="L238" s="159">
        <f t="shared" si="28"/>
        <v>13764.056468071592</v>
      </c>
      <c r="M238" s="159">
        <f t="shared" si="28"/>
        <v>14015.439758264776</v>
      </c>
      <c r="N238" s="159">
        <f t="shared" si="28"/>
        <v>14248.794915565359</v>
      </c>
      <c r="P238" s="2"/>
    </row>
    <row r="239" spans="2:16" x14ac:dyDescent="0.25">
      <c r="B239" s="18">
        <v>6345000001</v>
      </c>
      <c r="C239" s="161" t="s">
        <v>176</v>
      </c>
      <c r="D239" s="161" t="s">
        <v>52</v>
      </c>
      <c r="E239" s="161" t="s">
        <v>86</v>
      </c>
      <c r="F239" s="155">
        <v>2909.32484012126</v>
      </c>
      <c r="G239" s="162">
        <f>+VLOOKUP(B239,'5.3 Var OPEX 2023-25'!$B$4:$D$160,3,0)</f>
        <v>4.4009396000000096E-2</v>
      </c>
      <c r="H239" s="163" t="s">
        <v>190</v>
      </c>
      <c r="I239" s="300">
        <f t="shared" si="25"/>
        <v>2981.0356469742064</v>
      </c>
      <c r="J239" s="159">
        <f t="shared" si="28"/>
        <v>3048.2633369267382</v>
      </c>
      <c r="K239" s="159">
        <f t="shared" si="28"/>
        <v>3099.6721290137525</v>
      </c>
      <c r="L239" s="159">
        <f t="shared" si="28"/>
        <v>3151.4195579960146</v>
      </c>
      <c r="M239" s="159">
        <f t="shared" si="28"/>
        <v>3208.9762978354565</v>
      </c>
      <c r="N239" s="159">
        <f t="shared" si="28"/>
        <v>3262.4053148103721</v>
      </c>
      <c r="P239" s="2"/>
    </row>
    <row r="240" spans="2:16" x14ac:dyDescent="0.25">
      <c r="B240" s="18">
        <v>6346000001</v>
      </c>
      <c r="C240" s="161" t="s">
        <v>176</v>
      </c>
      <c r="D240" s="161" t="s">
        <v>52</v>
      </c>
      <c r="E240" s="161" t="s">
        <v>87</v>
      </c>
      <c r="F240" s="155">
        <v>0</v>
      </c>
      <c r="G240" s="162">
        <f>+VLOOKUP(B240,'5.3 Var OPEX 2023-25'!$B$4:$D$160,3,0)</f>
        <v>4.4009396000000096E-2</v>
      </c>
      <c r="H240" s="163" t="s">
        <v>190</v>
      </c>
      <c r="I240" s="300">
        <f t="shared" si="25"/>
        <v>0</v>
      </c>
      <c r="J240" s="159">
        <f t="shared" si="28"/>
        <v>0</v>
      </c>
      <c r="K240" s="159">
        <f t="shared" si="28"/>
        <v>0</v>
      </c>
      <c r="L240" s="159">
        <f t="shared" si="28"/>
        <v>0</v>
      </c>
      <c r="M240" s="159">
        <f t="shared" si="28"/>
        <v>0</v>
      </c>
      <c r="N240" s="159">
        <f t="shared" si="28"/>
        <v>0</v>
      </c>
      <c r="P240" s="2"/>
    </row>
    <row r="241" spans="2:16" x14ac:dyDescent="0.25">
      <c r="B241" s="18">
        <v>6347000001</v>
      </c>
      <c r="C241" s="161" t="s">
        <v>176</v>
      </c>
      <c r="D241" s="161" t="s">
        <v>52</v>
      </c>
      <c r="E241" s="161" t="s">
        <v>88</v>
      </c>
      <c r="F241" s="155">
        <v>0</v>
      </c>
      <c r="G241" s="162">
        <f>+VLOOKUP(B241,'5.3 Var OPEX 2023-25'!$B$4:$D$160,3,0)</f>
        <v>1.0811688463956868</v>
      </c>
      <c r="H241" s="163" t="s">
        <v>190</v>
      </c>
      <c r="I241" s="300">
        <f t="shared" si="25"/>
        <v>0</v>
      </c>
      <c r="J241" s="159">
        <f t="shared" si="28"/>
        <v>0</v>
      </c>
      <c r="K241" s="159">
        <f t="shared" si="28"/>
        <v>0</v>
      </c>
      <c r="L241" s="159">
        <f t="shared" si="28"/>
        <v>0</v>
      </c>
      <c r="M241" s="159">
        <f t="shared" si="28"/>
        <v>0</v>
      </c>
      <c r="N241" s="159">
        <f t="shared" si="28"/>
        <v>0</v>
      </c>
      <c r="P241" s="2"/>
    </row>
    <row r="242" spans="2:16" x14ac:dyDescent="0.25">
      <c r="B242" s="18">
        <v>6348000001</v>
      </c>
      <c r="C242" s="161" t="s">
        <v>176</v>
      </c>
      <c r="D242" s="161" t="s">
        <v>52</v>
      </c>
      <c r="E242" s="161" t="s">
        <v>89</v>
      </c>
      <c r="F242" s="155">
        <v>2296.3806518356878</v>
      </c>
      <c r="G242" s="162">
        <f>+VLOOKUP(B242,'5.3 Var OPEX 2023-25'!$B$4:$D$160,3,0)</f>
        <v>4.4009396000000096E-2</v>
      </c>
      <c r="H242" s="163" t="s">
        <v>190</v>
      </c>
      <c r="I242" s="300">
        <f t="shared" si="25"/>
        <v>2352.9832378080982</v>
      </c>
      <c r="J242" s="159">
        <f t="shared" si="28"/>
        <v>2406.0472217075958</v>
      </c>
      <c r="K242" s="159">
        <f t="shared" si="28"/>
        <v>2446.6250746358178</v>
      </c>
      <c r="L242" s="159">
        <f t="shared" si="28"/>
        <v>2487.470219549974</v>
      </c>
      <c r="M242" s="159">
        <f t="shared" si="28"/>
        <v>2532.9007544724773</v>
      </c>
      <c r="N242" s="159">
        <f t="shared" si="28"/>
        <v>2575.0732060102996</v>
      </c>
      <c r="P242" s="2"/>
    </row>
    <row r="243" spans="2:16" x14ac:dyDescent="0.25">
      <c r="B243" s="18">
        <v>6354000001</v>
      </c>
      <c r="C243" s="161" t="s">
        <v>176</v>
      </c>
      <c r="D243" s="161" t="s">
        <v>40</v>
      </c>
      <c r="E243" s="161" t="s">
        <v>90</v>
      </c>
      <c r="F243" s="155">
        <v>0</v>
      </c>
      <c r="G243" s="162">
        <f>+VLOOKUP(B243,'5.3 Var OPEX 2023-25'!$B$4:$D$160,3,0)</f>
        <v>1.1277145310168262</v>
      </c>
      <c r="H243" s="163" t="s">
        <v>190</v>
      </c>
      <c r="I243" s="300">
        <f t="shared" si="25"/>
        <v>0</v>
      </c>
      <c r="J243" s="159">
        <f t="shared" si="28"/>
        <v>0</v>
      </c>
      <c r="K243" s="159">
        <f t="shared" si="28"/>
        <v>0</v>
      </c>
      <c r="L243" s="159">
        <f t="shared" si="28"/>
        <v>0</v>
      </c>
      <c r="M243" s="159">
        <f t="shared" si="28"/>
        <v>0</v>
      </c>
      <c r="N243" s="159">
        <f t="shared" si="28"/>
        <v>0</v>
      </c>
      <c r="P243" s="2"/>
    </row>
    <row r="244" spans="2:16" x14ac:dyDescent="0.25">
      <c r="B244" s="18">
        <v>6356000001</v>
      </c>
      <c r="C244" s="161" t="s">
        <v>176</v>
      </c>
      <c r="D244" s="161" t="s">
        <v>40</v>
      </c>
      <c r="E244" s="161" t="s">
        <v>91</v>
      </c>
      <c r="F244" s="155">
        <v>0</v>
      </c>
      <c r="G244" s="162">
        <f>+VLOOKUP(B244,'5.3 Var OPEX 2023-25'!$B$4:$D$160,3,0)</f>
        <v>4.4009396000000096E-2</v>
      </c>
      <c r="H244" s="163" t="s">
        <v>190</v>
      </c>
      <c r="I244" s="300">
        <f t="shared" si="25"/>
        <v>0</v>
      </c>
      <c r="J244" s="159">
        <f t="shared" si="28"/>
        <v>0</v>
      </c>
      <c r="K244" s="159">
        <f t="shared" si="28"/>
        <v>0</v>
      </c>
      <c r="L244" s="159">
        <f t="shared" si="28"/>
        <v>0</v>
      </c>
      <c r="M244" s="159">
        <f t="shared" si="28"/>
        <v>0</v>
      </c>
      <c r="N244" s="159">
        <f t="shared" si="28"/>
        <v>0</v>
      </c>
      <c r="P244" s="2"/>
    </row>
    <row r="245" spans="2:16" x14ac:dyDescent="0.25">
      <c r="B245" s="18">
        <v>6356000002</v>
      </c>
      <c r="C245" s="161" t="s">
        <v>176</v>
      </c>
      <c r="D245" s="161" t="s">
        <v>40</v>
      </c>
      <c r="E245" s="161" t="s">
        <v>92</v>
      </c>
      <c r="F245" s="155">
        <v>39890.86</v>
      </c>
      <c r="G245" s="162">
        <f>+VLOOKUP(B245,'5.3 Var OPEX 2023-25'!$B$4:$D$160,3,0)</f>
        <v>4.4009396000000096E-2</v>
      </c>
      <c r="H245" s="163" t="s">
        <v>190</v>
      </c>
      <c r="I245" s="300">
        <f t="shared" si="25"/>
        <v>40874.114161655838</v>
      </c>
      <c r="J245" s="159">
        <f t="shared" ref="J245:N254" si="29">+IF(OR($C245="No Imputables",$H245="m2 fijo"),I245,I245*(1+J$6*J$7))</f>
        <v>41795.898601480745</v>
      </c>
      <c r="K245" s="159">
        <f t="shared" si="29"/>
        <v>42500.784112933885</v>
      </c>
      <c r="L245" s="159">
        <f t="shared" si="29"/>
        <v>43210.312803722954</v>
      </c>
      <c r="M245" s="159">
        <f t="shared" si="29"/>
        <v>43999.495166355213</v>
      </c>
      <c r="N245" s="159">
        <f t="shared" si="29"/>
        <v>44732.080750024565</v>
      </c>
      <c r="P245" s="2"/>
    </row>
    <row r="246" spans="2:16" x14ac:dyDescent="0.25">
      <c r="B246" s="18">
        <v>6357000001</v>
      </c>
      <c r="C246" s="161" t="s">
        <v>176</v>
      </c>
      <c r="D246" s="161" t="s">
        <v>40</v>
      </c>
      <c r="E246" s="161" t="s">
        <v>93</v>
      </c>
      <c r="F246" s="155">
        <v>0</v>
      </c>
      <c r="G246" s="162">
        <f>+VLOOKUP(B246,'5.3 Var OPEX 2023-25'!$B$4:$D$160,3,0)</f>
        <v>4.4009396000000096E-2</v>
      </c>
      <c r="H246" s="163" t="s">
        <v>190</v>
      </c>
      <c r="I246" s="300">
        <f t="shared" si="25"/>
        <v>0</v>
      </c>
      <c r="J246" s="159">
        <f t="shared" si="29"/>
        <v>0</v>
      </c>
      <c r="K246" s="159">
        <f t="shared" si="29"/>
        <v>0</v>
      </c>
      <c r="L246" s="159">
        <f t="shared" si="29"/>
        <v>0</v>
      </c>
      <c r="M246" s="159">
        <f t="shared" si="29"/>
        <v>0</v>
      </c>
      <c r="N246" s="159">
        <f t="shared" si="29"/>
        <v>0</v>
      </c>
      <c r="P246" s="2"/>
    </row>
    <row r="247" spans="2:16" x14ac:dyDescent="0.25">
      <c r="B247" s="18">
        <v>6358000001</v>
      </c>
      <c r="C247" s="161" t="s">
        <v>176</v>
      </c>
      <c r="D247" s="161" t="s">
        <v>40</v>
      </c>
      <c r="E247" s="161" t="s">
        <v>94</v>
      </c>
      <c r="F247" s="155">
        <v>0</v>
      </c>
      <c r="G247" s="162">
        <f>+VLOOKUP(B247,'5.3 Var OPEX 2023-25'!$B$4:$D$160,3,0)</f>
        <v>4.4009396000000096E-2</v>
      </c>
      <c r="H247" s="163" t="s">
        <v>190</v>
      </c>
      <c r="I247" s="300">
        <f t="shared" si="25"/>
        <v>0</v>
      </c>
      <c r="J247" s="159">
        <f t="shared" si="29"/>
        <v>0</v>
      </c>
      <c r="K247" s="159">
        <f t="shared" si="29"/>
        <v>0</v>
      </c>
      <c r="L247" s="159">
        <f t="shared" si="29"/>
        <v>0</v>
      </c>
      <c r="M247" s="159">
        <f t="shared" si="29"/>
        <v>0</v>
      </c>
      <c r="N247" s="159">
        <f t="shared" si="29"/>
        <v>0</v>
      </c>
      <c r="P247" s="2"/>
    </row>
    <row r="248" spans="2:16" x14ac:dyDescent="0.25">
      <c r="B248" s="18">
        <v>6360000001</v>
      </c>
      <c r="C248" s="161" t="s">
        <v>176</v>
      </c>
      <c r="D248" s="161" t="s">
        <v>40</v>
      </c>
      <c r="E248" s="161" t="s">
        <v>95</v>
      </c>
      <c r="F248" s="155">
        <v>72508.813992069627</v>
      </c>
      <c r="G248" s="162">
        <f>+VLOOKUP(B248,'5.3 Var OPEX 2023-25'!$B$4:$D$160,3,0)</f>
        <v>4.4009396000000096E-2</v>
      </c>
      <c r="H248" s="163" t="s">
        <v>190</v>
      </c>
      <c r="I248" s="300">
        <f t="shared" si="25"/>
        <v>74296.055307860559</v>
      </c>
      <c r="J248" s="159">
        <f t="shared" si="29"/>
        <v>75971.56434647362</v>
      </c>
      <c r="K248" s="159">
        <f t="shared" si="29"/>
        <v>77252.820564957263</v>
      </c>
      <c r="L248" s="159">
        <f t="shared" si="29"/>
        <v>78542.516597142618</v>
      </c>
      <c r="M248" s="159">
        <f t="shared" si="29"/>
        <v>79976.997506752596</v>
      </c>
      <c r="N248" s="159">
        <f t="shared" si="29"/>
        <v>81308.603589438033</v>
      </c>
      <c r="P248" s="2"/>
    </row>
    <row r="249" spans="2:16" x14ac:dyDescent="0.25">
      <c r="B249" s="18">
        <v>6360000002</v>
      </c>
      <c r="C249" s="161" t="s">
        <v>176</v>
      </c>
      <c r="D249" s="161" t="s">
        <v>40</v>
      </c>
      <c r="E249" s="161" t="s">
        <v>96</v>
      </c>
      <c r="F249" s="155">
        <v>28535.382054739715</v>
      </c>
      <c r="G249" s="162">
        <f>+VLOOKUP(B249,'5.3 Var OPEX 2023-25'!$B$4:$D$160,3,0)</f>
        <v>0.77919024215254873</v>
      </c>
      <c r="H249" s="163" t="s">
        <v>191</v>
      </c>
      <c r="I249" s="300">
        <f t="shared" si="25"/>
        <v>49828.363806669506</v>
      </c>
      <c r="J249" s="159">
        <f t="shared" si="29"/>
        <v>50952.082604274925</v>
      </c>
      <c r="K249" s="159">
        <f t="shared" si="29"/>
        <v>51811.386651032386</v>
      </c>
      <c r="L249" s="159">
        <f t="shared" si="29"/>
        <v>52676.351053589984</v>
      </c>
      <c r="M249" s="159">
        <f t="shared" si="29"/>
        <v>53638.418774972837</v>
      </c>
      <c r="N249" s="159">
        <f t="shared" si="29"/>
        <v>54531.491119934923</v>
      </c>
      <c r="P249" s="2"/>
    </row>
    <row r="250" spans="2:16" x14ac:dyDescent="0.25">
      <c r="B250" s="18">
        <v>6360000003</v>
      </c>
      <c r="C250" s="161" t="s">
        <v>176</v>
      </c>
      <c r="D250" s="161" t="s">
        <v>40</v>
      </c>
      <c r="E250" s="161" t="s">
        <v>97</v>
      </c>
      <c r="F250" s="155">
        <v>6230.3009380050153</v>
      </c>
      <c r="G250" s="162">
        <f>+VLOOKUP(B250,'5.3 Var OPEX 2023-25'!$B$4:$D$160,3,0)</f>
        <v>0.33589966958431128</v>
      </c>
      <c r="H250" s="163" t="s">
        <v>191</v>
      </c>
      <c r="I250" s="300">
        <f t="shared" si="25"/>
        <v>8168.7087910438904</v>
      </c>
      <c r="J250" s="159">
        <f t="shared" si="29"/>
        <v>8352.927796433587</v>
      </c>
      <c r="K250" s="159">
        <f t="shared" si="29"/>
        <v>8493.799460375074</v>
      </c>
      <c r="L250" s="159">
        <f t="shared" si="29"/>
        <v>8635.5990656466111</v>
      </c>
      <c r="M250" s="159">
        <f t="shared" si="29"/>
        <v>8793.3174905126471</v>
      </c>
      <c r="N250" s="159">
        <f t="shared" si="29"/>
        <v>8939.725025458707</v>
      </c>
      <c r="P250" s="2"/>
    </row>
    <row r="251" spans="2:16" x14ac:dyDescent="0.25">
      <c r="B251" s="18">
        <v>6360000004</v>
      </c>
      <c r="C251" s="161" t="s">
        <v>176</v>
      </c>
      <c r="D251" s="161" t="s">
        <v>40</v>
      </c>
      <c r="E251" s="161" t="s">
        <v>98</v>
      </c>
      <c r="F251" s="155">
        <v>117423.09</v>
      </c>
      <c r="G251" s="162">
        <f>+VLOOKUP(B251,'5.3 Var OPEX 2023-25'!$B$4:$D$160,3,0)</f>
        <v>4.4009396000000096E-2</v>
      </c>
      <c r="H251" s="163" t="s">
        <v>190</v>
      </c>
      <c r="I251" s="300">
        <f t="shared" si="25"/>
        <v>120317.40568828017</v>
      </c>
      <c r="J251" s="159">
        <f t="shared" si="29"/>
        <v>123030.77855710675</v>
      </c>
      <c r="K251" s="159">
        <f t="shared" si="29"/>
        <v>125105.68581283044</v>
      </c>
      <c r="L251" s="159">
        <f t="shared" si="29"/>
        <v>127194.26077251061</v>
      </c>
      <c r="M251" s="159">
        <f t="shared" si="29"/>
        <v>129517.30498849842</v>
      </c>
      <c r="N251" s="159">
        <f t="shared" si="29"/>
        <v>131673.75042296408</v>
      </c>
      <c r="P251" s="2"/>
    </row>
    <row r="252" spans="2:16" x14ac:dyDescent="0.25">
      <c r="B252" s="18">
        <v>6360000005</v>
      </c>
      <c r="C252" s="161" t="s">
        <v>176</v>
      </c>
      <c r="D252" s="161" t="s">
        <v>40</v>
      </c>
      <c r="E252" s="161" t="s">
        <v>99</v>
      </c>
      <c r="F252" s="155">
        <v>7723.44</v>
      </c>
      <c r="G252" s="162">
        <f>+VLOOKUP(B252,'5.3 Var OPEX 2023-25'!$B$4:$D$160,3,0)</f>
        <v>4.4009396000000096E-2</v>
      </c>
      <c r="H252" s="163" t="s">
        <v>190</v>
      </c>
      <c r="I252" s="300">
        <f t="shared" si="25"/>
        <v>7913.8120431772877</v>
      </c>
      <c r="J252" s="159">
        <f t="shared" si="29"/>
        <v>8092.2826706323303</v>
      </c>
      <c r="K252" s="159">
        <f t="shared" si="29"/>
        <v>8228.7585689854277</v>
      </c>
      <c r="L252" s="159">
        <f t="shared" si="29"/>
        <v>8366.13345314656</v>
      </c>
      <c r="M252" s="159">
        <f t="shared" si="29"/>
        <v>8518.930425356446</v>
      </c>
      <c r="N252" s="159">
        <f t="shared" si="29"/>
        <v>8660.7694531521684</v>
      </c>
      <c r="P252" s="2"/>
    </row>
    <row r="253" spans="2:16" x14ac:dyDescent="0.25">
      <c r="B253" s="18">
        <v>6370000001</v>
      </c>
      <c r="C253" s="161" t="s">
        <v>176</v>
      </c>
      <c r="D253" s="161" t="s">
        <v>40</v>
      </c>
      <c r="E253" s="161" t="s">
        <v>100</v>
      </c>
      <c r="F253" s="155">
        <v>0</v>
      </c>
      <c r="G253" s="162">
        <f>+VLOOKUP(B253,'5.3 Var OPEX 2023-25'!$B$4:$D$160,3,0)</f>
        <v>0.48851763260317993</v>
      </c>
      <c r="H253" s="163" t="s">
        <v>190</v>
      </c>
      <c r="I253" s="300">
        <f t="shared" si="25"/>
        <v>0</v>
      </c>
      <c r="J253" s="159">
        <f t="shared" si="29"/>
        <v>0</v>
      </c>
      <c r="K253" s="159">
        <f t="shared" si="29"/>
        <v>0</v>
      </c>
      <c r="L253" s="159">
        <f t="shared" si="29"/>
        <v>0</v>
      </c>
      <c r="M253" s="159">
        <f t="shared" si="29"/>
        <v>0</v>
      </c>
      <c r="N253" s="159">
        <f t="shared" si="29"/>
        <v>0</v>
      </c>
      <c r="P253" s="2"/>
    </row>
    <row r="254" spans="2:16" x14ac:dyDescent="0.25">
      <c r="B254" s="18">
        <v>6370000002</v>
      </c>
      <c r="C254" s="161" t="s">
        <v>176</v>
      </c>
      <c r="D254" s="161" t="s">
        <v>40</v>
      </c>
      <c r="E254" s="161" t="s">
        <v>101</v>
      </c>
      <c r="F254" s="155">
        <v>0</v>
      </c>
      <c r="G254" s="162">
        <f>+VLOOKUP(B254,'5.3 Var OPEX 2023-25'!$B$4:$D$160,3,0)</f>
        <v>4.4009396000000096E-2</v>
      </c>
      <c r="H254" s="163" t="s">
        <v>190</v>
      </c>
      <c r="I254" s="300">
        <f t="shared" si="25"/>
        <v>0</v>
      </c>
      <c r="J254" s="159">
        <f t="shared" si="29"/>
        <v>0</v>
      </c>
      <c r="K254" s="159">
        <f t="shared" si="29"/>
        <v>0</v>
      </c>
      <c r="L254" s="159">
        <f t="shared" si="29"/>
        <v>0</v>
      </c>
      <c r="M254" s="159">
        <f t="shared" si="29"/>
        <v>0</v>
      </c>
      <c r="N254" s="159">
        <f t="shared" si="29"/>
        <v>0</v>
      </c>
      <c r="P254" s="2"/>
    </row>
    <row r="255" spans="2:16" x14ac:dyDescent="0.25">
      <c r="B255" s="18">
        <v>6370000003</v>
      </c>
      <c r="C255" s="161" t="s">
        <v>176</v>
      </c>
      <c r="D255" s="161" t="s">
        <v>40</v>
      </c>
      <c r="E255" s="161" t="s">
        <v>102</v>
      </c>
      <c r="F255" s="155">
        <v>536.29</v>
      </c>
      <c r="G255" s="162">
        <f>+VLOOKUP(B255,'5.3 Var OPEX 2023-25'!$B$4:$D$160,3,0)</f>
        <v>4.4009396000000096E-2</v>
      </c>
      <c r="H255" s="163" t="s">
        <v>190</v>
      </c>
      <c r="I255" s="300">
        <f t="shared" si="25"/>
        <v>549.50880185973449</v>
      </c>
      <c r="J255" s="159">
        <f t="shared" ref="J255:N264" si="30">+IF(OR($C255="No Imputables",$H255="m2 fijo"),I255,I255*(1+J$6*J$7))</f>
        <v>561.90120897338659</v>
      </c>
      <c r="K255" s="159">
        <f t="shared" si="30"/>
        <v>571.3776416934935</v>
      </c>
      <c r="L255" s="159">
        <f t="shared" si="30"/>
        <v>580.91649699977847</v>
      </c>
      <c r="M255" s="159">
        <f t="shared" si="30"/>
        <v>591.5262108353802</v>
      </c>
      <c r="N255" s="159">
        <f t="shared" si="30"/>
        <v>601.37504143632577</v>
      </c>
      <c r="P255" s="2"/>
    </row>
    <row r="256" spans="2:16" x14ac:dyDescent="0.25">
      <c r="B256" s="18">
        <v>6380000002</v>
      </c>
      <c r="C256" s="161" t="s">
        <v>176</v>
      </c>
      <c r="D256" s="161" t="s">
        <v>40</v>
      </c>
      <c r="E256" s="161" t="s">
        <v>103</v>
      </c>
      <c r="F256" s="155">
        <v>0</v>
      </c>
      <c r="G256" s="162">
        <f>+VLOOKUP(B256,'5.3 Var OPEX 2023-25'!$B$4:$D$160,3,0)</f>
        <v>4.4009396000000096E-2</v>
      </c>
      <c r="H256" s="163" t="s">
        <v>190</v>
      </c>
      <c r="I256" s="300">
        <f t="shared" si="25"/>
        <v>0</v>
      </c>
      <c r="J256" s="159">
        <f t="shared" si="30"/>
        <v>0</v>
      </c>
      <c r="K256" s="159">
        <f t="shared" si="30"/>
        <v>0</v>
      </c>
      <c r="L256" s="159">
        <f t="shared" si="30"/>
        <v>0</v>
      </c>
      <c r="M256" s="159">
        <f t="shared" si="30"/>
        <v>0</v>
      </c>
      <c r="N256" s="159">
        <f t="shared" si="30"/>
        <v>0</v>
      </c>
      <c r="P256" s="2"/>
    </row>
    <row r="257" spans="2:16" x14ac:dyDescent="0.25">
      <c r="B257" s="18">
        <v>6380000003</v>
      </c>
      <c r="C257" s="161" t="s">
        <v>176</v>
      </c>
      <c r="D257" s="161" t="s">
        <v>38</v>
      </c>
      <c r="E257" s="161" t="s">
        <v>104</v>
      </c>
      <c r="F257" s="155">
        <v>0</v>
      </c>
      <c r="G257" s="162">
        <f>+VLOOKUP(B257,'5.3 Var OPEX 2023-25'!$B$4:$D$160,3,0)</f>
        <v>4.4009396000000096E-2</v>
      </c>
      <c r="H257" s="163" t="s">
        <v>190</v>
      </c>
      <c r="I257" s="300">
        <f t="shared" si="25"/>
        <v>0</v>
      </c>
      <c r="J257" s="159">
        <f t="shared" si="30"/>
        <v>0</v>
      </c>
      <c r="K257" s="159">
        <f t="shared" si="30"/>
        <v>0</v>
      </c>
      <c r="L257" s="159">
        <f t="shared" si="30"/>
        <v>0</v>
      </c>
      <c r="M257" s="159">
        <f t="shared" si="30"/>
        <v>0</v>
      </c>
      <c r="N257" s="159">
        <f t="shared" si="30"/>
        <v>0</v>
      </c>
      <c r="P257" s="2"/>
    </row>
    <row r="258" spans="2:16" x14ac:dyDescent="0.25">
      <c r="B258" s="18">
        <v>6380000004</v>
      </c>
      <c r="C258" s="161" t="s">
        <v>176</v>
      </c>
      <c r="D258" s="161" t="s">
        <v>49</v>
      </c>
      <c r="E258" s="161" t="s">
        <v>105</v>
      </c>
      <c r="F258" s="155">
        <v>38070.017237622349</v>
      </c>
      <c r="G258" s="162">
        <f>+VLOOKUP(B258,'5.3 Var OPEX 2023-25'!$B$4:$D$160,3,0)</f>
        <v>1.1454126819228176</v>
      </c>
      <c r="H258" s="163" t="s">
        <v>191</v>
      </c>
      <c r="I258" s="300">
        <f t="shared" si="25"/>
        <v>80161.246892774972</v>
      </c>
      <c r="J258" s="159">
        <f t="shared" si="30"/>
        <v>81969.026500437772</v>
      </c>
      <c r="K258" s="159">
        <f t="shared" si="30"/>
        <v>83351.429585462727</v>
      </c>
      <c r="L258" s="159">
        <f t="shared" si="30"/>
        <v>84742.938752729431</v>
      </c>
      <c r="M258" s="159">
        <f t="shared" si="30"/>
        <v>86290.662624228862</v>
      </c>
      <c r="N258" s="159">
        <f t="shared" si="30"/>
        <v>87727.390368599081</v>
      </c>
      <c r="P258" s="2"/>
    </row>
    <row r="259" spans="2:16" x14ac:dyDescent="0.25">
      <c r="B259" s="18">
        <v>6380000005</v>
      </c>
      <c r="C259" s="161" t="s">
        <v>176</v>
      </c>
      <c r="D259" s="161" t="s">
        <v>38</v>
      </c>
      <c r="E259" s="161" t="s">
        <v>106</v>
      </c>
      <c r="F259" s="155">
        <v>0</v>
      </c>
      <c r="G259" s="162">
        <f>+VLOOKUP(B259,'5.3 Var OPEX 2023-25'!$B$4:$D$160,3,0)</f>
        <v>4.4009396000000096E-2</v>
      </c>
      <c r="H259" s="163" t="s">
        <v>190</v>
      </c>
      <c r="I259" s="300">
        <f t="shared" si="25"/>
        <v>0</v>
      </c>
      <c r="J259" s="159">
        <f t="shared" si="30"/>
        <v>0</v>
      </c>
      <c r="K259" s="159">
        <f t="shared" si="30"/>
        <v>0</v>
      </c>
      <c r="L259" s="159">
        <f t="shared" si="30"/>
        <v>0</v>
      </c>
      <c r="M259" s="159">
        <f t="shared" si="30"/>
        <v>0</v>
      </c>
      <c r="N259" s="159">
        <f t="shared" si="30"/>
        <v>0</v>
      </c>
      <c r="P259" s="2"/>
    </row>
    <row r="260" spans="2:16" x14ac:dyDescent="0.25">
      <c r="B260" s="18">
        <v>6380000007</v>
      </c>
      <c r="C260" s="161" t="s">
        <v>176</v>
      </c>
      <c r="D260" s="161" t="s">
        <v>40</v>
      </c>
      <c r="E260" s="161" t="s">
        <v>107</v>
      </c>
      <c r="F260" s="155">
        <v>442816.80247732491</v>
      </c>
      <c r="G260" s="162">
        <f>+VLOOKUP(B260,'5.3 Var OPEX 2023-25'!$B$4:$D$160,3,0)</f>
        <v>4.4009396000000096E-2</v>
      </c>
      <c r="H260" s="163" t="s">
        <v>191</v>
      </c>
      <c r="I260" s="300">
        <f t="shared" si="25"/>
        <v>453731.62015453115</v>
      </c>
      <c r="J260" s="159">
        <f t="shared" si="30"/>
        <v>463964.08037766541</v>
      </c>
      <c r="K260" s="159">
        <f t="shared" si="30"/>
        <v>471788.80885667721</v>
      </c>
      <c r="L260" s="159">
        <f t="shared" si="30"/>
        <v>479665.07991528907</v>
      </c>
      <c r="M260" s="159">
        <f t="shared" si="30"/>
        <v>488425.56315361272</v>
      </c>
      <c r="N260" s="159">
        <f t="shared" si="30"/>
        <v>496557.78205542249</v>
      </c>
      <c r="P260" s="2"/>
    </row>
    <row r="261" spans="2:16" x14ac:dyDescent="0.25">
      <c r="B261" s="18">
        <v>6380000008</v>
      </c>
      <c r="C261" s="161" t="s">
        <v>176</v>
      </c>
      <c r="D261" s="161" t="s">
        <v>40</v>
      </c>
      <c r="E261" s="161" t="s">
        <v>108</v>
      </c>
      <c r="F261" s="155">
        <v>0</v>
      </c>
      <c r="G261" s="162">
        <f>+VLOOKUP(B261,'5.3 Var OPEX 2023-25'!$B$4:$D$160,3,0)</f>
        <v>1.7577982488676596</v>
      </c>
      <c r="H261" s="163" t="s">
        <v>190</v>
      </c>
      <c r="I261" s="300">
        <f t="shared" si="25"/>
        <v>0</v>
      </c>
      <c r="J261" s="159">
        <f t="shared" si="30"/>
        <v>0</v>
      </c>
      <c r="K261" s="159">
        <f t="shared" si="30"/>
        <v>0</v>
      </c>
      <c r="L261" s="159">
        <f t="shared" si="30"/>
        <v>0</v>
      </c>
      <c r="M261" s="159">
        <f t="shared" si="30"/>
        <v>0</v>
      </c>
      <c r="N261" s="159">
        <f t="shared" si="30"/>
        <v>0</v>
      </c>
      <c r="P261" s="2"/>
    </row>
    <row r="262" spans="2:16" x14ac:dyDescent="0.25">
      <c r="B262" s="18">
        <v>6380000009</v>
      </c>
      <c r="C262" s="161" t="s">
        <v>176</v>
      </c>
      <c r="D262" s="161" t="s">
        <v>40</v>
      </c>
      <c r="E262" s="161" t="s">
        <v>109</v>
      </c>
      <c r="F262" s="155">
        <v>0</v>
      </c>
      <c r="G262" s="162">
        <f>+VLOOKUP(B262,'5.3 Var OPEX 2023-25'!$B$4:$D$160,3,0)</f>
        <v>9.5138088966381096E-2</v>
      </c>
      <c r="H262" s="163" t="s">
        <v>190</v>
      </c>
      <c r="I262" s="300">
        <f t="shared" si="25"/>
        <v>0</v>
      </c>
      <c r="J262" s="159">
        <f t="shared" si="30"/>
        <v>0</v>
      </c>
      <c r="K262" s="159">
        <f t="shared" si="30"/>
        <v>0</v>
      </c>
      <c r="L262" s="159">
        <f t="shared" si="30"/>
        <v>0</v>
      </c>
      <c r="M262" s="159">
        <f t="shared" si="30"/>
        <v>0</v>
      </c>
      <c r="N262" s="159">
        <f t="shared" si="30"/>
        <v>0</v>
      </c>
      <c r="P262" s="2"/>
    </row>
    <row r="263" spans="2:16" x14ac:dyDescent="0.25">
      <c r="B263" s="18">
        <v>6380000010</v>
      </c>
      <c r="C263" s="161" t="s">
        <v>176</v>
      </c>
      <c r="D263" s="161" t="s">
        <v>40</v>
      </c>
      <c r="E263" s="161" t="s">
        <v>110</v>
      </c>
      <c r="F263" s="155">
        <v>391.32961514590539</v>
      </c>
      <c r="G263" s="162">
        <f>+VLOOKUP(B263,'5.3 Var OPEX 2023-25'!$B$4:$D$160,3,0)</f>
        <v>4.4009396000000096E-2</v>
      </c>
      <c r="H263" s="163" t="s">
        <v>190</v>
      </c>
      <c r="I263" s="300">
        <f t="shared" si="25"/>
        <v>400.97534533751792</v>
      </c>
      <c r="J263" s="159">
        <f t="shared" si="30"/>
        <v>410.01805712874437</v>
      </c>
      <c r="K263" s="159">
        <f t="shared" si="30"/>
        <v>416.93298891810366</v>
      </c>
      <c r="L263" s="159">
        <f t="shared" si="30"/>
        <v>423.89347032917038</v>
      </c>
      <c r="M263" s="159">
        <f t="shared" si="30"/>
        <v>431.63535481721641</v>
      </c>
      <c r="N263" s="159">
        <f t="shared" si="30"/>
        <v>438.82202450843806</v>
      </c>
      <c r="P263" s="2"/>
    </row>
    <row r="264" spans="2:16" x14ac:dyDescent="0.25">
      <c r="B264" s="18">
        <v>6380000012</v>
      </c>
      <c r="C264" s="161" t="s">
        <v>176</v>
      </c>
      <c r="D264" s="161" t="s">
        <v>40</v>
      </c>
      <c r="E264" s="161" t="s">
        <v>111</v>
      </c>
      <c r="F264" s="155">
        <v>347.49</v>
      </c>
      <c r="G264" s="162">
        <f>+VLOOKUP(B264,'5.3 Var OPEX 2023-25'!$B$4:$D$160,3,0)</f>
        <v>4.4009396000000096E-2</v>
      </c>
      <c r="H264" s="163" t="s">
        <v>190</v>
      </c>
      <c r="I264" s="300">
        <f t="shared" si="25"/>
        <v>356.05514471319464</v>
      </c>
      <c r="J264" s="159">
        <f t="shared" si="30"/>
        <v>364.08482557228757</v>
      </c>
      <c r="K264" s="159">
        <f t="shared" si="30"/>
        <v>370.22509595941011</v>
      </c>
      <c r="L264" s="159">
        <f t="shared" si="30"/>
        <v>376.4058131653639</v>
      </c>
      <c r="M264" s="159">
        <f t="shared" si="30"/>
        <v>383.28039494151716</v>
      </c>
      <c r="N264" s="159">
        <f t="shared" si="30"/>
        <v>389.66196115666679</v>
      </c>
      <c r="P264" s="2"/>
    </row>
    <row r="265" spans="2:16" x14ac:dyDescent="0.25">
      <c r="B265" s="18">
        <v>6380000014</v>
      </c>
      <c r="C265" s="161" t="s">
        <v>176</v>
      </c>
      <c r="D265" s="161" t="s">
        <v>49</v>
      </c>
      <c r="E265" s="161" t="s">
        <v>112</v>
      </c>
      <c r="F265" s="155">
        <v>0</v>
      </c>
      <c r="G265" s="162">
        <f>+VLOOKUP(B265,'5.3 Var OPEX 2023-25'!$B$4:$D$160,3,0)</f>
        <v>4.4009396000000096E-2</v>
      </c>
      <c r="H265" s="163" t="s">
        <v>190</v>
      </c>
      <c r="I265" s="300">
        <f t="shared" si="25"/>
        <v>0</v>
      </c>
      <c r="J265" s="159">
        <f t="shared" ref="J265:N274" si="31">+IF(OR($C265="No Imputables",$H265="m2 fijo"),I265,I265*(1+J$6*J$7))</f>
        <v>0</v>
      </c>
      <c r="K265" s="159">
        <f t="shared" si="31"/>
        <v>0</v>
      </c>
      <c r="L265" s="159">
        <f t="shared" si="31"/>
        <v>0</v>
      </c>
      <c r="M265" s="159">
        <f t="shared" si="31"/>
        <v>0</v>
      </c>
      <c r="N265" s="159">
        <f t="shared" si="31"/>
        <v>0</v>
      </c>
      <c r="P265" s="2"/>
    </row>
    <row r="266" spans="2:16" x14ac:dyDescent="0.25">
      <c r="B266" s="18">
        <v>6380000015</v>
      </c>
      <c r="C266" s="161" t="s">
        <v>176</v>
      </c>
      <c r="D266" s="161" t="s">
        <v>40</v>
      </c>
      <c r="E266" s="161" t="s">
        <v>113</v>
      </c>
      <c r="F266" s="155">
        <v>0</v>
      </c>
      <c r="G266" s="162">
        <f>+VLOOKUP(B266,'5.3 Var OPEX 2023-25'!$B$4:$D$160,3,0)</f>
        <v>4.4009396000000096E-2</v>
      </c>
      <c r="H266" s="163" t="s">
        <v>190</v>
      </c>
      <c r="I266" s="300">
        <f t="shared" si="25"/>
        <v>0</v>
      </c>
      <c r="J266" s="159">
        <f t="shared" si="31"/>
        <v>0</v>
      </c>
      <c r="K266" s="159">
        <f t="shared" si="31"/>
        <v>0</v>
      </c>
      <c r="L266" s="159">
        <f t="shared" si="31"/>
        <v>0</v>
      </c>
      <c r="M266" s="159">
        <f t="shared" si="31"/>
        <v>0</v>
      </c>
      <c r="N266" s="159">
        <f t="shared" si="31"/>
        <v>0</v>
      </c>
      <c r="P266" s="2"/>
    </row>
    <row r="267" spans="2:16" x14ac:dyDescent="0.25">
      <c r="B267" s="18">
        <v>6380000016</v>
      </c>
      <c r="C267" s="161" t="s">
        <v>176</v>
      </c>
      <c r="D267" s="161" t="s">
        <v>49</v>
      </c>
      <c r="E267" s="161" t="s">
        <v>114</v>
      </c>
      <c r="F267" s="155">
        <v>0</v>
      </c>
      <c r="G267" s="162">
        <f>+VLOOKUP(B267,'5.3 Var OPEX 2023-25'!$B$4:$D$160,3,0)</f>
        <v>0</v>
      </c>
      <c r="H267" s="163" t="s">
        <v>190</v>
      </c>
      <c r="I267" s="300">
        <f t="shared" si="25"/>
        <v>0</v>
      </c>
      <c r="J267" s="159">
        <f t="shared" si="31"/>
        <v>0</v>
      </c>
      <c r="K267" s="159">
        <f t="shared" si="31"/>
        <v>0</v>
      </c>
      <c r="L267" s="159">
        <f t="shared" si="31"/>
        <v>0</v>
      </c>
      <c r="M267" s="159">
        <f t="shared" si="31"/>
        <v>0</v>
      </c>
      <c r="N267" s="159">
        <f t="shared" si="31"/>
        <v>0</v>
      </c>
      <c r="P267" s="2"/>
    </row>
    <row r="268" spans="2:16" x14ac:dyDescent="0.25">
      <c r="B268" s="18">
        <v>6380000017</v>
      </c>
      <c r="C268" s="161" t="s">
        <v>176</v>
      </c>
      <c r="D268" s="161" t="s">
        <v>49</v>
      </c>
      <c r="E268" s="161" t="s">
        <v>115</v>
      </c>
      <c r="F268" s="155">
        <v>0</v>
      </c>
      <c r="G268" s="162">
        <f>+VLOOKUP(B268,'5.3 Var OPEX 2023-25'!$B$4:$D$160,3,0)</f>
        <v>4.4009396000000096E-2</v>
      </c>
      <c r="H268" s="163" t="s">
        <v>190</v>
      </c>
      <c r="I268" s="300">
        <f t="shared" si="25"/>
        <v>0</v>
      </c>
      <c r="J268" s="159">
        <f t="shared" si="31"/>
        <v>0</v>
      </c>
      <c r="K268" s="159">
        <f t="shared" si="31"/>
        <v>0</v>
      </c>
      <c r="L268" s="159">
        <f t="shared" si="31"/>
        <v>0</v>
      </c>
      <c r="M268" s="159">
        <f t="shared" si="31"/>
        <v>0</v>
      </c>
      <c r="N268" s="159">
        <f t="shared" si="31"/>
        <v>0</v>
      </c>
      <c r="P268" s="2"/>
    </row>
    <row r="269" spans="2:16" x14ac:dyDescent="0.25">
      <c r="B269" s="18">
        <v>6380000018</v>
      </c>
      <c r="C269" s="161" t="s">
        <v>176</v>
      </c>
      <c r="D269" s="161" t="s">
        <v>49</v>
      </c>
      <c r="E269" s="161" t="s">
        <v>116</v>
      </c>
      <c r="F269" s="155">
        <v>0</v>
      </c>
      <c r="G269" s="162">
        <f>+VLOOKUP(B269,'5.3 Var OPEX 2023-25'!$B$4:$D$160,3,0)</f>
        <v>4.4009396000000096E-2</v>
      </c>
      <c r="H269" s="163" t="s">
        <v>190</v>
      </c>
      <c r="I269" s="300">
        <f t="shared" si="25"/>
        <v>0</v>
      </c>
      <c r="J269" s="159">
        <f t="shared" si="31"/>
        <v>0</v>
      </c>
      <c r="K269" s="159">
        <f t="shared" si="31"/>
        <v>0</v>
      </c>
      <c r="L269" s="159">
        <f t="shared" si="31"/>
        <v>0</v>
      </c>
      <c r="M269" s="159">
        <f t="shared" si="31"/>
        <v>0</v>
      </c>
      <c r="N269" s="159">
        <f t="shared" si="31"/>
        <v>0</v>
      </c>
      <c r="P269" s="2"/>
    </row>
    <row r="270" spans="2:16" x14ac:dyDescent="0.25">
      <c r="B270" s="18">
        <v>6380000019</v>
      </c>
      <c r="C270" s="161" t="s">
        <v>176</v>
      </c>
      <c r="D270" s="161" t="s">
        <v>40</v>
      </c>
      <c r="E270" s="161" t="s">
        <v>117</v>
      </c>
      <c r="F270" s="155">
        <v>0</v>
      </c>
      <c r="G270" s="162">
        <f>+VLOOKUP(B270,'5.3 Var OPEX 2023-25'!$B$4:$D$160,3,0)</f>
        <v>4.4009396000000096E-2</v>
      </c>
      <c r="H270" s="163" t="s">
        <v>190</v>
      </c>
      <c r="I270" s="300">
        <f t="shared" si="25"/>
        <v>0</v>
      </c>
      <c r="J270" s="159">
        <f t="shared" si="31"/>
        <v>0</v>
      </c>
      <c r="K270" s="159">
        <f t="shared" si="31"/>
        <v>0</v>
      </c>
      <c r="L270" s="159">
        <f t="shared" si="31"/>
        <v>0</v>
      </c>
      <c r="M270" s="159">
        <f t="shared" si="31"/>
        <v>0</v>
      </c>
      <c r="N270" s="159">
        <f t="shared" si="31"/>
        <v>0</v>
      </c>
      <c r="P270" s="2"/>
    </row>
    <row r="271" spans="2:16" x14ac:dyDescent="0.25">
      <c r="B271" s="18">
        <v>6380000020</v>
      </c>
      <c r="C271" s="161" t="s">
        <v>176</v>
      </c>
      <c r="D271" s="161" t="s">
        <v>49</v>
      </c>
      <c r="E271" s="161" t="s">
        <v>118</v>
      </c>
      <c r="F271" s="155">
        <v>0</v>
      </c>
      <c r="G271" s="162">
        <f>+VLOOKUP(B271,'5.3 Var OPEX 2023-25'!$B$4:$D$160,3,0)</f>
        <v>4.4009396000000096E-2</v>
      </c>
      <c r="H271" s="163" t="s">
        <v>190</v>
      </c>
      <c r="I271" s="300">
        <f t="shared" ref="I271:I334" si="32">+F271*(1+G271)/$I$8</f>
        <v>0</v>
      </c>
      <c r="J271" s="159">
        <f t="shared" si="31"/>
        <v>0</v>
      </c>
      <c r="K271" s="159">
        <f t="shared" si="31"/>
        <v>0</v>
      </c>
      <c r="L271" s="159">
        <f t="shared" si="31"/>
        <v>0</v>
      </c>
      <c r="M271" s="159">
        <f t="shared" si="31"/>
        <v>0</v>
      </c>
      <c r="N271" s="159">
        <f t="shared" si="31"/>
        <v>0</v>
      </c>
      <c r="P271" s="2"/>
    </row>
    <row r="272" spans="2:16" x14ac:dyDescent="0.25">
      <c r="B272" s="18">
        <v>6380000021</v>
      </c>
      <c r="C272" s="161" t="s">
        <v>176</v>
      </c>
      <c r="D272" s="161" t="s">
        <v>40</v>
      </c>
      <c r="E272" s="161" t="s">
        <v>119</v>
      </c>
      <c r="F272" s="155">
        <v>249714.69137412158</v>
      </c>
      <c r="G272" s="162">
        <f>+VLOOKUP(B272,'5.3 Var OPEX 2023-25'!$B$4:$D$160,3,0)</f>
        <v>4.4009396000000096E-2</v>
      </c>
      <c r="H272" s="163" t="s">
        <v>190</v>
      </c>
      <c r="I272" s="300">
        <f t="shared" si="32"/>
        <v>255869.81085563207</v>
      </c>
      <c r="J272" s="159">
        <f t="shared" si="31"/>
        <v>261640.13310249121</v>
      </c>
      <c r="K272" s="159">
        <f t="shared" si="31"/>
        <v>266052.67943382153</v>
      </c>
      <c r="L272" s="159">
        <f t="shared" si="31"/>
        <v>270494.29182426579</v>
      </c>
      <c r="M272" s="159">
        <f t="shared" si="31"/>
        <v>275434.53202271258</v>
      </c>
      <c r="N272" s="159">
        <f t="shared" si="31"/>
        <v>280020.47935328213</v>
      </c>
      <c r="P272" s="2"/>
    </row>
    <row r="273" spans="2:16" x14ac:dyDescent="0.25">
      <c r="B273" s="18">
        <v>6380000022</v>
      </c>
      <c r="C273" s="161" t="s">
        <v>176</v>
      </c>
      <c r="D273" s="161" t="s">
        <v>40</v>
      </c>
      <c r="E273" s="161" t="s">
        <v>120</v>
      </c>
      <c r="F273" s="155">
        <v>453.43842924896569</v>
      </c>
      <c r="G273" s="162">
        <f>+VLOOKUP(B273,'5.3 Var OPEX 2023-25'!$B$4:$D$160,3,0)</f>
        <v>4.4009396000000096E-2</v>
      </c>
      <c r="H273" s="163" t="s">
        <v>190</v>
      </c>
      <c r="I273" s="300">
        <f t="shared" si="32"/>
        <v>464.61505523832096</v>
      </c>
      <c r="J273" s="159">
        <f t="shared" si="31"/>
        <v>475.09295640416053</v>
      </c>
      <c r="K273" s="159">
        <f t="shared" si="31"/>
        <v>483.10537276002913</v>
      </c>
      <c r="L273" s="159">
        <f t="shared" si="31"/>
        <v>491.17056802176251</v>
      </c>
      <c r="M273" s="159">
        <f t="shared" si="31"/>
        <v>500.14118462172945</v>
      </c>
      <c r="N273" s="159">
        <f t="shared" si="31"/>
        <v>508.46846702049118</v>
      </c>
      <c r="P273" s="2"/>
    </row>
    <row r="274" spans="2:16" x14ac:dyDescent="0.25">
      <c r="B274" s="18">
        <v>6380000023</v>
      </c>
      <c r="C274" s="161" t="s">
        <v>176</v>
      </c>
      <c r="D274" s="161" t="s">
        <v>49</v>
      </c>
      <c r="E274" s="161" t="s">
        <v>121</v>
      </c>
      <c r="F274" s="155">
        <v>0</v>
      </c>
      <c r="G274" s="162">
        <f>+VLOOKUP(B274,'5.3 Var OPEX 2023-25'!$B$4:$D$160,3,0)</f>
        <v>4.4009396000000096E-2</v>
      </c>
      <c r="H274" s="163" t="s">
        <v>190</v>
      </c>
      <c r="I274" s="300">
        <f t="shared" si="32"/>
        <v>0</v>
      </c>
      <c r="J274" s="159">
        <f t="shared" si="31"/>
        <v>0</v>
      </c>
      <c r="K274" s="159">
        <f t="shared" si="31"/>
        <v>0</v>
      </c>
      <c r="L274" s="159">
        <f t="shared" si="31"/>
        <v>0</v>
      </c>
      <c r="M274" s="159">
        <f t="shared" si="31"/>
        <v>0</v>
      </c>
      <c r="N274" s="159">
        <f t="shared" si="31"/>
        <v>0</v>
      </c>
      <c r="P274" s="2"/>
    </row>
    <row r="275" spans="2:16" x14ac:dyDescent="0.25">
      <c r="B275" s="18">
        <v>6380000024</v>
      </c>
      <c r="C275" s="161" t="s">
        <v>176</v>
      </c>
      <c r="D275" s="161" t="s">
        <v>49</v>
      </c>
      <c r="E275" s="161" t="s">
        <v>122</v>
      </c>
      <c r="F275" s="155">
        <v>0</v>
      </c>
      <c r="G275" s="162">
        <f>+VLOOKUP(B275,'5.3 Var OPEX 2023-25'!$B$4:$D$160,3,0)</f>
        <v>4.4009396000000096E-2</v>
      </c>
      <c r="H275" s="163" t="s">
        <v>190</v>
      </c>
      <c r="I275" s="300">
        <f t="shared" si="32"/>
        <v>0</v>
      </c>
      <c r="J275" s="159">
        <f t="shared" ref="J275:N284" si="33">+IF(OR($C275="No Imputables",$H275="m2 fijo"),I275,I275*(1+J$6*J$7))</f>
        <v>0</v>
      </c>
      <c r="K275" s="159">
        <f t="shared" si="33"/>
        <v>0</v>
      </c>
      <c r="L275" s="159">
        <f t="shared" si="33"/>
        <v>0</v>
      </c>
      <c r="M275" s="159">
        <f t="shared" si="33"/>
        <v>0</v>
      </c>
      <c r="N275" s="159">
        <f t="shared" si="33"/>
        <v>0</v>
      </c>
      <c r="P275" s="2"/>
    </row>
    <row r="276" spans="2:16" x14ac:dyDescent="0.25">
      <c r="B276" s="18">
        <v>6380000025</v>
      </c>
      <c r="C276" s="161" t="s">
        <v>176</v>
      </c>
      <c r="D276" s="161" t="s">
        <v>49</v>
      </c>
      <c r="E276" s="161" t="s">
        <v>123</v>
      </c>
      <c r="F276" s="155">
        <v>0</v>
      </c>
      <c r="G276" s="162">
        <f>+VLOOKUP(B276,'5.3 Var OPEX 2023-25'!$B$4:$D$160,3,0)</f>
        <v>4.4009396000000096E-2</v>
      </c>
      <c r="H276" s="163" t="s">
        <v>190</v>
      </c>
      <c r="I276" s="300">
        <f t="shared" si="32"/>
        <v>0</v>
      </c>
      <c r="J276" s="159">
        <f t="shared" si="33"/>
        <v>0</v>
      </c>
      <c r="K276" s="159">
        <f t="shared" si="33"/>
        <v>0</v>
      </c>
      <c r="L276" s="159">
        <f t="shared" si="33"/>
        <v>0</v>
      </c>
      <c r="M276" s="159">
        <f t="shared" si="33"/>
        <v>0</v>
      </c>
      <c r="N276" s="159">
        <f t="shared" si="33"/>
        <v>0</v>
      </c>
      <c r="P276" s="2"/>
    </row>
    <row r="277" spans="2:16" x14ac:dyDescent="0.25">
      <c r="B277" s="18">
        <v>6380000026</v>
      </c>
      <c r="C277" s="161" t="s">
        <v>176</v>
      </c>
      <c r="D277" s="161" t="s">
        <v>49</v>
      </c>
      <c r="E277" s="161" t="s">
        <v>124</v>
      </c>
      <c r="F277" s="155">
        <v>0</v>
      </c>
      <c r="G277" s="162">
        <f>+VLOOKUP(B277,'5.3 Var OPEX 2023-25'!$B$4:$D$160,3,0)</f>
        <v>4.4009396000000096E-2</v>
      </c>
      <c r="H277" s="163" t="s">
        <v>190</v>
      </c>
      <c r="I277" s="300">
        <f t="shared" si="32"/>
        <v>0</v>
      </c>
      <c r="J277" s="159">
        <f t="shared" si="33"/>
        <v>0</v>
      </c>
      <c r="K277" s="159">
        <f t="shared" si="33"/>
        <v>0</v>
      </c>
      <c r="L277" s="159">
        <f t="shared" si="33"/>
        <v>0</v>
      </c>
      <c r="M277" s="159">
        <f t="shared" si="33"/>
        <v>0</v>
      </c>
      <c r="N277" s="159">
        <f t="shared" si="33"/>
        <v>0</v>
      </c>
      <c r="P277" s="2"/>
    </row>
    <row r="278" spans="2:16" x14ac:dyDescent="0.25">
      <c r="B278" s="18">
        <v>6380000027</v>
      </c>
      <c r="C278" s="161" t="s">
        <v>176</v>
      </c>
      <c r="D278" s="161" t="s">
        <v>49</v>
      </c>
      <c r="E278" s="161" t="s">
        <v>125</v>
      </c>
      <c r="F278" s="155">
        <v>0</v>
      </c>
      <c r="G278" s="162">
        <f>+VLOOKUP(B278,'5.3 Var OPEX 2023-25'!$B$4:$D$160,3,0)</f>
        <v>4.4009396000000096E-2</v>
      </c>
      <c r="H278" s="163" t="s">
        <v>190</v>
      </c>
      <c r="I278" s="300">
        <f t="shared" si="32"/>
        <v>0</v>
      </c>
      <c r="J278" s="159">
        <f t="shared" si="33"/>
        <v>0</v>
      </c>
      <c r="K278" s="159">
        <f t="shared" si="33"/>
        <v>0</v>
      </c>
      <c r="L278" s="159">
        <f t="shared" si="33"/>
        <v>0</v>
      </c>
      <c r="M278" s="159">
        <f t="shared" si="33"/>
        <v>0</v>
      </c>
      <c r="N278" s="159">
        <f t="shared" si="33"/>
        <v>0</v>
      </c>
      <c r="P278" s="2"/>
    </row>
    <row r="279" spans="2:16" x14ac:dyDescent="0.25">
      <c r="B279" s="18">
        <v>6380000028</v>
      </c>
      <c r="C279" s="161" t="s">
        <v>176</v>
      </c>
      <c r="D279" s="161" t="s">
        <v>49</v>
      </c>
      <c r="E279" s="161" t="s">
        <v>126</v>
      </c>
      <c r="F279" s="155">
        <v>0</v>
      </c>
      <c r="G279" s="162">
        <f>+VLOOKUP(B279,'5.3 Var OPEX 2023-25'!$B$4:$D$160,3,0)</f>
        <v>4.4009396000000096E-2</v>
      </c>
      <c r="H279" s="163" t="s">
        <v>190</v>
      </c>
      <c r="I279" s="300">
        <f t="shared" si="32"/>
        <v>0</v>
      </c>
      <c r="J279" s="159">
        <f t="shared" si="33"/>
        <v>0</v>
      </c>
      <c r="K279" s="159">
        <f t="shared" si="33"/>
        <v>0</v>
      </c>
      <c r="L279" s="159">
        <f t="shared" si="33"/>
        <v>0</v>
      </c>
      <c r="M279" s="159">
        <f t="shared" si="33"/>
        <v>0</v>
      </c>
      <c r="N279" s="159">
        <f t="shared" si="33"/>
        <v>0</v>
      </c>
      <c r="P279" s="2"/>
    </row>
    <row r="280" spans="2:16" x14ac:dyDescent="0.25">
      <c r="B280" s="18">
        <v>6380000029</v>
      </c>
      <c r="C280" s="161" t="s">
        <v>176</v>
      </c>
      <c r="D280" s="161" t="s">
        <v>40</v>
      </c>
      <c r="E280" s="161" t="s">
        <v>127</v>
      </c>
      <c r="F280" s="155">
        <v>0</v>
      </c>
      <c r="G280" s="162">
        <f>+VLOOKUP(B280,'5.3 Var OPEX 2023-25'!$B$4:$D$160,3,0)</f>
        <v>4.4009396000000096E-2</v>
      </c>
      <c r="H280" s="163" t="s">
        <v>190</v>
      </c>
      <c r="I280" s="300">
        <f t="shared" si="32"/>
        <v>0</v>
      </c>
      <c r="J280" s="159">
        <f t="shared" si="33"/>
        <v>0</v>
      </c>
      <c r="K280" s="159">
        <f t="shared" si="33"/>
        <v>0</v>
      </c>
      <c r="L280" s="159">
        <f t="shared" si="33"/>
        <v>0</v>
      </c>
      <c r="M280" s="159">
        <f t="shared" si="33"/>
        <v>0</v>
      </c>
      <c r="N280" s="159">
        <f t="shared" si="33"/>
        <v>0</v>
      </c>
      <c r="P280" s="2"/>
    </row>
    <row r="281" spans="2:16" x14ac:dyDescent="0.25">
      <c r="B281" s="18">
        <v>6380000030</v>
      </c>
      <c r="C281" s="161" t="s">
        <v>176</v>
      </c>
      <c r="D281" s="161" t="s">
        <v>40</v>
      </c>
      <c r="E281" s="161" t="s">
        <v>128</v>
      </c>
      <c r="F281" s="155">
        <v>192130.88183762509</v>
      </c>
      <c r="G281" s="162">
        <f>+VLOOKUP(B281,'5.3 Var OPEX 2023-25'!$B$4:$D$160,3,0)</f>
        <v>3.290536457674488</v>
      </c>
      <c r="H281" s="163" t="s">
        <v>190</v>
      </c>
      <c r="I281" s="300">
        <f t="shared" si="32"/>
        <v>809057.37243574171</v>
      </c>
      <c r="J281" s="159">
        <f t="shared" si="33"/>
        <v>827303.0644130006</v>
      </c>
      <c r="K281" s="159">
        <f t="shared" si="33"/>
        <v>841255.48470298678</v>
      </c>
      <c r="L281" s="159">
        <f t="shared" si="33"/>
        <v>855299.81153456599</v>
      </c>
      <c r="M281" s="159">
        <f t="shared" si="33"/>
        <v>870920.79370823852</v>
      </c>
      <c r="N281" s="159">
        <f t="shared" si="33"/>
        <v>885421.50594541896</v>
      </c>
      <c r="P281" s="2"/>
    </row>
    <row r="282" spans="2:16" x14ac:dyDescent="0.25">
      <c r="B282" s="18">
        <v>6380000031</v>
      </c>
      <c r="C282" s="161" t="s">
        <v>176</v>
      </c>
      <c r="D282" s="161" t="s">
        <v>49</v>
      </c>
      <c r="E282" s="161" t="s">
        <v>129</v>
      </c>
      <c r="F282" s="155">
        <v>0</v>
      </c>
      <c r="G282" s="162">
        <f>+VLOOKUP(B282,'5.3 Var OPEX 2023-25'!$B$4:$D$160,3,0)</f>
        <v>4.4009396000000096E-2</v>
      </c>
      <c r="H282" s="163" t="s">
        <v>190</v>
      </c>
      <c r="I282" s="300">
        <f t="shared" si="32"/>
        <v>0</v>
      </c>
      <c r="J282" s="159">
        <f t="shared" si="33"/>
        <v>0</v>
      </c>
      <c r="K282" s="159">
        <f t="shared" si="33"/>
        <v>0</v>
      </c>
      <c r="L282" s="159">
        <f t="shared" si="33"/>
        <v>0</v>
      </c>
      <c r="M282" s="159">
        <f t="shared" si="33"/>
        <v>0</v>
      </c>
      <c r="N282" s="159">
        <f t="shared" si="33"/>
        <v>0</v>
      </c>
      <c r="P282" s="2"/>
    </row>
    <row r="283" spans="2:16" x14ac:dyDescent="0.25">
      <c r="B283" s="18">
        <v>6381000001</v>
      </c>
      <c r="C283" s="161" t="s">
        <v>176</v>
      </c>
      <c r="D283" s="161" t="s">
        <v>49</v>
      </c>
      <c r="E283" s="161" t="s">
        <v>130</v>
      </c>
      <c r="F283" s="155">
        <v>2519748.71</v>
      </c>
      <c r="G283" s="162">
        <f>+VLOOKUP(B283,'5.3 Var OPEX 2023-25'!$B$4:$D$160,3,0)</f>
        <v>4.4009396000000096E-2</v>
      </c>
      <c r="H283" s="163" t="s">
        <v>190</v>
      </c>
      <c r="I283" s="300">
        <f t="shared" si="32"/>
        <v>2581857.0076259333</v>
      </c>
      <c r="J283" s="159">
        <f t="shared" si="33"/>
        <v>2640082.5047234357</v>
      </c>
      <c r="K283" s="159">
        <f t="shared" si="33"/>
        <v>2684607.3497175458</v>
      </c>
      <c r="L283" s="159">
        <f t="shared" si="33"/>
        <v>2729425.4860857199</v>
      </c>
      <c r="M283" s="159">
        <f t="shared" si="33"/>
        <v>2779275.0315755233</v>
      </c>
      <c r="N283" s="159">
        <f t="shared" si="33"/>
        <v>2825549.5811694767</v>
      </c>
      <c r="P283" s="2"/>
    </row>
    <row r="284" spans="2:16" x14ac:dyDescent="0.25">
      <c r="B284" s="18">
        <v>6381000002</v>
      </c>
      <c r="C284" s="161" t="s">
        <v>176</v>
      </c>
      <c r="D284" s="161" t="s">
        <v>49</v>
      </c>
      <c r="E284" s="161" t="s">
        <v>131</v>
      </c>
      <c r="F284" s="155">
        <v>64265.391965562383</v>
      </c>
      <c r="G284" s="162">
        <f>+VLOOKUP(B284,'5.3 Var OPEX 2023-25'!$B$4:$D$160,3,0)</f>
        <v>4.4009396000000096E-2</v>
      </c>
      <c r="H284" s="163" t="s">
        <v>190</v>
      </c>
      <c r="I284" s="300">
        <f t="shared" si="32"/>
        <v>65849.4444051584</v>
      </c>
      <c r="J284" s="159">
        <f t="shared" si="33"/>
        <v>67334.467248313551</v>
      </c>
      <c r="K284" s="159">
        <f t="shared" si="33"/>
        <v>68470.059303345246</v>
      </c>
      <c r="L284" s="159">
        <f t="shared" si="33"/>
        <v>69613.131661884821</v>
      </c>
      <c r="M284" s="159">
        <f t="shared" si="33"/>
        <v>70884.528514869948</v>
      </c>
      <c r="N284" s="159">
        <f t="shared" si="33"/>
        <v>72064.74623097913</v>
      </c>
      <c r="P284" s="2"/>
    </row>
    <row r="285" spans="2:16" x14ac:dyDescent="0.25">
      <c r="B285" s="18">
        <v>6381000003</v>
      </c>
      <c r="C285" s="161" t="s">
        <v>176</v>
      </c>
      <c r="D285" s="161" t="s">
        <v>49</v>
      </c>
      <c r="E285" s="161" t="s">
        <v>132</v>
      </c>
      <c r="F285" s="155">
        <v>111100.44</v>
      </c>
      <c r="G285" s="162">
        <f>+VLOOKUP(B285,'5.3 Var OPEX 2023-25'!$B$4:$D$160,3,0)</f>
        <v>4.4009396000000096E-2</v>
      </c>
      <c r="H285" s="163" t="s">
        <v>190</v>
      </c>
      <c r="I285" s="300">
        <f t="shared" si="32"/>
        <v>113838.91116837779</v>
      </c>
      <c r="J285" s="159">
        <f t="shared" ref="J285:N294" si="34">+IF(OR($C285="No Imputables",$H285="m2 fijo"),I285,I285*(1+J$6*J$7))</f>
        <v>116406.18238914617</v>
      </c>
      <c r="K285" s="159">
        <f t="shared" si="34"/>
        <v>118369.36619797026</v>
      </c>
      <c r="L285" s="159">
        <f t="shared" si="34"/>
        <v>120345.48177279842</v>
      </c>
      <c r="M285" s="159">
        <f t="shared" si="34"/>
        <v>122543.44159940239</v>
      </c>
      <c r="N285" s="159">
        <f t="shared" si="34"/>
        <v>124583.77316115166</v>
      </c>
      <c r="P285" s="2"/>
    </row>
    <row r="286" spans="2:16" x14ac:dyDescent="0.25">
      <c r="B286" s="18">
        <v>6381000004</v>
      </c>
      <c r="C286" s="161" t="s">
        <v>176</v>
      </c>
      <c r="D286" s="161" t="s">
        <v>40</v>
      </c>
      <c r="E286" s="161" t="s">
        <v>133</v>
      </c>
      <c r="F286" s="155">
        <v>390486.18000000005</v>
      </c>
      <c r="G286" s="162">
        <f>+VLOOKUP(B286,'5.3 Var OPEX 2023-25'!$B$4:$D$160,3,0)</f>
        <v>4.4009396000000096E-2</v>
      </c>
      <c r="H286" s="163" t="s">
        <v>190</v>
      </c>
      <c r="I286" s="300">
        <f t="shared" si="32"/>
        <v>400111.1206895237</v>
      </c>
      <c r="J286" s="159">
        <f t="shared" si="34"/>
        <v>409134.34266795852</v>
      </c>
      <c r="K286" s="159">
        <f t="shared" si="34"/>
        <v>416034.37066195719</v>
      </c>
      <c r="L286" s="159">
        <f t="shared" si="34"/>
        <v>422979.85010428115</v>
      </c>
      <c r="M286" s="159">
        <f t="shared" si="34"/>
        <v>430705.04846068769</v>
      </c>
      <c r="N286" s="159">
        <f t="shared" si="34"/>
        <v>437876.22867816396</v>
      </c>
      <c r="P286" s="2"/>
    </row>
    <row r="287" spans="2:16" x14ac:dyDescent="0.25">
      <c r="B287" s="18">
        <v>6381000005</v>
      </c>
      <c r="C287" s="161" t="s">
        <v>176</v>
      </c>
      <c r="D287" s="161" t="s">
        <v>49</v>
      </c>
      <c r="E287" s="161" t="s">
        <v>134</v>
      </c>
      <c r="F287" s="155">
        <v>302216.27</v>
      </c>
      <c r="G287" s="162">
        <f>+VLOOKUP(B287,'5.3 Var OPEX 2023-25'!$B$4:$D$160,3,0)</f>
        <v>4.4009396000000096E-2</v>
      </c>
      <c r="H287" s="163" t="s">
        <v>190</v>
      </c>
      <c r="I287" s="300">
        <f t="shared" si="32"/>
        <v>309665.48030024435</v>
      </c>
      <c r="J287" s="159">
        <f t="shared" si="34"/>
        <v>316648.99118840072</v>
      </c>
      <c r="K287" s="159">
        <f t="shared" si="34"/>
        <v>321989.2588599528</v>
      </c>
      <c r="L287" s="159">
        <f t="shared" si="34"/>
        <v>327364.70362068887</v>
      </c>
      <c r="M287" s="159">
        <f t="shared" si="34"/>
        <v>333343.61081859103</v>
      </c>
      <c r="N287" s="159">
        <f t="shared" si="34"/>
        <v>338893.73640004813</v>
      </c>
      <c r="P287" s="2"/>
    </row>
    <row r="288" spans="2:16" x14ac:dyDescent="0.25">
      <c r="B288" s="18">
        <v>6381000006</v>
      </c>
      <c r="C288" s="161" t="s">
        <v>176</v>
      </c>
      <c r="D288" s="161" t="s">
        <v>49</v>
      </c>
      <c r="E288" s="161" t="s">
        <v>135</v>
      </c>
      <c r="F288" s="155">
        <v>1501762.5999999999</v>
      </c>
      <c r="G288" s="162">
        <f>+VLOOKUP(B288,'5.3 Var OPEX 2023-25'!$B$4:$D$160,3,0)</f>
        <v>4.4009396000000096E-2</v>
      </c>
      <c r="H288" s="163" t="s">
        <v>190</v>
      </c>
      <c r="I288" s="300">
        <f t="shared" si="32"/>
        <v>1538778.9572875863</v>
      </c>
      <c r="J288" s="159">
        <f t="shared" si="34"/>
        <v>1573481.1772194451</v>
      </c>
      <c r="K288" s="159">
        <f t="shared" si="34"/>
        <v>1600017.8499906561</v>
      </c>
      <c r="L288" s="159">
        <f t="shared" si="34"/>
        <v>1626729.3235325648</v>
      </c>
      <c r="M288" s="159">
        <f t="shared" si="34"/>
        <v>1656439.5016731403</v>
      </c>
      <c r="N288" s="159">
        <f t="shared" si="34"/>
        <v>1684018.9930868077</v>
      </c>
      <c r="P288" s="2"/>
    </row>
    <row r="289" spans="1:16" x14ac:dyDescent="0.25">
      <c r="B289" s="18">
        <v>6382000001</v>
      </c>
      <c r="C289" s="161" t="s">
        <v>176</v>
      </c>
      <c r="D289" s="161" t="s">
        <v>40</v>
      </c>
      <c r="E289" s="161" t="s">
        <v>136</v>
      </c>
      <c r="F289" s="155">
        <v>0</v>
      </c>
      <c r="G289" s="162">
        <f>+VLOOKUP(B289,'5.3 Var OPEX 2023-25'!$B$4:$D$160,3,0)</f>
        <v>1.0528702981147076</v>
      </c>
      <c r="H289" s="163" t="s">
        <v>190</v>
      </c>
      <c r="I289" s="300">
        <f t="shared" si="32"/>
        <v>0</v>
      </c>
      <c r="J289" s="159">
        <f t="shared" si="34"/>
        <v>0</v>
      </c>
      <c r="K289" s="159">
        <f t="shared" si="34"/>
        <v>0</v>
      </c>
      <c r="L289" s="159">
        <f t="shared" si="34"/>
        <v>0</v>
      </c>
      <c r="M289" s="159">
        <f t="shared" si="34"/>
        <v>0</v>
      </c>
      <c r="N289" s="159">
        <f t="shared" si="34"/>
        <v>0</v>
      </c>
      <c r="P289" s="2"/>
    </row>
    <row r="290" spans="1:16" x14ac:dyDescent="0.25">
      <c r="B290" s="18">
        <v>6382000002</v>
      </c>
      <c r="C290" s="161" t="s">
        <v>176</v>
      </c>
      <c r="D290" s="161" t="s">
        <v>40</v>
      </c>
      <c r="E290" s="161" t="s">
        <v>137</v>
      </c>
      <c r="F290" s="155">
        <v>0</v>
      </c>
      <c r="G290" s="162">
        <f>+VLOOKUP(B290,'5.3 Var OPEX 2023-25'!$B$4:$D$160,3,0)</f>
        <v>4.4009396000000096E-2</v>
      </c>
      <c r="H290" s="163" t="s">
        <v>190</v>
      </c>
      <c r="I290" s="300">
        <f t="shared" si="32"/>
        <v>0</v>
      </c>
      <c r="J290" s="159">
        <f t="shared" si="34"/>
        <v>0</v>
      </c>
      <c r="K290" s="159">
        <f t="shared" si="34"/>
        <v>0</v>
      </c>
      <c r="L290" s="159">
        <f t="shared" si="34"/>
        <v>0</v>
      </c>
      <c r="M290" s="159">
        <f t="shared" si="34"/>
        <v>0</v>
      </c>
      <c r="N290" s="159">
        <f t="shared" si="34"/>
        <v>0</v>
      </c>
      <c r="P290" s="2"/>
    </row>
    <row r="291" spans="1:16" x14ac:dyDescent="0.25">
      <c r="B291" s="18">
        <v>6390000001</v>
      </c>
      <c r="C291" s="161" t="s">
        <v>176</v>
      </c>
      <c r="D291" s="161" t="s">
        <v>38</v>
      </c>
      <c r="E291" s="161" t="s">
        <v>138</v>
      </c>
      <c r="F291" s="155">
        <v>0</v>
      </c>
      <c r="G291" s="162">
        <f>+VLOOKUP(B291,'5.3 Var OPEX 2023-25'!$B$4:$D$160,3,0)</f>
        <v>4.4009396000000096E-2</v>
      </c>
      <c r="H291" s="163" t="s">
        <v>190</v>
      </c>
      <c r="I291" s="300">
        <f t="shared" si="32"/>
        <v>0</v>
      </c>
      <c r="J291" s="159">
        <f t="shared" si="34"/>
        <v>0</v>
      </c>
      <c r="K291" s="159">
        <f t="shared" si="34"/>
        <v>0</v>
      </c>
      <c r="L291" s="159">
        <f t="shared" si="34"/>
        <v>0</v>
      </c>
      <c r="M291" s="159">
        <f t="shared" si="34"/>
        <v>0</v>
      </c>
      <c r="N291" s="159">
        <f t="shared" si="34"/>
        <v>0</v>
      </c>
      <c r="P291" s="2"/>
    </row>
    <row r="292" spans="1:16" x14ac:dyDescent="0.25">
      <c r="B292" s="18">
        <v>6391000001</v>
      </c>
      <c r="C292" s="161" t="s">
        <v>176</v>
      </c>
      <c r="D292" s="161" t="s">
        <v>38</v>
      </c>
      <c r="E292" s="161" t="s">
        <v>139</v>
      </c>
      <c r="F292" s="155">
        <v>0</v>
      </c>
      <c r="G292" s="162">
        <f>+VLOOKUP(B292,'5.3 Var OPEX 2023-25'!$B$4:$D$160,3,0)</f>
        <v>4.4009396000000096E-2</v>
      </c>
      <c r="H292" s="163" t="s">
        <v>190</v>
      </c>
      <c r="I292" s="300">
        <f t="shared" si="32"/>
        <v>0</v>
      </c>
      <c r="J292" s="159">
        <f t="shared" si="34"/>
        <v>0</v>
      </c>
      <c r="K292" s="159">
        <f t="shared" si="34"/>
        <v>0</v>
      </c>
      <c r="L292" s="159">
        <f t="shared" si="34"/>
        <v>0</v>
      </c>
      <c r="M292" s="159">
        <f t="shared" si="34"/>
        <v>0</v>
      </c>
      <c r="N292" s="159">
        <f t="shared" si="34"/>
        <v>0</v>
      </c>
      <c r="P292" s="2"/>
    </row>
    <row r="293" spans="1:16" x14ac:dyDescent="0.25">
      <c r="B293" s="18">
        <v>6391000003</v>
      </c>
      <c r="C293" s="161" t="s">
        <v>176</v>
      </c>
      <c r="D293" s="161" t="s">
        <v>38</v>
      </c>
      <c r="E293" s="161" t="s">
        <v>140</v>
      </c>
      <c r="F293" s="155">
        <v>0</v>
      </c>
      <c r="G293" s="162">
        <f>+VLOOKUP(B293,'5.3 Var OPEX 2023-25'!$B$4:$D$160,3,0)</f>
        <v>4.4009396000000096E-2</v>
      </c>
      <c r="H293" s="163" t="s">
        <v>190</v>
      </c>
      <c r="I293" s="300">
        <f t="shared" si="32"/>
        <v>0</v>
      </c>
      <c r="J293" s="159">
        <f t="shared" si="34"/>
        <v>0</v>
      </c>
      <c r="K293" s="159">
        <f t="shared" si="34"/>
        <v>0</v>
      </c>
      <c r="L293" s="159">
        <f t="shared" si="34"/>
        <v>0</v>
      </c>
      <c r="M293" s="159">
        <f t="shared" si="34"/>
        <v>0</v>
      </c>
      <c r="N293" s="159">
        <f t="shared" si="34"/>
        <v>0</v>
      </c>
      <c r="P293" s="2"/>
    </row>
    <row r="294" spans="1:16" x14ac:dyDescent="0.25">
      <c r="A294" s="38"/>
      <c r="B294" s="18">
        <v>6410000001</v>
      </c>
      <c r="C294" s="161" t="s">
        <v>176</v>
      </c>
      <c r="D294" s="161" t="s">
        <v>38</v>
      </c>
      <c r="E294" s="161" t="s">
        <v>141</v>
      </c>
      <c r="F294" s="155">
        <v>0</v>
      </c>
      <c r="G294" s="162">
        <f>+VLOOKUP(B294,'5.3 Var OPEX 2023-25'!$B$4:$D$160,3,0)</f>
        <v>4.4009396000000096E-2</v>
      </c>
      <c r="H294" s="163" t="s">
        <v>190</v>
      </c>
      <c r="I294" s="300">
        <f t="shared" si="32"/>
        <v>0</v>
      </c>
      <c r="J294" s="159">
        <f t="shared" si="34"/>
        <v>0</v>
      </c>
      <c r="K294" s="159">
        <f t="shared" si="34"/>
        <v>0</v>
      </c>
      <c r="L294" s="159">
        <f t="shared" si="34"/>
        <v>0</v>
      </c>
      <c r="M294" s="159">
        <f t="shared" si="34"/>
        <v>0</v>
      </c>
      <c r="N294" s="159">
        <f t="shared" si="34"/>
        <v>0</v>
      </c>
      <c r="P294" s="2"/>
    </row>
    <row r="295" spans="1:16" x14ac:dyDescent="0.25">
      <c r="B295" s="18">
        <v>6410000002</v>
      </c>
      <c r="C295" s="161" t="s">
        <v>176</v>
      </c>
      <c r="D295" s="161" t="s">
        <v>38</v>
      </c>
      <c r="E295" s="161" t="s">
        <v>142</v>
      </c>
      <c r="F295" s="155">
        <v>0</v>
      </c>
      <c r="G295" s="162">
        <f>+VLOOKUP(B295,'5.3 Var OPEX 2023-25'!$B$4:$D$160,3,0)</f>
        <v>4.4009396000000096E-2</v>
      </c>
      <c r="H295" s="163" t="s">
        <v>190</v>
      </c>
      <c r="I295" s="300">
        <f t="shared" si="32"/>
        <v>0</v>
      </c>
      <c r="J295" s="159">
        <f t="shared" ref="J295:N304" si="35">+IF(OR($C295="No Imputables",$H295="m2 fijo"),I295,I295*(1+J$6*J$7))</f>
        <v>0</v>
      </c>
      <c r="K295" s="159">
        <f t="shared" si="35"/>
        <v>0</v>
      </c>
      <c r="L295" s="159">
        <f t="shared" si="35"/>
        <v>0</v>
      </c>
      <c r="M295" s="159">
        <f t="shared" si="35"/>
        <v>0</v>
      </c>
      <c r="N295" s="159">
        <f t="shared" si="35"/>
        <v>0</v>
      </c>
      <c r="P295" s="2"/>
    </row>
    <row r="296" spans="1:16" x14ac:dyDescent="0.25">
      <c r="B296" s="18">
        <v>6430000001</v>
      </c>
      <c r="C296" s="161" t="s">
        <v>176</v>
      </c>
      <c r="D296" s="161" t="s">
        <v>38</v>
      </c>
      <c r="E296" s="161" t="s">
        <v>143</v>
      </c>
      <c r="F296" s="155">
        <v>33218.672321305647</v>
      </c>
      <c r="G296" s="162">
        <f>+VLOOKUP(B296,'5.3 Var OPEX 2023-25'!$B$4:$D$160,3,0)</f>
        <v>4.4009396000000096E-2</v>
      </c>
      <c r="H296" s="163" t="s">
        <v>192</v>
      </c>
      <c r="I296" s="300">
        <f t="shared" si="32"/>
        <v>34037.466345916931</v>
      </c>
      <c r="J296" s="159">
        <f t="shared" si="35"/>
        <v>34037.466345916931</v>
      </c>
      <c r="K296" s="159">
        <f t="shared" si="35"/>
        <v>34037.466345916931</v>
      </c>
      <c r="L296" s="159">
        <f t="shared" si="35"/>
        <v>34037.466345916931</v>
      </c>
      <c r="M296" s="159">
        <f t="shared" si="35"/>
        <v>34037.466345916931</v>
      </c>
      <c r="N296" s="159">
        <f t="shared" si="35"/>
        <v>34037.466345916931</v>
      </c>
      <c r="P296" s="2"/>
    </row>
    <row r="297" spans="1:16" x14ac:dyDescent="0.25">
      <c r="B297" s="18">
        <v>6430000002</v>
      </c>
      <c r="C297" s="161" t="s">
        <v>176</v>
      </c>
      <c r="D297" s="161" t="s">
        <v>38</v>
      </c>
      <c r="E297" s="161" t="s">
        <v>144</v>
      </c>
      <c r="F297" s="155">
        <v>2493.2075213206135</v>
      </c>
      <c r="G297" s="162">
        <f>+VLOOKUP(B297,'5.3 Var OPEX 2023-25'!$B$4:$D$160,3,0)</f>
        <v>4.4009396000000096E-2</v>
      </c>
      <c r="H297" s="163" t="s">
        <v>192</v>
      </c>
      <c r="I297" s="300">
        <f t="shared" si="32"/>
        <v>2554.6616155971001</v>
      </c>
      <c r="J297" s="159">
        <f t="shared" si="35"/>
        <v>2554.6616155971001</v>
      </c>
      <c r="K297" s="159">
        <f t="shared" si="35"/>
        <v>2554.6616155971001</v>
      </c>
      <c r="L297" s="159">
        <f t="shared" si="35"/>
        <v>2554.6616155971001</v>
      </c>
      <c r="M297" s="159">
        <f t="shared" si="35"/>
        <v>2554.6616155971001</v>
      </c>
      <c r="N297" s="159">
        <f t="shared" si="35"/>
        <v>2554.6616155971001</v>
      </c>
      <c r="P297" s="2"/>
    </row>
    <row r="298" spans="1:16" x14ac:dyDescent="0.25">
      <c r="B298" s="18">
        <v>6430000003</v>
      </c>
      <c r="C298" s="161" t="s">
        <v>176</v>
      </c>
      <c r="D298" s="161" t="s">
        <v>38</v>
      </c>
      <c r="E298" s="161" t="s">
        <v>145</v>
      </c>
      <c r="F298" s="155">
        <v>0</v>
      </c>
      <c r="G298" s="162">
        <f>+VLOOKUP(B298,'5.3 Var OPEX 2023-25'!$B$4:$D$160,3,0)</f>
        <v>4.4009396000000096E-2</v>
      </c>
      <c r="H298" s="163" t="s">
        <v>190</v>
      </c>
      <c r="I298" s="300">
        <f t="shared" si="32"/>
        <v>0</v>
      </c>
      <c r="J298" s="159">
        <f t="shared" si="35"/>
        <v>0</v>
      </c>
      <c r="K298" s="159">
        <f t="shared" si="35"/>
        <v>0</v>
      </c>
      <c r="L298" s="159">
        <f t="shared" si="35"/>
        <v>0</v>
      </c>
      <c r="M298" s="159">
        <f t="shared" si="35"/>
        <v>0</v>
      </c>
      <c r="N298" s="159">
        <f t="shared" si="35"/>
        <v>0</v>
      </c>
      <c r="P298" s="2"/>
    </row>
    <row r="299" spans="1:16" x14ac:dyDescent="0.25">
      <c r="B299" s="18">
        <v>6510000001</v>
      </c>
      <c r="C299" s="161" t="s">
        <v>176</v>
      </c>
      <c r="D299" s="161" t="s">
        <v>38</v>
      </c>
      <c r="E299" s="161" t="s">
        <v>146</v>
      </c>
      <c r="F299" s="155">
        <v>67972.268714038291</v>
      </c>
      <c r="G299" s="162">
        <f>+VLOOKUP(B299,'5.3 Var OPEX 2023-25'!$B$4:$D$160,3,0)</f>
        <v>0.2404668693070342</v>
      </c>
      <c r="H299" s="163" t="s">
        <v>192</v>
      </c>
      <c r="I299" s="300">
        <f t="shared" si="32"/>
        <v>82753.711724994137</v>
      </c>
      <c r="J299" s="159">
        <f t="shared" si="35"/>
        <v>82753.711724994137</v>
      </c>
      <c r="K299" s="159">
        <f t="shared" si="35"/>
        <v>82753.711724994137</v>
      </c>
      <c r="L299" s="159">
        <f t="shared" si="35"/>
        <v>82753.711724994137</v>
      </c>
      <c r="M299" s="159">
        <f t="shared" si="35"/>
        <v>82753.711724994137</v>
      </c>
      <c r="N299" s="159">
        <f t="shared" si="35"/>
        <v>82753.711724994137</v>
      </c>
      <c r="P299" s="2"/>
    </row>
    <row r="300" spans="1:16" x14ac:dyDescent="0.25">
      <c r="B300" s="18">
        <v>6530000001</v>
      </c>
      <c r="C300" s="161" t="s">
        <v>176</v>
      </c>
      <c r="D300" s="161" t="s">
        <v>38</v>
      </c>
      <c r="E300" s="161" t="s">
        <v>147</v>
      </c>
      <c r="F300" s="155">
        <v>1220.7873248508249</v>
      </c>
      <c r="G300" s="162">
        <f>+VLOOKUP(B300,'5.3 Var OPEX 2023-25'!$B$4:$D$160,3,0)</f>
        <v>4.4009396000000096E-2</v>
      </c>
      <c r="H300" s="163" t="s">
        <v>190</v>
      </c>
      <c r="I300" s="300">
        <f t="shared" si="32"/>
        <v>1250.8780327888405</v>
      </c>
      <c r="J300" s="159">
        <f t="shared" si="35"/>
        <v>1279.0875715248558</v>
      </c>
      <c r="K300" s="159">
        <f t="shared" si="35"/>
        <v>1300.6593124663391</v>
      </c>
      <c r="L300" s="159">
        <f t="shared" si="35"/>
        <v>1322.3731494789604</v>
      </c>
      <c r="M300" s="159">
        <f t="shared" si="35"/>
        <v>1346.5246424599911</v>
      </c>
      <c r="N300" s="159">
        <f t="shared" si="35"/>
        <v>1368.9440938057878</v>
      </c>
      <c r="P300" s="2"/>
    </row>
    <row r="301" spans="1:16" x14ac:dyDescent="0.25">
      <c r="B301" s="18">
        <v>6530000002</v>
      </c>
      <c r="C301" s="161" t="s">
        <v>176</v>
      </c>
      <c r="D301" s="161" t="s">
        <v>38</v>
      </c>
      <c r="E301" s="161" t="s">
        <v>148</v>
      </c>
      <c r="F301" s="155">
        <v>6181.5468317650848</v>
      </c>
      <c r="G301" s="162">
        <f>+VLOOKUP(B301,'5.3 Var OPEX 2023-25'!$B$4:$D$160,3,0)</f>
        <v>0.17007525835504156</v>
      </c>
      <c r="H301" s="163" t="s">
        <v>190</v>
      </c>
      <c r="I301" s="300">
        <f t="shared" si="32"/>
        <v>7098.7438749757684</v>
      </c>
      <c r="J301" s="159">
        <f t="shared" si="35"/>
        <v>7258.8332562495898</v>
      </c>
      <c r="K301" s="159">
        <f t="shared" si="35"/>
        <v>7381.2530764614057</v>
      </c>
      <c r="L301" s="159">
        <f t="shared" si="35"/>
        <v>7504.4792931309157</v>
      </c>
      <c r="M301" s="159">
        <f t="shared" si="35"/>
        <v>7641.5392289332694</v>
      </c>
      <c r="N301" s="159">
        <f t="shared" si="35"/>
        <v>7768.7698131705401</v>
      </c>
      <c r="P301" s="2"/>
    </row>
    <row r="302" spans="1:16" x14ac:dyDescent="0.25">
      <c r="B302" s="18">
        <v>6540000001</v>
      </c>
      <c r="C302" s="161" t="s">
        <v>176</v>
      </c>
      <c r="D302" s="161" t="s">
        <v>38</v>
      </c>
      <c r="E302" s="161" t="s">
        <v>149</v>
      </c>
      <c r="F302" s="155">
        <v>639.00447027229995</v>
      </c>
      <c r="G302" s="162">
        <f>+VLOOKUP(B302,'5.3 Var OPEX 2023-25'!$B$4:$D$160,3,0)</f>
        <v>4.4009396000000096E-2</v>
      </c>
      <c r="H302" s="163" t="s">
        <v>190</v>
      </c>
      <c r="I302" s="300">
        <f t="shared" si="32"/>
        <v>654.7550408218425</v>
      </c>
      <c r="J302" s="159">
        <f t="shared" si="35"/>
        <v>669.52093901695696</v>
      </c>
      <c r="K302" s="159">
        <f t="shared" si="35"/>
        <v>680.81237251447328</v>
      </c>
      <c r="L302" s="159">
        <f t="shared" si="35"/>
        <v>692.17818426184272</v>
      </c>
      <c r="M302" s="159">
        <f t="shared" si="35"/>
        <v>704.81995376949601</v>
      </c>
      <c r="N302" s="159">
        <f t="shared" si="35"/>
        <v>716.55510971303192</v>
      </c>
      <c r="P302" s="2"/>
    </row>
    <row r="303" spans="1:16" x14ac:dyDescent="0.25">
      <c r="B303" s="18">
        <v>6561000001</v>
      </c>
      <c r="C303" s="161" t="s">
        <v>176</v>
      </c>
      <c r="D303" s="161" t="s">
        <v>38</v>
      </c>
      <c r="E303" s="161" t="s">
        <v>150</v>
      </c>
      <c r="F303" s="155">
        <v>24585.325019785079</v>
      </c>
      <c r="G303" s="162">
        <f>+VLOOKUP(B303,'5.3 Var OPEX 2023-25'!$B$4:$D$160,3,0)</f>
        <v>4.4009396000000096E-2</v>
      </c>
      <c r="H303" s="163" t="s">
        <v>190</v>
      </c>
      <c r="I303" s="300">
        <f t="shared" si="32"/>
        <v>25191.31905303894</v>
      </c>
      <c r="J303" s="159">
        <f t="shared" si="35"/>
        <v>25759.428390648503</v>
      </c>
      <c r="K303" s="159">
        <f t="shared" si="35"/>
        <v>26193.859721555204</v>
      </c>
      <c r="L303" s="159">
        <f t="shared" si="35"/>
        <v>26631.152712328323</v>
      </c>
      <c r="M303" s="159">
        <f t="shared" si="35"/>
        <v>27117.537435174505</v>
      </c>
      <c r="N303" s="159">
        <f t="shared" si="35"/>
        <v>27569.040728894419</v>
      </c>
      <c r="P303" s="2"/>
    </row>
    <row r="304" spans="1:16" x14ac:dyDescent="0.25">
      <c r="B304" s="18">
        <v>6561000002</v>
      </c>
      <c r="C304" s="161" t="s">
        <v>176</v>
      </c>
      <c r="D304" s="161" t="s">
        <v>38</v>
      </c>
      <c r="E304" s="161" t="s">
        <v>151</v>
      </c>
      <c r="F304" s="155">
        <v>140385.98579111521</v>
      </c>
      <c r="G304" s="162">
        <f>+VLOOKUP(B304,'5.3 Var OPEX 2023-25'!$B$4:$D$160,3,0)</f>
        <v>4.4009396000000096E-2</v>
      </c>
      <c r="H304" s="163" t="s">
        <v>190</v>
      </c>
      <c r="I304" s="300">
        <f t="shared" si="32"/>
        <v>143846.30489096092</v>
      </c>
      <c r="J304" s="159">
        <f t="shared" si="35"/>
        <v>147090.29655400678</v>
      </c>
      <c r="K304" s="159">
        <f t="shared" si="35"/>
        <v>149570.96624614234</v>
      </c>
      <c r="L304" s="159">
        <f t="shared" si="35"/>
        <v>152067.97645608775</v>
      </c>
      <c r="M304" s="159">
        <f t="shared" si="35"/>
        <v>154845.30800389321</v>
      </c>
      <c r="N304" s="159">
        <f t="shared" si="35"/>
        <v>157423.46122846098</v>
      </c>
      <c r="P304" s="2"/>
    </row>
    <row r="305" spans="1:16" x14ac:dyDescent="0.25">
      <c r="B305" s="18">
        <v>6561000003</v>
      </c>
      <c r="C305" s="161" t="s">
        <v>176</v>
      </c>
      <c r="D305" s="161" t="s">
        <v>38</v>
      </c>
      <c r="E305" s="161" t="s">
        <v>152</v>
      </c>
      <c r="F305" s="155">
        <v>449951.38789417932</v>
      </c>
      <c r="G305" s="162">
        <f>+VLOOKUP(B305,'5.3 Var OPEX 2023-25'!$B$4:$D$160,3,0)</f>
        <v>9.8026320203328909E-2</v>
      </c>
      <c r="H305" s="163" t="s">
        <v>190</v>
      </c>
      <c r="I305" s="300">
        <f t="shared" si="32"/>
        <v>484896.32566516643</v>
      </c>
      <c r="J305" s="159">
        <f t="shared" ref="J305:N314" si="36">+IF(OR($C305="No Imputables",$H305="m2 fijo"),I305,I305*(1+J$6*J$7))</f>
        <v>495831.6057830099</v>
      </c>
      <c r="K305" s="159">
        <f t="shared" si="36"/>
        <v>504193.77831025893</v>
      </c>
      <c r="L305" s="159">
        <f t="shared" si="36"/>
        <v>512611.03363613429</v>
      </c>
      <c r="M305" s="159">
        <f t="shared" si="36"/>
        <v>521973.23354600096</v>
      </c>
      <c r="N305" s="159">
        <f t="shared" si="36"/>
        <v>530664.01657683623</v>
      </c>
      <c r="P305" s="2"/>
    </row>
    <row r="306" spans="1:16" x14ac:dyDescent="0.25">
      <c r="B306" s="18">
        <v>6561000004</v>
      </c>
      <c r="C306" s="161" t="s">
        <v>176</v>
      </c>
      <c r="D306" s="161" t="s">
        <v>38</v>
      </c>
      <c r="E306" s="161" t="s">
        <v>153</v>
      </c>
      <c r="F306" s="155">
        <v>179589.41451470851</v>
      </c>
      <c r="G306" s="162">
        <f>+VLOOKUP(B306,'5.3 Var OPEX 2023-25'!$B$4:$D$160,3,0)</f>
        <v>4.4009396000000096E-2</v>
      </c>
      <c r="H306" s="163" t="s">
        <v>190</v>
      </c>
      <c r="I306" s="300">
        <f t="shared" si="32"/>
        <v>184016.04355231067</v>
      </c>
      <c r="J306" s="159">
        <f t="shared" si="36"/>
        <v>188165.93472680336</v>
      </c>
      <c r="K306" s="159">
        <f t="shared" si="36"/>
        <v>191339.34277821588</v>
      </c>
      <c r="L306" s="159">
        <f t="shared" si="36"/>
        <v>194533.65451178583</v>
      </c>
      <c r="M306" s="159">
        <f t="shared" si="36"/>
        <v>198086.56859913468</v>
      </c>
      <c r="N306" s="159">
        <f t="shared" si="36"/>
        <v>201384.68290534656</v>
      </c>
      <c r="P306" s="2"/>
    </row>
    <row r="307" spans="1:16" x14ac:dyDescent="0.25">
      <c r="B307" s="18">
        <v>6561000005</v>
      </c>
      <c r="C307" s="161" t="s">
        <v>176</v>
      </c>
      <c r="D307" s="161" t="s">
        <v>38</v>
      </c>
      <c r="E307" s="161" t="s">
        <v>154</v>
      </c>
      <c r="F307" s="155">
        <v>1014.7016640260002</v>
      </c>
      <c r="G307" s="162">
        <f>+VLOOKUP(B307,'5.3 Var OPEX 2023-25'!$B$4:$D$160,3,0)</f>
        <v>4.4009396000000096E-2</v>
      </c>
      <c r="H307" s="163" t="s">
        <v>190</v>
      </c>
      <c r="I307" s="300">
        <f t="shared" si="32"/>
        <v>1039.7126473437995</v>
      </c>
      <c r="J307" s="159">
        <f t="shared" si="36"/>
        <v>1063.1600286477776</v>
      </c>
      <c r="K307" s="159">
        <f t="shared" si="36"/>
        <v>1081.0901635563587</v>
      </c>
      <c r="L307" s="159">
        <f t="shared" si="36"/>
        <v>1099.1384067684091</v>
      </c>
      <c r="M307" s="159">
        <f t="shared" si="36"/>
        <v>1119.2127961544218</v>
      </c>
      <c r="N307" s="159">
        <f t="shared" si="36"/>
        <v>1137.8475363127125</v>
      </c>
      <c r="P307" s="2"/>
    </row>
    <row r="308" spans="1:16" x14ac:dyDescent="0.25">
      <c r="B308" s="18">
        <v>6562000001</v>
      </c>
      <c r="C308" s="161" t="s">
        <v>176</v>
      </c>
      <c r="D308" s="161" t="s">
        <v>38</v>
      </c>
      <c r="E308" s="161" t="s">
        <v>155</v>
      </c>
      <c r="F308" s="155">
        <v>0</v>
      </c>
      <c r="G308" s="162">
        <f>+VLOOKUP(B308,'5.3 Var OPEX 2023-25'!$B$4:$D$160,3,0)</f>
        <v>4.4009396000000096E-2</v>
      </c>
      <c r="H308" s="163" t="s">
        <v>190</v>
      </c>
      <c r="I308" s="300">
        <f t="shared" si="32"/>
        <v>0</v>
      </c>
      <c r="J308" s="159">
        <f t="shared" si="36"/>
        <v>0</v>
      </c>
      <c r="K308" s="159">
        <f t="shared" si="36"/>
        <v>0</v>
      </c>
      <c r="L308" s="159">
        <f t="shared" si="36"/>
        <v>0</v>
      </c>
      <c r="M308" s="159">
        <f t="shared" si="36"/>
        <v>0</v>
      </c>
      <c r="N308" s="159">
        <f t="shared" si="36"/>
        <v>0</v>
      </c>
      <c r="P308" s="2"/>
    </row>
    <row r="309" spans="1:16" x14ac:dyDescent="0.25">
      <c r="B309" s="18">
        <v>6562000002</v>
      </c>
      <c r="C309" s="161" t="s">
        <v>176</v>
      </c>
      <c r="D309" s="161" t="s">
        <v>38</v>
      </c>
      <c r="E309" s="161" t="s">
        <v>156</v>
      </c>
      <c r="F309" s="155">
        <v>0</v>
      </c>
      <c r="G309" s="162">
        <f>+VLOOKUP(B309,'5.3 Var OPEX 2023-25'!$B$4:$D$160,3,0)</f>
        <v>4.4009396000000096E-2</v>
      </c>
      <c r="H309" s="163" t="s">
        <v>190</v>
      </c>
      <c r="I309" s="300">
        <f t="shared" si="32"/>
        <v>0</v>
      </c>
      <c r="J309" s="159">
        <f t="shared" si="36"/>
        <v>0</v>
      </c>
      <c r="K309" s="159">
        <f t="shared" si="36"/>
        <v>0</v>
      </c>
      <c r="L309" s="159">
        <f t="shared" si="36"/>
        <v>0</v>
      </c>
      <c r="M309" s="159">
        <f t="shared" si="36"/>
        <v>0</v>
      </c>
      <c r="N309" s="159">
        <f t="shared" si="36"/>
        <v>0</v>
      </c>
      <c r="P309" s="2"/>
    </row>
    <row r="310" spans="1:16" x14ac:dyDescent="0.25">
      <c r="B310" s="18">
        <v>6562000003</v>
      </c>
      <c r="C310" s="161" t="s">
        <v>176</v>
      </c>
      <c r="D310" s="161" t="s">
        <v>38</v>
      </c>
      <c r="E310" s="161" t="s">
        <v>157</v>
      </c>
      <c r="F310" s="155">
        <v>391.80883204144607</v>
      </c>
      <c r="G310" s="162">
        <f>+VLOOKUP(B310,'5.3 Var OPEX 2023-25'!$B$4:$D$160,3,0)</f>
        <v>4.4009396000000096E-2</v>
      </c>
      <c r="H310" s="163" t="s">
        <v>190</v>
      </c>
      <c r="I310" s="300">
        <f t="shared" si="32"/>
        <v>401.46637426235242</v>
      </c>
      <c r="J310" s="159">
        <f t="shared" si="36"/>
        <v>410.52015963478544</v>
      </c>
      <c r="K310" s="159">
        <f t="shared" si="36"/>
        <v>417.443559355057</v>
      </c>
      <c r="L310" s="159">
        <f t="shared" si="36"/>
        <v>424.41256447647982</v>
      </c>
      <c r="M310" s="159">
        <f t="shared" si="36"/>
        <v>432.16392957040489</v>
      </c>
      <c r="N310" s="159">
        <f t="shared" si="36"/>
        <v>439.35939995905761</v>
      </c>
      <c r="P310" s="2"/>
    </row>
    <row r="311" spans="1:16" x14ac:dyDescent="0.25">
      <c r="B311" s="18">
        <v>6562000004</v>
      </c>
      <c r="C311" s="161" t="s">
        <v>176</v>
      </c>
      <c r="D311" s="161" t="s">
        <v>38</v>
      </c>
      <c r="E311" s="161" t="s">
        <v>158</v>
      </c>
      <c r="F311" s="155">
        <v>0</v>
      </c>
      <c r="G311" s="162">
        <f>+VLOOKUP(B311,'5.3 Var OPEX 2023-25'!$B$4:$D$160,3,0)</f>
        <v>4.4009396000000096E-2</v>
      </c>
      <c r="H311" s="163" t="s">
        <v>190</v>
      </c>
      <c r="I311" s="300">
        <f t="shared" si="32"/>
        <v>0</v>
      </c>
      <c r="J311" s="159">
        <f t="shared" si="36"/>
        <v>0</v>
      </c>
      <c r="K311" s="159">
        <f t="shared" si="36"/>
        <v>0</v>
      </c>
      <c r="L311" s="159">
        <f t="shared" si="36"/>
        <v>0</v>
      </c>
      <c r="M311" s="159">
        <f t="shared" si="36"/>
        <v>0</v>
      </c>
      <c r="N311" s="159">
        <f t="shared" si="36"/>
        <v>0</v>
      </c>
      <c r="P311" s="2"/>
    </row>
    <row r="312" spans="1:16" x14ac:dyDescent="0.25">
      <c r="B312" s="18">
        <v>6562000005</v>
      </c>
      <c r="C312" s="161" t="s">
        <v>176</v>
      </c>
      <c r="D312" s="161" t="s">
        <v>38</v>
      </c>
      <c r="E312" s="161" t="s">
        <v>159</v>
      </c>
      <c r="F312" s="155">
        <v>0.3190412905808368</v>
      </c>
      <c r="G312" s="162">
        <f>+VLOOKUP(B312,'5.3 Var OPEX 2023-25'!$B$4:$D$160,3,0)</f>
        <v>4.4009396000000096E-2</v>
      </c>
      <c r="H312" s="163" t="s">
        <v>190</v>
      </c>
      <c r="I312" s="300">
        <f t="shared" si="32"/>
        <v>0.32690521421406149</v>
      </c>
      <c r="J312" s="159">
        <f t="shared" si="36"/>
        <v>0.33427751196144201</v>
      </c>
      <c r="K312" s="159">
        <f t="shared" si="36"/>
        <v>0.33991508365795953</v>
      </c>
      <c r="L312" s="159">
        <f t="shared" si="36"/>
        <v>0.34558979082680663</v>
      </c>
      <c r="M312" s="159">
        <f t="shared" si="36"/>
        <v>0.35190155646629973</v>
      </c>
      <c r="N312" s="159">
        <f t="shared" si="36"/>
        <v>0.35776066930755673</v>
      </c>
      <c r="P312" s="2"/>
    </row>
    <row r="313" spans="1:16" x14ac:dyDescent="0.25">
      <c r="B313" s="18">
        <v>6563000001</v>
      </c>
      <c r="C313" s="161" t="s">
        <v>176</v>
      </c>
      <c r="D313" s="161" t="s">
        <v>38</v>
      </c>
      <c r="E313" s="161" t="s">
        <v>160</v>
      </c>
      <c r="F313" s="155">
        <v>0</v>
      </c>
      <c r="G313" s="162">
        <f>+VLOOKUP(B313,'5.3 Var OPEX 2023-25'!$B$4:$D$160,3,0)</f>
        <v>4.4009396000000096E-2</v>
      </c>
      <c r="H313" s="163" t="s">
        <v>190</v>
      </c>
      <c r="I313" s="300">
        <f t="shared" si="32"/>
        <v>0</v>
      </c>
      <c r="J313" s="159">
        <f t="shared" si="36"/>
        <v>0</v>
      </c>
      <c r="K313" s="159">
        <f t="shared" si="36"/>
        <v>0</v>
      </c>
      <c r="L313" s="159">
        <f t="shared" si="36"/>
        <v>0</v>
      </c>
      <c r="M313" s="159">
        <f t="shared" si="36"/>
        <v>0</v>
      </c>
      <c r="N313" s="159">
        <f t="shared" si="36"/>
        <v>0</v>
      </c>
      <c r="P313" s="2"/>
    </row>
    <row r="314" spans="1:16" x14ac:dyDescent="0.25">
      <c r="B314" s="18">
        <v>6563000002</v>
      </c>
      <c r="C314" s="161" t="s">
        <v>176</v>
      </c>
      <c r="D314" s="161" t="s">
        <v>38</v>
      </c>
      <c r="E314" s="161" t="s">
        <v>161</v>
      </c>
      <c r="F314" s="155">
        <v>0</v>
      </c>
      <c r="G314" s="162">
        <f>+VLOOKUP(B314,'5.3 Var OPEX 2023-25'!$B$4:$D$160,3,0)</f>
        <v>4.4009396000000096E-2</v>
      </c>
      <c r="H314" s="163" t="s">
        <v>190</v>
      </c>
      <c r="I314" s="300">
        <f t="shared" si="32"/>
        <v>0</v>
      </c>
      <c r="J314" s="159">
        <f t="shared" si="36"/>
        <v>0</v>
      </c>
      <c r="K314" s="159">
        <f t="shared" si="36"/>
        <v>0</v>
      </c>
      <c r="L314" s="159">
        <f t="shared" si="36"/>
        <v>0</v>
      </c>
      <c r="M314" s="159">
        <f t="shared" si="36"/>
        <v>0</v>
      </c>
      <c r="N314" s="159">
        <f t="shared" si="36"/>
        <v>0</v>
      </c>
      <c r="P314" s="2"/>
    </row>
    <row r="315" spans="1:16" x14ac:dyDescent="0.25">
      <c r="B315" s="18">
        <v>6563000003</v>
      </c>
      <c r="C315" s="161" t="s">
        <v>176</v>
      </c>
      <c r="D315" s="161" t="s">
        <v>38</v>
      </c>
      <c r="E315" s="161" t="s">
        <v>162</v>
      </c>
      <c r="F315" s="155">
        <v>0</v>
      </c>
      <c r="G315" s="162">
        <f>+VLOOKUP(B315,'5.3 Var OPEX 2023-25'!$B$4:$D$160,3,0)</f>
        <v>4.4009396000000096E-2</v>
      </c>
      <c r="H315" s="163" t="s">
        <v>190</v>
      </c>
      <c r="I315" s="300">
        <f t="shared" si="32"/>
        <v>0</v>
      </c>
      <c r="J315" s="159">
        <f t="shared" ref="J315:N324" si="37">+IF(OR($C315="No Imputables",$H315="m2 fijo"),I315,I315*(1+J$6*J$7))</f>
        <v>0</v>
      </c>
      <c r="K315" s="159">
        <f t="shared" si="37"/>
        <v>0</v>
      </c>
      <c r="L315" s="159">
        <f t="shared" si="37"/>
        <v>0</v>
      </c>
      <c r="M315" s="159">
        <f t="shared" si="37"/>
        <v>0</v>
      </c>
      <c r="N315" s="159">
        <f t="shared" si="37"/>
        <v>0</v>
      </c>
      <c r="P315" s="2"/>
    </row>
    <row r="316" spans="1:16" x14ac:dyDescent="0.25">
      <c r="B316" s="18">
        <v>6563000004</v>
      </c>
      <c r="C316" s="161" t="s">
        <v>176</v>
      </c>
      <c r="D316" s="161" t="s">
        <v>38</v>
      </c>
      <c r="E316" s="161" t="s">
        <v>163</v>
      </c>
      <c r="F316" s="155">
        <v>0</v>
      </c>
      <c r="G316" s="162">
        <f>+VLOOKUP(B316,'5.3 Var OPEX 2023-25'!$B$4:$D$160,3,0)</f>
        <v>4.4009396000000096E-2</v>
      </c>
      <c r="H316" s="163" t="s">
        <v>190</v>
      </c>
      <c r="I316" s="300">
        <f t="shared" si="32"/>
        <v>0</v>
      </c>
      <c r="J316" s="159">
        <f t="shared" si="37"/>
        <v>0</v>
      </c>
      <c r="K316" s="159">
        <f t="shared" si="37"/>
        <v>0</v>
      </c>
      <c r="L316" s="159">
        <f t="shared" si="37"/>
        <v>0</v>
      </c>
      <c r="M316" s="159">
        <f t="shared" si="37"/>
        <v>0</v>
      </c>
      <c r="N316" s="159">
        <f t="shared" si="37"/>
        <v>0</v>
      </c>
      <c r="P316" s="2"/>
    </row>
    <row r="317" spans="1:16" x14ac:dyDescent="0.25">
      <c r="B317" s="18">
        <v>6563000005</v>
      </c>
      <c r="C317" s="161" t="s">
        <v>176</v>
      </c>
      <c r="D317" s="161" t="s">
        <v>38</v>
      </c>
      <c r="E317" s="161" t="s">
        <v>164</v>
      </c>
      <c r="F317" s="155">
        <v>0</v>
      </c>
      <c r="G317" s="162">
        <f>+VLOOKUP(B317,'5.3 Var OPEX 2023-25'!$B$4:$D$160,3,0)</f>
        <v>4.4009396000000096E-2</v>
      </c>
      <c r="H317" s="163" t="s">
        <v>190</v>
      </c>
      <c r="I317" s="300">
        <f t="shared" si="32"/>
        <v>0</v>
      </c>
      <c r="J317" s="159">
        <f t="shared" si="37"/>
        <v>0</v>
      </c>
      <c r="K317" s="159">
        <f t="shared" si="37"/>
        <v>0</v>
      </c>
      <c r="L317" s="159">
        <f t="shared" si="37"/>
        <v>0</v>
      </c>
      <c r="M317" s="159">
        <f t="shared" si="37"/>
        <v>0</v>
      </c>
      <c r="N317" s="159">
        <f t="shared" si="37"/>
        <v>0</v>
      </c>
      <c r="P317" s="2"/>
    </row>
    <row r="318" spans="1:16" x14ac:dyDescent="0.25">
      <c r="B318" s="18">
        <v>6590000001</v>
      </c>
      <c r="C318" s="161" t="s">
        <v>176</v>
      </c>
      <c r="D318" s="161" t="s">
        <v>38</v>
      </c>
      <c r="E318" s="161" t="s">
        <v>165</v>
      </c>
      <c r="F318" s="155">
        <v>0</v>
      </c>
      <c r="G318" s="162">
        <f>+VLOOKUP(B318,'5.3 Var OPEX 2023-25'!$B$4:$D$160,3,0)</f>
        <v>4.4009396000000096E-2</v>
      </c>
      <c r="H318" s="163" t="s">
        <v>190</v>
      </c>
      <c r="I318" s="300">
        <f t="shared" si="32"/>
        <v>0</v>
      </c>
      <c r="J318" s="159">
        <f t="shared" si="37"/>
        <v>0</v>
      </c>
      <c r="K318" s="159">
        <f t="shared" si="37"/>
        <v>0</v>
      </c>
      <c r="L318" s="159">
        <f t="shared" si="37"/>
        <v>0</v>
      </c>
      <c r="M318" s="159">
        <f t="shared" si="37"/>
        <v>0</v>
      </c>
      <c r="N318" s="159">
        <f t="shared" si="37"/>
        <v>0</v>
      </c>
      <c r="P318" s="2"/>
    </row>
    <row r="319" spans="1:16" x14ac:dyDescent="0.25">
      <c r="B319" s="18">
        <v>6590000002</v>
      </c>
      <c r="C319" s="161" t="s">
        <v>176</v>
      </c>
      <c r="D319" s="161" t="s">
        <v>38</v>
      </c>
      <c r="E319" s="161" t="s">
        <v>166</v>
      </c>
      <c r="F319" s="155">
        <v>1709.2446633906632</v>
      </c>
      <c r="G319" s="162">
        <f>+VLOOKUP(B319,'5.3 Var OPEX 2023-25'!$B$4:$D$160,3,0)</f>
        <v>4.4009396000000096E-2</v>
      </c>
      <c r="H319" s="163" t="s">
        <v>190</v>
      </c>
      <c r="I319" s="300">
        <f t="shared" si="32"/>
        <v>1751.375164677597</v>
      </c>
      <c r="J319" s="159">
        <f t="shared" si="37"/>
        <v>1790.8718096375519</v>
      </c>
      <c r="K319" s="159">
        <f t="shared" si="37"/>
        <v>1821.0747633656158</v>
      </c>
      <c r="L319" s="159">
        <f t="shared" si="37"/>
        <v>1851.476668169217</v>
      </c>
      <c r="M319" s="159">
        <f t="shared" si="37"/>
        <v>1885.2915756886641</v>
      </c>
      <c r="N319" s="159">
        <f t="shared" si="37"/>
        <v>1916.6814228707949</v>
      </c>
      <c r="P319" s="2"/>
    </row>
    <row r="320" spans="1:16" x14ac:dyDescent="0.25">
      <c r="A320" s="38"/>
      <c r="B320" s="18">
        <v>6590000003</v>
      </c>
      <c r="C320" s="161" t="s">
        <v>176</v>
      </c>
      <c r="D320" s="161" t="s">
        <v>38</v>
      </c>
      <c r="E320" s="161" t="s">
        <v>167</v>
      </c>
      <c r="F320" s="155">
        <v>0</v>
      </c>
      <c r="G320" s="162">
        <f>+VLOOKUP(B320,'5.3 Var OPEX 2023-25'!$B$4:$D$160,3,0)</f>
        <v>4.4009396000000096E-2</v>
      </c>
      <c r="H320" s="163" t="s">
        <v>190</v>
      </c>
      <c r="I320" s="300">
        <f t="shared" si="32"/>
        <v>0</v>
      </c>
      <c r="J320" s="159">
        <f t="shared" si="37"/>
        <v>0</v>
      </c>
      <c r="K320" s="159">
        <f t="shared" si="37"/>
        <v>0</v>
      </c>
      <c r="L320" s="159">
        <f t="shared" si="37"/>
        <v>0</v>
      </c>
      <c r="M320" s="159">
        <f t="shared" si="37"/>
        <v>0</v>
      </c>
      <c r="N320" s="159">
        <f t="shared" si="37"/>
        <v>0</v>
      </c>
      <c r="P320" s="2"/>
    </row>
    <row r="321" spans="1:16" x14ac:dyDescent="0.25">
      <c r="B321" s="18">
        <v>6590000004</v>
      </c>
      <c r="C321" s="161" t="s">
        <v>176</v>
      </c>
      <c r="D321" s="161" t="s">
        <v>38</v>
      </c>
      <c r="E321" s="161" t="s">
        <v>168</v>
      </c>
      <c r="F321" s="155">
        <v>118.07812911802105</v>
      </c>
      <c r="G321" s="162">
        <f>+VLOOKUP(B321,'5.3 Var OPEX 2023-25'!$B$4:$D$160,3,0)</f>
        <v>4.4009396000000096E-2</v>
      </c>
      <c r="H321" s="163" t="s">
        <v>190</v>
      </c>
      <c r="I321" s="300">
        <f t="shared" si="32"/>
        <v>120.98859060859381</v>
      </c>
      <c r="J321" s="159">
        <f t="shared" si="37"/>
        <v>123.71709989880786</v>
      </c>
      <c r="K321" s="159">
        <f t="shared" si="37"/>
        <v>125.80358192588839</v>
      </c>
      <c r="L321" s="159">
        <f t="shared" si="37"/>
        <v>127.90380790156132</v>
      </c>
      <c r="M321" s="159">
        <f t="shared" si="37"/>
        <v>130.23981110912706</v>
      </c>
      <c r="N321" s="159">
        <f t="shared" si="37"/>
        <v>132.40828617179832</v>
      </c>
      <c r="P321" s="2"/>
    </row>
    <row r="322" spans="1:16" x14ac:dyDescent="0.25">
      <c r="A322" s="38"/>
      <c r="B322" s="18">
        <v>6590000005</v>
      </c>
      <c r="C322" s="161" t="s">
        <v>176</v>
      </c>
      <c r="D322" s="161" t="s">
        <v>38</v>
      </c>
      <c r="E322" s="161" t="s">
        <v>169</v>
      </c>
      <c r="F322" s="155">
        <v>0</v>
      </c>
      <c r="G322" s="162">
        <f>+VLOOKUP(B322,'5.3 Var OPEX 2023-25'!$B$4:$D$160,3,0)</f>
        <v>4.4009396000000096E-2</v>
      </c>
      <c r="H322" s="163" t="s">
        <v>190</v>
      </c>
      <c r="I322" s="300">
        <f t="shared" si="32"/>
        <v>0</v>
      </c>
      <c r="J322" s="159">
        <f t="shared" si="37"/>
        <v>0</v>
      </c>
      <c r="K322" s="159">
        <f t="shared" si="37"/>
        <v>0</v>
      </c>
      <c r="L322" s="159">
        <f t="shared" si="37"/>
        <v>0</v>
      </c>
      <c r="M322" s="159">
        <f t="shared" si="37"/>
        <v>0</v>
      </c>
      <c r="N322" s="159">
        <f t="shared" si="37"/>
        <v>0</v>
      </c>
      <c r="P322" s="2"/>
    </row>
    <row r="323" spans="1:16" x14ac:dyDescent="0.25">
      <c r="A323" s="38"/>
      <c r="B323" s="18">
        <v>6590000006</v>
      </c>
      <c r="C323" s="161" t="s">
        <v>176</v>
      </c>
      <c r="D323" s="161" t="s">
        <v>38</v>
      </c>
      <c r="E323" s="161" t="s">
        <v>170</v>
      </c>
      <c r="F323" s="155">
        <v>0</v>
      </c>
      <c r="G323" s="162">
        <f>+VLOOKUP(B323,'5.3 Var OPEX 2023-25'!$B$4:$D$160,3,0)</f>
        <v>0.55350740986062807</v>
      </c>
      <c r="H323" s="163" t="s">
        <v>190</v>
      </c>
      <c r="I323" s="300">
        <f t="shared" si="32"/>
        <v>0</v>
      </c>
      <c r="J323" s="159">
        <f t="shared" si="37"/>
        <v>0</v>
      </c>
      <c r="K323" s="159">
        <f t="shared" si="37"/>
        <v>0</v>
      </c>
      <c r="L323" s="159">
        <f t="shared" si="37"/>
        <v>0</v>
      </c>
      <c r="M323" s="159">
        <f t="shared" si="37"/>
        <v>0</v>
      </c>
      <c r="N323" s="159">
        <f t="shared" si="37"/>
        <v>0</v>
      </c>
      <c r="P323" s="2"/>
    </row>
    <row r="324" spans="1:16" x14ac:dyDescent="0.25">
      <c r="B324" s="18">
        <v>6590000007</v>
      </c>
      <c r="C324" s="161" t="s">
        <v>176</v>
      </c>
      <c r="D324" s="161" t="s">
        <v>38</v>
      </c>
      <c r="E324" s="161" t="s">
        <v>171</v>
      </c>
      <c r="F324" s="155">
        <v>0</v>
      </c>
      <c r="G324" s="162">
        <f>+VLOOKUP(B324,'5.3 Var OPEX 2023-25'!$B$4:$D$160,3,0)</f>
        <v>4.4009396000000096E-2</v>
      </c>
      <c r="H324" s="163" t="s">
        <v>190</v>
      </c>
      <c r="I324" s="300">
        <f t="shared" si="32"/>
        <v>0</v>
      </c>
      <c r="J324" s="159">
        <f t="shared" si="37"/>
        <v>0</v>
      </c>
      <c r="K324" s="159">
        <f t="shared" si="37"/>
        <v>0</v>
      </c>
      <c r="L324" s="159">
        <f t="shared" si="37"/>
        <v>0</v>
      </c>
      <c r="M324" s="159">
        <f t="shared" si="37"/>
        <v>0</v>
      </c>
      <c r="N324" s="159">
        <f t="shared" si="37"/>
        <v>0</v>
      </c>
      <c r="P324" s="2"/>
    </row>
    <row r="325" spans="1:16" x14ac:dyDescent="0.25">
      <c r="B325" s="18">
        <v>6590000010</v>
      </c>
      <c r="C325" s="161" t="s">
        <v>176</v>
      </c>
      <c r="D325" s="161" t="s">
        <v>38</v>
      </c>
      <c r="E325" s="161" t="s">
        <v>172</v>
      </c>
      <c r="F325" s="155">
        <v>0</v>
      </c>
      <c r="G325" s="162">
        <f>+VLOOKUP(B325,'5.3 Var OPEX 2023-25'!$B$4:$D$160,3,0)</f>
        <v>4.4009396000000096E-2</v>
      </c>
      <c r="H325" s="163" t="s">
        <v>190</v>
      </c>
      <c r="I325" s="300">
        <f t="shared" si="32"/>
        <v>0</v>
      </c>
      <c r="J325" s="159">
        <f t="shared" ref="J325:N334" si="38">+IF(OR($C325="No Imputables",$H325="m2 fijo"),I325,I325*(1+J$6*J$7))</f>
        <v>0</v>
      </c>
      <c r="K325" s="159">
        <f t="shared" si="38"/>
        <v>0</v>
      </c>
      <c r="L325" s="159">
        <f t="shared" si="38"/>
        <v>0</v>
      </c>
      <c r="M325" s="159">
        <f t="shared" si="38"/>
        <v>0</v>
      </c>
      <c r="N325" s="159">
        <f t="shared" si="38"/>
        <v>0</v>
      </c>
      <c r="P325" s="2"/>
    </row>
    <row r="326" spans="1:16" x14ac:dyDescent="0.25">
      <c r="B326" s="18">
        <v>6590000011</v>
      </c>
      <c r="C326" s="161" t="s">
        <v>176</v>
      </c>
      <c r="D326" s="161" t="s">
        <v>38</v>
      </c>
      <c r="E326" s="161" t="s">
        <v>173</v>
      </c>
      <c r="F326" s="155">
        <v>0</v>
      </c>
      <c r="G326" s="162">
        <f>+VLOOKUP(B326,'5.3 Var OPEX 2023-25'!$B$4:$D$160,3,0)</f>
        <v>4.4009396000000096E-2</v>
      </c>
      <c r="H326" s="163" t="s">
        <v>190</v>
      </c>
      <c r="I326" s="300">
        <f t="shared" si="32"/>
        <v>0</v>
      </c>
      <c r="J326" s="159">
        <f t="shared" si="38"/>
        <v>0</v>
      </c>
      <c r="K326" s="159">
        <f t="shared" si="38"/>
        <v>0</v>
      </c>
      <c r="L326" s="159">
        <f t="shared" si="38"/>
        <v>0</v>
      </c>
      <c r="M326" s="159">
        <f t="shared" si="38"/>
        <v>0</v>
      </c>
      <c r="N326" s="159">
        <f t="shared" si="38"/>
        <v>0</v>
      </c>
      <c r="P326" s="2"/>
    </row>
    <row r="327" spans="1:16" x14ac:dyDescent="0.25">
      <c r="A327" s="38"/>
      <c r="B327" s="18">
        <v>6840000001</v>
      </c>
      <c r="C327" s="161" t="s">
        <v>176</v>
      </c>
      <c r="D327" s="161" t="s">
        <v>38</v>
      </c>
      <c r="E327" s="161" t="s">
        <v>174</v>
      </c>
      <c r="F327" s="155">
        <v>0</v>
      </c>
      <c r="G327" s="162">
        <f>+VLOOKUP(B327,'5.3 Var OPEX 2023-25'!$B$4:$D$160,3,0)</f>
        <v>4.4009396000000096E-2</v>
      </c>
      <c r="H327" s="163" t="s">
        <v>190</v>
      </c>
      <c r="I327" s="300">
        <f t="shared" si="32"/>
        <v>0</v>
      </c>
      <c r="J327" s="159">
        <f t="shared" si="38"/>
        <v>0</v>
      </c>
      <c r="K327" s="159">
        <f t="shared" si="38"/>
        <v>0</v>
      </c>
      <c r="L327" s="159">
        <f t="shared" si="38"/>
        <v>0</v>
      </c>
      <c r="M327" s="159">
        <f t="shared" si="38"/>
        <v>0</v>
      </c>
      <c r="N327" s="159">
        <f t="shared" si="38"/>
        <v>0</v>
      </c>
      <c r="P327" s="2"/>
    </row>
    <row r="328" spans="1:16" x14ac:dyDescent="0.25">
      <c r="A328" s="38"/>
      <c r="B328" s="18">
        <v>8710000001</v>
      </c>
      <c r="C328" s="161" t="s">
        <v>176</v>
      </c>
      <c r="D328" s="161" t="s">
        <v>14</v>
      </c>
      <c r="E328" s="161" t="s">
        <v>175</v>
      </c>
      <c r="F328" s="155">
        <v>0</v>
      </c>
      <c r="G328" s="162">
        <f>+VLOOKUP(B328,'5.3 Var OPEX 2023-25'!$B$4:$D$160,3,0)</f>
        <v>0</v>
      </c>
      <c r="H328" s="163" t="s">
        <v>190</v>
      </c>
      <c r="I328" s="300">
        <f t="shared" si="32"/>
        <v>0</v>
      </c>
      <c r="J328" s="159">
        <f t="shared" si="38"/>
        <v>0</v>
      </c>
      <c r="K328" s="159">
        <f t="shared" si="38"/>
        <v>0</v>
      </c>
      <c r="L328" s="159">
        <f t="shared" si="38"/>
        <v>0</v>
      </c>
      <c r="M328" s="159">
        <f t="shared" si="38"/>
        <v>0</v>
      </c>
      <c r="N328" s="159">
        <f t="shared" si="38"/>
        <v>0</v>
      </c>
      <c r="P328" s="2"/>
    </row>
    <row r="329" spans="1:16" x14ac:dyDescent="0.25">
      <c r="B329" s="18">
        <v>6211000001</v>
      </c>
      <c r="C329" s="161" t="s">
        <v>177</v>
      </c>
      <c r="D329" s="161" t="s">
        <v>14</v>
      </c>
      <c r="E329" s="161" t="s">
        <v>15</v>
      </c>
      <c r="F329" s="155">
        <v>1619818.6656390617</v>
      </c>
      <c r="G329" s="162">
        <f>+VLOOKUP(B329,'5.3 Var OPEX 2023-25'!$B$4:$D$160,3,0)</f>
        <v>0.39130162327539963</v>
      </c>
      <c r="H329" s="163" t="s">
        <v>190</v>
      </c>
      <c r="I329" s="300">
        <f t="shared" si="32"/>
        <v>2211863.0722136842</v>
      </c>
      <c r="J329" s="159">
        <f t="shared" si="38"/>
        <v>2211863.0722136842</v>
      </c>
      <c r="K329" s="159">
        <f t="shared" si="38"/>
        <v>2211863.0722136842</v>
      </c>
      <c r="L329" s="159">
        <f t="shared" si="38"/>
        <v>2211863.0722136842</v>
      </c>
      <c r="M329" s="159">
        <f t="shared" si="38"/>
        <v>2211863.0722136842</v>
      </c>
      <c r="N329" s="159">
        <f t="shared" si="38"/>
        <v>2211863.0722136842</v>
      </c>
      <c r="P329" s="2"/>
    </row>
    <row r="330" spans="1:16" x14ac:dyDescent="0.25">
      <c r="B330" s="18">
        <v>6212000001</v>
      </c>
      <c r="C330" s="161" t="s">
        <v>177</v>
      </c>
      <c r="D330" s="161" t="s">
        <v>14</v>
      </c>
      <c r="E330" s="161" t="s">
        <v>16</v>
      </c>
      <c r="F330" s="155">
        <v>390657.47398890735</v>
      </c>
      <c r="G330" s="162">
        <f>+VLOOKUP(B330,'5.3 Var OPEX 2023-25'!$B$4:$D$160,3,0)</f>
        <v>0.39130162327539963</v>
      </c>
      <c r="H330" s="163" t="s">
        <v>190</v>
      </c>
      <c r="I330" s="300">
        <f t="shared" si="32"/>
        <v>533442.94576296851</v>
      </c>
      <c r="J330" s="159">
        <f t="shared" si="38"/>
        <v>533442.94576296851</v>
      </c>
      <c r="K330" s="159">
        <f t="shared" si="38"/>
        <v>533442.94576296851</v>
      </c>
      <c r="L330" s="159">
        <f t="shared" si="38"/>
        <v>533442.94576296851</v>
      </c>
      <c r="M330" s="159">
        <f t="shared" si="38"/>
        <v>533442.94576296851</v>
      </c>
      <c r="N330" s="159">
        <f t="shared" si="38"/>
        <v>533442.94576296851</v>
      </c>
      <c r="P330" s="2"/>
    </row>
    <row r="331" spans="1:16" x14ac:dyDescent="0.25">
      <c r="B331" s="18">
        <v>6213000001</v>
      </c>
      <c r="C331" s="161" t="s">
        <v>177</v>
      </c>
      <c r="D331" s="161" t="s">
        <v>14</v>
      </c>
      <c r="E331" s="161" t="s">
        <v>17</v>
      </c>
      <c r="F331" s="155">
        <v>145870.87799893142</v>
      </c>
      <c r="G331" s="162">
        <f>+VLOOKUP(B331,'5.3 Var OPEX 2023-25'!$B$4:$D$160,3,0)</f>
        <v>0.39130162327539963</v>
      </c>
      <c r="H331" s="163" t="s">
        <v>190</v>
      </c>
      <c r="I331" s="300">
        <f t="shared" si="32"/>
        <v>199186.74552989629</v>
      </c>
      <c r="J331" s="159">
        <f t="shared" si="38"/>
        <v>199186.74552989629</v>
      </c>
      <c r="K331" s="159">
        <f t="shared" si="38"/>
        <v>199186.74552989629</v>
      </c>
      <c r="L331" s="159">
        <f t="shared" si="38"/>
        <v>199186.74552989629</v>
      </c>
      <c r="M331" s="159">
        <f t="shared" si="38"/>
        <v>199186.74552989629</v>
      </c>
      <c r="N331" s="159">
        <f t="shared" si="38"/>
        <v>199186.74552989629</v>
      </c>
      <c r="P331" s="2"/>
    </row>
    <row r="332" spans="1:16" x14ac:dyDescent="0.25">
      <c r="B332" s="18">
        <v>6214000001</v>
      </c>
      <c r="C332" s="161" t="s">
        <v>177</v>
      </c>
      <c r="D332" s="161" t="s">
        <v>14</v>
      </c>
      <c r="E332" s="161" t="s">
        <v>18</v>
      </c>
      <c r="F332" s="155">
        <v>4743.8508696617118</v>
      </c>
      <c r="G332" s="162">
        <f>+VLOOKUP(B332,'5.3 Var OPEX 2023-25'!$B$4:$D$160,3,0)</f>
        <v>0.39130162327539963</v>
      </c>
      <c r="H332" s="163" t="s">
        <v>190</v>
      </c>
      <c r="I332" s="300">
        <f t="shared" si="32"/>
        <v>6477.7303665369491</v>
      </c>
      <c r="J332" s="159">
        <f t="shared" si="38"/>
        <v>6477.7303665369491</v>
      </c>
      <c r="K332" s="159">
        <f t="shared" si="38"/>
        <v>6477.7303665369491</v>
      </c>
      <c r="L332" s="159">
        <f t="shared" si="38"/>
        <v>6477.7303665369491</v>
      </c>
      <c r="M332" s="159">
        <f t="shared" si="38"/>
        <v>6477.7303665369491</v>
      </c>
      <c r="N332" s="159">
        <f t="shared" si="38"/>
        <v>6477.7303665369491</v>
      </c>
      <c r="P332" s="2"/>
    </row>
    <row r="333" spans="1:16" x14ac:dyDescent="0.25">
      <c r="B333" s="18">
        <v>6221000001</v>
      </c>
      <c r="C333" s="161" t="s">
        <v>177</v>
      </c>
      <c r="D333" s="161" t="s">
        <v>14</v>
      </c>
      <c r="E333" s="161" t="s">
        <v>19</v>
      </c>
      <c r="F333" s="155">
        <v>40244.098474970247</v>
      </c>
      <c r="G333" s="162">
        <f>+VLOOKUP(B333,'5.3 Var OPEX 2023-25'!$B$4:$D$160,3,0)</f>
        <v>0.39130162327539963</v>
      </c>
      <c r="H333" s="163" t="s">
        <v>190</v>
      </c>
      <c r="I333" s="300">
        <f t="shared" si="32"/>
        <v>54953.333468471399</v>
      </c>
      <c r="J333" s="159">
        <f t="shared" si="38"/>
        <v>54953.333468471399</v>
      </c>
      <c r="K333" s="159">
        <f t="shared" si="38"/>
        <v>54953.333468471399</v>
      </c>
      <c r="L333" s="159">
        <f t="shared" si="38"/>
        <v>54953.333468471399</v>
      </c>
      <c r="M333" s="159">
        <f t="shared" si="38"/>
        <v>54953.333468471399</v>
      </c>
      <c r="N333" s="159">
        <f t="shared" si="38"/>
        <v>54953.333468471399</v>
      </c>
      <c r="P333" s="2"/>
    </row>
    <row r="334" spans="1:16" x14ac:dyDescent="0.25">
      <c r="B334" s="18">
        <v>6231000001</v>
      </c>
      <c r="C334" s="161" t="s">
        <v>177</v>
      </c>
      <c r="D334" s="161" t="s">
        <v>14</v>
      </c>
      <c r="E334" s="161" t="s">
        <v>20</v>
      </c>
      <c r="F334" s="155">
        <v>0</v>
      </c>
      <c r="G334" s="162">
        <f>+VLOOKUP(B334,'5.3 Var OPEX 2023-25'!$B$4:$D$160,3,0)</f>
        <v>0.39130162327539963</v>
      </c>
      <c r="H334" s="163" t="s">
        <v>190</v>
      </c>
      <c r="I334" s="300">
        <f t="shared" si="32"/>
        <v>0</v>
      </c>
      <c r="J334" s="159">
        <f t="shared" si="38"/>
        <v>0</v>
      </c>
      <c r="K334" s="159">
        <f t="shared" si="38"/>
        <v>0</v>
      </c>
      <c r="L334" s="159">
        <f t="shared" si="38"/>
        <v>0</v>
      </c>
      <c r="M334" s="159">
        <f t="shared" si="38"/>
        <v>0</v>
      </c>
      <c r="N334" s="159">
        <f t="shared" si="38"/>
        <v>0</v>
      </c>
      <c r="P334" s="2"/>
    </row>
    <row r="335" spans="1:16" x14ac:dyDescent="0.25">
      <c r="B335" s="18">
        <v>6240000001</v>
      </c>
      <c r="C335" s="161" t="s">
        <v>177</v>
      </c>
      <c r="D335" s="161" t="s">
        <v>14</v>
      </c>
      <c r="E335" s="161" t="s">
        <v>21</v>
      </c>
      <c r="F335" s="155">
        <v>16506.753532328494</v>
      </c>
      <c r="G335" s="162">
        <f>+VLOOKUP(B335,'5.3 Var OPEX 2023-25'!$B$4:$D$160,3,0)</f>
        <v>0.39130162327539963</v>
      </c>
      <c r="H335" s="163" t="s">
        <v>190</v>
      </c>
      <c r="I335" s="300">
        <f t="shared" ref="I335:I398" si="39">+F335*(1+G335)/$I$8</f>
        <v>22539.978921582402</v>
      </c>
      <c r="J335" s="159">
        <f t="shared" ref="J335:N344" si="40">+IF(OR($C335="No Imputables",$H335="m2 fijo"),I335,I335*(1+J$6*J$7))</f>
        <v>22539.978921582402</v>
      </c>
      <c r="K335" s="159">
        <f t="shared" si="40"/>
        <v>22539.978921582402</v>
      </c>
      <c r="L335" s="159">
        <f t="shared" si="40"/>
        <v>22539.978921582402</v>
      </c>
      <c r="M335" s="159">
        <f t="shared" si="40"/>
        <v>22539.978921582402</v>
      </c>
      <c r="N335" s="159">
        <f t="shared" si="40"/>
        <v>22539.978921582402</v>
      </c>
      <c r="P335" s="2"/>
    </row>
    <row r="336" spans="1:16" x14ac:dyDescent="0.25">
      <c r="B336" s="18">
        <v>6250000001</v>
      </c>
      <c r="C336" s="161" t="s">
        <v>177</v>
      </c>
      <c r="D336" s="161" t="s">
        <v>14</v>
      </c>
      <c r="E336" s="161" t="s">
        <v>22</v>
      </c>
      <c r="F336" s="155">
        <v>6108.1179336365585</v>
      </c>
      <c r="G336" s="162">
        <f>+VLOOKUP(B336,'5.3 Var OPEX 2023-25'!$B$4:$D$160,3,0)</f>
        <v>0.39130162327539963</v>
      </c>
      <c r="H336" s="163" t="s">
        <v>190</v>
      </c>
      <c r="I336" s="300">
        <f t="shared" si="39"/>
        <v>8340.6376187217702</v>
      </c>
      <c r="J336" s="159">
        <f t="shared" si="40"/>
        <v>8340.6376187217702</v>
      </c>
      <c r="K336" s="159">
        <f t="shared" si="40"/>
        <v>8340.6376187217702</v>
      </c>
      <c r="L336" s="159">
        <f t="shared" si="40"/>
        <v>8340.6376187217702</v>
      </c>
      <c r="M336" s="159">
        <f t="shared" si="40"/>
        <v>8340.6376187217702</v>
      </c>
      <c r="N336" s="159">
        <f t="shared" si="40"/>
        <v>8340.6376187217702</v>
      </c>
      <c r="P336" s="2"/>
    </row>
    <row r="337" spans="2:16" x14ac:dyDescent="0.25">
      <c r="B337" s="18">
        <v>6250000003</v>
      </c>
      <c r="C337" s="161" t="s">
        <v>177</v>
      </c>
      <c r="D337" s="161" t="s">
        <v>14</v>
      </c>
      <c r="E337" s="161" t="s">
        <v>23</v>
      </c>
      <c r="F337" s="155">
        <v>23571.194333622894</v>
      </c>
      <c r="G337" s="162">
        <f>+VLOOKUP(B337,'5.3 Var OPEX 2023-25'!$B$4:$D$160,3,0)</f>
        <v>0.39130162327539963</v>
      </c>
      <c r="H337" s="163" t="s">
        <v>190</v>
      </c>
      <c r="I337" s="300">
        <f t="shared" si="39"/>
        <v>32186.475820084324</v>
      </c>
      <c r="J337" s="159">
        <f t="shared" si="40"/>
        <v>32186.475820084324</v>
      </c>
      <c r="K337" s="159">
        <f t="shared" si="40"/>
        <v>32186.475820084324</v>
      </c>
      <c r="L337" s="159">
        <f t="shared" si="40"/>
        <v>32186.475820084324</v>
      </c>
      <c r="M337" s="159">
        <f t="shared" si="40"/>
        <v>32186.475820084324</v>
      </c>
      <c r="N337" s="159">
        <f t="shared" si="40"/>
        <v>32186.475820084324</v>
      </c>
      <c r="P337" s="2"/>
    </row>
    <row r="338" spans="2:16" x14ac:dyDescent="0.25">
      <c r="B338" s="18">
        <v>6250000004</v>
      </c>
      <c r="C338" s="161" t="s">
        <v>177</v>
      </c>
      <c r="D338" s="161" t="s">
        <v>14</v>
      </c>
      <c r="E338" s="161" t="s">
        <v>24</v>
      </c>
      <c r="F338" s="155">
        <v>3639.6998315560909</v>
      </c>
      <c r="G338" s="162">
        <f>+VLOOKUP(B338,'5.3 Var OPEX 2023-25'!$B$4:$D$160,3,0)</f>
        <v>0.39130162327539963</v>
      </c>
      <c r="H338" s="163" t="s">
        <v>190</v>
      </c>
      <c r="I338" s="300">
        <f t="shared" si="39"/>
        <v>4970.0116575611501</v>
      </c>
      <c r="J338" s="159">
        <f t="shared" si="40"/>
        <v>4970.0116575611501</v>
      </c>
      <c r="K338" s="159">
        <f t="shared" si="40"/>
        <v>4970.0116575611501</v>
      </c>
      <c r="L338" s="159">
        <f t="shared" si="40"/>
        <v>4970.0116575611501</v>
      </c>
      <c r="M338" s="159">
        <f t="shared" si="40"/>
        <v>4970.0116575611501</v>
      </c>
      <c r="N338" s="159">
        <f t="shared" si="40"/>
        <v>4970.0116575611501</v>
      </c>
      <c r="P338" s="2"/>
    </row>
    <row r="339" spans="2:16" x14ac:dyDescent="0.25">
      <c r="B339" s="18">
        <v>6250000005</v>
      </c>
      <c r="C339" s="161" t="s">
        <v>177</v>
      </c>
      <c r="D339" s="161" t="s">
        <v>14</v>
      </c>
      <c r="E339" s="161" t="s">
        <v>25</v>
      </c>
      <c r="F339" s="155">
        <v>169537.05250585201</v>
      </c>
      <c r="G339" s="162">
        <f>+VLOOKUP(B339,'5.3 Var OPEX 2023-25'!$B$4:$D$160,3,0)</f>
        <v>0.39130162327539963</v>
      </c>
      <c r="H339" s="163" t="s">
        <v>190</v>
      </c>
      <c r="I339" s="300">
        <f t="shared" si="39"/>
        <v>231502.91681674248</v>
      </c>
      <c r="J339" s="159">
        <f t="shared" si="40"/>
        <v>231502.91681674248</v>
      </c>
      <c r="K339" s="159">
        <f t="shared" si="40"/>
        <v>231502.91681674248</v>
      </c>
      <c r="L339" s="159">
        <f t="shared" si="40"/>
        <v>231502.91681674248</v>
      </c>
      <c r="M339" s="159">
        <f t="shared" si="40"/>
        <v>231502.91681674248</v>
      </c>
      <c r="N339" s="159">
        <f t="shared" si="40"/>
        <v>231502.91681674248</v>
      </c>
      <c r="P339" s="2"/>
    </row>
    <row r="340" spans="2:16" x14ac:dyDescent="0.25">
      <c r="B340" s="18">
        <v>6250000006</v>
      </c>
      <c r="C340" s="161" t="s">
        <v>177</v>
      </c>
      <c r="D340" s="161" t="s">
        <v>14</v>
      </c>
      <c r="E340" s="161" t="s">
        <v>26</v>
      </c>
      <c r="F340" s="155">
        <v>7052.9828494624826</v>
      </c>
      <c r="G340" s="162">
        <f>+VLOOKUP(B340,'5.3 Var OPEX 2023-25'!$B$4:$D$160,3,0)</f>
        <v>0.39130162327539963</v>
      </c>
      <c r="H340" s="163" t="s">
        <v>190</v>
      </c>
      <c r="I340" s="300">
        <f t="shared" si="39"/>
        <v>9630.8510604350904</v>
      </c>
      <c r="J340" s="159">
        <f t="shared" si="40"/>
        <v>9630.8510604350904</v>
      </c>
      <c r="K340" s="159">
        <f t="shared" si="40"/>
        <v>9630.8510604350904</v>
      </c>
      <c r="L340" s="159">
        <f t="shared" si="40"/>
        <v>9630.8510604350904</v>
      </c>
      <c r="M340" s="159">
        <f t="shared" si="40"/>
        <v>9630.8510604350904</v>
      </c>
      <c r="N340" s="159">
        <f t="shared" si="40"/>
        <v>9630.8510604350904</v>
      </c>
      <c r="P340" s="2"/>
    </row>
    <row r="341" spans="2:16" x14ac:dyDescent="0.25">
      <c r="B341" s="18">
        <v>6250000007</v>
      </c>
      <c r="C341" s="161" t="s">
        <v>177</v>
      </c>
      <c r="D341" s="161" t="s">
        <v>14</v>
      </c>
      <c r="E341" s="161" t="s">
        <v>27</v>
      </c>
      <c r="F341" s="155">
        <v>49294.365351194865</v>
      </c>
      <c r="G341" s="162">
        <f>+VLOOKUP(B341,'5.3 Var OPEX 2023-25'!$B$4:$D$160,3,0)</f>
        <v>0.39130162327539963</v>
      </c>
      <c r="H341" s="163" t="s">
        <v>190</v>
      </c>
      <c r="I341" s="300">
        <f t="shared" si="39"/>
        <v>67311.476711191906</v>
      </c>
      <c r="J341" s="159">
        <f t="shared" si="40"/>
        <v>67311.476711191906</v>
      </c>
      <c r="K341" s="159">
        <f t="shared" si="40"/>
        <v>67311.476711191906</v>
      </c>
      <c r="L341" s="159">
        <f t="shared" si="40"/>
        <v>67311.476711191906</v>
      </c>
      <c r="M341" s="159">
        <f t="shared" si="40"/>
        <v>67311.476711191906</v>
      </c>
      <c r="N341" s="159">
        <f t="shared" si="40"/>
        <v>67311.476711191906</v>
      </c>
      <c r="P341" s="2"/>
    </row>
    <row r="342" spans="2:16" x14ac:dyDescent="0.25">
      <c r="B342" s="18">
        <v>6250000008</v>
      </c>
      <c r="C342" s="161" t="s">
        <v>177</v>
      </c>
      <c r="D342" s="161" t="s">
        <v>14</v>
      </c>
      <c r="E342" s="161" t="s">
        <v>28</v>
      </c>
      <c r="F342" s="155">
        <v>11066.134538221866</v>
      </c>
      <c r="G342" s="162">
        <f>+VLOOKUP(B342,'5.3 Var OPEX 2023-25'!$B$4:$D$160,3,0)</f>
        <v>0.39130162327539963</v>
      </c>
      <c r="H342" s="163" t="s">
        <v>190</v>
      </c>
      <c r="I342" s="300">
        <f t="shared" si="39"/>
        <v>15110.811386770032</v>
      </c>
      <c r="J342" s="159">
        <f t="shared" si="40"/>
        <v>15110.811386770032</v>
      </c>
      <c r="K342" s="159">
        <f t="shared" si="40"/>
        <v>15110.811386770032</v>
      </c>
      <c r="L342" s="159">
        <f t="shared" si="40"/>
        <v>15110.811386770032</v>
      </c>
      <c r="M342" s="159">
        <f t="shared" si="40"/>
        <v>15110.811386770032</v>
      </c>
      <c r="N342" s="159">
        <f t="shared" si="40"/>
        <v>15110.811386770032</v>
      </c>
      <c r="P342" s="2"/>
    </row>
    <row r="343" spans="2:16" x14ac:dyDescent="0.25">
      <c r="B343" s="18">
        <v>6250000009</v>
      </c>
      <c r="C343" s="161" t="s">
        <v>177</v>
      </c>
      <c r="D343" s="161" t="s">
        <v>14</v>
      </c>
      <c r="E343" s="161" t="s">
        <v>29</v>
      </c>
      <c r="F343" s="155">
        <v>62319.072211822386</v>
      </c>
      <c r="G343" s="162">
        <f>+VLOOKUP(B343,'5.3 Var OPEX 2023-25'!$B$4:$D$160,3,0)</f>
        <v>0.39130162327539963</v>
      </c>
      <c r="H343" s="163" t="s">
        <v>190</v>
      </c>
      <c r="I343" s="300">
        <f t="shared" si="39"/>
        <v>85096.719431595033</v>
      </c>
      <c r="J343" s="159">
        <f t="shared" si="40"/>
        <v>85096.719431595033</v>
      </c>
      <c r="K343" s="159">
        <f t="shared" si="40"/>
        <v>85096.719431595033</v>
      </c>
      <c r="L343" s="159">
        <f t="shared" si="40"/>
        <v>85096.719431595033</v>
      </c>
      <c r="M343" s="159">
        <f t="shared" si="40"/>
        <v>85096.719431595033</v>
      </c>
      <c r="N343" s="159">
        <f t="shared" si="40"/>
        <v>85096.719431595033</v>
      </c>
      <c r="P343" s="2"/>
    </row>
    <row r="344" spans="2:16" x14ac:dyDescent="0.25">
      <c r="B344" s="18">
        <v>6270000001</v>
      </c>
      <c r="C344" s="161" t="s">
        <v>177</v>
      </c>
      <c r="D344" s="161" t="s">
        <v>14</v>
      </c>
      <c r="E344" s="161" t="s">
        <v>30</v>
      </c>
      <c r="F344" s="155">
        <v>41743.345712294475</v>
      </c>
      <c r="G344" s="162">
        <f>+VLOOKUP(B344,'5.3 Var OPEX 2023-25'!$B$4:$D$160,3,0)</f>
        <v>0.39130162327539963</v>
      </c>
      <c r="H344" s="163" t="s">
        <v>190</v>
      </c>
      <c r="I344" s="300">
        <f t="shared" si="39"/>
        <v>57000.556204386434</v>
      </c>
      <c r="J344" s="159">
        <f t="shared" si="40"/>
        <v>57000.556204386434</v>
      </c>
      <c r="K344" s="159">
        <f t="shared" si="40"/>
        <v>57000.556204386434</v>
      </c>
      <c r="L344" s="159">
        <f t="shared" si="40"/>
        <v>57000.556204386434</v>
      </c>
      <c r="M344" s="159">
        <f t="shared" si="40"/>
        <v>57000.556204386434</v>
      </c>
      <c r="N344" s="159">
        <f t="shared" si="40"/>
        <v>57000.556204386434</v>
      </c>
      <c r="P344" s="2"/>
    </row>
    <row r="345" spans="2:16" x14ac:dyDescent="0.25">
      <c r="B345" s="18">
        <v>6270000002</v>
      </c>
      <c r="C345" s="161" t="s">
        <v>177</v>
      </c>
      <c r="D345" s="161" t="s">
        <v>14</v>
      </c>
      <c r="E345" s="161" t="s">
        <v>31</v>
      </c>
      <c r="F345" s="155">
        <v>139518.02264652459</v>
      </c>
      <c r="G345" s="162">
        <f>+VLOOKUP(B345,'5.3 Var OPEX 2023-25'!$B$4:$D$160,3,0)</f>
        <v>0.39130162327539963</v>
      </c>
      <c r="H345" s="163" t="s">
        <v>190</v>
      </c>
      <c r="I345" s="300">
        <f t="shared" si="39"/>
        <v>190511.91886245576</v>
      </c>
      <c r="J345" s="159">
        <f t="shared" ref="J345:N354" si="41">+IF(OR($C345="No Imputables",$H345="m2 fijo"),I345,I345*(1+J$6*J$7))</f>
        <v>190511.91886245576</v>
      </c>
      <c r="K345" s="159">
        <f t="shared" si="41"/>
        <v>190511.91886245576</v>
      </c>
      <c r="L345" s="159">
        <f t="shared" si="41"/>
        <v>190511.91886245576</v>
      </c>
      <c r="M345" s="159">
        <f t="shared" si="41"/>
        <v>190511.91886245576</v>
      </c>
      <c r="N345" s="159">
        <f t="shared" si="41"/>
        <v>190511.91886245576</v>
      </c>
      <c r="P345" s="2"/>
    </row>
    <row r="346" spans="2:16" x14ac:dyDescent="0.25">
      <c r="B346" s="18">
        <v>6270000003</v>
      </c>
      <c r="C346" s="161" t="s">
        <v>177</v>
      </c>
      <c r="D346" s="161" t="s">
        <v>14</v>
      </c>
      <c r="E346" s="161" t="s">
        <v>32</v>
      </c>
      <c r="F346" s="155">
        <v>3685.1144162774021</v>
      </c>
      <c r="G346" s="162">
        <f>+VLOOKUP(B346,'5.3 Var OPEX 2023-25'!$B$4:$D$160,3,0)</f>
        <v>0.39130162327539963</v>
      </c>
      <c r="H346" s="163" t="s">
        <v>190</v>
      </c>
      <c r="I346" s="300">
        <f t="shared" si="39"/>
        <v>5032.0252921832443</v>
      </c>
      <c r="J346" s="159">
        <f t="shared" si="41"/>
        <v>5032.0252921832443</v>
      </c>
      <c r="K346" s="159">
        <f t="shared" si="41"/>
        <v>5032.0252921832443</v>
      </c>
      <c r="L346" s="159">
        <f t="shared" si="41"/>
        <v>5032.0252921832443</v>
      </c>
      <c r="M346" s="159">
        <f t="shared" si="41"/>
        <v>5032.0252921832443</v>
      </c>
      <c r="N346" s="159">
        <f t="shared" si="41"/>
        <v>5032.0252921832443</v>
      </c>
      <c r="P346" s="2"/>
    </row>
    <row r="347" spans="2:16" x14ac:dyDescent="0.25">
      <c r="B347" s="18">
        <v>6270000004</v>
      </c>
      <c r="C347" s="161" t="s">
        <v>177</v>
      </c>
      <c r="D347" s="161" t="s">
        <v>14</v>
      </c>
      <c r="E347" s="161" t="s">
        <v>33</v>
      </c>
      <c r="F347" s="155">
        <v>4521.0046482221896</v>
      </c>
      <c r="G347" s="162">
        <f>+VLOOKUP(B347,'5.3 Var OPEX 2023-25'!$B$4:$D$160,3,0)</f>
        <v>0.39130162327539963</v>
      </c>
      <c r="H347" s="163" t="s">
        <v>190</v>
      </c>
      <c r="I347" s="300">
        <f t="shared" si="39"/>
        <v>6173.4337570211128</v>
      </c>
      <c r="J347" s="159">
        <f t="shared" si="41"/>
        <v>6173.4337570211128</v>
      </c>
      <c r="K347" s="159">
        <f t="shared" si="41"/>
        <v>6173.4337570211128</v>
      </c>
      <c r="L347" s="159">
        <f t="shared" si="41"/>
        <v>6173.4337570211128</v>
      </c>
      <c r="M347" s="159">
        <f t="shared" si="41"/>
        <v>6173.4337570211128</v>
      </c>
      <c r="N347" s="159">
        <f t="shared" si="41"/>
        <v>6173.4337570211128</v>
      </c>
      <c r="P347" s="2"/>
    </row>
    <row r="348" spans="2:16" x14ac:dyDescent="0.25">
      <c r="B348" s="18">
        <v>6270000005</v>
      </c>
      <c r="C348" s="161" t="s">
        <v>177</v>
      </c>
      <c r="D348" s="161" t="s">
        <v>14</v>
      </c>
      <c r="E348" s="161" t="s">
        <v>34</v>
      </c>
      <c r="F348" s="155">
        <v>8335.7613389365579</v>
      </c>
      <c r="G348" s="162">
        <f>+VLOOKUP(B348,'5.3 Var OPEX 2023-25'!$B$4:$D$160,3,0)</f>
        <v>0.39130162327539963</v>
      </c>
      <c r="H348" s="163" t="s">
        <v>190</v>
      </c>
      <c r="I348" s="300">
        <f t="shared" si="39"/>
        <v>11382.485629714703</v>
      </c>
      <c r="J348" s="159">
        <f t="shared" si="41"/>
        <v>11382.485629714703</v>
      </c>
      <c r="K348" s="159">
        <f t="shared" si="41"/>
        <v>11382.485629714703</v>
      </c>
      <c r="L348" s="159">
        <f t="shared" si="41"/>
        <v>11382.485629714703</v>
      </c>
      <c r="M348" s="159">
        <f t="shared" si="41"/>
        <v>11382.485629714703</v>
      </c>
      <c r="N348" s="159">
        <f t="shared" si="41"/>
        <v>11382.485629714703</v>
      </c>
      <c r="P348" s="2"/>
    </row>
    <row r="349" spans="2:16" x14ac:dyDescent="0.25">
      <c r="B349" s="18">
        <v>6270000006</v>
      </c>
      <c r="C349" s="161" t="s">
        <v>177</v>
      </c>
      <c r="D349" s="161" t="s">
        <v>14</v>
      </c>
      <c r="E349" s="161" t="s">
        <v>35</v>
      </c>
      <c r="F349" s="155">
        <v>45282.536411218134</v>
      </c>
      <c r="G349" s="162">
        <f>+VLOOKUP(B349,'5.3 Var OPEX 2023-25'!$B$4:$D$160,3,0)</f>
        <v>0.39130162327539963</v>
      </c>
      <c r="H349" s="163" t="s">
        <v>190</v>
      </c>
      <c r="I349" s="300">
        <f t="shared" si="39"/>
        <v>61833.322598878469</v>
      </c>
      <c r="J349" s="159">
        <f t="shared" si="41"/>
        <v>61833.322598878469</v>
      </c>
      <c r="K349" s="159">
        <f t="shared" si="41"/>
        <v>61833.322598878469</v>
      </c>
      <c r="L349" s="159">
        <f t="shared" si="41"/>
        <v>61833.322598878469</v>
      </c>
      <c r="M349" s="159">
        <f t="shared" si="41"/>
        <v>61833.322598878469</v>
      </c>
      <c r="N349" s="159">
        <f t="shared" si="41"/>
        <v>61833.322598878469</v>
      </c>
      <c r="P349" s="2"/>
    </row>
    <row r="350" spans="2:16" x14ac:dyDescent="0.25">
      <c r="B350" s="18">
        <v>6270000007</v>
      </c>
      <c r="C350" s="161" t="s">
        <v>177</v>
      </c>
      <c r="D350" s="161" t="s">
        <v>14</v>
      </c>
      <c r="E350" s="161" t="s">
        <v>36</v>
      </c>
      <c r="F350" s="155">
        <v>0</v>
      </c>
      <c r="G350" s="162">
        <f>+VLOOKUP(B350,'5.3 Var OPEX 2023-25'!$B$4:$D$160,3,0)</f>
        <v>0.39130162327539963</v>
      </c>
      <c r="H350" s="163" t="s">
        <v>190</v>
      </c>
      <c r="I350" s="300">
        <f t="shared" si="39"/>
        <v>0</v>
      </c>
      <c r="J350" s="159">
        <f t="shared" si="41"/>
        <v>0</v>
      </c>
      <c r="K350" s="159">
        <f t="shared" si="41"/>
        <v>0</v>
      </c>
      <c r="L350" s="159">
        <f t="shared" si="41"/>
        <v>0</v>
      </c>
      <c r="M350" s="159">
        <f t="shared" si="41"/>
        <v>0</v>
      </c>
      <c r="N350" s="159">
        <f t="shared" si="41"/>
        <v>0</v>
      </c>
      <c r="P350" s="2"/>
    </row>
    <row r="351" spans="2:16" x14ac:dyDescent="0.25">
      <c r="B351" s="18">
        <v>6290000001</v>
      </c>
      <c r="C351" s="161" t="s">
        <v>177</v>
      </c>
      <c r="D351" s="161" t="s">
        <v>14</v>
      </c>
      <c r="E351" s="161" t="s">
        <v>37</v>
      </c>
      <c r="F351" s="155">
        <v>168314.1050426029</v>
      </c>
      <c r="G351" s="162">
        <f>+VLOOKUP(B351,'5.3 Var OPEX 2023-25'!$B$4:$D$160,3,0)</f>
        <v>0.39130162327539963</v>
      </c>
      <c r="H351" s="163" t="s">
        <v>190</v>
      </c>
      <c r="I351" s="300">
        <f t="shared" si="39"/>
        <v>229832.98153904834</v>
      </c>
      <c r="J351" s="159">
        <f t="shared" si="41"/>
        <v>229832.98153904834</v>
      </c>
      <c r="K351" s="159">
        <f t="shared" si="41"/>
        <v>229832.98153904834</v>
      </c>
      <c r="L351" s="159">
        <f t="shared" si="41"/>
        <v>229832.98153904834</v>
      </c>
      <c r="M351" s="159">
        <f t="shared" si="41"/>
        <v>229832.98153904834</v>
      </c>
      <c r="N351" s="159">
        <f t="shared" si="41"/>
        <v>229832.98153904834</v>
      </c>
      <c r="P351" s="2"/>
    </row>
    <row r="352" spans="2:16" x14ac:dyDescent="0.25">
      <c r="B352" s="18">
        <v>6310000001</v>
      </c>
      <c r="C352" s="161" t="s">
        <v>177</v>
      </c>
      <c r="D352" s="161" t="s">
        <v>38</v>
      </c>
      <c r="E352" s="161" t="s">
        <v>39</v>
      </c>
      <c r="F352" s="155">
        <v>51088.351135172481</v>
      </c>
      <c r="G352" s="162">
        <f>+VLOOKUP(B352,'5.3 Var OPEX 2023-25'!$B$4:$D$160,3,0)</f>
        <v>4.4009396000000096E-2</v>
      </c>
      <c r="H352" s="163" t="s">
        <v>190</v>
      </c>
      <c r="I352" s="300">
        <f t="shared" si="39"/>
        <v>52347.607863801371</v>
      </c>
      <c r="J352" s="159">
        <f t="shared" si="41"/>
        <v>52347.607863801371</v>
      </c>
      <c r="K352" s="159">
        <f t="shared" si="41"/>
        <v>52347.607863801371</v>
      </c>
      <c r="L352" s="159">
        <f t="shared" si="41"/>
        <v>52347.607863801371</v>
      </c>
      <c r="M352" s="159">
        <f t="shared" si="41"/>
        <v>52347.607863801371</v>
      </c>
      <c r="N352" s="159">
        <f t="shared" si="41"/>
        <v>52347.607863801371</v>
      </c>
      <c r="P352" s="2"/>
    </row>
    <row r="353" spans="2:16" x14ac:dyDescent="0.25">
      <c r="B353" s="18">
        <v>6311300001</v>
      </c>
      <c r="C353" s="161" t="s">
        <v>177</v>
      </c>
      <c r="D353" s="161" t="s">
        <v>40</v>
      </c>
      <c r="E353" s="161" t="s">
        <v>41</v>
      </c>
      <c r="F353" s="155">
        <v>621.40505629158508</v>
      </c>
      <c r="G353" s="162">
        <f>+VLOOKUP(B353,'5.3 Var OPEX 2023-25'!$B$4:$D$160,3,0)</f>
        <v>4.4009396000000096E-2</v>
      </c>
      <c r="H353" s="163" t="s">
        <v>190</v>
      </c>
      <c r="I353" s="300">
        <f t="shared" si="39"/>
        <v>636.72182578897571</v>
      </c>
      <c r="J353" s="159">
        <f t="shared" si="41"/>
        <v>636.72182578897571</v>
      </c>
      <c r="K353" s="159">
        <f t="shared" si="41"/>
        <v>636.72182578897571</v>
      </c>
      <c r="L353" s="159">
        <f t="shared" si="41"/>
        <v>636.72182578897571</v>
      </c>
      <c r="M353" s="159">
        <f t="shared" si="41"/>
        <v>636.72182578897571</v>
      </c>
      <c r="N353" s="159">
        <f t="shared" si="41"/>
        <v>636.72182578897571</v>
      </c>
      <c r="P353" s="2"/>
    </row>
    <row r="354" spans="2:16" x14ac:dyDescent="0.25">
      <c r="B354" s="18">
        <v>6311300002</v>
      </c>
      <c r="C354" s="161" t="s">
        <v>177</v>
      </c>
      <c r="D354" s="161" t="s">
        <v>40</v>
      </c>
      <c r="E354" s="161" t="s">
        <v>42</v>
      </c>
      <c r="F354" s="155">
        <v>340.39118639056699</v>
      </c>
      <c r="G354" s="162">
        <f>+VLOOKUP(B354,'5.3 Var OPEX 2023-25'!$B$4:$D$160,3,0)</f>
        <v>4.4009396000000096E-2</v>
      </c>
      <c r="H354" s="163" t="s">
        <v>190</v>
      </c>
      <c r="I354" s="300">
        <f t="shared" si="39"/>
        <v>348.78135523148671</v>
      </c>
      <c r="J354" s="159">
        <f t="shared" si="41"/>
        <v>348.78135523148671</v>
      </c>
      <c r="K354" s="159">
        <f t="shared" si="41"/>
        <v>348.78135523148671</v>
      </c>
      <c r="L354" s="159">
        <f t="shared" si="41"/>
        <v>348.78135523148671</v>
      </c>
      <c r="M354" s="159">
        <f t="shared" si="41"/>
        <v>348.78135523148671</v>
      </c>
      <c r="N354" s="159">
        <f t="shared" si="41"/>
        <v>348.78135523148671</v>
      </c>
      <c r="P354" s="2"/>
    </row>
    <row r="355" spans="2:16" x14ac:dyDescent="0.25">
      <c r="B355" s="18">
        <v>6320000001</v>
      </c>
      <c r="C355" s="161" t="s">
        <v>177</v>
      </c>
      <c r="D355" s="161" t="s">
        <v>40</v>
      </c>
      <c r="E355" s="161" t="s">
        <v>43</v>
      </c>
      <c r="F355" s="155">
        <v>1006824.1716510508</v>
      </c>
      <c r="G355" s="162">
        <f>+VLOOKUP(B355,'5.3 Var OPEX 2023-25'!$B$4:$D$160,3,0)</f>
        <v>0.34886581637258263</v>
      </c>
      <c r="H355" s="163" t="s">
        <v>190</v>
      </c>
      <c r="I355" s="300">
        <f t="shared" si="39"/>
        <v>1332885.7630759149</v>
      </c>
      <c r="J355" s="159">
        <f t="shared" ref="J355:N364" si="42">+IF(OR($C355="No Imputables",$H355="m2 fijo"),I355,I355*(1+J$6*J$7))</f>
        <v>1332885.7630759149</v>
      </c>
      <c r="K355" s="159">
        <f t="shared" si="42"/>
        <v>1332885.7630759149</v>
      </c>
      <c r="L355" s="159">
        <f t="shared" si="42"/>
        <v>1332885.7630759149</v>
      </c>
      <c r="M355" s="159">
        <f t="shared" si="42"/>
        <v>1332885.7630759149</v>
      </c>
      <c r="N355" s="159">
        <f t="shared" si="42"/>
        <v>1332885.7630759149</v>
      </c>
      <c r="P355" s="2"/>
    </row>
    <row r="356" spans="2:16" x14ac:dyDescent="0.25">
      <c r="B356" s="18">
        <v>6320000002</v>
      </c>
      <c r="C356" s="161" t="s">
        <v>177</v>
      </c>
      <c r="D356" s="161" t="s">
        <v>40</v>
      </c>
      <c r="E356" s="161" t="s">
        <v>44</v>
      </c>
      <c r="F356" s="155">
        <v>38382.583617795637</v>
      </c>
      <c r="G356" s="162">
        <f>+VLOOKUP(B356,'5.3 Var OPEX 2023-25'!$B$4:$D$160,3,0)</f>
        <v>4.4009396000000096E-2</v>
      </c>
      <c r="H356" s="163" t="s">
        <v>190</v>
      </c>
      <c r="I356" s="300">
        <f t="shared" si="39"/>
        <v>39328.660866501246</v>
      </c>
      <c r="J356" s="159">
        <f t="shared" si="42"/>
        <v>39328.660866501246</v>
      </c>
      <c r="K356" s="159">
        <f t="shared" si="42"/>
        <v>39328.660866501246</v>
      </c>
      <c r="L356" s="159">
        <f t="shared" si="42"/>
        <v>39328.660866501246</v>
      </c>
      <c r="M356" s="159">
        <f t="shared" si="42"/>
        <v>39328.660866501246</v>
      </c>
      <c r="N356" s="159">
        <f t="shared" si="42"/>
        <v>39328.660866501246</v>
      </c>
      <c r="P356" s="2"/>
    </row>
    <row r="357" spans="2:16" x14ac:dyDescent="0.25">
      <c r="B357" s="18">
        <v>6320000003</v>
      </c>
      <c r="C357" s="161" t="s">
        <v>177</v>
      </c>
      <c r="D357" s="161" t="s">
        <v>40</v>
      </c>
      <c r="E357" s="161" t="s">
        <v>45</v>
      </c>
      <c r="F357" s="155">
        <v>0</v>
      </c>
      <c r="G357" s="162">
        <f>+VLOOKUP(B357,'5.3 Var OPEX 2023-25'!$B$4:$D$160,3,0)</f>
        <v>4.4009396000000096E-2</v>
      </c>
      <c r="H357" s="163" t="s">
        <v>190</v>
      </c>
      <c r="I357" s="300">
        <f t="shared" si="39"/>
        <v>0</v>
      </c>
      <c r="J357" s="159">
        <f t="shared" si="42"/>
        <v>0</v>
      </c>
      <c r="K357" s="159">
        <f t="shared" si="42"/>
        <v>0</v>
      </c>
      <c r="L357" s="159">
        <f t="shared" si="42"/>
        <v>0</v>
      </c>
      <c r="M357" s="159">
        <f t="shared" si="42"/>
        <v>0</v>
      </c>
      <c r="N357" s="159">
        <f t="shared" si="42"/>
        <v>0</v>
      </c>
      <c r="P357" s="2"/>
    </row>
    <row r="358" spans="2:16" x14ac:dyDescent="0.25">
      <c r="B358" s="18">
        <v>6320000004</v>
      </c>
      <c r="C358" s="161" t="s">
        <v>177</v>
      </c>
      <c r="D358" s="161" t="s">
        <v>40</v>
      </c>
      <c r="E358" s="161" t="s">
        <v>46</v>
      </c>
      <c r="F358" s="155">
        <v>741360.865192889</v>
      </c>
      <c r="G358" s="162">
        <f>+VLOOKUP(B358,'5.3 Var OPEX 2023-25'!$B$4:$D$160,3,0)</f>
        <v>4.4009396000000096E-2</v>
      </c>
      <c r="H358" s="163" t="s">
        <v>190</v>
      </c>
      <c r="I358" s="300">
        <f t="shared" si="39"/>
        <v>759634.37837334385</v>
      </c>
      <c r="J358" s="159">
        <f t="shared" si="42"/>
        <v>759634.37837334385</v>
      </c>
      <c r="K358" s="159">
        <f t="shared" si="42"/>
        <v>759634.37837334385</v>
      </c>
      <c r="L358" s="159">
        <f t="shared" si="42"/>
        <v>759634.37837334385</v>
      </c>
      <c r="M358" s="159">
        <f t="shared" si="42"/>
        <v>759634.37837334385</v>
      </c>
      <c r="N358" s="159">
        <f t="shared" si="42"/>
        <v>759634.37837334385</v>
      </c>
      <c r="P358" s="2"/>
    </row>
    <row r="359" spans="2:16" x14ac:dyDescent="0.25">
      <c r="B359" s="18">
        <v>6320000005</v>
      </c>
      <c r="C359" s="161" t="s">
        <v>177</v>
      </c>
      <c r="D359" s="161" t="s">
        <v>40</v>
      </c>
      <c r="E359" s="161" t="s">
        <v>47</v>
      </c>
      <c r="F359" s="155">
        <v>0</v>
      </c>
      <c r="G359" s="162">
        <f>+VLOOKUP(B359,'5.3 Var OPEX 2023-25'!$B$4:$D$160,3,0)</f>
        <v>4.4009396000000096E-2</v>
      </c>
      <c r="H359" s="163" t="s">
        <v>190</v>
      </c>
      <c r="I359" s="300">
        <f t="shared" si="39"/>
        <v>0</v>
      </c>
      <c r="J359" s="159">
        <f t="shared" si="42"/>
        <v>0</v>
      </c>
      <c r="K359" s="159">
        <f t="shared" si="42"/>
        <v>0</v>
      </c>
      <c r="L359" s="159">
        <f t="shared" si="42"/>
        <v>0</v>
      </c>
      <c r="M359" s="159">
        <f t="shared" si="42"/>
        <v>0</v>
      </c>
      <c r="N359" s="159">
        <f t="shared" si="42"/>
        <v>0</v>
      </c>
      <c r="P359" s="2"/>
    </row>
    <row r="360" spans="2:16" x14ac:dyDescent="0.25">
      <c r="B360" s="18">
        <v>6320000006</v>
      </c>
      <c r="C360" s="161" t="s">
        <v>177</v>
      </c>
      <c r="D360" s="161" t="s">
        <v>40</v>
      </c>
      <c r="E360" s="161" t="s">
        <v>48</v>
      </c>
      <c r="F360" s="155">
        <v>0</v>
      </c>
      <c r="G360" s="162">
        <f>+VLOOKUP(B360,'5.3 Var OPEX 2023-25'!$B$4:$D$160,3,0)</f>
        <v>4.4009396000000096E-2</v>
      </c>
      <c r="H360" s="163" t="s">
        <v>190</v>
      </c>
      <c r="I360" s="300">
        <f t="shared" si="39"/>
        <v>0</v>
      </c>
      <c r="J360" s="159">
        <f t="shared" si="42"/>
        <v>0</v>
      </c>
      <c r="K360" s="159">
        <f t="shared" si="42"/>
        <v>0</v>
      </c>
      <c r="L360" s="159">
        <f t="shared" si="42"/>
        <v>0</v>
      </c>
      <c r="M360" s="159">
        <f t="shared" si="42"/>
        <v>0</v>
      </c>
      <c r="N360" s="159">
        <f t="shared" si="42"/>
        <v>0</v>
      </c>
      <c r="P360" s="2"/>
    </row>
    <row r="361" spans="2:16" x14ac:dyDescent="0.25">
      <c r="B361" s="18">
        <v>6320000007</v>
      </c>
      <c r="C361" s="161" t="s">
        <v>177</v>
      </c>
      <c r="D361" s="161" t="s">
        <v>49</v>
      </c>
      <c r="E361" s="161" t="s">
        <v>50</v>
      </c>
      <c r="F361" s="155">
        <v>0</v>
      </c>
      <c r="G361" s="162">
        <f>+VLOOKUP(B361,'5.3 Var OPEX 2023-25'!$B$4:$D$160,3,0)</f>
        <v>1.0054865169395515</v>
      </c>
      <c r="H361" s="163" t="s">
        <v>190</v>
      </c>
      <c r="I361" s="300">
        <f t="shared" si="39"/>
        <v>0</v>
      </c>
      <c r="J361" s="159">
        <f t="shared" si="42"/>
        <v>0</v>
      </c>
      <c r="K361" s="159">
        <f t="shared" si="42"/>
        <v>0</v>
      </c>
      <c r="L361" s="159">
        <f t="shared" si="42"/>
        <v>0</v>
      </c>
      <c r="M361" s="159">
        <f t="shared" si="42"/>
        <v>0</v>
      </c>
      <c r="N361" s="159">
        <f t="shared" si="42"/>
        <v>0</v>
      </c>
      <c r="P361" s="2"/>
    </row>
    <row r="362" spans="2:16" x14ac:dyDescent="0.25">
      <c r="B362" s="18">
        <v>6329000003</v>
      </c>
      <c r="C362" s="161" t="s">
        <v>177</v>
      </c>
      <c r="D362" s="161" t="s">
        <v>40</v>
      </c>
      <c r="E362" s="161" t="s">
        <v>51</v>
      </c>
      <c r="F362" s="155">
        <v>0</v>
      </c>
      <c r="G362" s="162">
        <f>+VLOOKUP(B362,'5.3 Var OPEX 2023-25'!$B$4:$D$160,3,0)</f>
        <v>4.4009396000000096E-2</v>
      </c>
      <c r="H362" s="163" t="s">
        <v>190</v>
      </c>
      <c r="I362" s="300">
        <f t="shared" si="39"/>
        <v>0</v>
      </c>
      <c r="J362" s="159">
        <f t="shared" si="42"/>
        <v>0</v>
      </c>
      <c r="K362" s="159">
        <f t="shared" si="42"/>
        <v>0</v>
      </c>
      <c r="L362" s="159">
        <f t="shared" si="42"/>
        <v>0</v>
      </c>
      <c r="M362" s="159">
        <f t="shared" si="42"/>
        <v>0</v>
      </c>
      <c r="N362" s="159">
        <f t="shared" si="42"/>
        <v>0</v>
      </c>
      <c r="P362" s="2"/>
    </row>
    <row r="363" spans="2:16" x14ac:dyDescent="0.25">
      <c r="B363" s="18">
        <v>6341100001</v>
      </c>
      <c r="C363" s="161" t="s">
        <v>177</v>
      </c>
      <c r="D363" s="161" t="s">
        <v>52</v>
      </c>
      <c r="E363" s="161" t="s">
        <v>53</v>
      </c>
      <c r="F363" s="155">
        <v>12410.360392159238</v>
      </c>
      <c r="G363" s="162">
        <f>+VLOOKUP(B363,'5.3 Var OPEX 2023-25'!$B$4:$D$160,3,0)</f>
        <v>4.4009396000000096E-2</v>
      </c>
      <c r="H363" s="163" t="s">
        <v>190</v>
      </c>
      <c r="I363" s="300">
        <f t="shared" si="39"/>
        <v>12716.258497721248</v>
      </c>
      <c r="J363" s="159">
        <f t="shared" si="42"/>
        <v>12716.258497721248</v>
      </c>
      <c r="K363" s="159">
        <f t="shared" si="42"/>
        <v>12716.258497721248</v>
      </c>
      <c r="L363" s="159">
        <f t="shared" si="42"/>
        <v>12716.258497721248</v>
      </c>
      <c r="M363" s="159">
        <f t="shared" si="42"/>
        <v>12716.258497721248</v>
      </c>
      <c r="N363" s="159">
        <f t="shared" si="42"/>
        <v>12716.258497721248</v>
      </c>
      <c r="P363" s="2"/>
    </row>
    <row r="364" spans="2:16" x14ac:dyDescent="0.25">
      <c r="B364" s="18">
        <v>6341100002</v>
      </c>
      <c r="C364" s="161" t="s">
        <v>177</v>
      </c>
      <c r="D364" s="161" t="s">
        <v>52</v>
      </c>
      <c r="E364" s="161" t="s">
        <v>54</v>
      </c>
      <c r="F364" s="155">
        <v>28325.511408721562</v>
      </c>
      <c r="G364" s="162">
        <f>+VLOOKUP(B364,'5.3 Var OPEX 2023-25'!$B$4:$D$160,3,0)</f>
        <v>4.4009396000000096E-2</v>
      </c>
      <c r="H364" s="163" t="s">
        <v>190</v>
      </c>
      <c r="I364" s="300">
        <f t="shared" si="39"/>
        <v>29023.695829254371</v>
      </c>
      <c r="J364" s="159">
        <f t="shared" si="42"/>
        <v>29023.695829254371</v>
      </c>
      <c r="K364" s="159">
        <f t="shared" si="42"/>
        <v>29023.695829254371</v>
      </c>
      <c r="L364" s="159">
        <f t="shared" si="42"/>
        <v>29023.695829254371</v>
      </c>
      <c r="M364" s="159">
        <f t="shared" si="42"/>
        <v>29023.695829254371</v>
      </c>
      <c r="N364" s="159">
        <f t="shared" si="42"/>
        <v>29023.695829254371</v>
      </c>
      <c r="P364" s="2"/>
    </row>
    <row r="365" spans="2:16" x14ac:dyDescent="0.25">
      <c r="B365" s="18">
        <v>6341100003</v>
      </c>
      <c r="C365" s="161" t="s">
        <v>177</v>
      </c>
      <c r="D365" s="161" t="s">
        <v>52</v>
      </c>
      <c r="E365" s="161" t="s">
        <v>55</v>
      </c>
      <c r="F365" s="155">
        <v>7895.0899524671522</v>
      </c>
      <c r="G365" s="162">
        <f>+VLOOKUP(B365,'5.3 Var OPEX 2023-25'!$B$4:$D$160,3,0)</f>
        <v>0.13114375863339878</v>
      </c>
      <c r="H365" s="163" t="s">
        <v>190</v>
      </c>
      <c r="I365" s="300">
        <f t="shared" si="39"/>
        <v>8764.8690709327529</v>
      </c>
      <c r="J365" s="159">
        <f t="shared" ref="J365:N374" si="43">+IF(OR($C365="No Imputables",$H365="m2 fijo"),I365,I365*(1+J$6*J$7))</f>
        <v>8764.8690709327529</v>
      </c>
      <c r="K365" s="159">
        <f t="shared" si="43"/>
        <v>8764.8690709327529</v>
      </c>
      <c r="L365" s="159">
        <f t="shared" si="43"/>
        <v>8764.8690709327529</v>
      </c>
      <c r="M365" s="159">
        <f t="shared" si="43"/>
        <v>8764.8690709327529</v>
      </c>
      <c r="N365" s="159">
        <f t="shared" si="43"/>
        <v>8764.8690709327529</v>
      </c>
      <c r="P365" s="2"/>
    </row>
    <row r="366" spans="2:16" x14ac:dyDescent="0.25">
      <c r="B366" s="18">
        <v>6341100004</v>
      </c>
      <c r="C366" s="161" t="s">
        <v>177</v>
      </c>
      <c r="D366" s="161" t="s">
        <v>52</v>
      </c>
      <c r="E366" s="161" t="s">
        <v>56</v>
      </c>
      <c r="F366" s="155">
        <v>7914.4546822554139</v>
      </c>
      <c r="G366" s="162">
        <f>+VLOOKUP(B366,'5.3 Var OPEX 2023-25'!$B$4:$D$160,3,0)</f>
        <v>4.4009396000000096E-2</v>
      </c>
      <c r="H366" s="163" t="s">
        <v>190</v>
      </c>
      <c r="I366" s="300">
        <f t="shared" si="39"/>
        <v>8109.5349714134863</v>
      </c>
      <c r="J366" s="159">
        <f t="shared" si="43"/>
        <v>8109.5349714134863</v>
      </c>
      <c r="K366" s="159">
        <f t="shared" si="43"/>
        <v>8109.5349714134863</v>
      </c>
      <c r="L366" s="159">
        <f t="shared" si="43"/>
        <v>8109.5349714134863</v>
      </c>
      <c r="M366" s="159">
        <f t="shared" si="43"/>
        <v>8109.5349714134863</v>
      </c>
      <c r="N366" s="159">
        <f t="shared" si="43"/>
        <v>8109.5349714134863</v>
      </c>
      <c r="P366" s="2"/>
    </row>
    <row r="367" spans="2:16" x14ac:dyDescent="0.25">
      <c r="B367" s="18">
        <v>6341100005</v>
      </c>
      <c r="C367" s="161" t="s">
        <v>177</v>
      </c>
      <c r="D367" s="161" t="s">
        <v>52</v>
      </c>
      <c r="E367" s="161" t="s">
        <v>57</v>
      </c>
      <c r="F367" s="155">
        <v>0</v>
      </c>
      <c r="G367" s="162">
        <f>+VLOOKUP(B367,'5.3 Var OPEX 2023-25'!$B$4:$D$160,3,0)</f>
        <v>4.4009396000000096E-2</v>
      </c>
      <c r="H367" s="163" t="s">
        <v>190</v>
      </c>
      <c r="I367" s="300">
        <f t="shared" si="39"/>
        <v>0</v>
      </c>
      <c r="J367" s="159">
        <f t="shared" si="43"/>
        <v>0</v>
      </c>
      <c r="K367" s="159">
        <f t="shared" si="43"/>
        <v>0</v>
      </c>
      <c r="L367" s="159">
        <f t="shared" si="43"/>
        <v>0</v>
      </c>
      <c r="M367" s="159">
        <f t="shared" si="43"/>
        <v>0</v>
      </c>
      <c r="N367" s="159">
        <f t="shared" si="43"/>
        <v>0</v>
      </c>
      <c r="P367" s="2"/>
    </row>
    <row r="368" spans="2:16" x14ac:dyDescent="0.25">
      <c r="B368" s="18">
        <v>6341100007</v>
      </c>
      <c r="C368" s="161" t="s">
        <v>177</v>
      </c>
      <c r="D368" s="161" t="s">
        <v>52</v>
      </c>
      <c r="E368" s="161" t="s">
        <v>58</v>
      </c>
      <c r="F368" s="155">
        <v>0</v>
      </c>
      <c r="G368" s="162">
        <f>+VLOOKUP(B368,'5.3 Var OPEX 2023-25'!$B$4:$D$160,3,0)</f>
        <v>4.4009396000000096E-2</v>
      </c>
      <c r="H368" s="163" t="s">
        <v>190</v>
      </c>
      <c r="I368" s="300">
        <f t="shared" si="39"/>
        <v>0</v>
      </c>
      <c r="J368" s="159">
        <f t="shared" si="43"/>
        <v>0</v>
      </c>
      <c r="K368" s="159">
        <f t="shared" si="43"/>
        <v>0</v>
      </c>
      <c r="L368" s="159">
        <f t="shared" si="43"/>
        <v>0</v>
      </c>
      <c r="M368" s="159">
        <f t="shared" si="43"/>
        <v>0</v>
      </c>
      <c r="N368" s="159">
        <f t="shared" si="43"/>
        <v>0</v>
      </c>
      <c r="P368" s="2"/>
    </row>
    <row r="369" spans="2:16" x14ac:dyDescent="0.25">
      <c r="B369" s="18">
        <v>6341100008</v>
      </c>
      <c r="C369" s="161" t="s">
        <v>177</v>
      </c>
      <c r="D369" s="161" t="s">
        <v>52</v>
      </c>
      <c r="E369" s="161" t="s">
        <v>59</v>
      </c>
      <c r="F369" s="155">
        <v>0</v>
      </c>
      <c r="G369" s="162">
        <f>+VLOOKUP(B369,'5.3 Var OPEX 2023-25'!$B$4:$D$160,3,0)</f>
        <v>4.4009396000000096E-2</v>
      </c>
      <c r="H369" s="163" t="s">
        <v>190</v>
      </c>
      <c r="I369" s="300">
        <f t="shared" si="39"/>
        <v>0</v>
      </c>
      <c r="J369" s="159">
        <f t="shared" si="43"/>
        <v>0</v>
      </c>
      <c r="K369" s="159">
        <f t="shared" si="43"/>
        <v>0</v>
      </c>
      <c r="L369" s="159">
        <f t="shared" si="43"/>
        <v>0</v>
      </c>
      <c r="M369" s="159">
        <f t="shared" si="43"/>
        <v>0</v>
      </c>
      <c r="N369" s="159">
        <f t="shared" si="43"/>
        <v>0</v>
      </c>
      <c r="P369" s="2"/>
    </row>
    <row r="370" spans="2:16" x14ac:dyDescent="0.25">
      <c r="B370" s="18">
        <v>6341100009</v>
      </c>
      <c r="C370" s="161" t="s">
        <v>177</v>
      </c>
      <c r="D370" s="161" t="s">
        <v>52</v>
      </c>
      <c r="E370" s="161" t="s">
        <v>60</v>
      </c>
      <c r="F370" s="155">
        <v>0</v>
      </c>
      <c r="G370" s="162">
        <f>+VLOOKUP(B370,'5.3 Var OPEX 2023-25'!$B$4:$D$160,3,0)</f>
        <v>4.4009396000000096E-2</v>
      </c>
      <c r="H370" s="163" t="s">
        <v>190</v>
      </c>
      <c r="I370" s="300">
        <f t="shared" si="39"/>
        <v>0</v>
      </c>
      <c r="J370" s="159">
        <f t="shared" si="43"/>
        <v>0</v>
      </c>
      <c r="K370" s="159">
        <f t="shared" si="43"/>
        <v>0</v>
      </c>
      <c r="L370" s="159">
        <f t="shared" si="43"/>
        <v>0</v>
      </c>
      <c r="M370" s="159">
        <f t="shared" si="43"/>
        <v>0</v>
      </c>
      <c r="N370" s="159">
        <f t="shared" si="43"/>
        <v>0</v>
      </c>
      <c r="P370" s="2"/>
    </row>
    <row r="371" spans="2:16" x14ac:dyDescent="0.25">
      <c r="B371" s="18">
        <v>6341100010</v>
      </c>
      <c r="C371" s="161" t="s">
        <v>177</v>
      </c>
      <c r="D371" s="161" t="s">
        <v>52</v>
      </c>
      <c r="E371" s="161" t="s">
        <v>61</v>
      </c>
      <c r="F371" s="155">
        <v>27507.675289343802</v>
      </c>
      <c r="G371" s="162">
        <f>+VLOOKUP(B371,'5.3 Var OPEX 2023-25'!$B$4:$D$160,3,0)</f>
        <v>4.4009396000000096E-2</v>
      </c>
      <c r="H371" s="163" t="s">
        <v>190</v>
      </c>
      <c r="I371" s="300">
        <f t="shared" si="39"/>
        <v>28185.701188151819</v>
      </c>
      <c r="J371" s="159">
        <f t="shared" si="43"/>
        <v>28185.701188151819</v>
      </c>
      <c r="K371" s="159">
        <f t="shared" si="43"/>
        <v>28185.701188151819</v>
      </c>
      <c r="L371" s="159">
        <f t="shared" si="43"/>
        <v>28185.701188151819</v>
      </c>
      <c r="M371" s="159">
        <f t="shared" si="43"/>
        <v>28185.701188151819</v>
      </c>
      <c r="N371" s="159">
        <f t="shared" si="43"/>
        <v>28185.701188151819</v>
      </c>
      <c r="P371" s="2"/>
    </row>
    <row r="372" spans="2:16" x14ac:dyDescent="0.25">
      <c r="B372" s="18">
        <v>6342000001</v>
      </c>
      <c r="C372" s="161" t="s">
        <v>177</v>
      </c>
      <c r="D372" s="161" t="s">
        <v>52</v>
      </c>
      <c r="E372" s="161" t="s">
        <v>62</v>
      </c>
      <c r="F372" s="155">
        <v>866.84096705057402</v>
      </c>
      <c r="G372" s="162">
        <f>+VLOOKUP(B372,'5.3 Var OPEX 2023-25'!$B$4:$D$160,3,0)</f>
        <v>4.4009396000000096E-2</v>
      </c>
      <c r="H372" s="163" t="s">
        <v>190</v>
      </c>
      <c r="I372" s="300">
        <f t="shared" si="39"/>
        <v>888.20739004436882</v>
      </c>
      <c r="J372" s="159">
        <f t="shared" si="43"/>
        <v>888.20739004436882</v>
      </c>
      <c r="K372" s="159">
        <f t="shared" si="43"/>
        <v>888.20739004436882</v>
      </c>
      <c r="L372" s="159">
        <f t="shared" si="43"/>
        <v>888.20739004436882</v>
      </c>
      <c r="M372" s="159">
        <f t="shared" si="43"/>
        <v>888.20739004436882</v>
      </c>
      <c r="N372" s="159">
        <f t="shared" si="43"/>
        <v>888.20739004436882</v>
      </c>
      <c r="P372" s="2"/>
    </row>
    <row r="373" spans="2:16" x14ac:dyDescent="0.25">
      <c r="B373" s="18">
        <v>6342000002</v>
      </c>
      <c r="C373" s="161" t="s">
        <v>177</v>
      </c>
      <c r="D373" s="161" t="s">
        <v>52</v>
      </c>
      <c r="E373" s="161" t="s">
        <v>63</v>
      </c>
      <c r="F373" s="155">
        <v>6118.6477106439961</v>
      </c>
      <c r="G373" s="162">
        <f>+VLOOKUP(B373,'5.3 Var OPEX 2023-25'!$B$4:$D$160,3,0)</f>
        <v>4.4009396000000096E-2</v>
      </c>
      <c r="H373" s="163" t="s">
        <v>190</v>
      </c>
      <c r="I373" s="300">
        <f t="shared" si="39"/>
        <v>6269.4638581323343</v>
      </c>
      <c r="J373" s="159">
        <f t="shared" si="43"/>
        <v>6269.4638581323343</v>
      </c>
      <c r="K373" s="159">
        <f t="shared" si="43"/>
        <v>6269.4638581323343</v>
      </c>
      <c r="L373" s="159">
        <f t="shared" si="43"/>
        <v>6269.4638581323343</v>
      </c>
      <c r="M373" s="159">
        <f t="shared" si="43"/>
        <v>6269.4638581323343</v>
      </c>
      <c r="N373" s="159">
        <f t="shared" si="43"/>
        <v>6269.4638581323343</v>
      </c>
      <c r="P373" s="2"/>
    </row>
    <row r="374" spans="2:16" x14ac:dyDescent="0.25">
      <c r="B374" s="18">
        <v>6343000001</v>
      </c>
      <c r="C374" s="161" t="s">
        <v>177</v>
      </c>
      <c r="D374" s="161" t="s">
        <v>52</v>
      </c>
      <c r="E374" s="161" t="s">
        <v>64</v>
      </c>
      <c r="F374" s="155">
        <v>75526.48556496817</v>
      </c>
      <c r="G374" s="162">
        <f>+VLOOKUP(B374,'5.3 Var OPEX 2023-25'!$B$4:$D$160,3,0)</f>
        <v>1.922702215525852</v>
      </c>
      <c r="H374" s="163" t="s">
        <v>190</v>
      </c>
      <c r="I374" s="300">
        <f t="shared" si="39"/>
        <v>216647.85432277434</v>
      </c>
      <c r="J374" s="159">
        <f t="shared" si="43"/>
        <v>216647.85432277434</v>
      </c>
      <c r="K374" s="159">
        <f t="shared" si="43"/>
        <v>216647.85432277434</v>
      </c>
      <c r="L374" s="159">
        <f t="shared" si="43"/>
        <v>216647.85432277434</v>
      </c>
      <c r="M374" s="159">
        <f t="shared" si="43"/>
        <v>216647.85432277434</v>
      </c>
      <c r="N374" s="159">
        <f t="shared" si="43"/>
        <v>216647.85432277434</v>
      </c>
      <c r="P374" s="2"/>
    </row>
    <row r="375" spans="2:16" x14ac:dyDescent="0.25">
      <c r="B375" s="18">
        <v>6343000002</v>
      </c>
      <c r="C375" s="161" t="s">
        <v>177</v>
      </c>
      <c r="D375" s="161" t="s">
        <v>52</v>
      </c>
      <c r="E375" s="161" t="s">
        <v>65</v>
      </c>
      <c r="F375" s="155">
        <v>51249.045004517895</v>
      </c>
      <c r="G375" s="162">
        <f>+VLOOKUP(B375,'5.3 Var OPEX 2023-25'!$B$4:$D$160,3,0)</f>
        <v>4.4009396000000096E-2</v>
      </c>
      <c r="H375" s="163" t="s">
        <v>190</v>
      </c>
      <c r="I375" s="300">
        <f t="shared" si="39"/>
        <v>52512.262613302955</v>
      </c>
      <c r="J375" s="159">
        <f t="shared" ref="J375:N384" si="44">+IF(OR($C375="No Imputables",$H375="m2 fijo"),I375,I375*(1+J$6*J$7))</f>
        <v>52512.262613302955</v>
      </c>
      <c r="K375" s="159">
        <f t="shared" si="44"/>
        <v>52512.262613302955</v>
      </c>
      <c r="L375" s="159">
        <f t="shared" si="44"/>
        <v>52512.262613302955</v>
      </c>
      <c r="M375" s="159">
        <f t="shared" si="44"/>
        <v>52512.262613302955</v>
      </c>
      <c r="N375" s="159">
        <f t="shared" si="44"/>
        <v>52512.262613302955</v>
      </c>
      <c r="P375" s="2"/>
    </row>
    <row r="376" spans="2:16" x14ac:dyDescent="0.25">
      <c r="B376" s="18">
        <v>6343100001</v>
      </c>
      <c r="C376" s="161" t="s">
        <v>177</v>
      </c>
      <c r="D376" s="161" t="s">
        <v>52</v>
      </c>
      <c r="E376" s="161" t="s">
        <v>66</v>
      </c>
      <c r="F376" s="155">
        <v>1206.5021666296852</v>
      </c>
      <c r="G376" s="162">
        <f>+VLOOKUP(B376,'5.3 Var OPEX 2023-25'!$B$4:$D$160,3,0)</f>
        <v>4.4009396000000096E-2</v>
      </c>
      <c r="H376" s="163" t="s">
        <v>190</v>
      </c>
      <c r="I376" s="300">
        <f t="shared" si="39"/>
        <v>1236.2407653058087</v>
      </c>
      <c r="J376" s="159">
        <f t="shared" si="44"/>
        <v>1236.2407653058087</v>
      </c>
      <c r="K376" s="159">
        <f t="shared" si="44"/>
        <v>1236.2407653058087</v>
      </c>
      <c r="L376" s="159">
        <f t="shared" si="44"/>
        <v>1236.2407653058087</v>
      </c>
      <c r="M376" s="159">
        <f t="shared" si="44"/>
        <v>1236.2407653058087</v>
      </c>
      <c r="N376" s="159">
        <f t="shared" si="44"/>
        <v>1236.2407653058087</v>
      </c>
      <c r="P376" s="2"/>
    </row>
    <row r="377" spans="2:16" x14ac:dyDescent="0.25">
      <c r="B377" s="18">
        <v>6343100002</v>
      </c>
      <c r="C377" s="161" t="s">
        <v>177</v>
      </c>
      <c r="D377" s="161" t="s">
        <v>52</v>
      </c>
      <c r="E377" s="161" t="s">
        <v>67</v>
      </c>
      <c r="F377" s="155">
        <v>2033.281669786958</v>
      </c>
      <c r="G377" s="162">
        <f>+VLOOKUP(B377,'5.3 Var OPEX 2023-25'!$B$4:$D$160,3,0)</f>
        <v>4.4009396000000096E-2</v>
      </c>
      <c r="H377" s="163" t="s">
        <v>190</v>
      </c>
      <c r="I377" s="300">
        <f t="shared" si="39"/>
        <v>2083.3992321467704</v>
      </c>
      <c r="J377" s="159">
        <f t="shared" si="44"/>
        <v>2083.3992321467704</v>
      </c>
      <c r="K377" s="159">
        <f t="shared" si="44"/>
        <v>2083.3992321467704</v>
      </c>
      <c r="L377" s="159">
        <f t="shared" si="44"/>
        <v>2083.3992321467704</v>
      </c>
      <c r="M377" s="159">
        <f t="shared" si="44"/>
        <v>2083.3992321467704</v>
      </c>
      <c r="N377" s="159">
        <f t="shared" si="44"/>
        <v>2083.3992321467704</v>
      </c>
      <c r="P377" s="2"/>
    </row>
    <row r="378" spans="2:16" x14ac:dyDescent="0.25">
      <c r="B378" s="18">
        <v>6343100003</v>
      </c>
      <c r="C378" s="161" t="s">
        <v>177</v>
      </c>
      <c r="D378" s="161" t="s">
        <v>52</v>
      </c>
      <c r="E378" s="161" t="s">
        <v>68</v>
      </c>
      <c r="F378" s="155">
        <v>0</v>
      </c>
      <c r="G378" s="162">
        <f>+VLOOKUP(B378,'5.3 Var OPEX 2023-25'!$B$4:$D$160,3,0)</f>
        <v>4.4009396000000096E-2</v>
      </c>
      <c r="H378" s="163" t="s">
        <v>190</v>
      </c>
      <c r="I378" s="300">
        <f t="shared" si="39"/>
        <v>0</v>
      </c>
      <c r="J378" s="159">
        <f t="shared" si="44"/>
        <v>0</v>
      </c>
      <c r="K378" s="159">
        <f t="shared" si="44"/>
        <v>0</v>
      </c>
      <c r="L378" s="159">
        <f t="shared" si="44"/>
        <v>0</v>
      </c>
      <c r="M378" s="159">
        <f t="shared" si="44"/>
        <v>0</v>
      </c>
      <c r="N378" s="159">
        <f t="shared" si="44"/>
        <v>0</v>
      </c>
      <c r="P378" s="2"/>
    </row>
    <row r="379" spans="2:16" x14ac:dyDescent="0.25">
      <c r="B379" s="18">
        <v>6343100004</v>
      </c>
      <c r="C379" s="161" t="s">
        <v>177</v>
      </c>
      <c r="D379" s="161" t="s">
        <v>52</v>
      </c>
      <c r="E379" s="161" t="s">
        <v>69</v>
      </c>
      <c r="F379" s="155">
        <v>0</v>
      </c>
      <c r="G379" s="162">
        <f>+VLOOKUP(B379,'5.3 Var OPEX 2023-25'!$B$4:$D$160,3,0)</f>
        <v>4.4009396000000096E-2</v>
      </c>
      <c r="H379" s="163" t="s">
        <v>190</v>
      </c>
      <c r="I379" s="300">
        <f t="shared" si="39"/>
        <v>0</v>
      </c>
      <c r="J379" s="159">
        <f t="shared" si="44"/>
        <v>0</v>
      </c>
      <c r="K379" s="159">
        <f t="shared" si="44"/>
        <v>0</v>
      </c>
      <c r="L379" s="159">
        <f t="shared" si="44"/>
        <v>0</v>
      </c>
      <c r="M379" s="159">
        <f t="shared" si="44"/>
        <v>0</v>
      </c>
      <c r="N379" s="159">
        <f t="shared" si="44"/>
        <v>0</v>
      </c>
      <c r="P379" s="2"/>
    </row>
    <row r="380" spans="2:16" x14ac:dyDescent="0.25">
      <c r="B380" s="18">
        <v>6343100005</v>
      </c>
      <c r="C380" s="161" t="s">
        <v>177</v>
      </c>
      <c r="D380" s="161" t="s">
        <v>52</v>
      </c>
      <c r="E380" s="161" t="s">
        <v>70</v>
      </c>
      <c r="F380" s="155">
        <v>0</v>
      </c>
      <c r="G380" s="162">
        <f>+VLOOKUP(B380,'5.3 Var OPEX 2023-25'!$B$4:$D$160,3,0)</f>
        <v>4.4009396000000096E-2</v>
      </c>
      <c r="H380" s="163" t="s">
        <v>190</v>
      </c>
      <c r="I380" s="300">
        <f t="shared" si="39"/>
        <v>0</v>
      </c>
      <c r="J380" s="159">
        <f t="shared" si="44"/>
        <v>0</v>
      </c>
      <c r="K380" s="159">
        <f t="shared" si="44"/>
        <v>0</v>
      </c>
      <c r="L380" s="159">
        <f t="shared" si="44"/>
        <v>0</v>
      </c>
      <c r="M380" s="159">
        <f t="shared" si="44"/>
        <v>0</v>
      </c>
      <c r="N380" s="159">
        <f t="shared" si="44"/>
        <v>0</v>
      </c>
      <c r="P380" s="2"/>
    </row>
    <row r="381" spans="2:16" x14ac:dyDescent="0.25">
      <c r="B381" s="18">
        <v>6343100006</v>
      </c>
      <c r="C381" s="161" t="s">
        <v>177</v>
      </c>
      <c r="D381" s="161" t="s">
        <v>52</v>
      </c>
      <c r="E381" s="161" t="s">
        <v>71</v>
      </c>
      <c r="F381" s="155">
        <v>0</v>
      </c>
      <c r="G381" s="162">
        <f>+VLOOKUP(B381,'5.3 Var OPEX 2023-25'!$B$4:$D$160,3,0)</f>
        <v>4.4009396000000096E-2</v>
      </c>
      <c r="H381" s="163" t="s">
        <v>190</v>
      </c>
      <c r="I381" s="300">
        <f t="shared" si="39"/>
        <v>0</v>
      </c>
      <c r="J381" s="159">
        <f t="shared" si="44"/>
        <v>0</v>
      </c>
      <c r="K381" s="159">
        <f t="shared" si="44"/>
        <v>0</v>
      </c>
      <c r="L381" s="159">
        <f t="shared" si="44"/>
        <v>0</v>
      </c>
      <c r="M381" s="159">
        <f t="shared" si="44"/>
        <v>0</v>
      </c>
      <c r="N381" s="159">
        <f t="shared" si="44"/>
        <v>0</v>
      </c>
      <c r="P381" s="2"/>
    </row>
    <row r="382" spans="2:16" x14ac:dyDescent="0.25">
      <c r="B382" s="18">
        <v>6343100007</v>
      </c>
      <c r="C382" s="161" t="s">
        <v>177</v>
      </c>
      <c r="D382" s="161" t="s">
        <v>52</v>
      </c>
      <c r="E382" s="161" t="s">
        <v>72</v>
      </c>
      <c r="F382" s="155">
        <v>0</v>
      </c>
      <c r="G382" s="162">
        <f>+VLOOKUP(B382,'5.3 Var OPEX 2023-25'!$B$4:$D$160,3,0)</f>
        <v>4.4009396000000096E-2</v>
      </c>
      <c r="H382" s="163" t="s">
        <v>190</v>
      </c>
      <c r="I382" s="300">
        <f t="shared" si="39"/>
        <v>0</v>
      </c>
      <c r="J382" s="159">
        <f t="shared" si="44"/>
        <v>0</v>
      </c>
      <c r="K382" s="159">
        <f t="shared" si="44"/>
        <v>0</v>
      </c>
      <c r="L382" s="159">
        <f t="shared" si="44"/>
        <v>0</v>
      </c>
      <c r="M382" s="159">
        <f t="shared" si="44"/>
        <v>0</v>
      </c>
      <c r="N382" s="159">
        <f t="shared" si="44"/>
        <v>0</v>
      </c>
      <c r="P382" s="2"/>
    </row>
    <row r="383" spans="2:16" x14ac:dyDescent="0.25">
      <c r="B383" s="18">
        <v>6343100008</v>
      </c>
      <c r="C383" s="161" t="s">
        <v>177</v>
      </c>
      <c r="D383" s="161" t="s">
        <v>52</v>
      </c>
      <c r="E383" s="161" t="s">
        <v>73</v>
      </c>
      <c r="F383" s="155">
        <v>0</v>
      </c>
      <c r="G383" s="162">
        <f>+VLOOKUP(B383,'5.3 Var OPEX 2023-25'!$B$4:$D$160,3,0)</f>
        <v>4.4009396000000096E-2</v>
      </c>
      <c r="H383" s="163" t="s">
        <v>190</v>
      </c>
      <c r="I383" s="300">
        <f t="shared" si="39"/>
        <v>0</v>
      </c>
      <c r="J383" s="159">
        <f t="shared" si="44"/>
        <v>0</v>
      </c>
      <c r="K383" s="159">
        <f t="shared" si="44"/>
        <v>0</v>
      </c>
      <c r="L383" s="159">
        <f t="shared" si="44"/>
        <v>0</v>
      </c>
      <c r="M383" s="159">
        <f t="shared" si="44"/>
        <v>0</v>
      </c>
      <c r="N383" s="159">
        <f t="shared" si="44"/>
        <v>0</v>
      </c>
      <c r="P383" s="2"/>
    </row>
    <row r="384" spans="2:16" x14ac:dyDescent="0.25">
      <c r="B384" s="18">
        <v>6343100009</v>
      </c>
      <c r="C384" s="161" t="s">
        <v>177</v>
      </c>
      <c r="D384" s="161" t="s">
        <v>52</v>
      </c>
      <c r="E384" s="161" t="s">
        <v>74</v>
      </c>
      <c r="F384" s="155">
        <v>0</v>
      </c>
      <c r="G384" s="162">
        <f>+VLOOKUP(B384,'5.3 Var OPEX 2023-25'!$B$4:$D$160,3,0)</f>
        <v>4.4009396000000096E-2</v>
      </c>
      <c r="H384" s="163" t="s">
        <v>190</v>
      </c>
      <c r="I384" s="300">
        <f t="shared" si="39"/>
        <v>0</v>
      </c>
      <c r="J384" s="159">
        <f t="shared" si="44"/>
        <v>0</v>
      </c>
      <c r="K384" s="159">
        <f t="shared" si="44"/>
        <v>0</v>
      </c>
      <c r="L384" s="159">
        <f t="shared" si="44"/>
        <v>0</v>
      </c>
      <c r="M384" s="159">
        <f t="shared" si="44"/>
        <v>0</v>
      </c>
      <c r="N384" s="159">
        <f t="shared" si="44"/>
        <v>0</v>
      </c>
      <c r="P384" s="2"/>
    </row>
    <row r="385" spans="2:16" x14ac:dyDescent="0.25">
      <c r="B385" s="18">
        <v>6343100010</v>
      </c>
      <c r="C385" s="161" t="s">
        <v>177</v>
      </c>
      <c r="D385" s="161" t="s">
        <v>52</v>
      </c>
      <c r="E385" s="161" t="s">
        <v>75</v>
      </c>
      <c r="F385" s="155">
        <v>0</v>
      </c>
      <c r="G385" s="162">
        <f>+VLOOKUP(B385,'5.3 Var OPEX 2023-25'!$B$4:$D$160,3,0)</f>
        <v>4.4009396000000096E-2</v>
      </c>
      <c r="H385" s="163" t="s">
        <v>190</v>
      </c>
      <c r="I385" s="300">
        <f t="shared" si="39"/>
        <v>0</v>
      </c>
      <c r="J385" s="159">
        <f t="shared" ref="J385:N394" si="45">+IF(OR($C385="No Imputables",$H385="m2 fijo"),I385,I385*(1+J$6*J$7))</f>
        <v>0</v>
      </c>
      <c r="K385" s="159">
        <f t="shared" si="45"/>
        <v>0</v>
      </c>
      <c r="L385" s="159">
        <f t="shared" si="45"/>
        <v>0</v>
      </c>
      <c r="M385" s="159">
        <f t="shared" si="45"/>
        <v>0</v>
      </c>
      <c r="N385" s="159">
        <f t="shared" si="45"/>
        <v>0</v>
      </c>
      <c r="P385" s="2"/>
    </row>
    <row r="386" spans="2:16" x14ac:dyDescent="0.25">
      <c r="B386" s="18">
        <v>6343100011</v>
      </c>
      <c r="C386" s="161" t="s">
        <v>177</v>
      </c>
      <c r="D386" s="161" t="s">
        <v>52</v>
      </c>
      <c r="E386" s="161" t="s">
        <v>76</v>
      </c>
      <c r="F386" s="155">
        <v>0</v>
      </c>
      <c r="G386" s="162">
        <f>+VLOOKUP(B386,'5.3 Var OPEX 2023-25'!$B$4:$D$160,3,0)</f>
        <v>4.4009396000000096E-2</v>
      </c>
      <c r="H386" s="163" t="s">
        <v>190</v>
      </c>
      <c r="I386" s="300">
        <f t="shared" si="39"/>
        <v>0</v>
      </c>
      <c r="J386" s="159">
        <f t="shared" si="45"/>
        <v>0</v>
      </c>
      <c r="K386" s="159">
        <f t="shared" si="45"/>
        <v>0</v>
      </c>
      <c r="L386" s="159">
        <f t="shared" si="45"/>
        <v>0</v>
      </c>
      <c r="M386" s="159">
        <f t="shared" si="45"/>
        <v>0</v>
      </c>
      <c r="N386" s="159">
        <f t="shared" si="45"/>
        <v>0</v>
      </c>
      <c r="P386" s="2"/>
    </row>
    <row r="387" spans="2:16" x14ac:dyDescent="0.25">
      <c r="B387" s="18">
        <v>6343100012</v>
      </c>
      <c r="C387" s="161" t="s">
        <v>177</v>
      </c>
      <c r="D387" s="161" t="s">
        <v>52</v>
      </c>
      <c r="E387" s="161" t="s">
        <v>77</v>
      </c>
      <c r="F387" s="155">
        <v>0</v>
      </c>
      <c r="G387" s="162">
        <f>+VLOOKUP(B387,'5.3 Var OPEX 2023-25'!$B$4:$D$160,3,0)</f>
        <v>4.4009396000000096E-2</v>
      </c>
      <c r="H387" s="163" t="s">
        <v>190</v>
      </c>
      <c r="I387" s="300">
        <f t="shared" si="39"/>
        <v>0</v>
      </c>
      <c r="J387" s="159">
        <f t="shared" si="45"/>
        <v>0</v>
      </c>
      <c r="K387" s="159">
        <f t="shared" si="45"/>
        <v>0</v>
      </c>
      <c r="L387" s="159">
        <f t="shared" si="45"/>
        <v>0</v>
      </c>
      <c r="M387" s="159">
        <f t="shared" si="45"/>
        <v>0</v>
      </c>
      <c r="N387" s="159">
        <f t="shared" si="45"/>
        <v>0</v>
      </c>
      <c r="P387" s="2"/>
    </row>
    <row r="388" spans="2:16" x14ac:dyDescent="0.25">
      <c r="B388" s="18">
        <v>6343100013</v>
      </c>
      <c r="C388" s="161" t="s">
        <v>177</v>
      </c>
      <c r="D388" s="161" t="s">
        <v>52</v>
      </c>
      <c r="E388" s="161" t="s">
        <v>78</v>
      </c>
      <c r="F388" s="155">
        <v>0</v>
      </c>
      <c r="G388" s="162">
        <f>+VLOOKUP(B388,'5.3 Var OPEX 2023-25'!$B$4:$D$160,3,0)</f>
        <v>4.4009396000000096E-2</v>
      </c>
      <c r="H388" s="163" t="s">
        <v>190</v>
      </c>
      <c r="I388" s="300">
        <f t="shared" si="39"/>
        <v>0</v>
      </c>
      <c r="J388" s="159">
        <f t="shared" si="45"/>
        <v>0</v>
      </c>
      <c r="K388" s="159">
        <f t="shared" si="45"/>
        <v>0</v>
      </c>
      <c r="L388" s="159">
        <f t="shared" si="45"/>
        <v>0</v>
      </c>
      <c r="M388" s="159">
        <f t="shared" si="45"/>
        <v>0</v>
      </c>
      <c r="N388" s="159">
        <f t="shared" si="45"/>
        <v>0</v>
      </c>
      <c r="P388" s="2"/>
    </row>
    <row r="389" spans="2:16" x14ac:dyDescent="0.25">
      <c r="B389" s="18">
        <v>6343100014</v>
      </c>
      <c r="C389" s="161" t="s">
        <v>177</v>
      </c>
      <c r="D389" s="161" t="s">
        <v>52</v>
      </c>
      <c r="E389" s="161" t="s">
        <v>79</v>
      </c>
      <c r="F389" s="155">
        <v>0</v>
      </c>
      <c r="G389" s="162">
        <f>+VLOOKUP(B389,'5.3 Var OPEX 2023-25'!$B$4:$D$160,3,0)</f>
        <v>4.4009396000000096E-2</v>
      </c>
      <c r="H389" s="163" t="s">
        <v>190</v>
      </c>
      <c r="I389" s="300">
        <f t="shared" si="39"/>
        <v>0</v>
      </c>
      <c r="J389" s="159">
        <f t="shared" si="45"/>
        <v>0</v>
      </c>
      <c r="K389" s="159">
        <f t="shared" si="45"/>
        <v>0</v>
      </c>
      <c r="L389" s="159">
        <f t="shared" si="45"/>
        <v>0</v>
      </c>
      <c r="M389" s="159">
        <f t="shared" si="45"/>
        <v>0</v>
      </c>
      <c r="N389" s="159">
        <f t="shared" si="45"/>
        <v>0</v>
      </c>
      <c r="P389" s="2"/>
    </row>
    <row r="390" spans="2:16" x14ac:dyDescent="0.25">
      <c r="B390" s="18">
        <v>6343100015</v>
      </c>
      <c r="C390" s="161" t="s">
        <v>177</v>
      </c>
      <c r="D390" s="161" t="s">
        <v>52</v>
      </c>
      <c r="E390" s="161" t="s">
        <v>80</v>
      </c>
      <c r="F390" s="155">
        <v>995.62593893829705</v>
      </c>
      <c r="G390" s="162">
        <f>+VLOOKUP(B390,'5.3 Var OPEX 2023-25'!$B$4:$D$160,3,0)</f>
        <v>4.4009396000000096E-2</v>
      </c>
      <c r="H390" s="163" t="s">
        <v>190</v>
      </c>
      <c r="I390" s="300">
        <f t="shared" si="39"/>
        <v>1020.1667321905253</v>
      </c>
      <c r="J390" s="159">
        <f t="shared" si="45"/>
        <v>1020.1667321905253</v>
      </c>
      <c r="K390" s="159">
        <f t="shared" si="45"/>
        <v>1020.1667321905253</v>
      </c>
      <c r="L390" s="159">
        <f t="shared" si="45"/>
        <v>1020.1667321905253</v>
      </c>
      <c r="M390" s="159">
        <f t="shared" si="45"/>
        <v>1020.1667321905253</v>
      </c>
      <c r="N390" s="159">
        <f t="shared" si="45"/>
        <v>1020.1667321905253</v>
      </c>
      <c r="P390" s="2"/>
    </row>
    <row r="391" spans="2:16" x14ac:dyDescent="0.25">
      <c r="B391" s="18">
        <v>6343100016</v>
      </c>
      <c r="C391" s="161" t="s">
        <v>177</v>
      </c>
      <c r="D391" s="161" t="s">
        <v>52</v>
      </c>
      <c r="E391" s="161" t="s">
        <v>81</v>
      </c>
      <c r="F391" s="155">
        <v>0</v>
      </c>
      <c r="G391" s="162">
        <f>+VLOOKUP(B391,'5.3 Var OPEX 2023-25'!$B$4:$D$160,3,0)</f>
        <v>4.4009396000000096E-2</v>
      </c>
      <c r="H391" s="163" t="s">
        <v>190</v>
      </c>
      <c r="I391" s="300">
        <f t="shared" si="39"/>
        <v>0</v>
      </c>
      <c r="J391" s="159">
        <f t="shared" si="45"/>
        <v>0</v>
      </c>
      <c r="K391" s="159">
        <f t="shared" si="45"/>
        <v>0</v>
      </c>
      <c r="L391" s="159">
        <f t="shared" si="45"/>
        <v>0</v>
      </c>
      <c r="M391" s="159">
        <f t="shared" si="45"/>
        <v>0</v>
      </c>
      <c r="N391" s="159">
        <f t="shared" si="45"/>
        <v>0</v>
      </c>
      <c r="P391" s="2"/>
    </row>
    <row r="392" spans="2:16" x14ac:dyDescent="0.25">
      <c r="B392" s="18">
        <v>6343100017</v>
      </c>
      <c r="C392" s="161" t="s">
        <v>177</v>
      </c>
      <c r="D392" s="161" t="s">
        <v>52</v>
      </c>
      <c r="E392" s="161" t="s">
        <v>82</v>
      </c>
      <c r="F392" s="155">
        <v>0</v>
      </c>
      <c r="G392" s="162">
        <f>+VLOOKUP(B392,'5.3 Var OPEX 2023-25'!$B$4:$D$160,3,0)</f>
        <v>4.4009396000000096E-2</v>
      </c>
      <c r="H392" s="163" t="s">
        <v>190</v>
      </c>
      <c r="I392" s="300">
        <f t="shared" si="39"/>
        <v>0</v>
      </c>
      <c r="J392" s="159">
        <f t="shared" si="45"/>
        <v>0</v>
      </c>
      <c r="K392" s="159">
        <f t="shared" si="45"/>
        <v>0</v>
      </c>
      <c r="L392" s="159">
        <f t="shared" si="45"/>
        <v>0</v>
      </c>
      <c r="M392" s="159">
        <f t="shared" si="45"/>
        <v>0</v>
      </c>
      <c r="N392" s="159">
        <f t="shared" si="45"/>
        <v>0</v>
      </c>
      <c r="P392" s="2"/>
    </row>
    <row r="393" spans="2:16" x14ac:dyDescent="0.25">
      <c r="B393" s="18">
        <v>6344000001</v>
      </c>
      <c r="C393" s="161" t="s">
        <v>177</v>
      </c>
      <c r="D393" s="161" t="s">
        <v>52</v>
      </c>
      <c r="E393" s="161" t="s">
        <v>83</v>
      </c>
      <c r="F393" s="155">
        <v>0</v>
      </c>
      <c r="G393" s="162">
        <f>+VLOOKUP(B393,'5.3 Var OPEX 2023-25'!$B$4:$D$160,3,0)</f>
        <v>4.4009396000000096E-2</v>
      </c>
      <c r="H393" s="163" t="s">
        <v>190</v>
      </c>
      <c r="I393" s="300">
        <f t="shared" si="39"/>
        <v>0</v>
      </c>
      <c r="J393" s="159">
        <f t="shared" si="45"/>
        <v>0</v>
      </c>
      <c r="K393" s="159">
        <f t="shared" si="45"/>
        <v>0</v>
      </c>
      <c r="L393" s="159">
        <f t="shared" si="45"/>
        <v>0</v>
      </c>
      <c r="M393" s="159">
        <f t="shared" si="45"/>
        <v>0</v>
      </c>
      <c r="N393" s="159">
        <f t="shared" si="45"/>
        <v>0</v>
      </c>
      <c r="P393" s="2"/>
    </row>
    <row r="394" spans="2:16" x14ac:dyDescent="0.25">
      <c r="B394" s="18">
        <v>6344000002</v>
      </c>
      <c r="C394" s="161" t="s">
        <v>177</v>
      </c>
      <c r="D394" s="161" t="s">
        <v>52</v>
      </c>
      <c r="E394" s="161" t="s">
        <v>84</v>
      </c>
      <c r="F394" s="155">
        <v>0</v>
      </c>
      <c r="G394" s="162">
        <f>+VLOOKUP(B394,'5.3 Var OPEX 2023-25'!$B$4:$D$160,3,0)</f>
        <v>4.4009396000000096E-2</v>
      </c>
      <c r="H394" s="163" t="s">
        <v>190</v>
      </c>
      <c r="I394" s="300">
        <f t="shared" si="39"/>
        <v>0</v>
      </c>
      <c r="J394" s="159">
        <f t="shared" si="45"/>
        <v>0</v>
      </c>
      <c r="K394" s="159">
        <f t="shared" si="45"/>
        <v>0</v>
      </c>
      <c r="L394" s="159">
        <f t="shared" si="45"/>
        <v>0</v>
      </c>
      <c r="M394" s="159">
        <f t="shared" si="45"/>
        <v>0</v>
      </c>
      <c r="N394" s="159">
        <f t="shared" si="45"/>
        <v>0</v>
      </c>
      <c r="P394" s="2"/>
    </row>
    <row r="395" spans="2:16" x14ac:dyDescent="0.25">
      <c r="B395" s="18">
        <v>6344000003</v>
      </c>
      <c r="C395" s="161" t="s">
        <v>177</v>
      </c>
      <c r="D395" s="161" t="s">
        <v>52</v>
      </c>
      <c r="E395" s="161" t="s">
        <v>85</v>
      </c>
      <c r="F395" s="155">
        <v>0</v>
      </c>
      <c r="G395" s="162">
        <f>+VLOOKUP(B395,'5.3 Var OPEX 2023-25'!$B$4:$D$160,3,0)</f>
        <v>4.4009396000000096E-2</v>
      </c>
      <c r="H395" s="163" t="s">
        <v>190</v>
      </c>
      <c r="I395" s="300">
        <f t="shared" si="39"/>
        <v>0</v>
      </c>
      <c r="J395" s="159">
        <f t="shared" ref="J395:N404" si="46">+IF(OR($C395="No Imputables",$H395="m2 fijo"),I395,I395*(1+J$6*J$7))</f>
        <v>0</v>
      </c>
      <c r="K395" s="159">
        <f t="shared" si="46"/>
        <v>0</v>
      </c>
      <c r="L395" s="159">
        <f t="shared" si="46"/>
        <v>0</v>
      </c>
      <c r="M395" s="159">
        <f t="shared" si="46"/>
        <v>0</v>
      </c>
      <c r="N395" s="159">
        <f t="shared" si="46"/>
        <v>0</v>
      </c>
      <c r="P395" s="2"/>
    </row>
    <row r="396" spans="2:16" x14ac:dyDescent="0.25">
      <c r="B396" s="18">
        <v>6345000001</v>
      </c>
      <c r="C396" s="161" t="s">
        <v>177</v>
      </c>
      <c r="D396" s="161" t="s">
        <v>52</v>
      </c>
      <c r="E396" s="161" t="s">
        <v>86</v>
      </c>
      <c r="F396" s="155">
        <v>0</v>
      </c>
      <c r="G396" s="162">
        <f>+VLOOKUP(B396,'5.3 Var OPEX 2023-25'!$B$4:$D$160,3,0)</f>
        <v>4.4009396000000096E-2</v>
      </c>
      <c r="H396" s="163" t="s">
        <v>190</v>
      </c>
      <c r="I396" s="300">
        <f t="shared" si="39"/>
        <v>0</v>
      </c>
      <c r="J396" s="159">
        <f t="shared" si="46"/>
        <v>0</v>
      </c>
      <c r="K396" s="159">
        <f t="shared" si="46"/>
        <v>0</v>
      </c>
      <c r="L396" s="159">
        <f t="shared" si="46"/>
        <v>0</v>
      </c>
      <c r="M396" s="159">
        <f t="shared" si="46"/>
        <v>0</v>
      </c>
      <c r="N396" s="159">
        <f t="shared" si="46"/>
        <v>0</v>
      </c>
      <c r="P396" s="2"/>
    </row>
    <row r="397" spans="2:16" x14ac:dyDescent="0.25">
      <c r="B397" s="18">
        <v>6346000001</v>
      </c>
      <c r="C397" s="161" t="s">
        <v>177</v>
      </c>
      <c r="D397" s="161" t="s">
        <v>52</v>
      </c>
      <c r="E397" s="161" t="s">
        <v>87</v>
      </c>
      <c r="F397" s="155">
        <v>0</v>
      </c>
      <c r="G397" s="162">
        <f>+VLOOKUP(B397,'5.3 Var OPEX 2023-25'!$B$4:$D$160,3,0)</f>
        <v>4.4009396000000096E-2</v>
      </c>
      <c r="H397" s="163" t="s">
        <v>190</v>
      </c>
      <c r="I397" s="300">
        <f t="shared" si="39"/>
        <v>0</v>
      </c>
      <c r="J397" s="159">
        <f t="shared" si="46"/>
        <v>0</v>
      </c>
      <c r="K397" s="159">
        <f t="shared" si="46"/>
        <v>0</v>
      </c>
      <c r="L397" s="159">
        <f t="shared" si="46"/>
        <v>0</v>
      </c>
      <c r="M397" s="159">
        <f t="shared" si="46"/>
        <v>0</v>
      </c>
      <c r="N397" s="159">
        <f t="shared" si="46"/>
        <v>0</v>
      </c>
      <c r="P397" s="2"/>
    </row>
    <row r="398" spans="2:16" x14ac:dyDescent="0.25">
      <c r="B398" s="18">
        <v>6347000001</v>
      </c>
      <c r="C398" s="161" t="s">
        <v>177</v>
      </c>
      <c r="D398" s="161" t="s">
        <v>52</v>
      </c>
      <c r="E398" s="161" t="s">
        <v>88</v>
      </c>
      <c r="F398" s="155">
        <v>651976.30088609201</v>
      </c>
      <c r="G398" s="162">
        <f>+VLOOKUP(B398,'5.3 Var OPEX 2023-25'!$B$4:$D$160,3,0)</f>
        <v>1.0811688463956868</v>
      </c>
      <c r="H398" s="163" t="s">
        <v>190</v>
      </c>
      <c r="I398" s="300">
        <f t="shared" si="39"/>
        <v>1331710.0362495622</v>
      </c>
      <c r="J398" s="159">
        <f t="shared" si="46"/>
        <v>1331710.0362495622</v>
      </c>
      <c r="K398" s="159">
        <f t="shared" si="46"/>
        <v>1331710.0362495622</v>
      </c>
      <c r="L398" s="159">
        <f t="shared" si="46"/>
        <v>1331710.0362495622</v>
      </c>
      <c r="M398" s="159">
        <f t="shared" si="46"/>
        <v>1331710.0362495622</v>
      </c>
      <c r="N398" s="159">
        <f t="shared" si="46"/>
        <v>1331710.0362495622</v>
      </c>
      <c r="P398" s="2"/>
    </row>
    <row r="399" spans="2:16" x14ac:dyDescent="0.25">
      <c r="B399" s="18">
        <v>6348000001</v>
      </c>
      <c r="C399" s="161" t="s">
        <v>177</v>
      </c>
      <c r="D399" s="161" t="s">
        <v>52</v>
      </c>
      <c r="E399" s="161" t="s">
        <v>89</v>
      </c>
      <c r="F399" s="155">
        <v>11470.477661440033</v>
      </c>
      <c r="G399" s="162">
        <f>+VLOOKUP(B399,'5.3 Var OPEX 2023-25'!$B$4:$D$160,3,0)</f>
        <v>4.4009396000000096E-2</v>
      </c>
      <c r="H399" s="163" t="s">
        <v>190</v>
      </c>
      <c r="I399" s="300">
        <f t="shared" ref="I399:I462" si="47">+F399*(1+G399)/$I$8</f>
        <v>11753.208966224918</v>
      </c>
      <c r="J399" s="159">
        <f t="shared" si="46"/>
        <v>11753.208966224918</v>
      </c>
      <c r="K399" s="159">
        <f t="shared" si="46"/>
        <v>11753.208966224918</v>
      </c>
      <c r="L399" s="159">
        <f t="shared" si="46"/>
        <v>11753.208966224918</v>
      </c>
      <c r="M399" s="159">
        <f t="shared" si="46"/>
        <v>11753.208966224918</v>
      </c>
      <c r="N399" s="159">
        <f t="shared" si="46"/>
        <v>11753.208966224918</v>
      </c>
      <c r="P399" s="2"/>
    </row>
    <row r="400" spans="2:16" x14ac:dyDescent="0.25">
      <c r="B400" s="18">
        <v>6354000001</v>
      </c>
      <c r="C400" s="161" t="s">
        <v>177</v>
      </c>
      <c r="D400" s="161" t="s">
        <v>40</v>
      </c>
      <c r="E400" s="161" t="s">
        <v>90</v>
      </c>
      <c r="F400" s="155">
        <v>134936.09564495957</v>
      </c>
      <c r="G400" s="162">
        <f>+VLOOKUP(B400,'5.3 Var OPEX 2023-25'!$B$4:$D$160,3,0)</f>
        <v>1.1277145310168262</v>
      </c>
      <c r="H400" s="163" t="s">
        <v>190</v>
      </c>
      <c r="I400" s="300">
        <f t="shared" si="47"/>
        <v>281781.22077884508</v>
      </c>
      <c r="J400" s="159">
        <f t="shared" si="46"/>
        <v>281781.22077884508</v>
      </c>
      <c r="K400" s="159">
        <f t="shared" si="46"/>
        <v>281781.22077884508</v>
      </c>
      <c r="L400" s="159">
        <f t="shared" si="46"/>
        <v>281781.22077884508</v>
      </c>
      <c r="M400" s="159">
        <f t="shared" si="46"/>
        <v>281781.22077884508</v>
      </c>
      <c r="N400" s="159">
        <f t="shared" si="46"/>
        <v>281781.22077884508</v>
      </c>
      <c r="P400" s="2"/>
    </row>
    <row r="401" spans="2:16" x14ac:dyDescent="0.25">
      <c r="B401" s="18">
        <v>6356000001</v>
      </c>
      <c r="C401" s="161" t="s">
        <v>177</v>
      </c>
      <c r="D401" s="161" t="s">
        <v>40</v>
      </c>
      <c r="E401" s="161" t="s">
        <v>91</v>
      </c>
      <c r="F401" s="155">
        <v>275273.32869512431</v>
      </c>
      <c r="G401" s="162">
        <f>+VLOOKUP(B401,'5.3 Var OPEX 2023-25'!$B$4:$D$160,3,0)</f>
        <v>4.4009396000000096E-2</v>
      </c>
      <c r="H401" s="163" t="s">
        <v>190</v>
      </c>
      <c r="I401" s="300">
        <f t="shared" si="47"/>
        <v>282058.43300303683</v>
      </c>
      <c r="J401" s="159">
        <f t="shared" si="46"/>
        <v>282058.43300303683</v>
      </c>
      <c r="K401" s="159">
        <f t="shared" si="46"/>
        <v>282058.43300303683</v>
      </c>
      <c r="L401" s="159">
        <f t="shared" si="46"/>
        <v>282058.43300303683</v>
      </c>
      <c r="M401" s="159">
        <f t="shared" si="46"/>
        <v>282058.43300303683</v>
      </c>
      <c r="N401" s="159">
        <f t="shared" si="46"/>
        <v>282058.43300303683</v>
      </c>
      <c r="P401" s="2"/>
    </row>
    <row r="402" spans="2:16" x14ac:dyDescent="0.25">
      <c r="B402" s="18">
        <v>6356000002</v>
      </c>
      <c r="C402" s="161" t="s">
        <v>177</v>
      </c>
      <c r="D402" s="161" t="s">
        <v>40</v>
      </c>
      <c r="E402" s="161" t="s">
        <v>92</v>
      </c>
      <c r="F402" s="155">
        <v>0</v>
      </c>
      <c r="G402" s="162">
        <f>+VLOOKUP(B402,'5.3 Var OPEX 2023-25'!$B$4:$D$160,3,0)</f>
        <v>4.4009396000000096E-2</v>
      </c>
      <c r="H402" s="163" t="s">
        <v>190</v>
      </c>
      <c r="I402" s="300">
        <f t="shared" si="47"/>
        <v>0</v>
      </c>
      <c r="J402" s="159">
        <f t="shared" si="46"/>
        <v>0</v>
      </c>
      <c r="K402" s="159">
        <f t="shared" si="46"/>
        <v>0</v>
      </c>
      <c r="L402" s="159">
        <f t="shared" si="46"/>
        <v>0</v>
      </c>
      <c r="M402" s="159">
        <f t="shared" si="46"/>
        <v>0</v>
      </c>
      <c r="N402" s="159">
        <f t="shared" si="46"/>
        <v>0</v>
      </c>
      <c r="P402" s="2"/>
    </row>
    <row r="403" spans="2:16" x14ac:dyDescent="0.25">
      <c r="B403" s="18">
        <v>6357000001</v>
      </c>
      <c r="C403" s="161" t="s">
        <v>177</v>
      </c>
      <c r="D403" s="161" t="s">
        <v>40</v>
      </c>
      <c r="E403" s="161" t="s">
        <v>93</v>
      </c>
      <c r="F403" s="155">
        <v>2381.6350932991045</v>
      </c>
      <c r="G403" s="162">
        <f>+VLOOKUP(B403,'5.3 Var OPEX 2023-25'!$B$4:$D$160,3,0)</f>
        <v>4.4009396000000096E-2</v>
      </c>
      <c r="H403" s="163" t="s">
        <v>190</v>
      </c>
      <c r="I403" s="300">
        <f t="shared" si="47"/>
        <v>2440.3390825595998</v>
      </c>
      <c r="J403" s="159">
        <f t="shared" si="46"/>
        <v>2440.3390825595998</v>
      </c>
      <c r="K403" s="159">
        <f t="shared" si="46"/>
        <v>2440.3390825595998</v>
      </c>
      <c r="L403" s="159">
        <f t="shared" si="46"/>
        <v>2440.3390825595998</v>
      </c>
      <c r="M403" s="159">
        <f t="shared" si="46"/>
        <v>2440.3390825595998</v>
      </c>
      <c r="N403" s="159">
        <f t="shared" si="46"/>
        <v>2440.3390825595998</v>
      </c>
      <c r="P403" s="2"/>
    </row>
    <row r="404" spans="2:16" x14ac:dyDescent="0.25">
      <c r="B404" s="18">
        <v>6358000001</v>
      </c>
      <c r="C404" s="161" t="s">
        <v>177</v>
      </c>
      <c r="D404" s="161" t="s">
        <v>40</v>
      </c>
      <c r="E404" s="161" t="s">
        <v>94</v>
      </c>
      <c r="F404" s="155">
        <v>0</v>
      </c>
      <c r="G404" s="162">
        <f>+VLOOKUP(B404,'5.3 Var OPEX 2023-25'!$B$4:$D$160,3,0)</f>
        <v>4.4009396000000096E-2</v>
      </c>
      <c r="H404" s="163" t="s">
        <v>190</v>
      </c>
      <c r="I404" s="300">
        <f t="shared" si="47"/>
        <v>0</v>
      </c>
      <c r="J404" s="159">
        <f t="shared" si="46"/>
        <v>0</v>
      </c>
      <c r="K404" s="159">
        <f t="shared" si="46"/>
        <v>0</v>
      </c>
      <c r="L404" s="159">
        <f t="shared" si="46"/>
        <v>0</v>
      </c>
      <c r="M404" s="159">
        <f t="shared" si="46"/>
        <v>0</v>
      </c>
      <c r="N404" s="159">
        <f t="shared" si="46"/>
        <v>0</v>
      </c>
      <c r="P404" s="2"/>
    </row>
    <row r="405" spans="2:16" x14ac:dyDescent="0.25">
      <c r="B405" s="18">
        <v>6360000001</v>
      </c>
      <c r="C405" s="161" t="s">
        <v>177</v>
      </c>
      <c r="D405" s="161" t="s">
        <v>40</v>
      </c>
      <c r="E405" s="161" t="s">
        <v>95</v>
      </c>
      <c r="F405" s="155">
        <v>27597.985221649687</v>
      </c>
      <c r="G405" s="162">
        <f>+VLOOKUP(B405,'5.3 Var OPEX 2023-25'!$B$4:$D$160,3,0)</f>
        <v>4.4009396000000096E-2</v>
      </c>
      <c r="H405" s="163" t="s">
        <v>190</v>
      </c>
      <c r="I405" s="300">
        <f t="shared" si="47"/>
        <v>28278.237134556635</v>
      </c>
      <c r="J405" s="159">
        <f t="shared" ref="J405:N414" si="48">+IF(OR($C405="No Imputables",$H405="m2 fijo"),I405,I405*(1+J$6*J$7))</f>
        <v>28278.237134556635</v>
      </c>
      <c r="K405" s="159">
        <f t="shared" si="48"/>
        <v>28278.237134556635</v>
      </c>
      <c r="L405" s="159">
        <f t="shared" si="48"/>
        <v>28278.237134556635</v>
      </c>
      <c r="M405" s="159">
        <f t="shared" si="48"/>
        <v>28278.237134556635</v>
      </c>
      <c r="N405" s="159">
        <f t="shared" si="48"/>
        <v>28278.237134556635</v>
      </c>
      <c r="P405" s="2"/>
    </row>
    <row r="406" spans="2:16" x14ac:dyDescent="0.25">
      <c r="B406" s="18">
        <v>6360000002</v>
      </c>
      <c r="C406" s="161" t="s">
        <v>177</v>
      </c>
      <c r="D406" s="161" t="s">
        <v>40</v>
      </c>
      <c r="E406" s="161" t="s">
        <v>96</v>
      </c>
      <c r="F406" s="155">
        <v>22244.379470303178</v>
      </c>
      <c r="G406" s="162">
        <f>+VLOOKUP(B406,'5.3 Var OPEX 2023-25'!$B$4:$D$160,3,0)</f>
        <v>0.77919024215254873</v>
      </c>
      <c r="H406" s="163" t="s">
        <v>191</v>
      </c>
      <c r="I406" s="300">
        <f t="shared" si="47"/>
        <v>38843.041623680387</v>
      </c>
      <c r="J406" s="159">
        <f t="shared" si="48"/>
        <v>38843.041623680387</v>
      </c>
      <c r="K406" s="159">
        <f t="shared" si="48"/>
        <v>38843.041623680387</v>
      </c>
      <c r="L406" s="159">
        <f t="shared" si="48"/>
        <v>38843.041623680387</v>
      </c>
      <c r="M406" s="159">
        <f t="shared" si="48"/>
        <v>38843.041623680387</v>
      </c>
      <c r="N406" s="159">
        <f t="shared" si="48"/>
        <v>38843.041623680387</v>
      </c>
      <c r="P406" s="2"/>
    </row>
    <row r="407" spans="2:16" x14ac:dyDescent="0.25">
      <c r="B407" s="18">
        <v>6360000003</v>
      </c>
      <c r="C407" s="161" t="s">
        <v>177</v>
      </c>
      <c r="D407" s="161" t="s">
        <v>40</v>
      </c>
      <c r="E407" s="161" t="s">
        <v>97</v>
      </c>
      <c r="F407" s="155">
        <v>4232.0873999141158</v>
      </c>
      <c r="G407" s="162">
        <f>+VLOOKUP(B407,'5.3 Var OPEX 2023-25'!$B$4:$D$160,3,0)</f>
        <v>0.33589966958431128</v>
      </c>
      <c r="H407" s="163" t="s">
        <v>191</v>
      </c>
      <c r="I407" s="300">
        <f t="shared" si="47"/>
        <v>5548.7993103611279</v>
      </c>
      <c r="J407" s="159">
        <f t="shared" si="48"/>
        <v>5548.7993103611279</v>
      </c>
      <c r="K407" s="159">
        <f t="shared" si="48"/>
        <v>5548.7993103611279</v>
      </c>
      <c r="L407" s="159">
        <f t="shared" si="48"/>
        <v>5548.7993103611279</v>
      </c>
      <c r="M407" s="159">
        <f t="shared" si="48"/>
        <v>5548.7993103611279</v>
      </c>
      <c r="N407" s="159">
        <f t="shared" si="48"/>
        <v>5548.7993103611279</v>
      </c>
      <c r="P407" s="2"/>
    </row>
    <row r="408" spans="2:16" x14ac:dyDescent="0.25">
      <c r="B408" s="18">
        <v>6360000004</v>
      </c>
      <c r="C408" s="161" t="s">
        <v>177</v>
      </c>
      <c r="D408" s="161" t="s">
        <v>40</v>
      </c>
      <c r="E408" s="161" t="s">
        <v>98</v>
      </c>
      <c r="F408" s="155">
        <v>0</v>
      </c>
      <c r="G408" s="162">
        <f>+VLOOKUP(B408,'5.3 Var OPEX 2023-25'!$B$4:$D$160,3,0)</f>
        <v>4.4009396000000096E-2</v>
      </c>
      <c r="H408" s="163" t="s">
        <v>190</v>
      </c>
      <c r="I408" s="300">
        <f t="shared" si="47"/>
        <v>0</v>
      </c>
      <c r="J408" s="159">
        <f t="shared" si="48"/>
        <v>0</v>
      </c>
      <c r="K408" s="159">
        <f t="shared" si="48"/>
        <v>0</v>
      </c>
      <c r="L408" s="159">
        <f t="shared" si="48"/>
        <v>0</v>
      </c>
      <c r="M408" s="159">
        <f t="shared" si="48"/>
        <v>0</v>
      </c>
      <c r="N408" s="159">
        <f t="shared" si="48"/>
        <v>0</v>
      </c>
      <c r="P408" s="2"/>
    </row>
    <row r="409" spans="2:16" x14ac:dyDescent="0.25">
      <c r="B409" s="18">
        <v>6360000005</v>
      </c>
      <c r="C409" s="161" t="s">
        <v>177</v>
      </c>
      <c r="D409" s="161" t="s">
        <v>40</v>
      </c>
      <c r="E409" s="161" t="s">
        <v>99</v>
      </c>
      <c r="F409" s="155">
        <v>0</v>
      </c>
      <c r="G409" s="162">
        <f>+VLOOKUP(B409,'5.3 Var OPEX 2023-25'!$B$4:$D$160,3,0)</f>
        <v>4.4009396000000096E-2</v>
      </c>
      <c r="H409" s="163" t="s">
        <v>190</v>
      </c>
      <c r="I409" s="300">
        <f t="shared" si="47"/>
        <v>0</v>
      </c>
      <c r="J409" s="159">
        <f t="shared" si="48"/>
        <v>0</v>
      </c>
      <c r="K409" s="159">
        <f t="shared" si="48"/>
        <v>0</v>
      </c>
      <c r="L409" s="159">
        <f t="shared" si="48"/>
        <v>0</v>
      </c>
      <c r="M409" s="159">
        <f t="shared" si="48"/>
        <v>0</v>
      </c>
      <c r="N409" s="159">
        <f t="shared" si="48"/>
        <v>0</v>
      </c>
      <c r="P409" s="2"/>
    </row>
    <row r="410" spans="2:16" x14ac:dyDescent="0.25">
      <c r="B410" s="18">
        <v>6370000001</v>
      </c>
      <c r="C410" s="161" t="s">
        <v>177</v>
      </c>
      <c r="D410" s="161" t="s">
        <v>40</v>
      </c>
      <c r="E410" s="161" t="s">
        <v>100</v>
      </c>
      <c r="F410" s="155">
        <v>96932.548870668252</v>
      </c>
      <c r="G410" s="162">
        <f>+VLOOKUP(B410,'5.3 Var OPEX 2023-25'!$B$4:$D$160,3,0)</f>
        <v>0.48851763260317993</v>
      </c>
      <c r="H410" s="163" t="s">
        <v>190</v>
      </c>
      <c r="I410" s="300">
        <f t="shared" si="47"/>
        <v>141610.07843948141</v>
      </c>
      <c r="J410" s="159">
        <f t="shared" si="48"/>
        <v>141610.07843948141</v>
      </c>
      <c r="K410" s="159">
        <f t="shared" si="48"/>
        <v>141610.07843948141</v>
      </c>
      <c r="L410" s="159">
        <f t="shared" si="48"/>
        <v>141610.07843948141</v>
      </c>
      <c r="M410" s="159">
        <f t="shared" si="48"/>
        <v>141610.07843948141</v>
      </c>
      <c r="N410" s="159">
        <f t="shared" si="48"/>
        <v>141610.07843948141</v>
      </c>
      <c r="P410" s="2"/>
    </row>
    <row r="411" spans="2:16" x14ac:dyDescent="0.25">
      <c r="B411" s="18">
        <v>6370000002</v>
      </c>
      <c r="C411" s="161" t="s">
        <v>177</v>
      </c>
      <c r="D411" s="161" t="s">
        <v>40</v>
      </c>
      <c r="E411" s="161" t="s">
        <v>101</v>
      </c>
      <c r="F411" s="155">
        <v>0</v>
      </c>
      <c r="G411" s="162">
        <f>+VLOOKUP(B411,'5.3 Var OPEX 2023-25'!$B$4:$D$160,3,0)</f>
        <v>4.4009396000000096E-2</v>
      </c>
      <c r="H411" s="163" t="s">
        <v>190</v>
      </c>
      <c r="I411" s="300">
        <f t="shared" si="47"/>
        <v>0</v>
      </c>
      <c r="J411" s="159">
        <f t="shared" si="48"/>
        <v>0</v>
      </c>
      <c r="K411" s="159">
        <f t="shared" si="48"/>
        <v>0</v>
      </c>
      <c r="L411" s="159">
        <f t="shared" si="48"/>
        <v>0</v>
      </c>
      <c r="M411" s="159">
        <f t="shared" si="48"/>
        <v>0</v>
      </c>
      <c r="N411" s="159">
        <f t="shared" si="48"/>
        <v>0</v>
      </c>
      <c r="P411" s="2"/>
    </row>
    <row r="412" spans="2:16" x14ac:dyDescent="0.25">
      <c r="B412" s="18">
        <v>6370000003</v>
      </c>
      <c r="C412" s="161" t="s">
        <v>177</v>
      </c>
      <c r="D412" s="161" t="s">
        <v>40</v>
      </c>
      <c r="E412" s="161" t="s">
        <v>102</v>
      </c>
      <c r="F412" s="155">
        <v>14239.959623127756</v>
      </c>
      <c r="G412" s="162">
        <f>+VLOOKUP(B412,'5.3 Var OPEX 2023-25'!$B$4:$D$160,3,0)</f>
        <v>4.4009396000000096E-2</v>
      </c>
      <c r="H412" s="163" t="s">
        <v>190</v>
      </c>
      <c r="I412" s="300">
        <f t="shared" si="47"/>
        <v>14590.954802505976</v>
      </c>
      <c r="J412" s="159">
        <f t="shared" si="48"/>
        <v>14590.954802505976</v>
      </c>
      <c r="K412" s="159">
        <f t="shared" si="48"/>
        <v>14590.954802505976</v>
      </c>
      <c r="L412" s="159">
        <f t="shared" si="48"/>
        <v>14590.954802505976</v>
      </c>
      <c r="M412" s="159">
        <f t="shared" si="48"/>
        <v>14590.954802505976</v>
      </c>
      <c r="N412" s="159">
        <f t="shared" si="48"/>
        <v>14590.954802505976</v>
      </c>
      <c r="P412" s="2"/>
    </row>
    <row r="413" spans="2:16" x14ac:dyDescent="0.25">
      <c r="B413" s="18">
        <v>6380000002</v>
      </c>
      <c r="C413" s="161" t="s">
        <v>177</v>
      </c>
      <c r="D413" s="161" t="s">
        <v>40</v>
      </c>
      <c r="E413" s="161" t="s">
        <v>103</v>
      </c>
      <c r="F413" s="155">
        <v>0</v>
      </c>
      <c r="G413" s="162">
        <f>+VLOOKUP(B413,'5.3 Var OPEX 2023-25'!$B$4:$D$160,3,0)</f>
        <v>4.4009396000000096E-2</v>
      </c>
      <c r="H413" s="163" t="s">
        <v>190</v>
      </c>
      <c r="I413" s="300">
        <f t="shared" si="47"/>
        <v>0</v>
      </c>
      <c r="J413" s="159">
        <f t="shared" si="48"/>
        <v>0</v>
      </c>
      <c r="K413" s="159">
        <f t="shared" si="48"/>
        <v>0</v>
      </c>
      <c r="L413" s="159">
        <f t="shared" si="48"/>
        <v>0</v>
      </c>
      <c r="M413" s="159">
        <f t="shared" si="48"/>
        <v>0</v>
      </c>
      <c r="N413" s="159">
        <f t="shared" si="48"/>
        <v>0</v>
      </c>
      <c r="P413" s="2"/>
    </row>
    <row r="414" spans="2:16" x14ac:dyDescent="0.25">
      <c r="B414" s="18">
        <v>6380000003</v>
      </c>
      <c r="C414" s="161" t="s">
        <v>177</v>
      </c>
      <c r="D414" s="161" t="s">
        <v>38</v>
      </c>
      <c r="E414" s="161" t="s">
        <v>104</v>
      </c>
      <c r="F414" s="155">
        <v>0</v>
      </c>
      <c r="G414" s="162">
        <f>+VLOOKUP(B414,'5.3 Var OPEX 2023-25'!$B$4:$D$160,3,0)</f>
        <v>4.4009396000000096E-2</v>
      </c>
      <c r="H414" s="163" t="s">
        <v>190</v>
      </c>
      <c r="I414" s="300">
        <f t="shared" si="47"/>
        <v>0</v>
      </c>
      <c r="J414" s="159">
        <f t="shared" si="48"/>
        <v>0</v>
      </c>
      <c r="K414" s="159">
        <f t="shared" si="48"/>
        <v>0</v>
      </c>
      <c r="L414" s="159">
        <f t="shared" si="48"/>
        <v>0</v>
      </c>
      <c r="M414" s="159">
        <f t="shared" si="48"/>
        <v>0</v>
      </c>
      <c r="N414" s="159">
        <f t="shared" si="48"/>
        <v>0</v>
      </c>
      <c r="P414" s="2"/>
    </row>
    <row r="415" spans="2:16" x14ac:dyDescent="0.25">
      <c r="B415" s="18">
        <v>6380000004</v>
      </c>
      <c r="C415" s="161" t="s">
        <v>177</v>
      </c>
      <c r="D415" s="161" t="s">
        <v>49</v>
      </c>
      <c r="E415" s="161" t="s">
        <v>105</v>
      </c>
      <c r="F415" s="155">
        <v>15204.468271071086</v>
      </c>
      <c r="G415" s="162">
        <f>+VLOOKUP(B415,'5.3 Var OPEX 2023-25'!$B$4:$D$160,3,0)</f>
        <v>1.1454126819228176</v>
      </c>
      <c r="H415" s="163" t="s">
        <v>191</v>
      </c>
      <c r="I415" s="300">
        <f t="shared" si="47"/>
        <v>32014.935200665361</v>
      </c>
      <c r="J415" s="159">
        <f t="shared" ref="J415:N424" si="49">+IF(OR($C415="No Imputables",$H415="m2 fijo"),I415,I415*(1+J$6*J$7))</f>
        <v>32014.935200665361</v>
      </c>
      <c r="K415" s="159">
        <f t="shared" si="49"/>
        <v>32014.935200665361</v>
      </c>
      <c r="L415" s="159">
        <f t="shared" si="49"/>
        <v>32014.935200665361</v>
      </c>
      <c r="M415" s="159">
        <f t="shared" si="49"/>
        <v>32014.935200665361</v>
      </c>
      <c r="N415" s="159">
        <f t="shared" si="49"/>
        <v>32014.935200665361</v>
      </c>
      <c r="P415" s="2"/>
    </row>
    <row r="416" spans="2:16" x14ac:dyDescent="0.25">
      <c r="B416" s="18">
        <v>6380000005</v>
      </c>
      <c r="C416" s="161" t="s">
        <v>177</v>
      </c>
      <c r="D416" s="161" t="s">
        <v>38</v>
      </c>
      <c r="E416" s="161" t="s">
        <v>106</v>
      </c>
      <c r="F416" s="155">
        <v>0</v>
      </c>
      <c r="G416" s="162">
        <f>+VLOOKUP(B416,'5.3 Var OPEX 2023-25'!$B$4:$D$160,3,0)</f>
        <v>4.4009396000000096E-2</v>
      </c>
      <c r="H416" s="163" t="s">
        <v>190</v>
      </c>
      <c r="I416" s="300">
        <f t="shared" si="47"/>
        <v>0</v>
      </c>
      <c r="J416" s="159">
        <f t="shared" si="49"/>
        <v>0</v>
      </c>
      <c r="K416" s="159">
        <f t="shared" si="49"/>
        <v>0</v>
      </c>
      <c r="L416" s="159">
        <f t="shared" si="49"/>
        <v>0</v>
      </c>
      <c r="M416" s="159">
        <f t="shared" si="49"/>
        <v>0</v>
      </c>
      <c r="N416" s="159">
        <f t="shared" si="49"/>
        <v>0</v>
      </c>
      <c r="P416" s="2"/>
    </row>
    <row r="417" spans="2:16" x14ac:dyDescent="0.25">
      <c r="B417" s="18">
        <v>6380000007</v>
      </c>
      <c r="C417" s="161" t="s">
        <v>177</v>
      </c>
      <c r="D417" s="161" t="s">
        <v>40</v>
      </c>
      <c r="E417" s="161" t="s">
        <v>107</v>
      </c>
      <c r="F417" s="155">
        <v>42087.410876030888</v>
      </c>
      <c r="G417" s="162">
        <f>+VLOOKUP(B417,'5.3 Var OPEX 2023-25'!$B$4:$D$160,3,0)</f>
        <v>4.4009396000000096E-2</v>
      </c>
      <c r="H417" s="163" t="s">
        <v>191</v>
      </c>
      <c r="I417" s="300">
        <f t="shared" si="47"/>
        <v>43124.806958671783</v>
      </c>
      <c r="J417" s="159">
        <f t="shared" si="49"/>
        <v>43124.806958671783</v>
      </c>
      <c r="K417" s="159">
        <f t="shared" si="49"/>
        <v>43124.806958671783</v>
      </c>
      <c r="L417" s="159">
        <f t="shared" si="49"/>
        <v>43124.806958671783</v>
      </c>
      <c r="M417" s="159">
        <f t="shared" si="49"/>
        <v>43124.806958671783</v>
      </c>
      <c r="N417" s="159">
        <f t="shared" si="49"/>
        <v>43124.806958671783</v>
      </c>
      <c r="P417" s="2"/>
    </row>
    <row r="418" spans="2:16" x14ac:dyDescent="0.25">
      <c r="B418" s="18">
        <v>6380000008</v>
      </c>
      <c r="C418" s="161" t="s">
        <v>177</v>
      </c>
      <c r="D418" s="161" t="s">
        <v>40</v>
      </c>
      <c r="E418" s="161" t="s">
        <v>108</v>
      </c>
      <c r="F418" s="155">
        <v>0</v>
      </c>
      <c r="G418" s="162">
        <f>+VLOOKUP(B418,'5.3 Var OPEX 2023-25'!$B$4:$D$160,3,0)</f>
        <v>1.7577982488676596</v>
      </c>
      <c r="H418" s="163" t="s">
        <v>190</v>
      </c>
      <c r="I418" s="300">
        <f t="shared" si="47"/>
        <v>0</v>
      </c>
      <c r="J418" s="159">
        <f t="shared" si="49"/>
        <v>0</v>
      </c>
      <c r="K418" s="159">
        <f t="shared" si="49"/>
        <v>0</v>
      </c>
      <c r="L418" s="159">
        <f t="shared" si="49"/>
        <v>0</v>
      </c>
      <c r="M418" s="159">
        <f t="shared" si="49"/>
        <v>0</v>
      </c>
      <c r="N418" s="159">
        <f t="shared" si="49"/>
        <v>0</v>
      </c>
      <c r="P418" s="2"/>
    </row>
    <row r="419" spans="2:16" x14ac:dyDescent="0.25">
      <c r="B419" s="18">
        <v>6380000009</v>
      </c>
      <c r="C419" s="161" t="s">
        <v>177</v>
      </c>
      <c r="D419" s="161" t="s">
        <v>40</v>
      </c>
      <c r="E419" s="161" t="s">
        <v>109</v>
      </c>
      <c r="F419" s="155">
        <v>0</v>
      </c>
      <c r="G419" s="162">
        <f>+VLOOKUP(B419,'5.3 Var OPEX 2023-25'!$B$4:$D$160,3,0)</f>
        <v>9.5138088966381096E-2</v>
      </c>
      <c r="H419" s="163" t="s">
        <v>190</v>
      </c>
      <c r="I419" s="300">
        <f t="shared" si="47"/>
        <v>0</v>
      </c>
      <c r="J419" s="159">
        <f t="shared" si="49"/>
        <v>0</v>
      </c>
      <c r="K419" s="159">
        <f t="shared" si="49"/>
        <v>0</v>
      </c>
      <c r="L419" s="159">
        <f t="shared" si="49"/>
        <v>0</v>
      </c>
      <c r="M419" s="159">
        <f t="shared" si="49"/>
        <v>0</v>
      </c>
      <c r="N419" s="159">
        <f t="shared" si="49"/>
        <v>0</v>
      </c>
      <c r="P419" s="2"/>
    </row>
    <row r="420" spans="2:16" x14ac:dyDescent="0.25">
      <c r="B420" s="18">
        <v>6380000010</v>
      </c>
      <c r="C420" s="161" t="s">
        <v>177</v>
      </c>
      <c r="D420" s="161" t="s">
        <v>40</v>
      </c>
      <c r="E420" s="161" t="s">
        <v>110</v>
      </c>
      <c r="F420" s="155">
        <v>2779.4560737464744</v>
      </c>
      <c r="G420" s="162">
        <f>+VLOOKUP(B420,'5.3 Var OPEX 2023-25'!$B$4:$D$160,3,0)</f>
        <v>4.4009396000000096E-2</v>
      </c>
      <c r="H420" s="163" t="s">
        <v>190</v>
      </c>
      <c r="I420" s="300">
        <f t="shared" si="47"/>
        <v>2847.9657963157752</v>
      </c>
      <c r="J420" s="159">
        <f t="shared" si="49"/>
        <v>2847.9657963157752</v>
      </c>
      <c r="K420" s="159">
        <f t="shared" si="49"/>
        <v>2847.9657963157752</v>
      </c>
      <c r="L420" s="159">
        <f t="shared" si="49"/>
        <v>2847.9657963157752</v>
      </c>
      <c r="M420" s="159">
        <f t="shared" si="49"/>
        <v>2847.9657963157752</v>
      </c>
      <c r="N420" s="159">
        <f t="shared" si="49"/>
        <v>2847.9657963157752</v>
      </c>
      <c r="P420" s="2"/>
    </row>
    <row r="421" spans="2:16" x14ac:dyDescent="0.25">
      <c r="B421" s="18">
        <v>6380000012</v>
      </c>
      <c r="C421" s="161" t="s">
        <v>177</v>
      </c>
      <c r="D421" s="161" t="s">
        <v>40</v>
      </c>
      <c r="E421" s="161" t="s">
        <v>111</v>
      </c>
      <c r="F421" s="155">
        <v>5387.2451980098895</v>
      </c>
      <c r="G421" s="162">
        <f>+VLOOKUP(B421,'5.3 Var OPEX 2023-25'!$B$4:$D$160,3,0)</f>
        <v>4.4009396000000096E-2</v>
      </c>
      <c r="H421" s="163" t="s">
        <v>190</v>
      </c>
      <c r="I421" s="300">
        <f t="shared" si="47"/>
        <v>5520.0332918440072</v>
      </c>
      <c r="J421" s="159">
        <f t="shared" si="49"/>
        <v>5520.0332918440072</v>
      </c>
      <c r="K421" s="159">
        <f t="shared" si="49"/>
        <v>5520.0332918440072</v>
      </c>
      <c r="L421" s="159">
        <f t="shared" si="49"/>
        <v>5520.0332918440072</v>
      </c>
      <c r="M421" s="159">
        <f t="shared" si="49"/>
        <v>5520.0332918440072</v>
      </c>
      <c r="N421" s="159">
        <f t="shared" si="49"/>
        <v>5520.0332918440072</v>
      </c>
      <c r="P421" s="2"/>
    </row>
    <row r="422" spans="2:16" x14ac:dyDescent="0.25">
      <c r="B422" s="18">
        <v>6380000014</v>
      </c>
      <c r="C422" s="161" t="s">
        <v>177</v>
      </c>
      <c r="D422" s="161" t="s">
        <v>49</v>
      </c>
      <c r="E422" s="161" t="s">
        <v>112</v>
      </c>
      <c r="F422" s="155">
        <v>0</v>
      </c>
      <c r="G422" s="162">
        <f>+VLOOKUP(B422,'5.3 Var OPEX 2023-25'!$B$4:$D$160,3,0)</f>
        <v>4.4009396000000096E-2</v>
      </c>
      <c r="H422" s="163" t="s">
        <v>190</v>
      </c>
      <c r="I422" s="300">
        <f t="shared" si="47"/>
        <v>0</v>
      </c>
      <c r="J422" s="159">
        <f t="shared" si="49"/>
        <v>0</v>
      </c>
      <c r="K422" s="159">
        <f t="shared" si="49"/>
        <v>0</v>
      </c>
      <c r="L422" s="159">
        <f t="shared" si="49"/>
        <v>0</v>
      </c>
      <c r="M422" s="159">
        <f t="shared" si="49"/>
        <v>0</v>
      </c>
      <c r="N422" s="159">
        <f t="shared" si="49"/>
        <v>0</v>
      </c>
      <c r="P422" s="2"/>
    </row>
    <row r="423" spans="2:16" x14ac:dyDescent="0.25">
      <c r="B423" s="18">
        <v>6380000015</v>
      </c>
      <c r="C423" s="161" t="s">
        <v>177</v>
      </c>
      <c r="D423" s="161" t="s">
        <v>40</v>
      </c>
      <c r="E423" s="161" t="s">
        <v>113</v>
      </c>
      <c r="F423" s="155">
        <v>0</v>
      </c>
      <c r="G423" s="162">
        <f>+VLOOKUP(B423,'5.3 Var OPEX 2023-25'!$B$4:$D$160,3,0)</f>
        <v>4.4009396000000096E-2</v>
      </c>
      <c r="H423" s="163" t="s">
        <v>190</v>
      </c>
      <c r="I423" s="300">
        <f t="shared" si="47"/>
        <v>0</v>
      </c>
      <c r="J423" s="159">
        <f t="shared" si="49"/>
        <v>0</v>
      </c>
      <c r="K423" s="159">
        <f t="shared" si="49"/>
        <v>0</v>
      </c>
      <c r="L423" s="159">
        <f t="shared" si="49"/>
        <v>0</v>
      </c>
      <c r="M423" s="159">
        <f t="shared" si="49"/>
        <v>0</v>
      </c>
      <c r="N423" s="159">
        <f t="shared" si="49"/>
        <v>0</v>
      </c>
      <c r="P423" s="2"/>
    </row>
    <row r="424" spans="2:16" x14ac:dyDescent="0.25">
      <c r="B424" s="18">
        <v>6380000016</v>
      </c>
      <c r="C424" s="161" t="s">
        <v>177</v>
      </c>
      <c r="D424" s="161" t="s">
        <v>49</v>
      </c>
      <c r="E424" s="161" t="s">
        <v>114</v>
      </c>
      <c r="F424" s="155">
        <v>0</v>
      </c>
      <c r="G424" s="162">
        <f>+VLOOKUP(B424,'5.3 Var OPEX 2023-25'!$B$4:$D$160,3,0)</f>
        <v>0</v>
      </c>
      <c r="H424" s="163" t="s">
        <v>190</v>
      </c>
      <c r="I424" s="300">
        <f t="shared" si="47"/>
        <v>0</v>
      </c>
      <c r="J424" s="159">
        <f t="shared" si="49"/>
        <v>0</v>
      </c>
      <c r="K424" s="159">
        <f t="shared" si="49"/>
        <v>0</v>
      </c>
      <c r="L424" s="159">
        <f t="shared" si="49"/>
        <v>0</v>
      </c>
      <c r="M424" s="159">
        <f t="shared" si="49"/>
        <v>0</v>
      </c>
      <c r="N424" s="159">
        <f t="shared" si="49"/>
        <v>0</v>
      </c>
      <c r="P424" s="2"/>
    </row>
    <row r="425" spans="2:16" x14ac:dyDescent="0.25">
      <c r="B425" s="18">
        <v>6380000017</v>
      </c>
      <c r="C425" s="161" t="s">
        <v>177</v>
      </c>
      <c r="D425" s="161" t="s">
        <v>49</v>
      </c>
      <c r="E425" s="161" t="s">
        <v>115</v>
      </c>
      <c r="F425" s="155">
        <v>0</v>
      </c>
      <c r="G425" s="162">
        <f>+VLOOKUP(B425,'5.3 Var OPEX 2023-25'!$B$4:$D$160,3,0)</f>
        <v>4.4009396000000096E-2</v>
      </c>
      <c r="H425" s="163" t="s">
        <v>190</v>
      </c>
      <c r="I425" s="300">
        <f t="shared" si="47"/>
        <v>0</v>
      </c>
      <c r="J425" s="159">
        <f t="shared" ref="J425:N434" si="50">+IF(OR($C425="No Imputables",$H425="m2 fijo"),I425,I425*(1+J$6*J$7))</f>
        <v>0</v>
      </c>
      <c r="K425" s="159">
        <f t="shared" si="50"/>
        <v>0</v>
      </c>
      <c r="L425" s="159">
        <f t="shared" si="50"/>
        <v>0</v>
      </c>
      <c r="M425" s="159">
        <f t="shared" si="50"/>
        <v>0</v>
      </c>
      <c r="N425" s="159">
        <f t="shared" si="50"/>
        <v>0</v>
      </c>
      <c r="P425" s="2"/>
    </row>
    <row r="426" spans="2:16" x14ac:dyDescent="0.25">
      <c r="B426" s="18">
        <v>6380000018</v>
      </c>
      <c r="C426" s="161" t="s">
        <v>177</v>
      </c>
      <c r="D426" s="161" t="s">
        <v>49</v>
      </c>
      <c r="E426" s="161" t="s">
        <v>116</v>
      </c>
      <c r="F426" s="155">
        <v>0</v>
      </c>
      <c r="G426" s="162">
        <f>+VLOOKUP(B426,'5.3 Var OPEX 2023-25'!$B$4:$D$160,3,0)</f>
        <v>4.4009396000000096E-2</v>
      </c>
      <c r="H426" s="163" t="s">
        <v>190</v>
      </c>
      <c r="I426" s="300">
        <f t="shared" si="47"/>
        <v>0</v>
      </c>
      <c r="J426" s="159">
        <f t="shared" si="50"/>
        <v>0</v>
      </c>
      <c r="K426" s="159">
        <f t="shared" si="50"/>
        <v>0</v>
      </c>
      <c r="L426" s="159">
        <f t="shared" si="50"/>
        <v>0</v>
      </c>
      <c r="M426" s="159">
        <f t="shared" si="50"/>
        <v>0</v>
      </c>
      <c r="N426" s="159">
        <f t="shared" si="50"/>
        <v>0</v>
      </c>
      <c r="P426" s="2"/>
    </row>
    <row r="427" spans="2:16" x14ac:dyDescent="0.25">
      <c r="B427" s="18">
        <v>6380000019</v>
      </c>
      <c r="C427" s="161" t="s">
        <v>177</v>
      </c>
      <c r="D427" s="161" t="s">
        <v>40</v>
      </c>
      <c r="E427" s="161" t="s">
        <v>117</v>
      </c>
      <c r="F427" s="155">
        <v>0</v>
      </c>
      <c r="G427" s="162">
        <f>+VLOOKUP(B427,'5.3 Var OPEX 2023-25'!$B$4:$D$160,3,0)</f>
        <v>4.4009396000000096E-2</v>
      </c>
      <c r="H427" s="163" t="s">
        <v>190</v>
      </c>
      <c r="I427" s="300">
        <f t="shared" si="47"/>
        <v>0</v>
      </c>
      <c r="J427" s="159">
        <f t="shared" si="50"/>
        <v>0</v>
      </c>
      <c r="K427" s="159">
        <f t="shared" si="50"/>
        <v>0</v>
      </c>
      <c r="L427" s="159">
        <f t="shared" si="50"/>
        <v>0</v>
      </c>
      <c r="M427" s="159">
        <f t="shared" si="50"/>
        <v>0</v>
      </c>
      <c r="N427" s="159">
        <f t="shared" si="50"/>
        <v>0</v>
      </c>
      <c r="P427" s="2"/>
    </row>
    <row r="428" spans="2:16" x14ac:dyDescent="0.25">
      <c r="B428" s="18">
        <v>6380000020</v>
      </c>
      <c r="C428" s="161" t="s">
        <v>177</v>
      </c>
      <c r="D428" s="161" t="s">
        <v>49</v>
      </c>
      <c r="E428" s="161" t="s">
        <v>118</v>
      </c>
      <c r="F428" s="155">
        <v>0</v>
      </c>
      <c r="G428" s="162">
        <f>+VLOOKUP(B428,'5.3 Var OPEX 2023-25'!$B$4:$D$160,3,0)</f>
        <v>4.4009396000000096E-2</v>
      </c>
      <c r="H428" s="163" t="s">
        <v>190</v>
      </c>
      <c r="I428" s="300">
        <f t="shared" si="47"/>
        <v>0</v>
      </c>
      <c r="J428" s="159">
        <f t="shared" si="50"/>
        <v>0</v>
      </c>
      <c r="K428" s="159">
        <f t="shared" si="50"/>
        <v>0</v>
      </c>
      <c r="L428" s="159">
        <f t="shared" si="50"/>
        <v>0</v>
      </c>
      <c r="M428" s="159">
        <f t="shared" si="50"/>
        <v>0</v>
      </c>
      <c r="N428" s="159">
        <f t="shared" si="50"/>
        <v>0</v>
      </c>
      <c r="P428" s="2"/>
    </row>
    <row r="429" spans="2:16" x14ac:dyDescent="0.25">
      <c r="B429" s="18">
        <v>6380000021</v>
      </c>
      <c r="C429" s="161" t="s">
        <v>177</v>
      </c>
      <c r="D429" s="161" t="s">
        <v>40</v>
      </c>
      <c r="E429" s="161" t="s">
        <v>119</v>
      </c>
      <c r="F429" s="155">
        <v>74990.26992626673</v>
      </c>
      <c r="G429" s="162">
        <f>+VLOOKUP(B429,'5.3 Var OPEX 2023-25'!$B$4:$D$160,3,0)</f>
        <v>4.4009396000000096E-2</v>
      </c>
      <c r="H429" s="163" t="s">
        <v>190</v>
      </c>
      <c r="I429" s="300">
        <f t="shared" si="47"/>
        <v>76838.675676072482</v>
      </c>
      <c r="J429" s="159">
        <f t="shared" si="50"/>
        <v>76838.675676072482</v>
      </c>
      <c r="K429" s="159">
        <f t="shared" si="50"/>
        <v>76838.675676072482</v>
      </c>
      <c r="L429" s="159">
        <f t="shared" si="50"/>
        <v>76838.675676072482</v>
      </c>
      <c r="M429" s="159">
        <f t="shared" si="50"/>
        <v>76838.675676072482</v>
      </c>
      <c r="N429" s="159">
        <f t="shared" si="50"/>
        <v>76838.675676072482</v>
      </c>
      <c r="P429" s="2"/>
    </row>
    <row r="430" spans="2:16" x14ac:dyDescent="0.25">
      <c r="B430" s="18">
        <v>6380000022</v>
      </c>
      <c r="C430" s="161" t="s">
        <v>177</v>
      </c>
      <c r="D430" s="161" t="s">
        <v>40</v>
      </c>
      <c r="E430" s="161" t="s">
        <v>120</v>
      </c>
      <c r="F430" s="155">
        <v>353.46566375549401</v>
      </c>
      <c r="G430" s="162">
        <f>+VLOOKUP(B430,'5.3 Var OPEX 2023-25'!$B$4:$D$160,3,0)</f>
        <v>4.4009396000000096E-2</v>
      </c>
      <c r="H430" s="163" t="s">
        <v>190</v>
      </c>
      <c r="I430" s="300">
        <f t="shared" si="47"/>
        <v>362.17810026074943</v>
      </c>
      <c r="J430" s="159">
        <f t="shared" si="50"/>
        <v>362.17810026074943</v>
      </c>
      <c r="K430" s="159">
        <f t="shared" si="50"/>
        <v>362.17810026074943</v>
      </c>
      <c r="L430" s="159">
        <f t="shared" si="50"/>
        <v>362.17810026074943</v>
      </c>
      <c r="M430" s="159">
        <f t="shared" si="50"/>
        <v>362.17810026074943</v>
      </c>
      <c r="N430" s="159">
        <f t="shared" si="50"/>
        <v>362.17810026074943</v>
      </c>
      <c r="P430" s="2"/>
    </row>
    <row r="431" spans="2:16" x14ac:dyDescent="0.25">
      <c r="B431" s="18">
        <v>6380000023</v>
      </c>
      <c r="C431" s="161" t="s">
        <v>177</v>
      </c>
      <c r="D431" s="161" t="s">
        <v>49</v>
      </c>
      <c r="E431" s="161" t="s">
        <v>121</v>
      </c>
      <c r="F431" s="155">
        <v>0</v>
      </c>
      <c r="G431" s="162">
        <f>+VLOOKUP(B431,'5.3 Var OPEX 2023-25'!$B$4:$D$160,3,0)</f>
        <v>4.4009396000000096E-2</v>
      </c>
      <c r="H431" s="163" t="s">
        <v>190</v>
      </c>
      <c r="I431" s="300">
        <f t="shared" si="47"/>
        <v>0</v>
      </c>
      <c r="J431" s="159">
        <f t="shared" si="50"/>
        <v>0</v>
      </c>
      <c r="K431" s="159">
        <f t="shared" si="50"/>
        <v>0</v>
      </c>
      <c r="L431" s="159">
        <f t="shared" si="50"/>
        <v>0</v>
      </c>
      <c r="M431" s="159">
        <f t="shared" si="50"/>
        <v>0</v>
      </c>
      <c r="N431" s="159">
        <f t="shared" si="50"/>
        <v>0</v>
      </c>
      <c r="P431" s="2"/>
    </row>
    <row r="432" spans="2:16" x14ac:dyDescent="0.25">
      <c r="B432" s="18">
        <v>6380000024</v>
      </c>
      <c r="C432" s="161" t="s">
        <v>177</v>
      </c>
      <c r="D432" s="161" t="s">
        <v>49</v>
      </c>
      <c r="E432" s="161" t="s">
        <v>122</v>
      </c>
      <c r="F432" s="155">
        <v>0</v>
      </c>
      <c r="G432" s="162">
        <f>+VLOOKUP(B432,'5.3 Var OPEX 2023-25'!$B$4:$D$160,3,0)</f>
        <v>4.4009396000000096E-2</v>
      </c>
      <c r="H432" s="163" t="s">
        <v>190</v>
      </c>
      <c r="I432" s="300">
        <f t="shared" si="47"/>
        <v>0</v>
      </c>
      <c r="J432" s="159">
        <f t="shared" si="50"/>
        <v>0</v>
      </c>
      <c r="K432" s="159">
        <f t="shared" si="50"/>
        <v>0</v>
      </c>
      <c r="L432" s="159">
        <f t="shared" si="50"/>
        <v>0</v>
      </c>
      <c r="M432" s="159">
        <f t="shared" si="50"/>
        <v>0</v>
      </c>
      <c r="N432" s="159">
        <f t="shared" si="50"/>
        <v>0</v>
      </c>
      <c r="P432" s="2"/>
    </row>
    <row r="433" spans="2:16" x14ac:dyDescent="0.25">
      <c r="B433" s="18">
        <v>6380000025</v>
      </c>
      <c r="C433" s="161" t="s">
        <v>177</v>
      </c>
      <c r="D433" s="161" t="s">
        <v>49</v>
      </c>
      <c r="E433" s="161" t="s">
        <v>123</v>
      </c>
      <c r="F433" s="155">
        <v>0</v>
      </c>
      <c r="G433" s="162">
        <f>+VLOOKUP(B433,'5.3 Var OPEX 2023-25'!$B$4:$D$160,3,0)</f>
        <v>4.4009396000000096E-2</v>
      </c>
      <c r="H433" s="163" t="s">
        <v>190</v>
      </c>
      <c r="I433" s="300">
        <f t="shared" si="47"/>
        <v>0</v>
      </c>
      <c r="J433" s="159">
        <f t="shared" si="50"/>
        <v>0</v>
      </c>
      <c r="K433" s="159">
        <f t="shared" si="50"/>
        <v>0</v>
      </c>
      <c r="L433" s="159">
        <f t="shared" si="50"/>
        <v>0</v>
      </c>
      <c r="M433" s="159">
        <f t="shared" si="50"/>
        <v>0</v>
      </c>
      <c r="N433" s="159">
        <f t="shared" si="50"/>
        <v>0</v>
      </c>
      <c r="P433" s="2"/>
    </row>
    <row r="434" spans="2:16" x14ac:dyDescent="0.25">
      <c r="B434" s="18">
        <v>6380000026</v>
      </c>
      <c r="C434" s="161" t="s">
        <v>177</v>
      </c>
      <c r="D434" s="161" t="s">
        <v>49</v>
      </c>
      <c r="E434" s="161" t="s">
        <v>124</v>
      </c>
      <c r="F434" s="155">
        <v>0</v>
      </c>
      <c r="G434" s="162">
        <f>+VLOOKUP(B434,'5.3 Var OPEX 2023-25'!$B$4:$D$160,3,0)</f>
        <v>4.4009396000000096E-2</v>
      </c>
      <c r="H434" s="163" t="s">
        <v>190</v>
      </c>
      <c r="I434" s="300">
        <f t="shared" si="47"/>
        <v>0</v>
      </c>
      <c r="J434" s="159">
        <f t="shared" si="50"/>
        <v>0</v>
      </c>
      <c r="K434" s="159">
        <f t="shared" si="50"/>
        <v>0</v>
      </c>
      <c r="L434" s="159">
        <f t="shared" si="50"/>
        <v>0</v>
      </c>
      <c r="M434" s="159">
        <f t="shared" si="50"/>
        <v>0</v>
      </c>
      <c r="N434" s="159">
        <f t="shared" si="50"/>
        <v>0</v>
      </c>
      <c r="P434" s="2"/>
    </row>
    <row r="435" spans="2:16" x14ac:dyDescent="0.25">
      <c r="B435" s="18">
        <v>6380000027</v>
      </c>
      <c r="C435" s="161" t="s">
        <v>177</v>
      </c>
      <c r="D435" s="161" t="s">
        <v>49</v>
      </c>
      <c r="E435" s="161" t="s">
        <v>125</v>
      </c>
      <c r="F435" s="155">
        <v>0</v>
      </c>
      <c r="G435" s="162">
        <f>+VLOOKUP(B435,'5.3 Var OPEX 2023-25'!$B$4:$D$160,3,0)</f>
        <v>4.4009396000000096E-2</v>
      </c>
      <c r="H435" s="163" t="s">
        <v>190</v>
      </c>
      <c r="I435" s="300">
        <f t="shared" si="47"/>
        <v>0</v>
      </c>
      <c r="J435" s="159">
        <f t="shared" ref="J435:N444" si="51">+IF(OR($C435="No Imputables",$H435="m2 fijo"),I435,I435*(1+J$6*J$7))</f>
        <v>0</v>
      </c>
      <c r="K435" s="159">
        <f t="shared" si="51"/>
        <v>0</v>
      </c>
      <c r="L435" s="159">
        <f t="shared" si="51"/>
        <v>0</v>
      </c>
      <c r="M435" s="159">
        <f t="shared" si="51"/>
        <v>0</v>
      </c>
      <c r="N435" s="159">
        <f t="shared" si="51"/>
        <v>0</v>
      </c>
      <c r="P435" s="2"/>
    </row>
    <row r="436" spans="2:16" x14ac:dyDescent="0.25">
      <c r="B436" s="18">
        <v>6380000028</v>
      </c>
      <c r="C436" s="161" t="s">
        <v>177</v>
      </c>
      <c r="D436" s="161" t="s">
        <v>49</v>
      </c>
      <c r="E436" s="161" t="s">
        <v>126</v>
      </c>
      <c r="F436" s="155">
        <v>0</v>
      </c>
      <c r="G436" s="162">
        <f>+VLOOKUP(B436,'5.3 Var OPEX 2023-25'!$B$4:$D$160,3,0)</f>
        <v>4.4009396000000096E-2</v>
      </c>
      <c r="H436" s="163" t="s">
        <v>190</v>
      </c>
      <c r="I436" s="300">
        <f t="shared" si="47"/>
        <v>0</v>
      </c>
      <c r="J436" s="159">
        <f t="shared" si="51"/>
        <v>0</v>
      </c>
      <c r="K436" s="159">
        <f t="shared" si="51"/>
        <v>0</v>
      </c>
      <c r="L436" s="159">
        <f t="shared" si="51"/>
        <v>0</v>
      </c>
      <c r="M436" s="159">
        <f t="shared" si="51"/>
        <v>0</v>
      </c>
      <c r="N436" s="159">
        <f t="shared" si="51"/>
        <v>0</v>
      </c>
      <c r="P436" s="2"/>
    </row>
    <row r="437" spans="2:16" x14ac:dyDescent="0.25">
      <c r="B437" s="18">
        <v>6380000029</v>
      </c>
      <c r="C437" s="161" t="s">
        <v>177</v>
      </c>
      <c r="D437" s="161" t="s">
        <v>40</v>
      </c>
      <c r="E437" s="161" t="s">
        <v>127</v>
      </c>
      <c r="F437" s="155">
        <v>0</v>
      </c>
      <c r="G437" s="162">
        <f>+VLOOKUP(B437,'5.3 Var OPEX 2023-25'!$B$4:$D$160,3,0)</f>
        <v>4.4009396000000096E-2</v>
      </c>
      <c r="H437" s="163" t="s">
        <v>190</v>
      </c>
      <c r="I437" s="300">
        <f t="shared" si="47"/>
        <v>0</v>
      </c>
      <c r="J437" s="159">
        <f t="shared" si="51"/>
        <v>0</v>
      </c>
      <c r="K437" s="159">
        <f t="shared" si="51"/>
        <v>0</v>
      </c>
      <c r="L437" s="159">
        <f t="shared" si="51"/>
        <v>0</v>
      </c>
      <c r="M437" s="159">
        <f t="shared" si="51"/>
        <v>0</v>
      </c>
      <c r="N437" s="159">
        <f t="shared" si="51"/>
        <v>0</v>
      </c>
      <c r="P437" s="2"/>
    </row>
    <row r="438" spans="2:16" x14ac:dyDescent="0.25">
      <c r="B438" s="18">
        <v>6380000030</v>
      </c>
      <c r="C438" s="161" t="s">
        <v>177</v>
      </c>
      <c r="D438" s="161" t="s">
        <v>40</v>
      </c>
      <c r="E438" s="161" t="s">
        <v>128</v>
      </c>
      <c r="F438" s="155">
        <v>314224.49817257142</v>
      </c>
      <c r="G438" s="162">
        <f>+VLOOKUP(B438,'5.3 Var OPEX 2023-25'!$B$4:$D$160,3,0)</f>
        <v>3.290536457674488</v>
      </c>
      <c r="H438" s="163" t="s">
        <v>190</v>
      </c>
      <c r="I438" s="300">
        <f t="shared" si="47"/>
        <v>1323189.9235297998</v>
      </c>
      <c r="J438" s="159">
        <f t="shared" si="51"/>
        <v>1323189.9235297998</v>
      </c>
      <c r="K438" s="159">
        <f t="shared" si="51"/>
        <v>1323189.9235297998</v>
      </c>
      <c r="L438" s="159">
        <f t="shared" si="51"/>
        <v>1323189.9235297998</v>
      </c>
      <c r="M438" s="159">
        <f t="shared" si="51"/>
        <v>1323189.9235297998</v>
      </c>
      <c r="N438" s="159">
        <f t="shared" si="51"/>
        <v>1323189.9235297998</v>
      </c>
      <c r="P438" s="2"/>
    </row>
    <row r="439" spans="2:16" x14ac:dyDescent="0.25">
      <c r="B439" s="18">
        <v>6380000031</v>
      </c>
      <c r="C439" s="161" t="s">
        <v>177</v>
      </c>
      <c r="D439" s="161" t="s">
        <v>49</v>
      </c>
      <c r="E439" s="161" t="s">
        <v>129</v>
      </c>
      <c r="F439" s="155">
        <v>0</v>
      </c>
      <c r="G439" s="162">
        <f>+VLOOKUP(B439,'5.3 Var OPEX 2023-25'!$B$4:$D$160,3,0)</f>
        <v>4.4009396000000096E-2</v>
      </c>
      <c r="H439" s="163" t="s">
        <v>190</v>
      </c>
      <c r="I439" s="300">
        <f t="shared" si="47"/>
        <v>0</v>
      </c>
      <c r="J439" s="159">
        <f t="shared" si="51"/>
        <v>0</v>
      </c>
      <c r="K439" s="159">
        <f t="shared" si="51"/>
        <v>0</v>
      </c>
      <c r="L439" s="159">
        <f t="shared" si="51"/>
        <v>0</v>
      </c>
      <c r="M439" s="159">
        <f t="shared" si="51"/>
        <v>0</v>
      </c>
      <c r="N439" s="159">
        <f t="shared" si="51"/>
        <v>0</v>
      </c>
      <c r="P439" s="2"/>
    </row>
    <row r="440" spans="2:16" x14ac:dyDescent="0.25">
      <c r="B440" s="18">
        <v>6381000001</v>
      </c>
      <c r="C440" s="161" t="s">
        <v>177</v>
      </c>
      <c r="D440" s="161" t="s">
        <v>49</v>
      </c>
      <c r="E440" s="161" t="s">
        <v>130</v>
      </c>
      <c r="F440" s="155">
        <v>0</v>
      </c>
      <c r="G440" s="162">
        <f>+VLOOKUP(B440,'5.3 Var OPEX 2023-25'!$B$4:$D$160,3,0)</f>
        <v>4.4009396000000096E-2</v>
      </c>
      <c r="H440" s="163" t="s">
        <v>190</v>
      </c>
      <c r="I440" s="300">
        <f t="shared" si="47"/>
        <v>0</v>
      </c>
      <c r="J440" s="159">
        <f t="shared" si="51"/>
        <v>0</v>
      </c>
      <c r="K440" s="159">
        <f t="shared" si="51"/>
        <v>0</v>
      </c>
      <c r="L440" s="159">
        <f t="shared" si="51"/>
        <v>0</v>
      </c>
      <c r="M440" s="159">
        <f t="shared" si="51"/>
        <v>0</v>
      </c>
      <c r="N440" s="159">
        <f t="shared" si="51"/>
        <v>0</v>
      </c>
      <c r="P440" s="2"/>
    </row>
    <row r="441" spans="2:16" x14ac:dyDescent="0.25">
      <c r="B441" s="18">
        <v>6381000002</v>
      </c>
      <c r="C441" s="161" t="s">
        <v>177</v>
      </c>
      <c r="D441" s="161" t="s">
        <v>49</v>
      </c>
      <c r="E441" s="161" t="s">
        <v>131</v>
      </c>
      <c r="F441" s="155">
        <v>25666.41649963586</v>
      </c>
      <c r="G441" s="162">
        <f>+VLOOKUP(B441,'5.3 Var OPEX 2023-25'!$B$4:$D$160,3,0)</f>
        <v>4.4009396000000096E-2</v>
      </c>
      <c r="H441" s="163" t="s">
        <v>190</v>
      </c>
      <c r="I441" s="300">
        <f t="shared" si="47"/>
        <v>26299.057932737553</v>
      </c>
      <c r="J441" s="159">
        <f t="shared" si="51"/>
        <v>26299.057932737553</v>
      </c>
      <c r="K441" s="159">
        <f t="shared" si="51"/>
        <v>26299.057932737553</v>
      </c>
      <c r="L441" s="159">
        <f t="shared" si="51"/>
        <v>26299.057932737553</v>
      </c>
      <c r="M441" s="159">
        <f t="shared" si="51"/>
        <v>26299.057932737553</v>
      </c>
      <c r="N441" s="159">
        <f t="shared" si="51"/>
        <v>26299.057932737553</v>
      </c>
      <c r="P441" s="2"/>
    </row>
    <row r="442" spans="2:16" x14ac:dyDescent="0.25">
      <c r="B442" s="18">
        <v>6381000003</v>
      </c>
      <c r="C442" s="161" t="s">
        <v>177</v>
      </c>
      <c r="D442" s="161" t="s">
        <v>49</v>
      </c>
      <c r="E442" s="161" t="s">
        <v>132</v>
      </c>
      <c r="F442" s="155">
        <v>0</v>
      </c>
      <c r="G442" s="162">
        <f>+VLOOKUP(B442,'5.3 Var OPEX 2023-25'!$B$4:$D$160,3,0)</f>
        <v>4.4009396000000096E-2</v>
      </c>
      <c r="H442" s="163" t="s">
        <v>190</v>
      </c>
      <c r="I442" s="300">
        <f t="shared" si="47"/>
        <v>0</v>
      </c>
      <c r="J442" s="159">
        <f t="shared" si="51"/>
        <v>0</v>
      </c>
      <c r="K442" s="159">
        <f t="shared" si="51"/>
        <v>0</v>
      </c>
      <c r="L442" s="159">
        <f t="shared" si="51"/>
        <v>0</v>
      </c>
      <c r="M442" s="159">
        <f t="shared" si="51"/>
        <v>0</v>
      </c>
      <c r="N442" s="159">
        <f t="shared" si="51"/>
        <v>0</v>
      </c>
      <c r="P442" s="2"/>
    </row>
    <row r="443" spans="2:16" x14ac:dyDescent="0.25">
      <c r="B443" s="18">
        <v>6381000004</v>
      </c>
      <c r="C443" s="161" t="s">
        <v>177</v>
      </c>
      <c r="D443" s="161" t="s">
        <v>40</v>
      </c>
      <c r="E443" s="161" t="s">
        <v>133</v>
      </c>
      <c r="F443" s="155">
        <v>0</v>
      </c>
      <c r="G443" s="162">
        <f>+VLOOKUP(B443,'5.3 Var OPEX 2023-25'!$B$4:$D$160,3,0)</f>
        <v>4.4009396000000096E-2</v>
      </c>
      <c r="H443" s="163" t="s">
        <v>190</v>
      </c>
      <c r="I443" s="300">
        <f t="shared" si="47"/>
        <v>0</v>
      </c>
      <c r="J443" s="159">
        <f t="shared" si="51"/>
        <v>0</v>
      </c>
      <c r="K443" s="159">
        <f t="shared" si="51"/>
        <v>0</v>
      </c>
      <c r="L443" s="159">
        <f t="shared" si="51"/>
        <v>0</v>
      </c>
      <c r="M443" s="159">
        <f t="shared" si="51"/>
        <v>0</v>
      </c>
      <c r="N443" s="159">
        <f t="shared" si="51"/>
        <v>0</v>
      </c>
      <c r="P443" s="2"/>
    </row>
    <row r="444" spans="2:16" x14ac:dyDescent="0.25">
      <c r="B444" s="18">
        <v>6381000005</v>
      </c>
      <c r="C444" s="161" t="s">
        <v>177</v>
      </c>
      <c r="D444" s="161" t="s">
        <v>49</v>
      </c>
      <c r="E444" s="161" t="s">
        <v>134</v>
      </c>
      <c r="F444" s="155">
        <v>0</v>
      </c>
      <c r="G444" s="162">
        <f>+VLOOKUP(B444,'5.3 Var OPEX 2023-25'!$B$4:$D$160,3,0)</f>
        <v>4.4009396000000096E-2</v>
      </c>
      <c r="H444" s="163" t="s">
        <v>190</v>
      </c>
      <c r="I444" s="300">
        <f t="shared" si="47"/>
        <v>0</v>
      </c>
      <c r="J444" s="159">
        <f t="shared" si="51"/>
        <v>0</v>
      </c>
      <c r="K444" s="159">
        <f t="shared" si="51"/>
        <v>0</v>
      </c>
      <c r="L444" s="159">
        <f t="shared" si="51"/>
        <v>0</v>
      </c>
      <c r="M444" s="159">
        <f t="shared" si="51"/>
        <v>0</v>
      </c>
      <c r="N444" s="159">
        <f t="shared" si="51"/>
        <v>0</v>
      </c>
      <c r="P444" s="2"/>
    </row>
    <row r="445" spans="2:16" x14ac:dyDescent="0.25">
      <c r="B445" s="18">
        <v>6381000006</v>
      </c>
      <c r="C445" s="161" t="s">
        <v>177</v>
      </c>
      <c r="D445" s="161" t="s">
        <v>49</v>
      </c>
      <c r="E445" s="161" t="s">
        <v>135</v>
      </c>
      <c r="F445" s="155">
        <v>0</v>
      </c>
      <c r="G445" s="162">
        <f>+VLOOKUP(B445,'5.3 Var OPEX 2023-25'!$B$4:$D$160,3,0)</f>
        <v>4.4009396000000096E-2</v>
      </c>
      <c r="H445" s="163" t="s">
        <v>190</v>
      </c>
      <c r="I445" s="300">
        <f t="shared" si="47"/>
        <v>0</v>
      </c>
      <c r="J445" s="159">
        <f t="shared" ref="J445:N454" si="52">+IF(OR($C445="No Imputables",$H445="m2 fijo"),I445,I445*(1+J$6*J$7))</f>
        <v>0</v>
      </c>
      <c r="K445" s="159">
        <f t="shared" si="52"/>
        <v>0</v>
      </c>
      <c r="L445" s="159">
        <f t="shared" si="52"/>
        <v>0</v>
      </c>
      <c r="M445" s="159">
        <f t="shared" si="52"/>
        <v>0</v>
      </c>
      <c r="N445" s="159">
        <f t="shared" si="52"/>
        <v>0</v>
      </c>
      <c r="P445" s="2"/>
    </row>
    <row r="446" spans="2:16" x14ac:dyDescent="0.25">
      <c r="B446" s="18">
        <v>6382000001</v>
      </c>
      <c r="C446" s="161" t="s">
        <v>177</v>
      </c>
      <c r="D446" s="161" t="s">
        <v>40</v>
      </c>
      <c r="E446" s="161" t="s">
        <v>136</v>
      </c>
      <c r="F446" s="155">
        <v>76696.46308064046</v>
      </c>
      <c r="G446" s="162">
        <f>+VLOOKUP(B446,'5.3 Var OPEX 2023-25'!$B$4:$D$160,3,0)</f>
        <v>1.0528702981147076</v>
      </c>
      <c r="H446" s="163" t="s">
        <v>190</v>
      </c>
      <c r="I446" s="300">
        <f t="shared" si="47"/>
        <v>154528.07508881312</v>
      </c>
      <c r="J446" s="159">
        <f t="shared" si="52"/>
        <v>154528.07508881312</v>
      </c>
      <c r="K446" s="159">
        <f t="shared" si="52"/>
        <v>154528.07508881312</v>
      </c>
      <c r="L446" s="159">
        <f t="shared" si="52"/>
        <v>154528.07508881312</v>
      </c>
      <c r="M446" s="159">
        <f t="shared" si="52"/>
        <v>154528.07508881312</v>
      </c>
      <c r="N446" s="159">
        <f t="shared" si="52"/>
        <v>154528.07508881312</v>
      </c>
      <c r="P446" s="2"/>
    </row>
    <row r="447" spans="2:16" x14ac:dyDescent="0.25">
      <c r="B447" s="18">
        <v>6382000002</v>
      </c>
      <c r="C447" s="161" t="s">
        <v>177</v>
      </c>
      <c r="D447" s="161" t="s">
        <v>40</v>
      </c>
      <c r="E447" s="161" t="s">
        <v>137</v>
      </c>
      <c r="F447" s="155">
        <v>17840.866975890927</v>
      </c>
      <c r="G447" s="162">
        <f>+VLOOKUP(B447,'5.3 Var OPEX 2023-25'!$B$4:$D$160,3,0)</f>
        <v>4.4009396000000096E-2</v>
      </c>
      <c r="H447" s="163" t="s">
        <v>190</v>
      </c>
      <c r="I447" s="300">
        <f t="shared" si="47"/>
        <v>18280.619508215197</v>
      </c>
      <c r="J447" s="159">
        <f t="shared" si="52"/>
        <v>18280.619508215197</v>
      </c>
      <c r="K447" s="159">
        <f t="shared" si="52"/>
        <v>18280.619508215197</v>
      </c>
      <c r="L447" s="159">
        <f t="shared" si="52"/>
        <v>18280.619508215197</v>
      </c>
      <c r="M447" s="159">
        <f t="shared" si="52"/>
        <v>18280.619508215197</v>
      </c>
      <c r="N447" s="159">
        <f t="shared" si="52"/>
        <v>18280.619508215197</v>
      </c>
      <c r="P447" s="2"/>
    </row>
    <row r="448" spans="2:16" x14ac:dyDescent="0.25">
      <c r="B448" s="18">
        <v>6390000001</v>
      </c>
      <c r="C448" s="161" t="s">
        <v>177</v>
      </c>
      <c r="D448" s="161" t="s">
        <v>38</v>
      </c>
      <c r="E448" s="161" t="s">
        <v>138</v>
      </c>
      <c r="F448" s="155">
        <v>0</v>
      </c>
      <c r="G448" s="162">
        <f>+VLOOKUP(B448,'5.3 Var OPEX 2023-25'!$B$4:$D$160,3,0)</f>
        <v>4.4009396000000096E-2</v>
      </c>
      <c r="H448" s="163" t="s">
        <v>190</v>
      </c>
      <c r="I448" s="300">
        <f t="shared" si="47"/>
        <v>0</v>
      </c>
      <c r="J448" s="159">
        <f t="shared" si="52"/>
        <v>0</v>
      </c>
      <c r="K448" s="159">
        <f t="shared" si="52"/>
        <v>0</v>
      </c>
      <c r="L448" s="159">
        <f t="shared" si="52"/>
        <v>0</v>
      </c>
      <c r="M448" s="159">
        <f t="shared" si="52"/>
        <v>0</v>
      </c>
      <c r="N448" s="159">
        <f t="shared" si="52"/>
        <v>0</v>
      </c>
      <c r="P448" s="2"/>
    </row>
    <row r="449" spans="1:16" x14ac:dyDescent="0.25">
      <c r="B449" s="18">
        <v>6391000001</v>
      </c>
      <c r="C449" s="161" t="s">
        <v>177</v>
      </c>
      <c r="D449" s="161" t="s">
        <v>38</v>
      </c>
      <c r="E449" s="161" t="s">
        <v>139</v>
      </c>
      <c r="F449" s="155">
        <v>66908.970771889712</v>
      </c>
      <c r="G449" s="162">
        <f>+VLOOKUP(B449,'5.3 Var OPEX 2023-25'!$B$4:$D$160,3,0)</f>
        <v>4.4009396000000096E-2</v>
      </c>
      <c r="H449" s="163" t="s">
        <v>190</v>
      </c>
      <c r="I449" s="300">
        <f t="shared" si="47"/>
        <v>68558.18374858587</v>
      </c>
      <c r="J449" s="159">
        <f t="shared" si="52"/>
        <v>68558.18374858587</v>
      </c>
      <c r="K449" s="159">
        <f t="shared" si="52"/>
        <v>68558.18374858587</v>
      </c>
      <c r="L449" s="159">
        <f t="shared" si="52"/>
        <v>68558.18374858587</v>
      </c>
      <c r="M449" s="159">
        <f t="shared" si="52"/>
        <v>68558.18374858587</v>
      </c>
      <c r="N449" s="159">
        <f t="shared" si="52"/>
        <v>68558.18374858587</v>
      </c>
      <c r="P449" s="2"/>
    </row>
    <row r="450" spans="1:16" x14ac:dyDescent="0.25">
      <c r="B450" s="18">
        <v>6391000003</v>
      </c>
      <c r="C450" s="161" t="s">
        <v>177</v>
      </c>
      <c r="D450" s="161" t="s">
        <v>38</v>
      </c>
      <c r="E450" s="161" t="s">
        <v>140</v>
      </c>
      <c r="F450" s="155">
        <v>36278.213539739998</v>
      </c>
      <c r="G450" s="162">
        <f>+VLOOKUP(B450,'5.3 Var OPEX 2023-25'!$B$4:$D$160,3,0)</f>
        <v>4.4009396000000096E-2</v>
      </c>
      <c r="H450" s="163" t="s">
        <v>190</v>
      </c>
      <c r="I450" s="300">
        <f t="shared" si="47"/>
        <v>37172.420995793553</v>
      </c>
      <c r="J450" s="159">
        <f t="shared" si="52"/>
        <v>37172.420995793553</v>
      </c>
      <c r="K450" s="159">
        <f t="shared" si="52"/>
        <v>37172.420995793553</v>
      </c>
      <c r="L450" s="159">
        <f t="shared" si="52"/>
        <v>37172.420995793553</v>
      </c>
      <c r="M450" s="159">
        <f t="shared" si="52"/>
        <v>37172.420995793553</v>
      </c>
      <c r="N450" s="159">
        <f t="shared" si="52"/>
        <v>37172.420995793553</v>
      </c>
      <c r="P450" s="2"/>
    </row>
    <row r="451" spans="1:16" x14ac:dyDescent="0.25">
      <c r="A451" s="38"/>
      <c r="B451" s="18">
        <v>6410000001</v>
      </c>
      <c r="C451" s="161" t="s">
        <v>177</v>
      </c>
      <c r="D451" s="161" t="s">
        <v>38</v>
      </c>
      <c r="E451" s="161" t="s">
        <v>141</v>
      </c>
      <c r="F451" s="155">
        <v>0</v>
      </c>
      <c r="G451" s="162">
        <f>+VLOOKUP(B451,'5.3 Var OPEX 2023-25'!$B$4:$D$160,3,0)</f>
        <v>4.4009396000000096E-2</v>
      </c>
      <c r="H451" s="163" t="s">
        <v>190</v>
      </c>
      <c r="I451" s="300">
        <f t="shared" si="47"/>
        <v>0</v>
      </c>
      <c r="J451" s="159">
        <f t="shared" si="52"/>
        <v>0</v>
      </c>
      <c r="K451" s="159">
        <f t="shared" si="52"/>
        <v>0</v>
      </c>
      <c r="L451" s="159">
        <f t="shared" si="52"/>
        <v>0</v>
      </c>
      <c r="M451" s="159">
        <f t="shared" si="52"/>
        <v>0</v>
      </c>
      <c r="N451" s="159">
        <f t="shared" si="52"/>
        <v>0</v>
      </c>
      <c r="P451" s="2"/>
    </row>
    <row r="452" spans="1:16" x14ac:dyDescent="0.25">
      <c r="B452" s="18">
        <v>6410000002</v>
      </c>
      <c r="C452" s="161" t="s">
        <v>177</v>
      </c>
      <c r="D452" s="161" t="s">
        <v>38</v>
      </c>
      <c r="E452" s="161" t="s">
        <v>142</v>
      </c>
      <c r="F452" s="155">
        <v>0</v>
      </c>
      <c r="G452" s="162">
        <f>+VLOOKUP(B452,'5.3 Var OPEX 2023-25'!$B$4:$D$160,3,0)</f>
        <v>4.4009396000000096E-2</v>
      </c>
      <c r="H452" s="163" t="s">
        <v>190</v>
      </c>
      <c r="I452" s="300">
        <f t="shared" si="47"/>
        <v>0</v>
      </c>
      <c r="J452" s="159">
        <f t="shared" si="52"/>
        <v>0</v>
      </c>
      <c r="K452" s="159">
        <f t="shared" si="52"/>
        <v>0</v>
      </c>
      <c r="L452" s="159">
        <f t="shared" si="52"/>
        <v>0</v>
      </c>
      <c r="M452" s="159">
        <f t="shared" si="52"/>
        <v>0</v>
      </c>
      <c r="N452" s="159">
        <f t="shared" si="52"/>
        <v>0</v>
      </c>
      <c r="P452" s="2"/>
    </row>
    <row r="453" spans="1:16" x14ac:dyDescent="0.25">
      <c r="B453" s="18">
        <v>6430000001</v>
      </c>
      <c r="C453" s="161" t="s">
        <v>177</v>
      </c>
      <c r="D453" s="161" t="s">
        <v>38</v>
      </c>
      <c r="E453" s="161" t="s">
        <v>143</v>
      </c>
      <c r="F453" s="155">
        <v>15660.996449479668</v>
      </c>
      <c r="G453" s="162">
        <f>+VLOOKUP(B453,'5.3 Var OPEX 2023-25'!$B$4:$D$160,3,0)</f>
        <v>4.4009396000000096E-2</v>
      </c>
      <c r="H453" s="163" t="s">
        <v>192</v>
      </c>
      <c r="I453" s="300">
        <f t="shared" si="47"/>
        <v>16047.01820821408</v>
      </c>
      <c r="J453" s="159">
        <f t="shared" si="52"/>
        <v>16047.01820821408</v>
      </c>
      <c r="K453" s="159">
        <f t="shared" si="52"/>
        <v>16047.01820821408</v>
      </c>
      <c r="L453" s="159">
        <f t="shared" si="52"/>
        <v>16047.01820821408</v>
      </c>
      <c r="M453" s="159">
        <f t="shared" si="52"/>
        <v>16047.01820821408</v>
      </c>
      <c r="N453" s="159">
        <f t="shared" si="52"/>
        <v>16047.01820821408</v>
      </c>
      <c r="P453" s="2"/>
    </row>
    <row r="454" spans="1:16" x14ac:dyDescent="0.25">
      <c r="B454" s="18">
        <v>6430000002</v>
      </c>
      <c r="C454" s="161" t="s">
        <v>177</v>
      </c>
      <c r="D454" s="161" t="s">
        <v>38</v>
      </c>
      <c r="E454" s="161" t="s">
        <v>144</v>
      </c>
      <c r="F454" s="155">
        <v>1831.2834608139908</v>
      </c>
      <c r="G454" s="162">
        <f>+VLOOKUP(B454,'5.3 Var OPEX 2023-25'!$B$4:$D$160,3,0)</f>
        <v>4.4009396000000096E-2</v>
      </c>
      <c r="H454" s="163" t="s">
        <v>192</v>
      </c>
      <c r="I454" s="300">
        <f t="shared" si="47"/>
        <v>1876.422048551053</v>
      </c>
      <c r="J454" s="159">
        <f t="shared" si="52"/>
        <v>1876.422048551053</v>
      </c>
      <c r="K454" s="159">
        <f t="shared" si="52"/>
        <v>1876.422048551053</v>
      </c>
      <c r="L454" s="159">
        <f t="shared" si="52"/>
        <v>1876.422048551053</v>
      </c>
      <c r="M454" s="159">
        <f t="shared" si="52"/>
        <v>1876.422048551053</v>
      </c>
      <c r="N454" s="159">
        <f t="shared" si="52"/>
        <v>1876.422048551053</v>
      </c>
      <c r="P454" s="2"/>
    </row>
    <row r="455" spans="1:16" x14ac:dyDescent="0.25">
      <c r="B455" s="18">
        <v>6430000003</v>
      </c>
      <c r="C455" s="161" t="s">
        <v>177</v>
      </c>
      <c r="D455" s="161" t="s">
        <v>38</v>
      </c>
      <c r="E455" s="161" t="s">
        <v>145</v>
      </c>
      <c r="F455" s="155">
        <v>499.9944589848941</v>
      </c>
      <c r="G455" s="162">
        <f>+VLOOKUP(B455,'5.3 Var OPEX 2023-25'!$B$4:$D$160,3,0)</f>
        <v>4.4009396000000096E-2</v>
      </c>
      <c r="H455" s="163" t="s">
        <v>190</v>
      </c>
      <c r="I455" s="300">
        <f t="shared" si="47"/>
        <v>512.31862629043121</v>
      </c>
      <c r="J455" s="159">
        <f t="shared" ref="J455:N464" si="53">+IF(OR($C455="No Imputables",$H455="m2 fijo"),I455,I455*(1+J$6*J$7))</f>
        <v>512.31862629043121</v>
      </c>
      <c r="K455" s="159">
        <f t="shared" si="53"/>
        <v>512.31862629043121</v>
      </c>
      <c r="L455" s="159">
        <f t="shared" si="53"/>
        <v>512.31862629043121</v>
      </c>
      <c r="M455" s="159">
        <f t="shared" si="53"/>
        <v>512.31862629043121</v>
      </c>
      <c r="N455" s="159">
        <f t="shared" si="53"/>
        <v>512.31862629043121</v>
      </c>
      <c r="P455" s="2"/>
    </row>
    <row r="456" spans="1:16" x14ac:dyDescent="0.25">
      <c r="B456" s="18">
        <v>6510000001</v>
      </c>
      <c r="C456" s="161" t="s">
        <v>177</v>
      </c>
      <c r="D456" s="161" t="s">
        <v>38</v>
      </c>
      <c r="E456" s="161" t="s">
        <v>146</v>
      </c>
      <c r="F456" s="155">
        <v>27387.188422098901</v>
      </c>
      <c r="G456" s="162">
        <f>+VLOOKUP(B456,'5.3 Var OPEX 2023-25'!$B$4:$D$160,3,0)</f>
        <v>0.2404668693070342</v>
      </c>
      <c r="H456" s="163" t="s">
        <v>192</v>
      </c>
      <c r="I456" s="300">
        <f t="shared" si="47"/>
        <v>33342.884363257872</v>
      </c>
      <c r="J456" s="159">
        <f t="shared" si="53"/>
        <v>33342.884363257872</v>
      </c>
      <c r="K456" s="159">
        <f t="shared" si="53"/>
        <v>33342.884363257872</v>
      </c>
      <c r="L456" s="159">
        <f t="shared" si="53"/>
        <v>33342.884363257872</v>
      </c>
      <c r="M456" s="159">
        <f t="shared" si="53"/>
        <v>33342.884363257872</v>
      </c>
      <c r="N456" s="159">
        <f t="shared" si="53"/>
        <v>33342.884363257872</v>
      </c>
      <c r="P456" s="2"/>
    </row>
    <row r="457" spans="1:16" x14ac:dyDescent="0.25">
      <c r="B457" s="18">
        <v>6530000001</v>
      </c>
      <c r="C457" s="161" t="s">
        <v>177</v>
      </c>
      <c r="D457" s="161" t="s">
        <v>38</v>
      </c>
      <c r="E457" s="161" t="s">
        <v>147</v>
      </c>
      <c r="F457" s="155">
        <v>14284.614456872208</v>
      </c>
      <c r="G457" s="162">
        <f>+VLOOKUP(B457,'5.3 Var OPEX 2023-25'!$B$4:$D$160,3,0)</f>
        <v>4.4009396000000096E-2</v>
      </c>
      <c r="H457" s="163" t="s">
        <v>190</v>
      </c>
      <c r="I457" s="300">
        <f t="shared" si="47"/>
        <v>14636.710315732327</v>
      </c>
      <c r="J457" s="159">
        <f t="shared" si="53"/>
        <v>14636.710315732327</v>
      </c>
      <c r="K457" s="159">
        <f t="shared" si="53"/>
        <v>14636.710315732327</v>
      </c>
      <c r="L457" s="159">
        <f t="shared" si="53"/>
        <v>14636.710315732327</v>
      </c>
      <c r="M457" s="159">
        <f t="shared" si="53"/>
        <v>14636.710315732327</v>
      </c>
      <c r="N457" s="159">
        <f t="shared" si="53"/>
        <v>14636.710315732327</v>
      </c>
      <c r="P457" s="2"/>
    </row>
    <row r="458" spans="1:16" x14ac:dyDescent="0.25">
      <c r="B458" s="18">
        <v>6530000002</v>
      </c>
      <c r="C458" s="161" t="s">
        <v>177</v>
      </c>
      <c r="D458" s="161" t="s">
        <v>38</v>
      </c>
      <c r="E458" s="161" t="s">
        <v>148</v>
      </c>
      <c r="F458" s="155">
        <v>82068.36780162483</v>
      </c>
      <c r="G458" s="162">
        <f>+VLOOKUP(B458,'5.3 Var OPEX 2023-25'!$B$4:$D$160,3,0)</f>
        <v>0.17007525835504156</v>
      </c>
      <c r="H458" s="163" t="s">
        <v>190</v>
      </c>
      <c r="I458" s="300">
        <f t="shared" si="47"/>
        <v>94245.395063146629</v>
      </c>
      <c r="J458" s="159">
        <f t="shared" si="53"/>
        <v>94245.395063146629</v>
      </c>
      <c r="K458" s="159">
        <f t="shared" si="53"/>
        <v>94245.395063146629</v>
      </c>
      <c r="L458" s="159">
        <f t="shared" si="53"/>
        <v>94245.395063146629</v>
      </c>
      <c r="M458" s="159">
        <f t="shared" si="53"/>
        <v>94245.395063146629</v>
      </c>
      <c r="N458" s="159">
        <f t="shared" si="53"/>
        <v>94245.395063146629</v>
      </c>
      <c r="P458" s="2"/>
    </row>
    <row r="459" spans="1:16" x14ac:dyDescent="0.25">
      <c r="B459" s="18">
        <v>6540000001</v>
      </c>
      <c r="C459" s="161" t="s">
        <v>177</v>
      </c>
      <c r="D459" s="161" t="s">
        <v>38</v>
      </c>
      <c r="E459" s="161" t="s">
        <v>149</v>
      </c>
      <c r="F459" s="155">
        <v>327993.18896137341</v>
      </c>
      <c r="G459" s="162">
        <f>+VLOOKUP(B459,'5.3 Var OPEX 2023-25'!$B$4:$D$160,3,0)</f>
        <v>4.4009396000000096E-2</v>
      </c>
      <c r="H459" s="163" t="s">
        <v>190</v>
      </c>
      <c r="I459" s="300">
        <f t="shared" si="47"/>
        <v>336077.76442655612</v>
      </c>
      <c r="J459" s="159">
        <f t="shared" si="53"/>
        <v>336077.76442655612</v>
      </c>
      <c r="K459" s="159">
        <f t="shared" si="53"/>
        <v>336077.76442655612</v>
      </c>
      <c r="L459" s="159">
        <f t="shared" si="53"/>
        <v>336077.76442655612</v>
      </c>
      <c r="M459" s="159">
        <f t="shared" si="53"/>
        <v>336077.76442655612</v>
      </c>
      <c r="N459" s="159">
        <f t="shared" si="53"/>
        <v>336077.76442655612</v>
      </c>
      <c r="P459" s="2"/>
    </row>
    <row r="460" spans="1:16" x14ac:dyDescent="0.25">
      <c r="B460" s="18">
        <v>6561000001</v>
      </c>
      <c r="C460" s="161" t="s">
        <v>177</v>
      </c>
      <c r="D460" s="161" t="s">
        <v>38</v>
      </c>
      <c r="E460" s="161" t="s">
        <v>150</v>
      </c>
      <c r="F460" s="155">
        <v>3335.3734186249026</v>
      </c>
      <c r="G460" s="162">
        <f>+VLOOKUP(B460,'5.3 Var OPEX 2023-25'!$B$4:$D$160,3,0)</f>
        <v>4.4009396000000096E-2</v>
      </c>
      <c r="H460" s="163" t="s">
        <v>190</v>
      </c>
      <c r="I460" s="300">
        <f t="shared" si="47"/>
        <v>3417.5857297793673</v>
      </c>
      <c r="J460" s="159">
        <f t="shared" si="53"/>
        <v>3417.5857297793673</v>
      </c>
      <c r="K460" s="159">
        <f t="shared" si="53"/>
        <v>3417.5857297793673</v>
      </c>
      <c r="L460" s="159">
        <f t="shared" si="53"/>
        <v>3417.5857297793673</v>
      </c>
      <c r="M460" s="159">
        <f t="shared" si="53"/>
        <v>3417.5857297793673</v>
      </c>
      <c r="N460" s="159">
        <f t="shared" si="53"/>
        <v>3417.5857297793673</v>
      </c>
      <c r="P460" s="2"/>
    </row>
    <row r="461" spans="1:16" x14ac:dyDescent="0.25">
      <c r="B461" s="18">
        <v>6561000002</v>
      </c>
      <c r="C461" s="161" t="s">
        <v>177</v>
      </c>
      <c r="D461" s="161" t="s">
        <v>38</v>
      </c>
      <c r="E461" s="161" t="s">
        <v>151</v>
      </c>
      <c r="F461" s="155">
        <v>70380.7892779213</v>
      </c>
      <c r="G461" s="162">
        <f>+VLOOKUP(B461,'5.3 Var OPEX 2023-25'!$B$4:$D$160,3,0)</f>
        <v>4.4009396000000096E-2</v>
      </c>
      <c r="H461" s="163" t="s">
        <v>190</v>
      </c>
      <c r="I461" s="300">
        <f t="shared" si="47"/>
        <v>72115.577747213232</v>
      </c>
      <c r="J461" s="159">
        <f t="shared" si="53"/>
        <v>72115.577747213232</v>
      </c>
      <c r="K461" s="159">
        <f t="shared" si="53"/>
        <v>72115.577747213232</v>
      </c>
      <c r="L461" s="159">
        <f t="shared" si="53"/>
        <v>72115.577747213232</v>
      </c>
      <c r="M461" s="159">
        <f t="shared" si="53"/>
        <v>72115.577747213232</v>
      </c>
      <c r="N461" s="159">
        <f t="shared" si="53"/>
        <v>72115.577747213232</v>
      </c>
      <c r="P461" s="2"/>
    </row>
    <row r="462" spans="1:16" x14ac:dyDescent="0.25">
      <c r="B462" s="18">
        <v>6561000003</v>
      </c>
      <c r="C462" s="161" t="s">
        <v>177</v>
      </c>
      <c r="D462" s="161" t="s">
        <v>38</v>
      </c>
      <c r="E462" s="161" t="s">
        <v>152</v>
      </c>
      <c r="F462" s="155">
        <v>119628.08879087138</v>
      </c>
      <c r="G462" s="162">
        <f>+VLOOKUP(B462,'5.3 Var OPEX 2023-25'!$B$4:$D$160,3,0)</f>
        <v>9.8026320203328909E-2</v>
      </c>
      <c r="H462" s="163" t="s">
        <v>190</v>
      </c>
      <c r="I462" s="300">
        <f t="shared" si="47"/>
        <v>128918.8615964045</v>
      </c>
      <c r="J462" s="159">
        <f t="shared" si="53"/>
        <v>128918.8615964045</v>
      </c>
      <c r="K462" s="159">
        <f t="shared" si="53"/>
        <v>128918.8615964045</v>
      </c>
      <c r="L462" s="159">
        <f t="shared" si="53"/>
        <v>128918.8615964045</v>
      </c>
      <c r="M462" s="159">
        <f t="shared" si="53"/>
        <v>128918.8615964045</v>
      </c>
      <c r="N462" s="159">
        <f t="shared" si="53"/>
        <v>128918.8615964045</v>
      </c>
      <c r="P462" s="2"/>
    </row>
    <row r="463" spans="1:16" x14ac:dyDescent="0.25">
      <c r="B463" s="18">
        <v>6561000004</v>
      </c>
      <c r="C463" s="161" t="s">
        <v>177</v>
      </c>
      <c r="D463" s="161" t="s">
        <v>38</v>
      </c>
      <c r="E463" s="161" t="s">
        <v>153</v>
      </c>
      <c r="F463" s="155">
        <v>24291.73883384054</v>
      </c>
      <c r="G463" s="162">
        <f>+VLOOKUP(B463,'5.3 Var OPEX 2023-25'!$B$4:$D$160,3,0)</f>
        <v>4.4009396000000096E-2</v>
      </c>
      <c r="H463" s="163" t="s">
        <v>190</v>
      </c>
      <c r="I463" s="300">
        <f t="shared" ref="I463:I485" si="54">+F463*(1+G463)/$I$8</f>
        <v>24890.496376351039</v>
      </c>
      <c r="J463" s="159">
        <f t="shared" si="53"/>
        <v>24890.496376351039</v>
      </c>
      <c r="K463" s="159">
        <f t="shared" si="53"/>
        <v>24890.496376351039</v>
      </c>
      <c r="L463" s="159">
        <f t="shared" si="53"/>
        <v>24890.496376351039</v>
      </c>
      <c r="M463" s="159">
        <f t="shared" si="53"/>
        <v>24890.496376351039</v>
      </c>
      <c r="N463" s="159">
        <f t="shared" si="53"/>
        <v>24890.496376351039</v>
      </c>
      <c r="P463" s="2"/>
    </row>
    <row r="464" spans="1:16" x14ac:dyDescent="0.25">
      <c r="B464" s="18">
        <v>6561000005</v>
      </c>
      <c r="C464" s="161" t="s">
        <v>177</v>
      </c>
      <c r="D464" s="161" t="s">
        <v>38</v>
      </c>
      <c r="E464" s="161" t="s">
        <v>154</v>
      </c>
      <c r="F464" s="155">
        <v>322.06413758828205</v>
      </c>
      <c r="G464" s="162">
        <f>+VLOOKUP(B464,'5.3 Var OPEX 2023-25'!$B$4:$D$160,3,0)</f>
        <v>4.4009396000000096E-2</v>
      </c>
      <c r="H464" s="163" t="s">
        <v>190</v>
      </c>
      <c r="I464" s="300">
        <f t="shared" si="54"/>
        <v>330.00257019173495</v>
      </c>
      <c r="J464" s="159">
        <f t="shared" si="53"/>
        <v>330.00257019173495</v>
      </c>
      <c r="K464" s="159">
        <f t="shared" si="53"/>
        <v>330.00257019173495</v>
      </c>
      <c r="L464" s="159">
        <f t="shared" si="53"/>
        <v>330.00257019173495</v>
      </c>
      <c r="M464" s="159">
        <f t="shared" si="53"/>
        <v>330.00257019173495</v>
      </c>
      <c r="N464" s="159">
        <f t="shared" si="53"/>
        <v>330.00257019173495</v>
      </c>
      <c r="P464" s="2"/>
    </row>
    <row r="465" spans="1:16" x14ac:dyDescent="0.25">
      <c r="B465" s="18">
        <v>6562000001</v>
      </c>
      <c r="C465" s="161" t="s">
        <v>177</v>
      </c>
      <c r="D465" s="161" t="s">
        <v>38</v>
      </c>
      <c r="E465" s="161" t="s">
        <v>155</v>
      </c>
      <c r="F465" s="155">
        <v>0</v>
      </c>
      <c r="G465" s="162">
        <f>+VLOOKUP(B465,'5.3 Var OPEX 2023-25'!$B$4:$D$160,3,0)</f>
        <v>4.4009396000000096E-2</v>
      </c>
      <c r="H465" s="163" t="s">
        <v>190</v>
      </c>
      <c r="I465" s="300">
        <f t="shared" si="54"/>
        <v>0</v>
      </c>
      <c r="J465" s="159">
        <f t="shared" ref="J465:N474" si="55">+IF(OR($C465="No Imputables",$H465="m2 fijo"),I465,I465*(1+J$6*J$7))</f>
        <v>0</v>
      </c>
      <c r="K465" s="159">
        <f t="shared" si="55"/>
        <v>0</v>
      </c>
      <c r="L465" s="159">
        <f t="shared" si="55"/>
        <v>0</v>
      </c>
      <c r="M465" s="159">
        <f t="shared" si="55"/>
        <v>0</v>
      </c>
      <c r="N465" s="159">
        <f t="shared" si="55"/>
        <v>0</v>
      </c>
      <c r="P465" s="2"/>
    </row>
    <row r="466" spans="1:16" x14ac:dyDescent="0.25">
      <c r="B466" s="18">
        <v>6562000002</v>
      </c>
      <c r="C466" s="161" t="s">
        <v>177</v>
      </c>
      <c r="D466" s="161" t="s">
        <v>38</v>
      </c>
      <c r="E466" s="161" t="s">
        <v>156</v>
      </c>
      <c r="F466" s="155">
        <v>0</v>
      </c>
      <c r="G466" s="162">
        <f>+VLOOKUP(B466,'5.3 Var OPEX 2023-25'!$B$4:$D$160,3,0)</f>
        <v>4.4009396000000096E-2</v>
      </c>
      <c r="H466" s="163" t="s">
        <v>190</v>
      </c>
      <c r="I466" s="300">
        <f t="shared" si="54"/>
        <v>0</v>
      </c>
      <c r="J466" s="159">
        <f t="shared" si="55"/>
        <v>0</v>
      </c>
      <c r="K466" s="159">
        <f t="shared" si="55"/>
        <v>0</v>
      </c>
      <c r="L466" s="159">
        <f t="shared" si="55"/>
        <v>0</v>
      </c>
      <c r="M466" s="159">
        <f t="shared" si="55"/>
        <v>0</v>
      </c>
      <c r="N466" s="159">
        <f t="shared" si="55"/>
        <v>0</v>
      </c>
      <c r="P466" s="2"/>
    </row>
    <row r="467" spans="1:16" x14ac:dyDescent="0.25">
      <c r="B467" s="18">
        <v>6562000003</v>
      </c>
      <c r="C467" s="161" t="s">
        <v>177</v>
      </c>
      <c r="D467" s="161" t="s">
        <v>38</v>
      </c>
      <c r="E467" s="161" t="s">
        <v>157</v>
      </c>
      <c r="F467" s="155">
        <v>69.873768098467721</v>
      </c>
      <c r="G467" s="162">
        <f>+VLOOKUP(B467,'5.3 Var OPEX 2023-25'!$B$4:$D$160,3,0)</f>
        <v>4.4009396000000096E-2</v>
      </c>
      <c r="H467" s="163" t="s">
        <v>190</v>
      </c>
      <c r="I467" s="300">
        <f t="shared" si="54"/>
        <v>71.59605920157739</v>
      </c>
      <c r="J467" s="159">
        <f t="shared" si="55"/>
        <v>71.59605920157739</v>
      </c>
      <c r="K467" s="159">
        <f t="shared" si="55"/>
        <v>71.59605920157739</v>
      </c>
      <c r="L467" s="159">
        <f t="shared" si="55"/>
        <v>71.59605920157739</v>
      </c>
      <c r="M467" s="159">
        <f t="shared" si="55"/>
        <v>71.59605920157739</v>
      </c>
      <c r="N467" s="159">
        <f t="shared" si="55"/>
        <v>71.59605920157739</v>
      </c>
      <c r="P467" s="2"/>
    </row>
    <row r="468" spans="1:16" x14ac:dyDescent="0.25">
      <c r="B468" s="18">
        <v>6562000004</v>
      </c>
      <c r="C468" s="161" t="s">
        <v>177</v>
      </c>
      <c r="D468" s="161" t="s">
        <v>38</v>
      </c>
      <c r="E468" s="161" t="s">
        <v>158</v>
      </c>
      <c r="F468" s="155">
        <v>0</v>
      </c>
      <c r="G468" s="162">
        <f>+VLOOKUP(B468,'5.3 Var OPEX 2023-25'!$B$4:$D$160,3,0)</f>
        <v>4.4009396000000096E-2</v>
      </c>
      <c r="H468" s="163" t="s">
        <v>190</v>
      </c>
      <c r="I468" s="300">
        <f t="shared" si="54"/>
        <v>0</v>
      </c>
      <c r="J468" s="159">
        <f t="shared" si="55"/>
        <v>0</v>
      </c>
      <c r="K468" s="159">
        <f t="shared" si="55"/>
        <v>0</v>
      </c>
      <c r="L468" s="159">
        <f t="shared" si="55"/>
        <v>0</v>
      </c>
      <c r="M468" s="159">
        <f t="shared" si="55"/>
        <v>0</v>
      </c>
      <c r="N468" s="159">
        <f t="shared" si="55"/>
        <v>0</v>
      </c>
      <c r="P468" s="2"/>
    </row>
    <row r="469" spans="1:16" x14ac:dyDescent="0.25">
      <c r="B469" s="18">
        <v>6562000005</v>
      </c>
      <c r="C469" s="161" t="s">
        <v>177</v>
      </c>
      <c r="D469" s="161" t="s">
        <v>38</v>
      </c>
      <c r="E469" s="161" t="s">
        <v>159</v>
      </c>
      <c r="F469" s="155">
        <v>5.8669690618219597E-2</v>
      </c>
      <c r="G469" s="162">
        <f>+VLOOKUP(B469,'5.3 Var OPEX 2023-25'!$B$4:$D$160,3,0)</f>
        <v>4.4009396000000096E-2</v>
      </c>
      <c r="H469" s="163" t="s">
        <v>190</v>
      </c>
      <c r="I469" s="300">
        <f t="shared" si="54"/>
        <v>6.0115816810119821E-2</v>
      </c>
      <c r="J469" s="159">
        <f t="shared" si="55"/>
        <v>6.0115816810119821E-2</v>
      </c>
      <c r="K469" s="159">
        <f t="shared" si="55"/>
        <v>6.0115816810119821E-2</v>
      </c>
      <c r="L469" s="159">
        <f t="shared" si="55"/>
        <v>6.0115816810119821E-2</v>
      </c>
      <c r="M469" s="159">
        <f t="shared" si="55"/>
        <v>6.0115816810119821E-2</v>
      </c>
      <c r="N469" s="159">
        <f t="shared" si="55"/>
        <v>6.0115816810119821E-2</v>
      </c>
      <c r="P469" s="2"/>
    </row>
    <row r="470" spans="1:16" x14ac:dyDescent="0.25">
      <c r="B470" s="18">
        <v>6563000001</v>
      </c>
      <c r="C470" s="161" t="s">
        <v>177</v>
      </c>
      <c r="D470" s="161" t="s">
        <v>38</v>
      </c>
      <c r="E470" s="161" t="s">
        <v>160</v>
      </c>
      <c r="F470" s="155">
        <v>0</v>
      </c>
      <c r="G470" s="162">
        <f>+VLOOKUP(B470,'5.3 Var OPEX 2023-25'!$B$4:$D$160,3,0)</f>
        <v>4.4009396000000096E-2</v>
      </c>
      <c r="H470" s="163" t="s">
        <v>190</v>
      </c>
      <c r="I470" s="300">
        <f t="shared" si="54"/>
        <v>0</v>
      </c>
      <c r="J470" s="159">
        <f t="shared" si="55"/>
        <v>0</v>
      </c>
      <c r="K470" s="159">
        <f t="shared" si="55"/>
        <v>0</v>
      </c>
      <c r="L470" s="159">
        <f t="shared" si="55"/>
        <v>0</v>
      </c>
      <c r="M470" s="159">
        <f t="shared" si="55"/>
        <v>0</v>
      </c>
      <c r="N470" s="159">
        <f t="shared" si="55"/>
        <v>0</v>
      </c>
      <c r="P470" s="2"/>
    </row>
    <row r="471" spans="1:16" x14ac:dyDescent="0.25">
      <c r="B471" s="18">
        <v>6563000002</v>
      </c>
      <c r="C471" s="161" t="s">
        <v>177</v>
      </c>
      <c r="D471" s="161" t="s">
        <v>38</v>
      </c>
      <c r="E471" s="161" t="s">
        <v>161</v>
      </c>
      <c r="F471" s="155">
        <v>0</v>
      </c>
      <c r="G471" s="162">
        <f>+VLOOKUP(B471,'5.3 Var OPEX 2023-25'!$B$4:$D$160,3,0)</f>
        <v>4.4009396000000096E-2</v>
      </c>
      <c r="H471" s="163" t="s">
        <v>190</v>
      </c>
      <c r="I471" s="300">
        <f t="shared" si="54"/>
        <v>0</v>
      </c>
      <c r="J471" s="159">
        <f t="shared" si="55"/>
        <v>0</v>
      </c>
      <c r="K471" s="159">
        <f t="shared" si="55"/>
        <v>0</v>
      </c>
      <c r="L471" s="159">
        <f t="shared" si="55"/>
        <v>0</v>
      </c>
      <c r="M471" s="159">
        <f t="shared" si="55"/>
        <v>0</v>
      </c>
      <c r="N471" s="159">
        <f t="shared" si="55"/>
        <v>0</v>
      </c>
      <c r="P471" s="2"/>
    </row>
    <row r="472" spans="1:16" x14ac:dyDescent="0.25">
      <c r="B472" s="18">
        <v>6563000003</v>
      </c>
      <c r="C472" s="161" t="s">
        <v>177</v>
      </c>
      <c r="D472" s="161" t="s">
        <v>38</v>
      </c>
      <c r="E472" s="161" t="s">
        <v>162</v>
      </c>
      <c r="F472" s="155">
        <v>0</v>
      </c>
      <c r="G472" s="162">
        <f>+VLOOKUP(B472,'5.3 Var OPEX 2023-25'!$B$4:$D$160,3,0)</f>
        <v>4.4009396000000096E-2</v>
      </c>
      <c r="H472" s="163" t="s">
        <v>190</v>
      </c>
      <c r="I472" s="300">
        <f t="shared" si="54"/>
        <v>0</v>
      </c>
      <c r="J472" s="159">
        <f t="shared" si="55"/>
        <v>0</v>
      </c>
      <c r="K472" s="159">
        <f t="shared" si="55"/>
        <v>0</v>
      </c>
      <c r="L472" s="159">
        <f t="shared" si="55"/>
        <v>0</v>
      </c>
      <c r="M472" s="159">
        <f t="shared" si="55"/>
        <v>0</v>
      </c>
      <c r="N472" s="159">
        <f t="shared" si="55"/>
        <v>0</v>
      </c>
      <c r="P472" s="2"/>
    </row>
    <row r="473" spans="1:16" x14ac:dyDescent="0.25">
      <c r="B473" s="18">
        <v>6563000004</v>
      </c>
      <c r="C473" s="161" t="s">
        <v>177</v>
      </c>
      <c r="D473" s="161" t="s">
        <v>38</v>
      </c>
      <c r="E473" s="161" t="s">
        <v>163</v>
      </c>
      <c r="F473" s="155">
        <v>0</v>
      </c>
      <c r="G473" s="162">
        <f>+VLOOKUP(B473,'5.3 Var OPEX 2023-25'!$B$4:$D$160,3,0)</f>
        <v>4.4009396000000096E-2</v>
      </c>
      <c r="H473" s="163" t="s">
        <v>190</v>
      </c>
      <c r="I473" s="300">
        <f t="shared" si="54"/>
        <v>0</v>
      </c>
      <c r="J473" s="159">
        <f t="shared" si="55"/>
        <v>0</v>
      </c>
      <c r="K473" s="159">
        <f t="shared" si="55"/>
        <v>0</v>
      </c>
      <c r="L473" s="159">
        <f t="shared" si="55"/>
        <v>0</v>
      </c>
      <c r="M473" s="159">
        <f t="shared" si="55"/>
        <v>0</v>
      </c>
      <c r="N473" s="159">
        <f t="shared" si="55"/>
        <v>0</v>
      </c>
      <c r="P473" s="2"/>
    </row>
    <row r="474" spans="1:16" x14ac:dyDescent="0.25">
      <c r="B474" s="18">
        <v>6563000005</v>
      </c>
      <c r="C474" s="161" t="s">
        <v>177</v>
      </c>
      <c r="D474" s="161" t="s">
        <v>38</v>
      </c>
      <c r="E474" s="161" t="s">
        <v>164</v>
      </c>
      <c r="F474" s="155">
        <v>0</v>
      </c>
      <c r="G474" s="162">
        <f>+VLOOKUP(B474,'5.3 Var OPEX 2023-25'!$B$4:$D$160,3,0)</f>
        <v>4.4009396000000096E-2</v>
      </c>
      <c r="H474" s="163" t="s">
        <v>190</v>
      </c>
      <c r="I474" s="300">
        <f t="shared" si="54"/>
        <v>0</v>
      </c>
      <c r="J474" s="159">
        <f t="shared" si="55"/>
        <v>0</v>
      </c>
      <c r="K474" s="159">
        <f t="shared" si="55"/>
        <v>0</v>
      </c>
      <c r="L474" s="159">
        <f t="shared" si="55"/>
        <v>0</v>
      </c>
      <c r="M474" s="159">
        <f t="shared" si="55"/>
        <v>0</v>
      </c>
      <c r="N474" s="159">
        <f t="shared" si="55"/>
        <v>0</v>
      </c>
      <c r="P474" s="2"/>
    </row>
    <row r="475" spans="1:16" x14ac:dyDescent="0.25">
      <c r="B475" s="18">
        <v>6590000001</v>
      </c>
      <c r="C475" s="161" t="s">
        <v>177</v>
      </c>
      <c r="D475" s="161" t="s">
        <v>38</v>
      </c>
      <c r="E475" s="161" t="s">
        <v>165</v>
      </c>
      <c r="F475" s="155">
        <v>0</v>
      </c>
      <c r="G475" s="162">
        <f>+VLOOKUP(B475,'5.3 Var OPEX 2023-25'!$B$4:$D$160,3,0)</f>
        <v>4.4009396000000096E-2</v>
      </c>
      <c r="H475" s="163" t="s">
        <v>190</v>
      </c>
      <c r="I475" s="300">
        <f t="shared" si="54"/>
        <v>0</v>
      </c>
      <c r="J475" s="159">
        <f t="shared" ref="J475:N484" si="56">+IF(OR($C475="No Imputables",$H475="m2 fijo"),I475,I475*(1+J$6*J$7))</f>
        <v>0</v>
      </c>
      <c r="K475" s="159">
        <f t="shared" si="56"/>
        <v>0</v>
      </c>
      <c r="L475" s="159">
        <f t="shared" si="56"/>
        <v>0</v>
      </c>
      <c r="M475" s="159">
        <f t="shared" si="56"/>
        <v>0</v>
      </c>
      <c r="N475" s="159">
        <f t="shared" si="56"/>
        <v>0</v>
      </c>
      <c r="P475" s="2"/>
    </row>
    <row r="476" spans="1:16" x14ac:dyDescent="0.25">
      <c r="B476" s="18">
        <v>6590000002</v>
      </c>
      <c r="C476" s="161" t="s">
        <v>177</v>
      </c>
      <c r="D476" s="161" t="s">
        <v>38</v>
      </c>
      <c r="E476" s="161" t="s">
        <v>166</v>
      </c>
      <c r="F476" s="155">
        <v>16693.65323047018</v>
      </c>
      <c r="G476" s="162">
        <f>+VLOOKUP(B476,'5.3 Var OPEX 2023-25'!$B$4:$D$160,3,0)</f>
        <v>4.4009396000000096E-2</v>
      </c>
      <c r="H476" s="163" t="s">
        <v>190</v>
      </c>
      <c r="I476" s="300">
        <f t="shared" si="54"/>
        <v>17105.128541157872</v>
      </c>
      <c r="J476" s="159">
        <f t="shared" si="56"/>
        <v>17105.128541157872</v>
      </c>
      <c r="K476" s="159">
        <f t="shared" si="56"/>
        <v>17105.128541157872</v>
      </c>
      <c r="L476" s="159">
        <f t="shared" si="56"/>
        <v>17105.128541157872</v>
      </c>
      <c r="M476" s="159">
        <f t="shared" si="56"/>
        <v>17105.128541157872</v>
      </c>
      <c r="N476" s="159">
        <f t="shared" si="56"/>
        <v>17105.128541157872</v>
      </c>
      <c r="P476" s="2"/>
    </row>
    <row r="477" spans="1:16" x14ac:dyDescent="0.25">
      <c r="A477" s="38"/>
      <c r="B477" s="18">
        <v>6590000003</v>
      </c>
      <c r="C477" s="161" t="s">
        <v>177</v>
      </c>
      <c r="D477" s="161" t="s">
        <v>38</v>
      </c>
      <c r="E477" s="161" t="s">
        <v>167</v>
      </c>
      <c r="F477" s="155">
        <v>0</v>
      </c>
      <c r="G477" s="162">
        <f>+VLOOKUP(B477,'5.3 Var OPEX 2023-25'!$B$4:$D$160,3,0)</f>
        <v>4.4009396000000096E-2</v>
      </c>
      <c r="H477" s="163" t="s">
        <v>190</v>
      </c>
      <c r="I477" s="300">
        <f t="shared" si="54"/>
        <v>0</v>
      </c>
      <c r="J477" s="159">
        <f t="shared" si="56"/>
        <v>0</v>
      </c>
      <c r="K477" s="159">
        <f t="shared" si="56"/>
        <v>0</v>
      </c>
      <c r="L477" s="159">
        <f t="shared" si="56"/>
        <v>0</v>
      </c>
      <c r="M477" s="159">
        <f t="shared" si="56"/>
        <v>0</v>
      </c>
      <c r="N477" s="159">
        <f t="shared" si="56"/>
        <v>0</v>
      </c>
      <c r="P477" s="2"/>
    </row>
    <row r="478" spans="1:16" x14ac:dyDescent="0.25">
      <c r="B478" s="18">
        <v>6590000004</v>
      </c>
      <c r="C478" s="161" t="s">
        <v>177</v>
      </c>
      <c r="D478" s="161" t="s">
        <v>38</v>
      </c>
      <c r="E478" s="161" t="s">
        <v>168</v>
      </c>
      <c r="F478" s="155">
        <v>1379.4844772474887</v>
      </c>
      <c r="G478" s="162">
        <f>+VLOOKUP(B478,'5.3 Var OPEX 2023-25'!$B$4:$D$160,3,0)</f>
        <v>4.4009396000000096E-2</v>
      </c>
      <c r="H478" s="163" t="s">
        <v>190</v>
      </c>
      <c r="I478" s="300">
        <f t="shared" si="54"/>
        <v>1413.486849048779</v>
      </c>
      <c r="J478" s="159">
        <f t="shared" si="56"/>
        <v>1413.486849048779</v>
      </c>
      <c r="K478" s="159">
        <f t="shared" si="56"/>
        <v>1413.486849048779</v>
      </c>
      <c r="L478" s="159">
        <f t="shared" si="56"/>
        <v>1413.486849048779</v>
      </c>
      <c r="M478" s="159">
        <f t="shared" si="56"/>
        <v>1413.486849048779</v>
      </c>
      <c r="N478" s="159">
        <f t="shared" si="56"/>
        <v>1413.486849048779</v>
      </c>
      <c r="P478" s="2"/>
    </row>
    <row r="479" spans="1:16" x14ac:dyDescent="0.25">
      <c r="A479" s="38"/>
      <c r="B479" s="18">
        <v>6590000005</v>
      </c>
      <c r="C479" s="161" t="s">
        <v>177</v>
      </c>
      <c r="D479" s="161" t="s">
        <v>38</v>
      </c>
      <c r="E479" s="161" t="s">
        <v>169</v>
      </c>
      <c r="F479" s="155">
        <v>0</v>
      </c>
      <c r="G479" s="162">
        <f>+VLOOKUP(B479,'5.3 Var OPEX 2023-25'!$B$4:$D$160,3,0)</f>
        <v>4.4009396000000096E-2</v>
      </c>
      <c r="H479" s="163" t="s">
        <v>190</v>
      </c>
      <c r="I479" s="300">
        <f t="shared" si="54"/>
        <v>0</v>
      </c>
      <c r="J479" s="159">
        <f t="shared" si="56"/>
        <v>0</v>
      </c>
      <c r="K479" s="159">
        <f t="shared" si="56"/>
        <v>0</v>
      </c>
      <c r="L479" s="159">
        <f t="shared" si="56"/>
        <v>0</v>
      </c>
      <c r="M479" s="159">
        <f t="shared" si="56"/>
        <v>0</v>
      </c>
      <c r="N479" s="159">
        <f t="shared" si="56"/>
        <v>0</v>
      </c>
      <c r="P479" s="2"/>
    </row>
    <row r="480" spans="1:16" x14ac:dyDescent="0.25">
      <c r="A480" s="38"/>
      <c r="B480" s="18">
        <v>6590000006</v>
      </c>
      <c r="C480" s="161" t="s">
        <v>177</v>
      </c>
      <c r="D480" s="161" t="s">
        <v>38</v>
      </c>
      <c r="E480" s="161" t="s">
        <v>170</v>
      </c>
      <c r="F480" s="248">
        <v>162791.88621001935</v>
      </c>
      <c r="G480" s="162">
        <f>+VLOOKUP(B480,'5.3 Var OPEX 2023-25'!$B$4:$D$160,3,0)</f>
        <v>0.55350740986062807</v>
      </c>
      <c r="H480" s="163" t="s">
        <v>190</v>
      </c>
      <c r="I480" s="300">
        <f t="shared" si="54"/>
        <v>248208.48929976157</v>
      </c>
      <c r="J480" s="159">
        <f t="shared" si="56"/>
        <v>248208.48929976157</v>
      </c>
      <c r="K480" s="159">
        <f t="shared" si="56"/>
        <v>248208.48929976157</v>
      </c>
      <c r="L480" s="159">
        <f t="shared" si="56"/>
        <v>248208.48929976157</v>
      </c>
      <c r="M480" s="159">
        <f t="shared" si="56"/>
        <v>248208.48929976157</v>
      </c>
      <c r="N480" s="159">
        <f t="shared" si="56"/>
        <v>248208.48929976157</v>
      </c>
      <c r="P480" s="2"/>
    </row>
    <row r="481" spans="1:16" x14ac:dyDescent="0.25">
      <c r="B481" s="18">
        <v>6590000007</v>
      </c>
      <c r="C481" s="161" t="s">
        <v>177</v>
      </c>
      <c r="D481" s="161" t="s">
        <v>38</v>
      </c>
      <c r="E481" s="161" t="s">
        <v>171</v>
      </c>
      <c r="F481" s="155">
        <v>0</v>
      </c>
      <c r="G481" s="162">
        <f>+VLOOKUP(B481,'5.3 Var OPEX 2023-25'!$B$4:$D$160,3,0)</f>
        <v>4.4009396000000096E-2</v>
      </c>
      <c r="H481" s="163" t="s">
        <v>190</v>
      </c>
      <c r="I481" s="300">
        <f t="shared" si="54"/>
        <v>0</v>
      </c>
      <c r="J481" s="159">
        <f t="shared" si="56"/>
        <v>0</v>
      </c>
      <c r="K481" s="159">
        <f t="shared" si="56"/>
        <v>0</v>
      </c>
      <c r="L481" s="159">
        <f t="shared" si="56"/>
        <v>0</v>
      </c>
      <c r="M481" s="159">
        <f t="shared" si="56"/>
        <v>0</v>
      </c>
      <c r="N481" s="159">
        <f t="shared" si="56"/>
        <v>0</v>
      </c>
      <c r="P481" s="2"/>
    </row>
    <row r="482" spans="1:16" x14ac:dyDescent="0.25">
      <c r="B482" s="18">
        <v>6590000010</v>
      </c>
      <c r="C482" s="161" t="s">
        <v>177</v>
      </c>
      <c r="D482" s="161" t="s">
        <v>38</v>
      </c>
      <c r="E482" s="161" t="s">
        <v>172</v>
      </c>
      <c r="F482" s="155">
        <v>0</v>
      </c>
      <c r="G482" s="162">
        <f>+VLOOKUP(B482,'5.3 Var OPEX 2023-25'!$B$4:$D$160,3,0)</f>
        <v>4.4009396000000096E-2</v>
      </c>
      <c r="H482" s="163" t="s">
        <v>190</v>
      </c>
      <c r="I482" s="300">
        <f t="shared" si="54"/>
        <v>0</v>
      </c>
      <c r="J482" s="159">
        <f t="shared" si="56"/>
        <v>0</v>
      </c>
      <c r="K482" s="159">
        <f t="shared" si="56"/>
        <v>0</v>
      </c>
      <c r="L482" s="159">
        <f t="shared" si="56"/>
        <v>0</v>
      </c>
      <c r="M482" s="159">
        <f t="shared" si="56"/>
        <v>0</v>
      </c>
      <c r="N482" s="159">
        <f t="shared" si="56"/>
        <v>0</v>
      </c>
      <c r="P482" s="2"/>
    </row>
    <row r="483" spans="1:16" x14ac:dyDescent="0.25">
      <c r="B483" s="18">
        <v>6590000011</v>
      </c>
      <c r="C483" s="161" t="s">
        <v>177</v>
      </c>
      <c r="D483" s="161" t="s">
        <v>38</v>
      </c>
      <c r="E483" s="161" t="s">
        <v>173</v>
      </c>
      <c r="F483" s="155">
        <v>1847.5408505141309</v>
      </c>
      <c r="G483" s="162">
        <f>+VLOOKUP(B483,'5.3 Var OPEX 2023-25'!$B$4:$D$160,3,0)</f>
        <v>4.4009396000000096E-2</v>
      </c>
      <c r="H483" s="163" t="s">
        <v>190</v>
      </c>
      <c r="I483" s="300">
        <f t="shared" si="54"/>
        <v>1893.0801602732381</v>
      </c>
      <c r="J483" s="159">
        <f t="shared" si="56"/>
        <v>1893.0801602732381</v>
      </c>
      <c r="K483" s="159">
        <f t="shared" si="56"/>
        <v>1893.0801602732381</v>
      </c>
      <c r="L483" s="159">
        <f t="shared" si="56"/>
        <v>1893.0801602732381</v>
      </c>
      <c r="M483" s="159">
        <f t="shared" si="56"/>
        <v>1893.0801602732381</v>
      </c>
      <c r="N483" s="159">
        <f t="shared" si="56"/>
        <v>1893.0801602732381</v>
      </c>
      <c r="P483" s="2"/>
    </row>
    <row r="484" spans="1:16" x14ac:dyDescent="0.25">
      <c r="A484" s="38"/>
      <c r="B484" s="18">
        <v>6840000001</v>
      </c>
      <c r="C484" s="10" t="s">
        <v>177</v>
      </c>
      <c r="D484" s="161" t="s">
        <v>38</v>
      </c>
      <c r="E484" s="161" t="s">
        <v>174</v>
      </c>
      <c r="F484" s="155">
        <v>0</v>
      </c>
      <c r="G484" s="162">
        <f>+VLOOKUP(B484,'5.3 Var OPEX 2023-25'!$B$4:$D$160,3,0)</f>
        <v>4.4009396000000096E-2</v>
      </c>
      <c r="H484" s="163" t="s">
        <v>190</v>
      </c>
      <c r="I484" s="300">
        <f t="shared" si="54"/>
        <v>0</v>
      </c>
      <c r="J484" s="159">
        <f t="shared" si="56"/>
        <v>0</v>
      </c>
      <c r="K484" s="159">
        <f t="shared" si="56"/>
        <v>0</v>
      </c>
      <c r="L484" s="159">
        <f t="shared" si="56"/>
        <v>0</v>
      </c>
      <c r="M484" s="159">
        <f t="shared" si="56"/>
        <v>0</v>
      </c>
      <c r="N484" s="159">
        <f t="shared" si="56"/>
        <v>0</v>
      </c>
      <c r="P484" s="2"/>
    </row>
    <row r="485" spans="1:16" x14ac:dyDescent="0.25">
      <c r="A485" s="38"/>
      <c r="B485" s="18">
        <v>8710000001</v>
      </c>
      <c r="C485" s="10" t="s">
        <v>177</v>
      </c>
      <c r="D485" s="161" t="s">
        <v>14</v>
      </c>
      <c r="E485" s="161" t="s">
        <v>175</v>
      </c>
      <c r="F485" s="155">
        <v>0</v>
      </c>
      <c r="G485" s="162">
        <f>+VLOOKUP(B485,'5.3 Var OPEX 2023-25'!$B$4:$D$160,3,0)</f>
        <v>0</v>
      </c>
      <c r="H485" s="163" t="s">
        <v>190</v>
      </c>
      <c r="I485" s="300">
        <f t="shared" si="54"/>
        <v>0</v>
      </c>
      <c r="J485" s="159">
        <f t="shared" ref="J485:N485" si="57">+IF(OR($C485="No Imputables",$H485="m2 fijo"),I485,I485*(1+J$6*J$7))</f>
        <v>0</v>
      </c>
      <c r="K485" s="159">
        <f t="shared" si="57"/>
        <v>0</v>
      </c>
      <c r="L485" s="159">
        <f t="shared" si="57"/>
        <v>0</v>
      </c>
      <c r="M485" s="159">
        <f t="shared" si="57"/>
        <v>0</v>
      </c>
      <c r="N485" s="159">
        <f t="shared" si="57"/>
        <v>0</v>
      </c>
      <c r="P485" s="2"/>
    </row>
    <row r="486" spans="1:16" x14ac:dyDescent="0.25">
      <c r="I486" s="7"/>
      <c r="J486" s="7"/>
      <c r="K486" s="7"/>
      <c r="L486" s="7"/>
      <c r="M486" s="7"/>
      <c r="N486" s="7"/>
    </row>
  </sheetData>
  <mergeCells count="8">
    <mergeCell ref="B12:B13"/>
    <mergeCell ref="C12:C13"/>
    <mergeCell ref="D12:D13"/>
    <mergeCell ref="E12:E13"/>
    <mergeCell ref="I12:N12"/>
    <mergeCell ref="H12:H13"/>
    <mergeCell ref="F12:F13"/>
    <mergeCell ref="G12:G13"/>
  </mergeCells>
  <phoneticPr fontId="5" type="noConversion"/>
  <hyperlinks>
    <hyperlink ref="N1" location="Índice!A1" display="ÍNDICE" xr:uid="{7C1E58D2-B477-4474-9BAC-72AC49DFC27B}"/>
  </hyperlinks>
  <pageMargins left="0.7" right="0.7" top="0.75" bottom="0.75" header="0.3" footer="0.3"/>
  <pageSetup paperSize="9" orientation="portrait" horizontalDpi="0" verticalDpi="0" r:id="rId1"/>
  <ignoredErrors>
    <ignoredError sqref="J15:N485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Caratula</vt:lpstr>
      <vt:lpstr>Índice</vt:lpstr>
      <vt:lpstr>Tarifa</vt:lpstr>
      <vt:lpstr>0. Flujo DOM-DOM</vt:lpstr>
      <vt:lpstr>0. Flujo INT-INT</vt:lpstr>
      <vt:lpstr>1. Demanda</vt:lpstr>
      <vt:lpstr>2. OPEX</vt:lpstr>
      <vt:lpstr>2.1 OPEX TUUA</vt:lpstr>
      <vt:lpstr>2.2 OPEX LAP 2023</vt:lpstr>
      <vt:lpstr>3. CAPEX</vt:lpstr>
      <vt:lpstr>3.1.1 CAPEX-Exclusivas</vt:lpstr>
      <vt:lpstr>3.1.2 CAPEX-Exclusivas</vt:lpstr>
      <vt:lpstr>3.2.1 CAPEX-Comunes</vt:lpstr>
      <vt:lpstr>3.2.2 CAPEX-Comunes</vt:lpstr>
      <vt:lpstr>3.2.3 CAPEX-Comunes</vt:lpstr>
      <vt:lpstr>3.3 CAPEX Indirecto</vt:lpstr>
      <vt:lpstr>4. WACC</vt:lpstr>
      <vt:lpstr>4.1 Betas</vt:lpstr>
      <vt:lpstr>4.2 Deuda</vt:lpstr>
      <vt:lpstr>5.1 Var-Macro</vt:lpstr>
      <vt:lpstr>5.2 Asignación de Áreas</vt:lpstr>
      <vt:lpstr>5.3 Var OPEX 2023-25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Zavaleta</dc:creator>
  <cp:lastModifiedBy>Maria Alejandra Mendez Vega</cp:lastModifiedBy>
  <dcterms:created xsi:type="dcterms:W3CDTF">2025-01-23T20:39:31Z</dcterms:created>
  <dcterms:modified xsi:type="dcterms:W3CDTF">2025-06-12T14:50:55Z</dcterms:modified>
</cp:coreProperties>
</file>