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FANO\Desktop\"/>
    </mc:Choice>
  </mc:AlternateContent>
  <xr:revisionPtr revIDLastSave="0" documentId="13_ncr:1_{5BC0ADF9-BAC5-42AB-A5A8-F987D07BDBA0}" xr6:coauthVersionLast="47" xr6:coauthVersionMax="47" xr10:uidLastSave="{00000000-0000-0000-0000-000000000000}"/>
  <bookViews>
    <workbookView xWindow="-120" yWindow="-120" windowWidth="29040" windowHeight="15840" tabRatio="672" activeTab="2" xr2:uid="{D68F50AB-B2D9-4FC8-8B9C-560F21AADAD7}"/>
  </bookViews>
  <sheets>
    <sheet name="Resumen" sheetId="1" r:id="rId1"/>
    <sheet name="Análisis &gt;&gt;" sheetId="19" r:id="rId2"/>
    <sheet name="Flujos" sheetId="7" r:id="rId3"/>
    <sheet name="OPEX" sheetId="13" r:id="rId4"/>
    <sheet name="CAPEX" sheetId="14" r:id="rId5"/>
    <sheet name="WACC" sheetId="18" r:id="rId6"/>
    <sheet name="EE.FF" sheetId="8" r:id="rId7"/>
    <sheet name="Insumos &gt;&gt;" sheetId="10" r:id="rId8"/>
    <sheet name="Insumos - OPEX" sheetId="15" r:id="rId9"/>
    <sheet name="Insumos - CAPEX" sheetId="12" r:id="rId10"/>
    <sheet name="Insumos - WACC" sheetId="17" r:id="rId11"/>
  </sheets>
  <externalReferences>
    <externalReference r:id="rId12"/>
    <externalReference r:id="rId13"/>
  </externalReferences>
  <definedNames>
    <definedName name="_xlnm._FilterDatabase" localSheetId="8" hidden="1">'Insumos - OPEX'!$B$81:$N$238</definedName>
    <definedName name="_xlnm._FilterDatabase" localSheetId="3" hidden="1">OPEX!$B$483:$R$956</definedName>
    <definedName name="anscount" hidden="1">2</definedName>
    <definedName name="cod_multip">#REF!</definedName>
    <definedName name="dolares">#REF!</definedName>
    <definedName name="Empresas">#REF!</definedName>
    <definedName name="formal_ocupada">[1]Supuestos!$H$18</definedName>
    <definedName name="i_mL_multip">#REF!</definedName>
    <definedName name="i_pbi_multip">#REF!</definedName>
    <definedName name="i_ratio_empleo">#REF!</definedName>
    <definedName name="i_va_vbp">#REF!</definedName>
    <definedName name="i_vbp_multip">#REF!</definedName>
    <definedName name="IGV">[1]Supuestos!$H$12</definedName>
    <definedName name="Lambda">#REF!</definedName>
    <definedName name="limcount" hidden="1">1</definedName>
    <definedName name="M">#REF!</definedName>
    <definedName name="Matriz">#REF!</definedName>
    <definedName name="Mil">[2]Supuestos!$H$7</definedName>
    <definedName name="miles">#REF!</definedName>
    <definedName name="Millón">[2]Supuestos!$H$8</definedName>
    <definedName name="moneda_selec">#REF!</definedName>
    <definedName name="no_exo_igv">[1]Supuestos!$H$13</definedName>
    <definedName name="p_capex_nac_18">[1]Supuestos!$H$31</definedName>
    <definedName name="ret_mtc">[1]Supuestos!$H$25</definedName>
    <definedName name="s">#REF!</definedName>
    <definedName name="sencount" hidden="1">2</definedName>
    <definedName name="tranmat">#REF!</definedName>
    <definedName name="TransMat">#REF!</definedName>
    <definedName name="Vec">#REF!</definedName>
    <definedName name="VecTran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2" i="15" l="1"/>
  <c r="N62" i="15" s="1"/>
  <c r="F64" i="12"/>
  <c r="L62" i="15"/>
  <c r="F537" i="12"/>
  <c r="F536" i="12" s="1"/>
  <c r="F378" i="12"/>
  <c r="N361" i="12"/>
  <c r="M361" i="12"/>
  <c r="L361" i="12"/>
  <c r="K361" i="12"/>
  <c r="J361" i="12"/>
  <c r="I361" i="12"/>
  <c r="H361" i="12"/>
  <c r="F526" i="12"/>
  <c r="M10" i="13"/>
  <c r="F553" i="12"/>
  <c r="F551" i="12"/>
  <c r="F547" i="12"/>
  <c r="F546" i="12"/>
  <c r="F540" i="12"/>
  <c r="F539" i="12"/>
  <c r="F535" i="12"/>
  <c r="F532" i="12"/>
  <c r="F525" i="12"/>
  <c r="F524" i="12"/>
  <c r="F443" i="12"/>
  <c r="F437" i="12"/>
  <c r="F436" i="12"/>
  <c r="F434" i="12"/>
  <c r="F433" i="12"/>
  <c r="F426" i="12"/>
  <c r="F419" i="12"/>
  <c r="F420" i="12"/>
  <c r="F88" i="12"/>
  <c r="F96" i="12" s="1"/>
  <c r="F100" i="12" s="1"/>
  <c r="M62" i="15" l="1"/>
  <c r="I62" i="15"/>
  <c r="J62" i="15"/>
  <c r="K62" i="15"/>
  <c r="F127" i="12"/>
  <c r="F136" i="12" s="1"/>
  <c r="F120" i="12"/>
  <c r="F123" i="12" s="1"/>
  <c r="F104" i="12"/>
  <c r="F114" i="12" s="1"/>
  <c r="M11" i="13" l="1"/>
  <c r="N85" i="14"/>
  <c r="N84" i="14"/>
  <c r="M84" i="14"/>
  <c r="L73" i="14"/>
  <c r="L74" i="14" s="1"/>
  <c r="M73" i="14"/>
  <c r="M74" i="14" s="1"/>
  <c r="M75" i="14" s="1"/>
  <c r="N73" i="14"/>
  <c r="N74" i="14" s="1"/>
  <c r="N75" i="14" s="1"/>
  <c r="N76" i="14" s="1"/>
  <c r="K73" i="14"/>
  <c r="L21" i="14"/>
  <c r="M21" i="14"/>
  <c r="N21" i="14"/>
  <c r="L42" i="14"/>
  <c r="M42" i="14"/>
  <c r="N42" i="14"/>
  <c r="M395" i="13"/>
  <c r="K714" i="12"/>
  <c r="F180" i="12" l="1"/>
  <c r="F37" i="12" l="1"/>
  <c r="F36" i="12"/>
  <c r="F35" i="12"/>
  <c r="F34" i="12"/>
  <c r="F33" i="12"/>
  <c r="F32" i="12"/>
  <c r="F31" i="12"/>
  <c r="F30" i="12"/>
  <c r="H40" i="8"/>
  <c r="H21" i="8"/>
  <c r="N43" i="7"/>
  <c r="M43" i="7"/>
  <c r="L43" i="7"/>
  <c r="K43" i="7"/>
  <c r="J43" i="7"/>
  <c r="I43" i="7"/>
  <c r="N18" i="7"/>
  <c r="M18" i="7"/>
  <c r="L18" i="7"/>
  <c r="K18" i="7"/>
  <c r="J18" i="7"/>
  <c r="I18" i="7"/>
  <c r="N17" i="7"/>
  <c r="M17" i="7"/>
  <c r="L17" i="7"/>
  <c r="K17" i="7"/>
  <c r="J17" i="7"/>
  <c r="I17" i="7"/>
  <c r="N42" i="7"/>
  <c r="M42" i="7"/>
  <c r="L42" i="7"/>
  <c r="K42" i="7"/>
  <c r="J42" i="7"/>
  <c r="I42" i="7"/>
  <c r="I348" i="12"/>
  <c r="J348" i="12"/>
  <c r="K348" i="12"/>
  <c r="L348" i="12"/>
  <c r="M348" i="12"/>
  <c r="N348" i="12"/>
  <c r="I349" i="12"/>
  <c r="J349" i="12"/>
  <c r="K349" i="12"/>
  <c r="L349" i="12"/>
  <c r="M349" i="12"/>
  <c r="N349" i="12"/>
  <c r="I350" i="12"/>
  <c r="J350" i="12"/>
  <c r="K350" i="12"/>
  <c r="L350" i="12"/>
  <c r="M350" i="12"/>
  <c r="N350" i="12"/>
  <c r="I351" i="12"/>
  <c r="J351" i="12"/>
  <c r="K351" i="12"/>
  <c r="L351" i="12"/>
  <c r="M351" i="12"/>
  <c r="N351" i="12"/>
  <c r="I353" i="12"/>
  <c r="J353" i="12"/>
  <c r="K353" i="12"/>
  <c r="L353" i="12"/>
  <c r="M353" i="12"/>
  <c r="N353" i="12"/>
  <c r="I354" i="12"/>
  <c r="J354" i="12"/>
  <c r="K354" i="12"/>
  <c r="L354" i="12"/>
  <c r="M354" i="12"/>
  <c r="N354" i="12"/>
  <c r="I356" i="12"/>
  <c r="J356" i="12"/>
  <c r="K356" i="12"/>
  <c r="L356" i="12"/>
  <c r="M356" i="12"/>
  <c r="N356" i="12"/>
  <c r="I357" i="12"/>
  <c r="J357" i="12"/>
  <c r="K357" i="12"/>
  <c r="L357" i="12"/>
  <c r="M357" i="12"/>
  <c r="N357" i="12"/>
  <c r="I359" i="12"/>
  <c r="J359" i="12"/>
  <c r="K359" i="12"/>
  <c r="L359" i="12"/>
  <c r="M359" i="12"/>
  <c r="N359" i="12"/>
  <c r="I363" i="12"/>
  <c r="J363" i="12"/>
  <c r="K363" i="12"/>
  <c r="L363" i="12"/>
  <c r="M363" i="12"/>
  <c r="N363" i="12"/>
  <c r="I364" i="12"/>
  <c r="J364" i="12"/>
  <c r="K364" i="12"/>
  <c r="L364" i="12"/>
  <c r="M364" i="12"/>
  <c r="N364" i="12"/>
  <c r="I365" i="12"/>
  <c r="J365" i="12"/>
  <c r="K365" i="12"/>
  <c r="L365" i="12"/>
  <c r="M365" i="12"/>
  <c r="N365" i="12"/>
  <c r="I367" i="12"/>
  <c r="J367" i="12"/>
  <c r="K367" i="12"/>
  <c r="L367" i="12"/>
  <c r="M367" i="12"/>
  <c r="N367" i="12"/>
  <c r="I368" i="12"/>
  <c r="J368" i="12"/>
  <c r="K368" i="12"/>
  <c r="L368" i="12"/>
  <c r="M368" i="12"/>
  <c r="N368" i="12"/>
  <c r="I370" i="12"/>
  <c r="J370" i="12"/>
  <c r="K370" i="12"/>
  <c r="L370" i="12"/>
  <c r="M370" i="12"/>
  <c r="N370" i="12"/>
  <c r="I371" i="12"/>
  <c r="J371" i="12"/>
  <c r="K371" i="12"/>
  <c r="L371" i="12"/>
  <c r="M371" i="12"/>
  <c r="N371" i="12"/>
  <c r="I373" i="12"/>
  <c r="J373" i="12"/>
  <c r="K373" i="12"/>
  <c r="L373" i="12"/>
  <c r="M373" i="12"/>
  <c r="N373" i="12"/>
  <c r="I374" i="12"/>
  <c r="J374" i="12"/>
  <c r="K374" i="12"/>
  <c r="L374" i="12"/>
  <c r="M374" i="12"/>
  <c r="N374" i="12"/>
  <c r="I375" i="12"/>
  <c r="J375" i="12"/>
  <c r="K375" i="12"/>
  <c r="L375" i="12"/>
  <c r="M375" i="12"/>
  <c r="N375" i="12"/>
  <c r="I377" i="12"/>
  <c r="J377" i="12"/>
  <c r="K377" i="12"/>
  <c r="L377" i="12"/>
  <c r="M377" i="12"/>
  <c r="N377" i="12"/>
  <c r="H349" i="12"/>
  <c r="H350" i="12"/>
  <c r="H351" i="12"/>
  <c r="H353" i="12"/>
  <c r="H354" i="12"/>
  <c r="H356" i="12"/>
  <c r="H357" i="12"/>
  <c r="H359" i="12"/>
  <c r="H363" i="12"/>
  <c r="H364" i="12"/>
  <c r="H365" i="12"/>
  <c r="H367" i="12"/>
  <c r="H368" i="12"/>
  <c r="H370" i="12"/>
  <c r="H371" i="12"/>
  <c r="H373" i="12"/>
  <c r="H374" i="12"/>
  <c r="H375" i="12"/>
  <c r="H377" i="12"/>
  <c r="H348" i="12"/>
  <c r="J30" i="12"/>
  <c r="K30" i="12"/>
  <c r="L30" i="12"/>
  <c r="M30" i="12"/>
  <c r="N30" i="12"/>
  <c r="J31" i="12"/>
  <c r="K31" i="12"/>
  <c r="L31" i="12"/>
  <c r="M31" i="12"/>
  <c r="N31" i="12"/>
  <c r="J32" i="12"/>
  <c r="K32" i="12"/>
  <c r="L32" i="12"/>
  <c r="M32" i="12"/>
  <c r="N32" i="12"/>
  <c r="J33" i="12"/>
  <c r="K33" i="12"/>
  <c r="L33" i="12"/>
  <c r="M33" i="12"/>
  <c r="N33" i="12"/>
  <c r="J34" i="12"/>
  <c r="K34" i="12"/>
  <c r="L34" i="12"/>
  <c r="M34" i="12"/>
  <c r="N34" i="12"/>
  <c r="J35" i="12"/>
  <c r="K35" i="12"/>
  <c r="L35" i="12"/>
  <c r="M35" i="12"/>
  <c r="N35" i="12"/>
  <c r="J36" i="12"/>
  <c r="K36" i="12"/>
  <c r="L36" i="12"/>
  <c r="M36" i="12"/>
  <c r="N36" i="12"/>
  <c r="J37" i="12"/>
  <c r="K37" i="12"/>
  <c r="L37" i="12"/>
  <c r="M37" i="12"/>
  <c r="N37" i="12"/>
  <c r="H30" i="12"/>
  <c r="H31" i="12"/>
  <c r="H32" i="12"/>
  <c r="H33" i="12"/>
  <c r="H34" i="12"/>
  <c r="H35" i="12"/>
  <c r="H36" i="12"/>
  <c r="H37" i="12"/>
  <c r="L15" i="17"/>
  <c r="K15" i="17"/>
  <c r="J15" i="17"/>
  <c r="I15" i="17"/>
  <c r="H15" i="17"/>
  <c r="G15" i="17"/>
  <c r="E17" i="17" s="1"/>
  <c r="D22" i="18" s="1"/>
  <c r="D20" i="18" s="1"/>
  <c r="N714" i="12"/>
  <c r="N716" i="12" s="1"/>
  <c r="M714" i="12"/>
  <c r="M716" i="12" s="1"/>
  <c r="L714" i="12"/>
  <c r="L716" i="12" s="1"/>
  <c r="K716" i="12"/>
  <c r="J714" i="12"/>
  <c r="J716" i="12" s="1"/>
  <c r="I714" i="12"/>
  <c r="I716" i="12" s="1"/>
  <c r="H714" i="12"/>
  <c r="H716" i="12" s="1"/>
  <c r="F681" i="12"/>
  <c r="G71" i="15" s="1"/>
  <c r="K71" i="15" s="1"/>
  <c r="F675" i="12"/>
  <c r="G66" i="15" s="1"/>
  <c r="I66" i="15" s="1"/>
  <c r="F651" i="12"/>
  <c r="F650" i="12"/>
  <c r="F662" i="12" s="1"/>
  <c r="F705" i="12" s="1"/>
  <c r="H705" i="12" s="1"/>
  <c r="F649" i="12"/>
  <c r="F661" i="12" s="1"/>
  <c r="F704" i="12" s="1"/>
  <c r="H704" i="12" s="1"/>
  <c r="F618" i="12"/>
  <c r="F631" i="12" s="1"/>
  <c r="F694" i="12" s="1"/>
  <c r="F617" i="12"/>
  <c r="F616" i="12"/>
  <c r="F615" i="12"/>
  <c r="F628" i="12" s="1"/>
  <c r="F691" i="12" s="1"/>
  <c r="F315" i="12"/>
  <c r="F311" i="12"/>
  <c r="F307" i="12"/>
  <c r="F303" i="12"/>
  <c r="F293" i="12"/>
  <c r="F289" i="12"/>
  <c r="F285" i="12"/>
  <c r="F281" i="12"/>
  <c r="F269" i="12"/>
  <c r="F265" i="12"/>
  <c r="F261" i="12"/>
  <c r="F257" i="12"/>
  <c r="F244" i="12"/>
  <c r="F240" i="12"/>
  <c r="F236" i="12"/>
  <c r="F232" i="12"/>
  <c r="F188" i="12"/>
  <c r="F187" i="12"/>
  <c r="F186" i="12"/>
  <c r="F185" i="12"/>
  <c r="F184" i="12"/>
  <c r="F183" i="12"/>
  <c r="F182" i="12"/>
  <c r="F181" i="12"/>
  <c r="F179" i="12"/>
  <c r="F176" i="12"/>
  <c r="F71" i="12"/>
  <c r="F75" i="12" s="1"/>
  <c r="F142" i="12"/>
  <c r="I37" i="12"/>
  <c r="I36" i="12"/>
  <c r="I35" i="12"/>
  <c r="I34" i="12"/>
  <c r="I33" i="12"/>
  <c r="I32" i="12"/>
  <c r="I31" i="12"/>
  <c r="I30" i="12"/>
  <c r="N51" i="15"/>
  <c r="M51" i="15"/>
  <c r="L51" i="15"/>
  <c r="K51" i="15"/>
  <c r="J51" i="15"/>
  <c r="I51" i="15"/>
  <c r="N48" i="15"/>
  <c r="M48" i="15"/>
  <c r="L48" i="15"/>
  <c r="K48" i="15"/>
  <c r="J48" i="15"/>
  <c r="I48" i="15"/>
  <c r="I41" i="15"/>
  <c r="I40" i="15"/>
  <c r="I39" i="15"/>
  <c r="I38" i="15"/>
  <c r="J35" i="15"/>
  <c r="J34" i="15"/>
  <c r="J40" i="15" s="1"/>
  <c r="J33" i="15"/>
  <c r="J32" i="15"/>
  <c r="J38" i="15" s="1"/>
  <c r="N29" i="15"/>
  <c r="M29" i="15"/>
  <c r="L29" i="15"/>
  <c r="K29" i="15"/>
  <c r="J29" i="15"/>
  <c r="I29" i="15"/>
  <c r="J2" i="15"/>
  <c r="K2" i="15" s="1"/>
  <c r="L2" i="15" s="1"/>
  <c r="M2" i="15" s="1"/>
  <c r="D21" i="18"/>
  <c r="D12" i="18"/>
  <c r="H190" i="14"/>
  <c r="H41" i="8" s="1"/>
  <c r="H189" i="14"/>
  <c r="H58" i="7" s="1"/>
  <c r="N188" i="14"/>
  <c r="N57" i="7" s="1"/>
  <c r="M188" i="14"/>
  <c r="M57" i="7" s="1"/>
  <c r="L188" i="14"/>
  <c r="L57" i="7" s="1"/>
  <c r="K188" i="14"/>
  <c r="K57" i="7" s="1"/>
  <c r="J188" i="14"/>
  <c r="J57" i="7" s="1"/>
  <c r="I188" i="14"/>
  <c r="I57" i="7" s="1"/>
  <c r="H183" i="14"/>
  <c r="H22" i="8" s="1"/>
  <c r="H182" i="14"/>
  <c r="H33" i="7" s="1"/>
  <c r="N181" i="14"/>
  <c r="N32" i="7" s="1"/>
  <c r="M181" i="14"/>
  <c r="M32" i="7" s="1"/>
  <c r="L181" i="14"/>
  <c r="L32" i="7" s="1"/>
  <c r="K181" i="14"/>
  <c r="K32" i="7" s="1"/>
  <c r="J181" i="14"/>
  <c r="J32" i="7" s="1"/>
  <c r="I181" i="14"/>
  <c r="I32" i="7" s="1"/>
  <c r="N155" i="14"/>
  <c r="M155" i="14"/>
  <c r="L155" i="14"/>
  <c r="K155" i="14"/>
  <c r="J155" i="14"/>
  <c r="I155" i="14"/>
  <c r="N83" i="14"/>
  <c r="M83" i="14"/>
  <c r="L83" i="14"/>
  <c r="N82" i="14"/>
  <c r="M82" i="14"/>
  <c r="L82" i="14"/>
  <c r="K82" i="14"/>
  <c r="N81" i="14"/>
  <c r="M81" i="14"/>
  <c r="L81" i="14"/>
  <c r="K81" i="14"/>
  <c r="J81" i="14"/>
  <c r="N80" i="14"/>
  <c r="M80" i="14"/>
  <c r="L80" i="14"/>
  <c r="K80" i="14"/>
  <c r="J80" i="14"/>
  <c r="I80" i="14"/>
  <c r="N62" i="14"/>
  <c r="N63" i="14" s="1"/>
  <c r="N64" i="14" s="1"/>
  <c r="N65" i="14" s="1"/>
  <c r="N66" i="14" s="1"/>
  <c r="N67" i="14" s="1"/>
  <c r="M62" i="14"/>
  <c r="M63" i="14" s="1"/>
  <c r="M64" i="14" s="1"/>
  <c r="M65" i="14" s="1"/>
  <c r="M66" i="14" s="1"/>
  <c r="L62" i="14"/>
  <c r="L63" i="14" s="1"/>
  <c r="L64" i="14" s="1"/>
  <c r="L65" i="14" s="1"/>
  <c r="K62" i="14"/>
  <c r="K63" i="14" s="1"/>
  <c r="K64" i="14" s="1"/>
  <c r="J62" i="14"/>
  <c r="J63" i="14" s="1"/>
  <c r="I62" i="14"/>
  <c r="M480" i="13"/>
  <c r="M479" i="13"/>
  <c r="M478" i="13"/>
  <c r="M477" i="13"/>
  <c r="M476" i="13"/>
  <c r="M475" i="13"/>
  <c r="M474" i="13"/>
  <c r="M473" i="13"/>
  <c r="M472" i="13"/>
  <c r="M471" i="13"/>
  <c r="M470" i="13"/>
  <c r="M469" i="13"/>
  <c r="M468" i="13"/>
  <c r="M467" i="13"/>
  <c r="M466" i="13"/>
  <c r="M465" i="13"/>
  <c r="M464" i="13"/>
  <c r="M463" i="13"/>
  <c r="M462" i="13"/>
  <c r="M461" i="13"/>
  <c r="M460" i="13"/>
  <c r="M459" i="13"/>
  <c r="M458" i="13"/>
  <c r="M457" i="13"/>
  <c r="M456" i="13"/>
  <c r="M455" i="13"/>
  <c r="M454" i="13"/>
  <c r="M453" i="13"/>
  <c r="M452" i="13"/>
  <c r="M451" i="13"/>
  <c r="M450" i="13"/>
  <c r="M449" i="13"/>
  <c r="M448" i="13"/>
  <c r="M447" i="13"/>
  <c r="M446" i="13"/>
  <c r="M445" i="13"/>
  <c r="M444" i="13"/>
  <c r="M443" i="13"/>
  <c r="M442" i="13"/>
  <c r="M441" i="13"/>
  <c r="M440" i="13"/>
  <c r="M439" i="13"/>
  <c r="M438" i="13"/>
  <c r="M437" i="13"/>
  <c r="M436" i="13"/>
  <c r="M435" i="13"/>
  <c r="M434" i="13"/>
  <c r="M433" i="13"/>
  <c r="M432" i="13"/>
  <c r="M431" i="13"/>
  <c r="M430" i="13"/>
  <c r="M429" i="13"/>
  <c r="M428" i="13"/>
  <c r="M427" i="13"/>
  <c r="M426" i="13"/>
  <c r="M425" i="13"/>
  <c r="M424" i="13"/>
  <c r="M423" i="13"/>
  <c r="M422" i="13"/>
  <c r="M421" i="13"/>
  <c r="M420" i="13"/>
  <c r="M419" i="13"/>
  <c r="M418" i="13"/>
  <c r="M417" i="13"/>
  <c r="M416" i="13"/>
  <c r="M415" i="13"/>
  <c r="M414" i="13"/>
  <c r="M413" i="13"/>
  <c r="M412" i="13"/>
  <c r="M411" i="13"/>
  <c r="M410" i="13"/>
  <c r="M409" i="13"/>
  <c r="M408" i="13"/>
  <c r="M407" i="13"/>
  <c r="M406" i="13"/>
  <c r="M405" i="13"/>
  <c r="M404" i="13"/>
  <c r="M403" i="13"/>
  <c r="M402" i="13"/>
  <c r="M401" i="13"/>
  <c r="M400" i="13"/>
  <c r="M399" i="13"/>
  <c r="M398" i="13"/>
  <c r="M397" i="13"/>
  <c r="M396" i="13"/>
  <c r="M394" i="13"/>
  <c r="M393" i="13"/>
  <c r="M392" i="13"/>
  <c r="M391" i="13"/>
  <c r="M390" i="13"/>
  <c r="M389" i="13"/>
  <c r="M388" i="13"/>
  <c r="M387" i="13"/>
  <c r="M386" i="13"/>
  <c r="M385" i="13"/>
  <c r="M384" i="13"/>
  <c r="M383" i="13"/>
  <c r="M382" i="13"/>
  <c r="M381" i="13"/>
  <c r="M380" i="13"/>
  <c r="M379" i="13"/>
  <c r="M378" i="13"/>
  <c r="M377" i="13"/>
  <c r="M376" i="13"/>
  <c r="M375" i="13"/>
  <c r="M374" i="13"/>
  <c r="M373" i="13"/>
  <c r="M372" i="13"/>
  <c r="M371" i="13"/>
  <c r="M370" i="13"/>
  <c r="M369" i="13"/>
  <c r="M368" i="13"/>
  <c r="M367" i="13"/>
  <c r="M366" i="13"/>
  <c r="M365" i="13"/>
  <c r="M364" i="13"/>
  <c r="M363" i="13"/>
  <c r="M362" i="13"/>
  <c r="M361" i="13"/>
  <c r="M360" i="13"/>
  <c r="M359" i="13"/>
  <c r="M358" i="13"/>
  <c r="M357" i="13"/>
  <c r="M356" i="13"/>
  <c r="M355" i="13"/>
  <c r="M354" i="13"/>
  <c r="M353" i="13"/>
  <c r="M352" i="13"/>
  <c r="M351" i="13"/>
  <c r="M350" i="13"/>
  <c r="M349" i="13"/>
  <c r="M348" i="13"/>
  <c r="M347" i="13"/>
  <c r="M346" i="13"/>
  <c r="M345" i="13"/>
  <c r="M344" i="13"/>
  <c r="M343" i="13"/>
  <c r="M342" i="13"/>
  <c r="M341" i="13"/>
  <c r="M340" i="13"/>
  <c r="M339" i="13"/>
  <c r="M338" i="13"/>
  <c r="M337" i="13"/>
  <c r="M336" i="13"/>
  <c r="M335" i="13"/>
  <c r="M334" i="13"/>
  <c r="M333" i="13"/>
  <c r="M332" i="13"/>
  <c r="M331" i="13"/>
  <c r="M330" i="13"/>
  <c r="M329" i="13"/>
  <c r="M328" i="13"/>
  <c r="M327" i="13"/>
  <c r="M326" i="13"/>
  <c r="M325" i="13"/>
  <c r="M324" i="13"/>
  <c r="M323" i="13"/>
  <c r="M322" i="13"/>
  <c r="M321" i="13"/>
  <c r="M320" i="13"/>
  <c r="M319" i="13"/>
  <c r="M318" i="13"/>
  <c r="M317" i="13"/>
  <c r="M316" i="13"/>
  <c r="M315" i="13"/>
  <c r="M314" i="13"/>
  <c r="M313" i="13"/>
  <c r="M312" i="13"/>
  <c r="M311" i="13"/>
  <c r="M310" i="13"/>
  <c r="M309" i="13"/>
  <c r="M308" i="13"/>
  <c r="M307" i="13"/>
  <c r="M306" i="13"/>
  <c r="M305" i="13"/>
  <c r="M304" i="13"/>
  <c r="M303" i="13"/>
  <c r="M302" i="13"/>
  <c r="M301" i="13"/>
  <c r="M300" i="13"/>
  <c r="M299" i="13"/>
  <c r="M298" i="13"/>
  <c r="M297" i="13"/>
  <c r="M296" i="13"/>
  <c r="M295" i="13"/>
  <c r="M294" i="13"/>
  <c r="M293" i="13"/>
  <c r="M292" i="13"/>
  <c r="M291" i="13"/>
  <c r="M290" i="13"/>
  <c r="M289" i="13"/>
  <c r="M288" i="13"/>
  <c r="M287" i="13"/>
  <c r="M286" i="13"/>
  <c r="M285" i="13"/>
  <c r="M284" i="13"/>
  <c r="M283" i="13"/>
  <c r="M282" i="13"/>
  <c r="M281" i="13"/>
  <c r="M280" i="13"/>
  <c r="M279" i="13"/>
  <c r="M278" i="13"/>
  <c r="M277" i="13"/>
  <c r="M276" i="13"/>
  <c r="M275" i="13"/>
  <c r="M274" i="13"/>
  <c r="M273" i="13"/>
  <c r="M272" i="13"/>
  <c r="M271" i="13"/>
  <c r="M270" i="13"/>
  <c r="M269" i="13"/>
  <c r="M268" i="13"/>
  <c r="M267" i="13"/>
  <c r="M266" i="13"/>
  <c r="M265" i="13"/>
  <c r="M264" i="13"/>
  <c r="M263" i="13"/>
  <c r="M262" i="13"/>
  <c r="M261" i="13"/>
  <c r="M260" i="13"/>
  <c r="M259" i="13"/>
  <c r="M258" i="13"/>
  <c r="M257" i="13"/>
  <c r="M256" i="13"/>
  <c r="M255" i="13"/>
  <c r="M254" i="13"/>
  <c r="M253" i="13"/>
  <c r="M252" i="13"/>
  <c r="M251" i="13"/>
  <c r="M250" i="13"/>
  <c r="M249" i="13"/>
  <c r="M248" i="13"/>
  <c r="M247" i="13"/>
  <c r="M246" i="13"/>
  <c r="M245" i="13"/>
  <c r="M244" i="13"/>
  <c r="M243" i="13"/>
  <c r="M242" i="13"/>
  <c r="M241" i="13"/>
  <c r="M240" i="13"/>
  <c r="M239" i="13"/>
  <c r="M238" i="13"/>
  <c r="M237" i="13"/>
  <c r="M236" i="13"/>
  <c r="M235" i="13"/>
  <c r="M234" i="13"/>
  <c r="M233" i="13"/>
  <c r="M232" i="13"/>
  <c r="M231" i="13"/>
  <c r="M230" i="13"/>
  <c r="M229" i="13"/>
  <c r="M228" i="13"/>
  <c r="M227" i="13"/>
  <c r="M226" i="13"/>
  <c r="M225" i="13"/>
  <c r="M224" i="13"/>
  <c r="M223" i="13"/>
  <c r="M222" i="13"/>
  <c r="M221" i="13"/>
  <c r="M220" i="13"/>
  <c r="M219" i="13"/>
  <c r="M218" i="13"/>
  <c r="M217" i="13"/>
  <c r="M216" i="13"/>
  <c r="M215" i="13"/>
  <c r="M214" i="13"/>
  <c r="M213" i="13"/>
  <c r="M212" i="13"/>
  <c r="M211" i="13"/>
  <c r="M210" i="13"/>
  <c r="M209" i="13"/>
  <c r="M208" i="13"/>
  <c r="M207" i="13"/>
  <c r="M206" i="13"/>
  <c r="M205" i="13"/>
  <c r="M204" i="13"/>
  <c r="M203" i="13"/>
  <c r="M202" i="13"/>
  <c r="M201" i="13"/>
  <c r="M200" i="13"/>
  <c r="M199" i="13"/>
  <c r="M198" i="13"/>
  <c r="M197" i="13"/>
  <c r="M196" i="13"/>
  <c r="M195" i="13"/>
  <c r="M194" i="13"/>
  <c r="M193" i="13"/>
  <c r="M192" i="13"/>
  <c r="M191" i="13"/>
  <c r="M190" i="13"/>
  <c r="M189" i="13"/>
  <c r="M188" i="13"/>
  <c r="M187" i="13"/>
  <c r="M186" i="13"/>
  <c r="M185" i="13"/>
  <c r="M184" i="13"/>
  <c r="M183" i="13"/>
  <c r="M182" i="13"/>
  <c r="M181" i="13"/>
  <c r="M180" i="13"/>
  <c r="M179" i="13"/>
  <c r="M178" i="13"/>
  <c r="M177" i="13"/>
  <c r="M176" i="13"/>
  <c r="M175" i="13"/>
  <c r="M174" i="13"/>
  <c r="M173" i="13"/>
  <c r="M172" i="13"/>
  <c r="M171" i="13"/>
  <c r="M170" i="13"/>
  <c r="M169" i="13"/>
  <c r="M168" i="13"/>
  <c r="M167" i="13"/>
  <c r="M166" i="13"/>
  <c r="M165" i="13"/>
  <c r="M164" i="13"/>
  <c r="M163" i="13"/>
  <c r="M162" i="13"/>
  <c r="M161" i="13"/>
  <c r="M160" i="13"/>
  <c r="M159" i="13"/>
  <c r="M158" i="13"/>
  <c r="M157" i="13"/>
  <c r="M156" i="13"/>
  <c r="M155" i="13"/>
  <c r="M154" i="13"/>
  <c r="M153" i="13"/>
  <c r="M152" i="13"/>
  <c r="M151" i="13"/>
  <c r="M150" i="13"/>
  <c r="M149" i="13"/>
  <c r="M148" i="13"/>
  <c r="M147" i="13"/>
  <c r="M146" i="13"/>
  <c r="M145" i="13"/>
  <c r="M144" i="13"/>
  <c r="M143" i="13"/>
  <c r="M142" i="13"/>
  <c r="M141" i="13"/>
  <c r="M140" i="13"/>
  <c r="M139" i="13"/>
  <c r="M138" i="13"/>
  <c r="M137" i="13"/>
  <c r="M136" i="13"/>
  <c r="M135" i="13"/>
  <c r="M134" i="13"/>
  <c r="M133" i="13"/>
  <c r="M132" i="13"/>
  <c r="M131" i="13"/>
  <c r="M130" i="13"/>
  <c r="M129" i="13"/>
  <c r="M128" i="13"/>
  <c r="M127" i="13"/>
  <c r="M126" i="13"/>
  <c r="M125" i="13"/>
  <c r="M124" i="13"/>
  <c r="M123" i="13"/>
  <c r="M122" i="13"/>
  <c r="M121" i="13"/>
  <c r="M120" i="13"/>
  <c r="M119" i="13"/>
  <c r="M118" i="13"/>
  <c r="M117" i="13"/>
  <c r="M116" i="13"/>
  <c r="M115" i="13"/>
  <c r="M114" i="13"/>
  <c r="M113" i="13"/>
  <c r="M112" i="13"/>
  <c r="M111" i="13"/>
  <c r="M110" i="13"/>
  <c r="M109" i="13"/>
  <c r="M108" i="13"/>
  <c r="M107" i="13"/>
  <c r="M106" i="13"/>
  <c r="M105" i="13"/>
  <c r="M104" i="13"/>
  <c r="M103" i="13"/>
  <c r="M102" i="13"/>
  <c r="M101" i="13"/>
  <c r="M100" i="13"/>
  <c r="M99" i="13"/>
  <c r="M98" i="13"/>
  <c r="M97" i="13"/>
  <c r="M96" i="13"/>
  <c r="M95" i="13"/>
  <c r="M94" i="13"/>
  <c r="M93" i="13"/>
  <c r="M92" i="13"/>
  <c r="M91" i="13"/>
  <c r="M90" i="13"/>
  <c r="M89" i="13"/>
  <c r="M88" i="13"/>
  <c r="M87" i="13"/>
  <c r="M86" i="13"/>
  <c r="M85" i="13"/>
  <c r="M84" i="13"/>
  <c r="M83" i="13"/>
  <c r="M82" i="13"/>
  <c r="M81" i="13"/>
  <c r="M80" i="13"/>
  <c r="M79" i="13"/>
  <c r="M78" i="13"/>
  <c r="M77" i="13"/>
  <c r="M76" i="13"/>
  <c r="M75" i="13"/>
  <c r="M74" i="13"/>
  <c r="M73" i="13"/>
  <c r="M72" i="13"/>
  <c r="M71" i="13"/>
  <c r="M70" i="13"/>
  <c r="M69" i="13"/>
  <c r="M68" i="13"/>
  <c r="M67" i="13"/>
  <c r="M66" i="13"/>
  <c r="M65" i="13"/>
  <c r="M64" i="13"/>
  <c r="M63" i="13"/>
  <c r="M62" i="13"/>
  <c r="M61" i="13"/>
  <c r="M60" i="13"/>
  <c r="M59" i="13"/>
  <c r="M58" i="13"/>
  <c r="M57" i="13"/>
  <c r="M56" i="13"/>
  <c r="M55" i="13"/>
  <c r="M54" i="13"/>
  <c r="M53" i="13"/>
  <c r="M52" i="13"/>
  <c r="M51" i="13"/>
  <c r="M50" i="13"/>
  <c r="M49" i="13"/>
  <c r="M48" i="13"/>
  <c r="M47" i="13"/>
  <c r="M46" i="13"/>
  <c r="M45" i="13"/>
  <c r="M44" i="13"/>
  <c r="M43" i="13"/>
  <c r="M42" i="13"/>
  <c r="M41" i="13"/>
  <c r="M40" i="13"/>
  <c r="M39" i="13"/>
  <c r="M38" i="13"/>
  <c r="M37" i="13"/>
  <c r="M36" i="13"/>
  <c r="M35" i="13"/>
  <c r="M34" i="13"/>
  <c r="M33" i="13"/>
  <c r="M32" i="13"/>
  <c r="M31" i="13"/>
  <c r="M30" i="13"/>
  <c r="M29" i="13"/>
  <c r="M28" i="13"/>
  <c r="M27" i="13"/>
  <c r="M26" i="13"/>
  <c r="M25" i="13"/>
  <c r="M24" i="13"/>
  <c r="M23" i="13"/>
  <c r="M22" i="13"/>
  <c r="M21" i="13"/>
  <c r="M20" i="13"/>
  <c r="M19" i="13"/>
  <c r="M18" i="13"/>
  <c r="M17" i="13"/>
  <c r="M16" i="13"/>
  <c r="M15" i="13"/>
  <c r="M14" i="13"/>
  <c r="M13" i="13"/>
  <c r="M12" i="13"/>
  <c r="L2" i="13"/>
  <c r="F11" i="7"/>
  <c r="F9" i="7"/>
  <c r="F6" i="1"/>
  <c r="F5" i="1"/>
  <c r="N334" i="13" l="1"/>
  <c r="N409" i="13"/>
  <c r="N457" i="13"/>
  <c r="N1408" i="13" s="1"/>
  <c r="N385" i="13"/>
  <c r="N1336" i="13" s="1"/>
  <c r="N393" i="13"/>
  <c r="N397" i="13"/>
  <c r="N1348" i="13" s="1"/>
  <c r="N421" i="13"/>
  <c r="N896" i="13" s="1"/>
  <c r="N445" i="13"/>
  <c r="N1396" i="13" s="1"/>
  <c r="N469" i="13"/>
  <c r="N373" i="13"/>
  <c r="F663" i="12"/>
  <c r="F706" i="12" s="1"/>
  <c r="N706" i="12" s="1"/>
  <c r="N45" i="14" s="1"/>
  <c r="N704" i="12"/>
  <c r="N43" i="14" s="1"/>
  <c r="F630" i="12"/>
  <c r="F693" i="12" s="1"/>
  <c r="N693" i="12" s="1"/>
  <c r="N24" i="14" s="1"/>
  <c r="F629" i="12"/>
  <c r="F692" i="12" s="1"/>
  <c r="K692" i="12" s="1"/>
  <c r="K23" i="14" s="1"/>
  <c r="K34" i="14" s="1"/>
  <c r="F105" i="14" s="1"/>
  <c r="L694" i="12"/>
  <c r="L25" i="14" s="1"/>
  <c r="F189" i="12"/>
  <c r="F279" i="12"/>
  <c r="H45" i="12"/>
  <c r="F230" i="12"/>
  <c r="F215" i="12"/>
  <c r="F150" i="12"/>
  <c r="F148" i="12"/>
  <c r="F144" i="12"/>
  <c r="H54" i="12"/>
  <c r="H500" i="12" s="1"/>
  <c r="L44" i="7"/>
  <c r="L31" i="8" s="1"/>
  <c r="K44" i="7"/>
  <c r="K46" i="7" s="1"/>
  <c r="D11" i="18"/>
  <c r="J44" i="7"/>
  <c r="J31" i="8" s="1"/>
  <c r="F291" i="12"/>
  <c r="F238" i="12"/>
  <c r="N43" i="12"/>
  <c r="N397" i="12" s="1"/>
  <c r="K42" i="12"/>
  <c r="K384" i="12" s="1"/>
  <c r="H46" i="12"/>
  <c r="H409" i="12" s="1"/>
  <c r="K50" i="12"/>
  <c r="K508" i="12" s="1"/>
  <c r="H50" i="12"/>
  <c r="H508" i="12" s="1"/>
  <c r="F242" i="12"/>
  <c r="F301" i="12"/>
  <c r="F194" i="12"/>
  <c r="F255" i="12"/>
  <c r="F305" i="12"/>
  <c r="F197" i="12"/>
  <c r="F259" i="12"/>
  <c r="F309" i="12"/>
  <c r="N52" i="12"/>
  <c r="N516" i="12" s="1"/>
  <c r="J42" i="12"/>
  <c r="J384" i="12" s="1"/>
  <c r="F203" i="12"/>
  <c r="M52" i="12"/>
  <c r="M516" i="12" s="1"/>
  <c r="F206" i="12"/>
  <c r="F263" i="12"/>
  <c r="F313" i="12"/>
  <c r="F209" i="12"/>
  <c r="N53" i="12"/>
  <c r="N494" i="12" s="1"/>
  <c r="F267" i="12"/>
  <c r="L19" i="7"/>
  <c r="L12" i="8" s="1"/>
  <c r="F234" i="12"/>
  <c r="J50" i="12"/>
  <c r="J508" i="12" s="1"/>
  <c r="F287" i="12"/>
  <c r="H694" i="12"/>
  <c r="H25" i="14" s="1"/>
  <c r="N378" i="12"/>
  <c r="I45" i="12"/>
  <c r="I43" i="12"/>
  <c r="I397" i="12" s="1"/>
  <c r="I42" i="12"/>
  <c r="I384" i="12" s="1"/>
  <c r="N46" i="12"/>
  <c r="N409" i="12" s="1"/>
  <c r="L52" i="12"/>
  <c r="L516" i="12" s="1"/>
  <c r="J44" i="12"/>
  <c r="L50" i="12"/>
  <c r="L508" i="12" s="1"/>
  <c r="M50" i="12"/>
  <c r="M508" i="12" s="1"/>
  <c r="I44" i="12"/>
  <c r="H43" i="12"/>
  <c r="H397" i="12" s="1"/>
  <c r="N54" i="12"/>
  <c r="N500" i="12" s="1"/>
  <c r="I46" i="12"/>
  <c r="I409" i="12" s="1"/>
  <c r="M54" i="12"/>
  <c r="M500" i="12" s="1"/>
  <c r="I378" i="12"/>
  <c r="H42" i="12"/>
  <c r="H384" i="12" s="1"/>
  <c r="N42" i="12"/>
  <c r="N384" i="12" s="1"/>
  <c r="L54" i="12"/>
  <c r="L500" i="12" s="1"/>
  <c r="J378" i="12"/>
  <c r="M42" i="12"/>
  <c r="M384" i="12" s="1"/>
  <c r="M378" i="12"/>
  <c r="L42" i="12"/>
  <c r="L384" i="12" s="1"/>
  <c r="L378" i="12"/>
  <c r="L46" i="12"/>
  <c r="L409" i="12" s="1"/>
  <c r="K378" i="12"/>
  <c r="J71" i="15"/>
  <c r="N356" i="13"/>
  <c r="N416" i="13"/>
  <c r="N1367" i="13" s="1"/>
  <c r="N428" i="13"/>
  <c r="N903" i="13" s="1"/>
  <c r="I71" i="15"/>
  <c r="N71" i="15"/>
  <c r="M71" i="15"/>
  <c r="L71" i="15"/>
  <c r="N66" i="15"/>
  <c r="L66" i="15"/>
  <c r="K32" i="15"/>
  <c r="K38" i="15" s="1"/>
  <c r="O416" i="13" s="1"/>
  <c r="M66" i="15"/>
  <c r="K66" i="15"/>
  <c r="J66" i="15"/>
  <c r="K34" i="15"/>
  <c r="K40" i="15" s="1"/>
  <c r="M44" i="7"/>
  <c r="M46" i="7" s="1"/>
  <c r="M39" i="8" s="1"/>
  <c r="K19" i="7"/>
  <c r="M19" i="7"/>
  <c r="H19" i="7"/>
  <c r="I19" i="7"/>
  <c r="I21" i="7" s="1"/>
  <c r="M488" i="13"/>
  <c r="M964" i="13"/>
  <c r="M976" i="13"/>
  <c r="M500" i="13"/>
  <c r="M512" i="13"/>
  <c r="M988" i="13"/>
  <c r="M1000" i="13"/>
  <c r="M524" i="13"/>
  <c r="M1012" i="13"/>
  <c r="M536" i="13"/>
  <c r="M1024" i="13"/>
  <c r="M548" i="13"/>
  <c r="M1036" i="13"/>
  <c r="M560" i="13"/>
  <c r="M1048" i="13"/>
  <c r="M572" i="13"/>
  <c r="M1060" i="13"/>
  <c r="M584" i="13"/>
  <c r="M1072" i="13"/>
  <c r="M596" i="13"/>
  <c r="M1084" i="13"/>
  <c r="M608" i="13"/>
  <c r="M1096" i="13"/>
  <c r="M620" i="13"/>
  <c r="M1108" i="13"/>
  <c r="M632" i="13"/>
  <c r="M1120" i="13"/>
  <c r="M644" i="13"/>
  <c r="M1132" i="13"/>
  <c r="M656" i="13"/>
  <c r="M1144" i="13"/>
  <c r="M668" i="13"/>
  <c r="M1156" i="13"/>
  <c r="M680" i="13"/>
  <c r="M1168" i="13"/>
  <c r="M692" i="13"/>
  <c r="N1324" i="13"/>
  <c r="N848" i="13"/>
  <c r="N1360" i="13"/>
  <c r="N884" i="13"/>
  <c r="N932" i="13"/>
  <c r="N1420" i="13"/>
  <c r="N944" i="13"/>
  <c r="M1097" i="13"/>
  <c r="M621" i="13"/>
  <c r="M990" i="13"/>
  <c r="M514" i="13"/>
  <c r="M1050" i="13"/>
  <c r="M574" i="13"/>
  <c r="M1074" i="13"/>
  <c r="M598" i="13"/>
  <c r="M1086" i="13"/>
  <c r="M610" i="13"/>
  <c r="M1098" i="13"/>
  <c r="M622" i="13"/>
  <c r="M1110" i="13"/>
  <c r="M634" i="13"/>
  <c r="M1122" i="13"/>
  <c r="M646" i="13"/>
  <c r="M1134" i="13"/>
  <c r="M658" i="13"/>
  <c r="M1146" i="13"/>
  <c r="M670" i="13"/>
  <c r="N44" i="7"/>
  <c r="M491" i="13"/>
  <c r="M967" i="13"/>
  <c r="M979" i="13"/>
  <c r="M503" i="13"/>
  <c r="M991" i="13"/>
  <c r="M515" i="13"/>
  <c r="M1003" i="13"/>
  <c r="M527" i="13"/>
  <c r="M1015" i="13"/>
  <c r="M539" i="13"/>
  <c r="N76" i="13"/>
  <c r="M1039" i="13"/>
  <c r="M563" i="13"/>
  <c r="M1051" i="13"/>
  <c r="M575" i="13"/>
  <c r="M1063" i="13"/>
  <c r="M587" i="13"/>
  <c r="M1075" i="13"/>
  <c r="M599" i="13"/>
  <c r="M1087" i="13"/>
  <c r="M611" i="13"/>
  <c r="M1099" i="13"/>
  <c r="M623" i="13"/>
  <c r="M1013" i="13"/>
  <c r="M537" i="13"/>
  <c r="M1038" i="13"/>
  <c r="M562" i="13"/>
  <c r="M1062" i="13"/>
  <c r="M586" i="13"/>
  <c r="M492" i="13"/>
  <c r="M968" i="13"/>
  <c r="M992" i="13"/>
  <c r="M516" i="13"/>
  <c r="M1004" i="13"/>
  <c r="M528" i="13"/>
  <c r="M1016" i="13"/>
  <c r="M540" i="13"/>
  <c r="M1028" i="13"/>
  <c r="M552" i="13"/>
  <c r="M1040" i="13"/>
  <c r="M564" i="13"/>
  <c r="M1052" i="13"/>
  <c r="M576" i="13"/>
  <c r="M1064" i="13"/>
  <c r="M588" i="13"/>
  <c r="M1076" i="13"/>
  <c r="M600" i="13"/>
  <c r="M1088" i="13"/>
  <c r="M612" i="13"/>
  <c r="M1100" i="13"/>
  <c r="M624" i="13"/>
  <c r="M1112" i="13"/>
  <c r="M636" i="13"/>
  <c r="M1124" i="13"/>
  <c r="M648" i="13"/>
  <c r="M1136" i="13"/>
  <c r="M660" i="13"/>
  <c r="M1148" i="13"/>
  <c r="M672" i="13"/>
  <c r="M1037" i="13"/>
  <c r="M561" i="13"/>
  <c r="M993" i="13"/>
  <c r="M517" i="13"/>
  <c r="M1089" i="13"/>
  <c r="M613" i="13"/>
  <c r="M1209" i="13"/>
  <c r="M733" i="13"/>
  <c r="M1233" i="13"/>
  <c r="M757" i="13"/>
  <c r="M1269" i="13"/>
  <c r="M793" i="13"/>
  <c r="M1281" i="13"/>
  <c r="M805" i="13"/>
  <c r="N330" i="13"/>
  <c r="M1305" i="13"/>
  <c r="M829" i="13"/>
  <c r="N354" i="13"/>
  <c r="M1317" i="13"/>
  <c r="M841" i="13"/>
  <c r="N366" i="13"/>
  <c r="M1329" i="13"/>
  <c r="M853" i="13"/>
  <c r="N378" i="13"/>
  <c r="M1341" i="13"/>
  <c r="M865" i="13"/>
  <c r="N390" i="13"/>
  <c r="N402" i="13"/>
  <c r="M1365" i="13"/>
  <c r="M889" i="13"/>
  <c r="N414" i="13"/>
  <c r="M1377" i="13"/>
  <c r="M901" i="13"/>
  <c r="N426" i="13"/>
  <c r="M1389" i="13"/>
  <c r="M913" i="13"/>
  <c r="N438" i="13"/>
  <c r="M1401" i="13"/>
  <c r="M925" i="13"/>
  <c r="N450" i="13"/>
  <c r="M1413" i="13"/>
  <c r="M937" i="13"/>
  <c r="N462" i="13"/>
  <c r="M1425" i="13"/>
  <c r="M949" i="13"/>
  <c r="N474" i="13"/>
  <c r="M1001" i="13"/>
  <c r="M525" i="13"/>
  <c r="M1109" i="13"/>
  <c r="M633" i="13"/>
  <c r="M1026" i="13"/>
  <c r="M550" i="13"/>
  <c r="M1005" i="13"/>
  <c r="M529" i="13"/>
  <c r="M1077" i="13"/>
  <c r="M601" i="13"/>
  <c r="M1137" i="13"/>
  <c r="M661" i="13"/>
  <c r="M1185" i="13"/>
  <c r="M709" i="13"/>
  <c r="M721" i="13"/>
  <c r="M1197" i="13"/>
  <c r="M1221" i="13"/>
  <c r="M745" i="13"/>
  <c r="M1245" i="13"/>
  <c r="M769" i="13"/>
  <c r="M1257" i="13"/>
  <c r="M781" i="13"/>
  <c r="M1293" i="13"/>
  <c r="M817" i="13"/>
  <c r="N342" i="13"/>
  <c r="M970" i="13"/>
  <c r="M494" i="13"/>
  <c r="M994" i="13"/>
  <c r="M518" i="13"/>
  <c r="M1006" i="13"/>
  <c r="M530" i="13"/>
  <c r="M1018" i="13"/>
  <c r="M542" i="13"/>
  <c r="M1030" i="13"/>
  <c r="M554" i="13"/>
  <c r="M1042" i="13"/>
  <c r="M566" i="13"/>
  <c r="M1054" i="13"/>
  <c r="M578" i="13"/>
  <c r="M1066" i="13"/>
  <c r="M590" i="13"/>
  <c r="M1078" i="13"/>
  <c r="M602" i="13"/>
  <c r="M1090" i="13"/>
  <c r="M614" i="13"/>
  <c r="M1102" i="13"/>
  <c r="M626" i="13"/>
  <c r="M1114" i="13"/>
  <c r="M638" i="13"/>
  <c r="M1126" i="13"/>
  <c r="M650" i="13"/>
  <c r="M1138" i="13"/>
  <c r="M662" i="13"/>
  <c r="M1150" i="13"/>
  <c r="M674" i="13"/>
  <c r="M573" i="13"/>
  <c r="M1049" i="13"/>
  <c r="M490" i="13"/>
  <c r="M966" i="13"/>
  <c r="N66" i="13"/>
  <c r="M1125" i="13"/>
  <c r="M649" i="13"/>
  <c r="M983" i="13"/>
  <c r="M507" i="13"/>
  <c r="M995" i="13"/>
  <c r="M519" i="13"/>
  <c r="M1007" i="13"/>
  <c r="M531" i="13"/>
  <c r="N68" i="13"/>
  <c r="M1031" i="13"/>
  <c r="M555" i="13"/>
  <c r="M1043" i="13"/>
  <c r="M567" i="13"/>
  <c r="M1055" i="13"/>
  <c r="M579" i="13"/>
  <c r="M1067" i="13"/>
  <c r="M591" i="13"/>
  <c r="M1079" i="13"/>
  <c r="M603" i="13"/>
  <c r="M1091" i="13"/>
  <c r="M615" i="13"/>
  <c r="M1103" i="13"/>
  <c r="M627" i="13"/>
  <c r="M1085" i="13"/>
  <c r="M609" i="13"/>
  <c r="M978" i="13"/>
  <c r="M502" i="13"/>
  <c r="M1041" i="13"/>
  <c r="M565" i="13"/>
  <c r="M1113" i="13"/>
  <c r="M637" i="13"/>
  <c r="M495" i="13"/>
  <c r="M971" i="13"/>
  <c r="M496" i="13"/>
  <c r="M972" i="13"/>
  <c r="M984" i="13"/>
  <c r="M508" i="13"/>
  <c r="M996" i="13"/>
  <c r="M520" i="13"/>
  <c r="M1008" i="13"/>
  <c r="M532" i="13"/>
  <c r="M1020" i="13"/>
  <c r="M544" i="13"/>
  <c r="M1032" i="13"/>
  <c r="M556" i="13"/>
  <c r="M1044" i="13"/>
  <c r="M568" i="13"/>
  <c r="M1056" i="13"/>
  <c r="M580" i="13"/>
  <c r="M1068" i="13"/>
  <c r="M592" i="13"/>
  <c r="M1080" i="13"/>
  <c r="M604" i="13"/>
  <c r="M1092" i="13"/>
  <c r="M616" i="13"/>
  <c r="M1104" i="13"/>
  <c r="M628" i="13"/>
  <c r="M1025" i="13"/>
  <c r="M549" i="13"/>
  <c r="M969" i="13"/>
  <c r="M493" i="13"/>
  <c r="M1053" i="13"/>
  <c r="M577" i="13"/>
  <c r="M1161" i="13"/>
  <c r="M685" i="13"/>
  <c r="H44" i="7"/>
  <c r="M985" i="13"/>
  <c r="M509" i="13"/>
  <c r="M1021" i="13"/>
  <c r="M545" i="13"/>
  <c r="M1033" i="13"/>
  <c r="M557" i="13"/>
  <c r="M1045" i="13"/>
  <c r="M569" i="13"/>
  <c r="M1057" i="13"/>
  <c r="M581" i="13"/>
  <c r="M1069" i="13"/>
  <c r="M593" i="13"/>
  <c r="M1081" i="13"/>
  <c r="M605" i="13"/>
  <c r="M1093" i="13"/>
  <c r="M617" i="13"/>
  <c r="M1105" i="13"/>
  <c r="M629" i="13"/>
  <c r="M1117" i="13"/>
  <c r="M641" i="13"/>
  <c r="M1129" i="13"/>
  <c r="M653" i="13"/>
  <c r="M1141" i="13"/>
  <c r="M665" i="13"/>
  <c r="M1153" i="13"/>
  <c r="M677" i="13"/>
  <c r="N1285" i="13"/>
  <c r="N809" i="13"/>
  <c r="M977" i="13"/>
  <c r="M501" i="13"/>
  <c r="M1061" i="13"/>
  <c r="M585" i="13"/>
  <c r="M526" i="13"/>
  <c r="M1002" i="13"/>
  <c r="M505" i="13"/>
  <c r="M981" i="13"/>
  <c r="M1065" i="13"/>
  <c r="M589" i="13"/>
  <c r="M1149" i="13"/>
  <c r="M673" i="13"/>
  <c r="M973" i="13"/>
  <c r="M497" i="13"/>
  <c r="M997" i="13"/>
  <c r="M521" i="13"/>
  <c r="M1009" i="13"/>
  <c r="M533" i="13"/>
  <c r="J19" i="7"/>
  <c r="I44" i="7"/>
  <c r="M962" i="13"/>
  <c r="M486" i="13"/>
  <c r="M974" i="13"/>
  <c r="M498" i="13"/>
  <c r="M510" i="13"/>
  <c r="M986" i="13"/>
  <c r="M998" i="13"/>
  <c r="M522" i="13"/>
  <c r="M534" i="13"/>
  <c r="M1010" i="13"/>
  <c r="M1022" i="13"/>
  <c r="M546" i="13"/>
  <c r="M1034" i="13"/>
  <c r="M558" i="13"/>
  <c r="M1046" i="13"/>
  <c r="M570" i="13"/>
  <c r="M1058" i="13"/>
  <c r="M582" i="13"/>
  <c r="M594" i="13"/>
  <c r="M1070" i="13"/>
  <c r="M1082" i="13"/>
  <c r="M606" i="13"/>
  <c r="M1094" i="13"/>
  <c r="M618" i="13"/>
  <c r="M1106" i="13"/>
  <c r="M630" i="13"/>
  <c r="M1118" i="13"/>
  <c r="M642" i="13"/>
  <c r="M1130" i="13"/>
  <c r="M654" i="13"/>
  <c r="M1142" i="13"/>
  <c r="M666" i="13"/>
  <c r="M1154" i="13"/>
  <c r="M678" i="13"/>
  <c r="M1166" i="13"/>
  <c r="M690" i="13"/>
  <c r="M965" i="13"/>
  <c r="M489" i="13"/>
  <c r="M1073" i="13"/>
  <c r="M597" i="13"/>
  <c r="M1014" i="13"/>
  <c r="M538" i="13"/>
  <c r="M1029" i="13"/>
  <c r="M553" i="13"/>
  <c r="M1101" i="13"/>
  <c r="M625" i="13"/>
  <c r="M487" i="13"/>
  <c r="M963" i="13"/>
  <c r="M975" i="13"/>
  <c r="M499" i="13"/>
  <c r="M987" i="13"/>
  <c r="M511" i="13"/>
  <c r="M999" i="13"/>
  <c r="M523" i="13"/>
  <c r="M1011" i="13"/>
  <c r="M535" i="13"/>
  <c r="M1023" i="13"/>
  <c r="M547" i="13"/>
  <c r="M1035" i="13"/>
  <c r="M559" i="13"/>
  <c r="M1047" i="13"/>
  <c r="M571" i="13"/>
  <c r="M1059" i="13"/>
  <c r="M583" i="13"/>
  <c r="M1071" i="13"/>
  <c r="M595" i="13"/>
  <c r="M1083" i="13"/>
  <c r="M607" i="13"/>
  <c r="M1095" i="13"/>
  <c r="M619" i="13"/>
  <c r="M1107" i="13"/>
  <c r="M631" i="13"/>
  <c r="M1119" i="13"/>
  <c r="M643" i="13"/>
  <c r="M1131" i="13"/>
  <c r="M655" i="13"/>
  <c r="M1143" i="13"/>
  <c r="M667" i="13"/>
  <c r="M1155" i="13"/>
  <c r="M679" i="13"/>
  <c r="M1167" i="13"/>
  <c r="M691" i="13"/>
  <c r="M1179" i="13"/>
  <c r="M703" i="13"/>
  <c r="M1158" i="13"/>
  <c r="M682" i="13"/>
  <c r="M706" i="13"/>
  <c r="M1182" i="13"/>
  <c r="M1194" i="13"/>
  <c r="M718" i="13"/>
  <c r="M1206" i="13"/>
  <c r="M730" i="13"/>
  <c r="M1218" i="13"/>
  <c r="M742" i="13"/>
  <c r="M1230" i="13"/>
  <c r="M754" i="13"/>
  <c r="M1242" i="13"/>
  <c r="M766" i="13"/>
  <c r="M1254" i="13"/>
  <c r="M778" i="13"/>
  <c r="M1266" i="13"/>
  <c r="M790" i="13"/>
  <c r="M1278" i="13"/>
  <c r="M802" i="13"/>
  <c r="N327" i="13"/>
  <c r="M1290" i="13"/>
  <c r="M814" i="13"/>
  <c r="N339" i="13"/>
  <c r="M1302" i="13"/>
  <c r="M826" i="13"/>
  <c r="N363" i="13"/>
  <c r="M1326" i="13"/>
  <c r="M850" i="13"/>
  <c r="N375" i="13"/>
  <c r="M1338" i="13"/>
  <c r="M862" i="13"/>
  <c r="N387" i="13"/>
  <c r="M1350" i="13"/>
  <c r="M874" i="13"/>
  <c r="N399" i="13"/>
  <c r="M1362" i="13"/>
  <c r="M886" i="13"/>
  <c r="N411" i="13"/>
  <c r="M1374" i="13"/>
  <c r="M898" i="13"/>
  <c r="N423" i="13"/>
  <c r="M1386" i="13"/>
  <c r="M910" i="13"/>
  <c r="N435" i="13"/>
  <c r="M1398" i="13"/>
  <c r="M922" i="13"/>
  <c r="N447" i="13"/>
  <c r="M1410" i="13"/>
  <c r="M934" i="13"/>
  <c r="N459" i="13"/>
  <c r="M1422" i="13"/>
  <c r="M946" i="13"/>
  <c r="N471" i="13"/>
  <c r="N2" i="15"/>
  <c r="J41" i="15"/>
  <c r="K35" i="15"/>
  <c r="I51" i="12"/>
  <c r="J53" i="12"/>
  <c r="J494" i="12" s="1"/>
  <c r="J52" i="12"/>
  <c r="J516" i="12" s="1"/>
  <c r="M1111" i="13"/>
  <c r="M635" i="13"/>
  <c r="M1123" i="13"/>
  <c r="M647" i="13"/>
  <c r="M1135" i="13"/>
  <c r="M659" i="13"/>
  <c r="M1159" i="13"/>
  <c r="M683" i="13"/>
  <c r="M1171" i="13"/>
  <c r="M695" i="13"/>
  <c r="M1183" i="13"/>
  <c r="M707" i="13"/>
  <c r="M1195" i="13"/>
  <c r="M719" i="13"/>
  <c r="M1207" i="13"/>
  <c r="M731" i="13"/>
  <c r="M1219" i="13"/>
  <c r="M743" i="13"/>
  <c r="M1231" i="13"/>
  <c r="M755" i="13"/>
  <c r="M1243" i="13"/>
  <c r="M767" i="13"/>
  <c r="M1255" i="13"/>
  <c r="M779" i="13"/>
  <c r="M1267" i="13"/>
  <c r="M791" i="13"/>
  <c r="M1279" i="13"/>
  <c r="M803" i="13"/>
  <c r="N328" i="13"/>
  <c r="M1291" i="13"/>
  <c r="M815" i="13"/>
  <c r="N340" i="13"/>
  <c r="O340" i="13"/>
  <c r="M1303" i="13"/>
  <c r="M827" i="13"/>
  <c r="N352" i="13"/>
  <c r="M1315" i="13"/>
  <c r="M839" i="13"/>
  <c r="N364" i="13"/>
  <c r="M1327" i="13"/>
  <c r="M851" i="13"/>
  <c r="N376" i="13"/>
  <c r="M1339" i="13"/>
  <c r="M863" i="13"/>
  <c r="N388" i="13"/>
  <c r="M1351" i="13"/>
  <c r="M875" i="13"/>
  <c r="N400" i="13"/>
  <c r="M1363" i="13"/>
  <c r="M887" i="13"/>
  <c r="N412" i="13"/>
  <c r="M1375" i="13"/>
  <c r="M899" i="13"/>
  <c r="N424" i="13"/>
  <c r="M1387" i="13"/>
  <c r="M911" i="13"/>
  <c r="N436" i="13"/>
  <c r="M1399" i="13"/>
  <c r="M923" i="13"/>
  <c r="N448" i="13"/>
  <c r="M1411" i="13"/>
  <c r="M935" i="13"/>
  <c r="N460" i="13"/>
  <c r="M1423" i="13"/>
  <c r="M947" i="13"/>
  <c r="N472" i="13"/>
  <c r="N705" i="12"/>
  <c r="N44" i="14" s="1"/>
  <c r="N53" i="14" s="1"/>
  <c r="F139" i="14" s="1"/>
  <c r="M705" i="12"/>
  <c r="M44" i="14" s="1"/>
  <c r="M53" i="14" s="1"/>
  <c r="F138" i="14" s="1"/>
  <c r="K705" i="12"/>
  <c r="K44" i="14" s="1"/>
  <c r="K53" i="14" s="1"/>
  <c r="F136" i="14" s="1"/>
  <c r="J705" i="12"/>
  <c r="J44" i="14" s="1"/>
  <c r="J53" i="14" s="1"/>
  <c r="F135" i="14" s="1"/>
  <c r="I705" i="12"/>
  <c r="I44" i="14" s="1"/>
  <c r="I53" i="14" s="1"/>
  <c r="F134" i="14" s="1"/>
  <c r="N49" i="12"/>
  <c r="M1160" i="13"/>
  <c r="M684" i="13"/>
  <c r="M1172" i="13"/>
  <c r="M696" i="13"/>
  <c r="M1184" i="13"/>
  <c r="M708" i="13"/>
  <c r="M1196" i="13"/>
  <c r="M720" i="13"/>
  <c r="M1208" i="13"/>
  <c r="M732" i="13"/>
  <c r="M1220" i="13"/>
  <c r="M744" i="13"/>
  <c r="M1232" i="13"/>
  <c r="M756" i="13"/>
  <c r="M1256" i="13"/>
  <c r="M780" i="13"/>
  <c r="M1268" i="13"/>
  <c r="M792" i="13"/>
  <c r="M1280" i="13"/>
  <c r="M804" i="13"/>
  <c r="N329" i="13"/>
  <c r="M1292" i="13"/>
  <c r="M816" i="13"/>
  <c r="M1304" i="13"/>
  <c r="M828" i="13"/>
  <c r="N353" i="13"/>
  <c r="M1316" i="13"/>
  <c r="M840" i="13"/>
  <c r="N365" i="13"/>
  <c r="M1328" i="13"/>
  <c r="M852" i="13"/>
  <c r="N377" i="13"/>
  <c r="M1340" i="13"/>
  <c r="M864" i="13"/>
  <c r="N389" i="13"/>
  <c r="M1352" i="13"/>
  <c r="M876" i="13"/>
  <c r="N401" i="13"/>
  <c r="O401" i="13"/>
  <c r="M1364" i="13"/>
  <c r="M888" i="13"/>
  <c r="N413" i="13"/>
  <c r="M1376" i="13"/>
  <c r="M900" i="13"/>
  <c r="N425" i="13"/>
  <c r="M1388" i="13"/>
  <c r="M912" i="13"/>
  <c r="N437" i="13"/>
  <c r="O437" i="13"/>
  <c r="M1400" i="13"/>
  <c r="M924" i="13"/>
  <c r="N449" i="13"/>
  <c r="M1412" i="13"/>
  <c r="M936" i="13"/>
  <c r="N461" i="13"/>
  <c r="M1424" i="13"/>
  <c r="M948" i="13"/>
  <c r="N473" i="13"/>
  <c r="H44" i="14"/>
  <c r="H53" i="14" s="1"/>
  <c r="F133" i="14" s="1"/>
  <c r="N50" i="12"/>
  <c r="N508" i="12" s="1"/>
  <c r="F74" i="12"/>
  <c r="F76" i="12" s="1"/>
  <c r="L705" i="12"/>
  <c r="L44" i="14" s="1"/>
  <c r="L53" i="14" s="1"/>
  <c r="F137" i="14" s="1"/>
  <c r="H49" i="12"/>
  <c r="M1174" i="13"/>
  <c r="M698" i="13"/>
  <c r="M1186" i="13"/>
  <c r="M710" i="13"/>
  <c r="M1198" i="13"/>
  <c r="M722" i="13"/>
  <c r="M1210" i="13"/>
  <c r="M734" i="13"/>
  <c r="M1222" i="13"/>
  <c r="M746" i="13"/>
  <c r="M1234" i="13"/>
  <c r="M758" i="13"/>
  <c r="M1246" i="13"/>
  <c r="M770" i="13"/>
  <c r="M1258" i="13"/>
  <c r="M782" i="13"/>
  <c r="M1270" i="13"/>
  <c r="M794" i="13"/>
  <c r="M1282" i="13"/>
  <c r="M806" i="13"/>
  <c r="N331" i="13"/>
  <c r="M1294" i="13"/>
  <c r="M818" i="13"/>
  <c r="N343" i="13"/>
  <c r="M1306" i="13"/>
  <c r="M830" i="13"/>
  <c r="N355" i="13"/>
  <c r="M1318" i="13"/>
  <c r="M842" i="13"/>
  <c r="N367" i="13"/>
  <c r="M1330" i="13"/>
  <c r="M854" i="13"/>
  <c r="N379" i="13"/>
  <c r="M1342" i="13"/>
  <c r="M866" i="13"/>
  <c r="N391" i="13"/>
  <c r="M1354" i="13"/>
  <c r="M878" i="13"/>
  <c r="N403" i="13"/>
  <c r="M1366" i="13"/>
  <c r="M890" i="13"/>
  <c r="N415" i="13"/>
  <c r="M1378" i="13"/>
  <c r="M902" i="13"/>
  <c r="N427" i="13"/>
  <c r="M1390" i="13"/>
  <c r="M914" i="13"/>
  <c r="N439" i="13"/>
  <c r="O439" i="13"/>
  <c r="M1402" i="13"/>
  <c r="M926" i="13"/>
  <c r="N451" i="13"/>
  <c r="N463" i="13"/>
  <c r="M1426" i="13"/>
  <c r="M950" i="13"/>
  <c r="N475" i="13"/>
  <c r="M1115" i="13"/>
  <c r="M639" i="13"/>
  <c r="M1127" i="13"/>
  <c r="M651" i="13"/>
  <c r="M1139" i="13"/>
  <c r="M663" i="13"/>
  <c r="M1151" i="13"/>
  <c r="M675" i="13"/>
  <c r="M1163" i="13"/>
  <c r="M687" i="13"/>
  <c r="M1175" i="13"/>
  <c r="M699" i="13"/>
  <c r="M1187" i="13"/>
  <c r="M711" i="13"/>
  <c r="M1199" i="13"/>
  <c r="M723" i="13"/>
  <c r="M1211" i="13"/>
  <c r="M735" i="13"/>
  <c r="M1223" i="13"/>
  <c r="M747" i="13"/>
  <c r="M1235" i="13"/>
  <c r="M759" i="13"/>
  <c r="M1247" i="13"/>
  <c r="M771" i="13"/>
  <c r="M1259" i="13"/>
  <c r="M783" i="13"/>
  <c r="M1271" i="13"/>
  <c r="M795" i="13"/>
  <c r="M1283" i="13"/>
  <c r="M807" i="13"/>
  <c r="N332" i="13"/>
  <c r="M1295" i="13"/>
  <c r="M819" i="13"/>
  <c r="N344" i="13"/>
  <c r="O344" i="13"/>
  <c r="M1319" i="13"/>
  <c r="M843" i="13"/>
  <c r="M1331" i="13"/>
  <c r="M855" i="13"/>
  <c r="M1343" i="13"/>
  <c r="M867" i="13"/>
  <c r="M1355" i="13"/>
  <c r="M879" i="13"/>
  <c r="M1367" i="13"/>
  <c r="M891" i="13"/>
  <c r="M1379" i="13"/>
  <c r="M903" i="13"/>
  <c r="M1391" i="13"/>
  <c r="M915" i="13"/>
  <c r="M1403" i="13"/>
  <c r="M927" i="13"/>
  <c r="M1415" i="13"/>
  <c r="M939" i="13"/>
  <c r="M1427" i="13"/>
  <c r="M951" i="13"/>
  <c r="K693" i="12"/>
  <c r="K24" i="14" s="1"/>
  <c r="J693" i="12"/>
  <c r="J24" i="14" s="1"/>
  <c r="I693" i="12"/>
  <c r="I24" i="14" s="1"/>
  <c r="N694" i="12"/>
  <c r="N25" i="14" s="1"/>
  <c r="M694" i="12"/>
  <c r="M25" i="14" s="1"/>
  <c r="K694" i="12"/>
  <c r="K25" i="14" s="1"/>
  <c r="J694" i="12"/>
  <c r="J25" i="14" s="1"/>
  <c r="I694" i="12"/>
  <c r="I25" i="14" s="1"/>
  <c r="M45" i="12"/>
  <c r="K53" i="12"/>
  <c r="K494" i="12" s="1"/>
  <c r="M46" i="12"/>
  <c r="M409" i="12" s="1"/>
  <c r="N440" i="13"/>
  <c r="N368" i="13"/>
  <c r="M1116" i="13"/>
  <c r="M640" i="13"/>
  <c r="M1128" i="13"/>
  <c r="M652" i="13"/>
  <c r="M1140" i="13"/>
  <c r="M664" i="13"/>
  <c r="M1152" i="13"/>
  <c r="M676" i="13"/>
  <c r="M1164" i="13"/>
  <c r="M688" i="13"/>
  <c r="M1176" i="13"/>
  <c r="M700" i="13"/>
  <c r="M1188" i="13"/>
  <c r="M712" i="13"/>
  <c r="M1200" i="13"/>
  <c r="M724" i="13"/>
  <c r="M1212" i="13"/>
  <c r="M736" i="13"/>
  <c r="M1224" i="13"/>
  <c r="M748" i="13"/>
  <c r="M1236" i="13"/>
  <c r="M760" i="13"/>
  <c r="M1248" i="13"/>
  <c r="M772" i="13"/>
  <c r="M1260" i="13"/>
  <c r="M784" i="13"/>
  <c r="M1272" i="13"/>
  <c r="M796" i="13"/>
  <c r="M1284" i="13"/>
  <c r="M808" i="13"/>
  <c r="N333" i="13"/>
  <c r="M1296" i="13"/>
  <c r="M820" i="13"/>
  <c r="N345" i="13"/>
  <c r="M1308" i="13"/>
  <c r="M832" i="13"/>
  <c r="N357" i="13"/>
  <c r="M1320" i="13"/>
  <c r="M844" i="13"/>
  <c r="N369" i="13"/>
  <c r="M1332" i="13"/>
  <c r="M856" i="13"/>
  <c r="N381" i="13"/>
  <c r="M1344" i="13"/>
  <c r="M868" i="13"/>
  <c r="M1356" i="13"/>
  <c r="M880" i="13"/>
  <c r="N405" i="13"/>
  <c r="M1368" i="13"/>
  <c r="M892" i="13"/>
  <c r="N417" i="13"/>
  <c r="M1380" i="13"/>
  <c r="M904" i="13"/>
  <c r="N429" i="13"/>
  <c r="M1392" i="13"/>
  <c r="M916" i="13"/>
  <c r="N441" i="13"/>
  <c r="M1404" i="13"/>
  <c r="M928" i="13"/>
  <c r="N453" i="13"/>
  <c r="O453" i="13"/>
  <c r="M1416" i="13"/>
  <c r="M940" i="13"/>
  <c r="N465" i="13"/>
  <c r="M1428" i="13"/>
  <c r="M952" i="13"/>
  <c r="N477" i="13"/>
  <c r="J39" i="15"/>
  <c r="N191" i="13" s="1"/>
  <c r="K33" i="15"/>
  <c r="I54" i="12"/>
  <c r="I500" i="12" s="1"/>
  <c r="I53" i="12"/>
  <c r="I494" i="12" s="1"/>
  <c r="I52" i="12"/>
  <c r="I516" i="12" s="1"/>
  <c r="I50" i="12"/>
  <c r="I508" i="12" s="1"/>
  <c r="H51" i="12"/>
  <c r="J51" i="12"/>
  <c r="M1165" i="13"/>
  <c r="M689" i="13"/>
  <c r="M1177" i="13"/>
  <c r="M701" i="13"/>
  <c r="N226" i="13"/>
  <c r="M1189" i="13"/>
  <c r="M713" i="13"/>
  <c r="M1201" i="13"/>
  <c r="M725" i="13"/>
  <c r="M1213" i="13"/>
  <c r="M737" i="13"/>
  <c r="M1225" i="13"/>
  <c r="M749" i="13"/>
  <c r="M1237" i="13"/>
  <c r="M761" i="13"/>
  <c r="M1249" i="13"/>
  <c r="M773" i="13"/>
  <c r="M1261" i="13"/>
  <c r="M785" i="13"/>
  <c r="M1273" i="13"/>
  <c r="M797" i="13"/>
  <c r="M1285" i="13"/>
  <c r="M809" i="13"/>
  <c r="M1297" i="13"/>
  <c r="M821" i="13"/>
  <c r="N346" i="13"/>
  <c r="M1309" i="13"/>
  <c r="M833" i="13"/>
  <c r="N358" i="13"/>
  <c r="M1321" i="13"/>
  <c r="M845" i="13"/>
  <c r="N370" i="13"/>
  <c r="M1333" i="13"/>
  <c r="M857" i="13"/>
  <c r="N382" i="13"/>
  <c r="M1345" i="13"/>
  <c r="M869" i="13"/>
  <c r="N394" i="13"/>
  <c r="M1357" i="13"/>
  <c r="M881" i="13"/>
  <c r="N406" i="13"/>
  <c r="M1369" i="13"/>
  <c r="M893" i="13"/>
  <c r="N418" i="13"/>
  <c r="M1381" i="13"/>
  <c r="M905" i="13"/>
  <c r="N430" i="13"/>
  <c r="M1393" i="13"/>
  <c r="M917" i="13"/>
  <c r="N442" i="13"/>
  <c r="M1405" i="13"/>
  <c r="M929" i="13"/>
  <c r="N454" i="13"/>
  <c r="M1417" i="13"/>
  <c r="M941" i="13"/>
  <c r="N466" i="13"/>
  <c r="M1429" i="13"/>
  <c r="M953" i="13"/>
  <c r="N478" i="13"/>
  <c r="N691" i="12"/>
  <c r="N22" i="14" s="1"/>
  <c r="M691" i="12"/>
  <c r="M22" i="14" s="1"/>
  <c r="K691" i="12"/>
  <c r="K22" i="14" s="1"/>
  <c r="J691" i="12"/>
  <c r="J22" i="14" s="1"/>
  <c r="I691" i="12"/>
  <c r="I22" i="14" s="1"/>
  <c r="M44" i="12"/>
  <c r="N452" i="13"/>
  <c r="N380" i="13"/>
  <c r="N351" i="13"/>
  <c r="M1178" i="13"/>
  <c r="M702" i="13"/>
  <c r="M1190" i="13"/>
  <c r="M714" i="13"/>
  <c r="M1202" i="13"/>
  <c r="M726" i="13"/>
  <c r="M1214" i="13"/>
  <c r="M738" i="13"/>
  <c r="M1226" i="13"/>
  <c r="M750" i="13"/>
  <c r="N287" i="13"/>
  <c r="M1250" i="13"/>
  <c r="M774" i="13"/>
  <c r="M1262" i="13"/>
  <c r="M786" i="13"/>
  <c r="M1274" i="13"/>
  <c r="M798" i="13"/>
  <c r="M1286" i="13"/>
  <c r="M810" i="13"/>
  <c r="N335" i="13"/>
  <c r="M1298" i="13"/>
  <c r="M822" i="13"/>
  <c r="N347" i="13"/>
  <c r="N359" i="13"/>
  <c r="M1322" i="13"/>
  <c r="M846" i="13"/>
  <c r="N371" i="13"/>
  <c r="M1334" i="13"/>
  <c r="M858" i="13"/>
  <c r="N383" i="13"/>
  <c r="N395" i="13"/>
  <c r="M1358" i="13"/>
  <c r="M882" i="13"/>
  <c r="N407" i="13"/>
  <c r="M1370" i="13"/>
  <c r="M894" i="13"/>
  <c r="N419" i="13"/>
  <c r="M1382" i="13"/>
  <c r="M906" i="13"/>
  <c r="N431" i="13"/>
  <c r="M1394" i="13"/>
  <c r="M918" i="13"/>
  <c r="N443" i="13"/>
  <c r="M1406" i="13"/>
  <c r="M930" i="13"/>
  <c r="N455" i="13"/>
  <c r="M1418" i="13"/>
  <c r="M942" i="13"/>
  <c r="N467" i="13"/>
  <c r="M1430" i="13"/>
  <c r="M954" i="13"/>
  <c r="N479" i="13"/>
  <c r="L704" i="12"/>
  <c r="L43" i="14" s="1"/>
  <c r="K704" i="12"/>
  <c r="K43" i="14" s="1"/>
  <c r="J704" i="12"/>
  <c r="J43" i="14" s="1"/>
  <c r="I704" i="12"/>
  <c r="I43" i="14" s="1"/>
  <c r="H691" i="12"/>
  <c r="H22" i="14" s="1"/>
  <c r="L44" i="12"/>
  <c r="M1191" i="13"/>
  <c r="M715" i="13"/>
  <c r="N240" i="13"/>
  <c r="M1203" i="13"/>
  <c r="M727" i="13"/>
  <c r="M1215" i="13"/>
  <c r="M739" i="13"/>
  <c r="M1227" i="13"/>
  <c r="M751" i="13"/>
  <c r="M1239" i="13"/>
  <c r="M763" i="13"/>
  <c r="M1251" i="13"/>
  <c r="M775" i="13"/>
  <c r="M1263" i="13"/>
  <c r="M787" i="13"/>
  <c r="M1275" i="13"/>
  <c r="M799" i="13"/>
  <c r="N324" i="13"/>
  <c r="M1287" i="13"/>
  <c r="M811" i="13"/>
  <c r="N336" i="13"/>
  <c r="M1299" i="13"/>
  <c r="M823" i="13"/>
  <c r="N348" i="13"/>
  <c r="M1311" i="13"/>
  <c r="M835" i="13"/>
  <c r="N360" i="13"/>
  <c r="M1323" i="13"/>
  <c r="M847" i="13"/>
  <c r="N372" i="13"/>
  <c r="M1335" i="13"/>
  <c r="M859" i="13"/>
  <c r="N384" i="13"/>
  <c r="M1347" i="13"/>
  <c r="M871" i="13"/>
  <c r="N396" i="13"/>
  <c r="M1359" i="13"/>
  <c r="M883" i="13"/>
  <c r="N408" i="13"/>
  <c r="M1371" i="13"/>
  <c r="M895" i="13"/>
  <c r="N420" i="13"/>
  <c r="M1383" i="13"/>
  <c r="M907" i="13"/>
  <c r="N432" i="13"/>
  <c r="O432" i="13"/>
  <c r="M1395" i="13"/>
  <c r="M919" i="13"/>
  <c r="N444" i="13"/>
  <c r="M1407" i="13"/>
  <c r="M931" i="13"/>
  <c r="N456" i="13"/>
  <c r="M1419" i="13"/>
  <c r="M943" i="13"/>
  <c r="N468" i="13"/>
  <c r="M1431" i="13"/>
  <c r="M955" i="13"/>
  <c r="N480" i="13"/>
  <c r="L691" i="12"/>
  <c r="L22" i="14" s="1"/>
  <c r="N44" i="12"/>
  <c r="K44" i="12"/>
  <c r="K52" i="12"/>
  <c r="K516" i="12" s="1"/>
  <c r="N464" i="13"/>
  <c r="N392" i="13"/>
  <c r="N293" i="13"/>
  <c r="M1180" i="13"/>
  <c r="M704" i="13"/>
  <c r="M1192" i="13"/>
  <c r="M716" i="13"/>
  <c r="M1204" i="13"/>
  <c r="M728" i="13"/>
  <c r="M1216" i="13"/>
  <c r="M740" i="13"/>
  <c r="M1228" i="13"/>
  <c r="M752" i="13"/>
  <c r="N289" i="13"/>
  <c r="M1252" i="13"/>
  <c r="M776" i="13"/>
  <c r="M1264" i="13"/>
  <c r="M788" i="13"/>
  <c r="M1276" i="13"/>
  <c r="M800" i="13"/>
  <c r="N325" i="13"/>
  <c r="M1288" i="13"/>
  <c r="M812" i="13"/>
  <c r="N337" i="13"/>
  <c r="M1300" i="13"/>
  <c r="M824" i="13"/>
  <c r="N349" i="13"/>
  <c r="M1312" i="13"/>
  <c r="M836" i="13"/>
  <c r="M1324" i="13"/>
  <c r="M848" i="13"/>
  <c r="M1336" i="13"/>
  <c r="M860" i="13"/>
  <c r="M1348" i="13"/>
  <c r="M872" i="13"/>
  <c r="M1360" i="13"/>
  <c r="M884" i="13"/>
  <c r="M1372" i="13"/>
  <c r="M896" i="13"/>
  <c r="M1384" i="13"/>
  <c r="M908" i="13"/>
  <c r="O433" i="13"/>
  <c r="M1396" i="13"/>
  <c r="M920" i="13"/>
  <c r="M1408" i="13"/>
  <c r="M932" i="13"/>
  <c r="M1420" i="13"/>
  <c r="M944" i="13"/>
  <c r="H43" i="14"/>
  <c r="L53" i="12"/>
  <c r="L494" i="12" s="1"/>
  <c r="L51" i="12"/>
  <c r="M43" i="12"/>
  <c r="M397" i="12" s="1"/>
  <c r="M49" i="12"/>
  <c r="K45" i="12"/>
  <c r="K43" i="12"/>
  <c r="K397" i="12" s="1"/>
  <c r="K46" i="12"/>
  <c r="K409" i="12" s="1"/>
  <c r="H378" i="12"/>
  <c r="N433" i="13"/>
  <c r="N361" i="13"/>
  <c r="O341" i="13"/>
  <c r="M1121" i="13"/>
  <c r="M645" i="13"/>
  <c r="M1133" i="13"/>
  <c r="M657" i="13"/>
  <c r="M1145" i="13"/>
  <c r="M669" i="13"/>
  <c r="M1157" i="13"/>
  <c r="M681" i="13"/>
  <c r="M1169" i="13"/>
  <c r="M693" i="13"/>
  <c r="M1181" i="13"/>
  <c r="M705" i="13"/>
  <c r="M1193" i="13"/>
  <c r="M717" i="13"/>
  <c r="M1205" i="13"/>
  <c r="M729" i="13"/>
  <c r="M1217" i="13"/>
  <c r="M741" i="13"/>
  <c r="M1229" i="13"/>
  <c r="M753" i="13"/>
  <c r="N278" i="13"/>
  <c r="M1241" i="13"/>
  <c r="M765" i="13"/>
  <c r="M1253" i="13"/>
  <c r="M777" i="13"/>
  <c r="M1265" i="13"/>
  <c r="M789" i="13"/>
  <c r="M1277" i="13"/>
  <c r="M801" i="13"/>
  <c r="N326" i="13"/>
  <c r="M1289" i="13"/>
  <c r="M813" i="13"/>
  <c r="N338" i="13"/>
  <c r="M1301" i="13"/>
  <c r="M825" i="13"/>
  <c r="N350" i="13"/>
  <c r="M1313" i="13"/>
  <c r="M837" i="13"/>
  <c r="N362" i="13"/>
  <c r="M1325" i="13"/>
  <c r="M849" i="13"/>
  <c r="N374" i="13"/>
  <c r="M1337" i="13"/>
  <c r="M861" i="13"/>
  <c r="N386" i="13"/>
  <c r="N398" i="13"/>
  <c r="M1361" i="13"/>
  <c r="M885" i="13"/>
  <c r="N410" i="13"/>
  <c r="M1373" i="13"/>
  <c r="M897" i="13"/>
  <c r="N422" i="13"/>
  <c r="M1385" i="13"/>
  <c r="M909" i="13"/>
  <c r="N434" i="13"/>
  <c r="M1397" i="13"/>
  <c r="M921" i="13"/>
  <c r="N446" i="13"/>
  <c r="M1409" i="13"/>
  <c r="M933" i="13"/>
  <c r="N458" i="13"/>
  <c r="M1421" i="13"/>
  <c r="M945" i="13"/>
  <c r="N470" i="13"/>
  <c r="I49" i="12"/>
  <c r="M704" i="12"/>
  <c r="M43" i="14" s="1"/>
  <c r="J45" i="12"/>
  <c r="J43" i="12"/>
  <c r="J397" i="12" s="1"/>
  <c r="J49" i="12"/>
  <c r="J46" i="12"/>
  <c r="J409" i="12" s="1"/>
  <c r="N476" i="13"/>
  <c r="O447" i="13"/>
  <c r="N404" i="13"/>
  <c r="N341" i="13"/>
  <c r="H44" i="12"/>
  <c r="K54" i="12"/>
  <c r="K500" i="12" s="1"/>
  <c r="N51" i="12"/>
  <c r="L49" i="12"/>
  <c r="F200" i="12"/>
  <c r="N45" i="12"/>
  <c r="L43" i="12"/>
  <c r="L397" i="12" s="1"/>
  <c r="J54" i="12"/>
  <c r="J500" i="12" s="1"/>
  <c r="M51" i="12"/>
  <c r="K49" i="12"/>
  <c r="H53" i="12"/>
  <c r="H494" i="12" s="1"/>
  <c r="L45" i="12"/>
  <c r="M53" i="12"/>
  <c r="M494" i="12" s="1"/>
  <c r="K51" i="12"/>
  <c r="F283" i="12"/>
  <c r="H52" i="12"/>
  <c r="H516" i="12" s="1"/>
  <c r="F212" i="12"/>
  <c r="M2" i="13"/>
  <c r="J706" i="12" l="1"/>
  <c r="J45" i="14" s="1"/>
  <c r="L693" i="12"/>
  <c r="L24" i="14" s="1"/>
  <c r="K706" i="12"/>
  <c r="K45" i="14" s="1"/>
  <c r="H706" i="12"/>
  <c r="H45" i="14" s="1"/>
  <c r="L706" i="12"/>
  <c r="L45" i="14" s="1"/>
  <c r="M706" i="12"/>
  <c r="M45" i="14" s="1"/>
  <c r="I706" i="12"/>
  <c r="I45" i="14" s="1"/>
  <c r="H407" i="12"/>
  <c r="H406" i="12"/>
  <c r="H385" i="12"/>
  <c r="H411" i="12"/>
  <c r="H413" i="12"/>
  <c r="H399" i="12"/>
  <c r="H395" i="12"/>
  <c r="H392" i="12"/>
  <c r="N517" i="12"/>
  <c r="N511" i="12"/>
  <c r="N510" i="12"/>
  <c r="L389" i="12"/>
  <c r="L390" i="12"/>
  <c r="I392" i="12"/>
  <c r="I413" i="12"/>
  <c r="I407" i="12"/>
  <c r="I406" i="12"/>
  <c r="I385" i="12"/>
  <c r="I411" i="12"/>
  <c r="I399" i="12"/>
  <c r="I395" i="12"/>
  <c r="K407" i="12"/>
  <c r="K411" i="12"/>
  <c r="K399" i="12"/>
  <c r="K395" i="12"/>
  <c r="K385" i="12"/>
  <c r="K392" i="12"/>
  <c r="K406" i="12"/>
  <c r="K413" i="12"/>
  <c r="M389" i="12"/>
  <c r="M390" i="12"/>
  <c r="I390" i="12"/>
  <c r="I389" i="12"/>
  <c r="L497" i="12"/>
  <c r="L496" i="12"/>
  <c r="K496" i="12"/>
  <c r="K497" i="12"/>
  <c r="M517" i="12"/>
  <c r="M511" i="12"/>
  <c r="M510" i="12"/>
  <c r="J395" i="12"/>
  <c r="J392" i="12"/>
  <c r="J407" i="12"/>
  <c r="J406" i="12"/>
  <c r="J385" i="12"/>
  <c r="J413" i="12"/>
  <c r="J411" i="12"/>
  <c r="J399" i="12"/>
  <c r="J517" i="12"/>
  <c r="J511" i="12"/>
  <c r="J510" i="12"/>
  <c r="N497" i="12"/>
  <c r="N496" i="12"/>
  <c r="M497" i="12"/>
  <c r="M496" i="12"/>
  <c r="H511" i="12"/>
  <c r="H510" i="12"/>
  <c r="H517" i="12"/>
  <c r="H497" i="12"/>
  <c r="H496" i="12"/>
  <c r="J497" i="12"/>
  <c r="J496" i="12"/>
  <c r="L413" i="12"/>
  <c r="L411" i="12"/>
  <c r="L399" i="12"/>
  <c r="L395" i="12"/>
  <c r="L407" i="12"/>
  <c r="L392" i="12"/>
  <c r="L406" i="12"/>
  <c r="L385" i="12"/>
  <c r="M413" i="12"/>
  <c r="M411" i="12"/>
  <c r="M399" i="12"/>
  <c r="M395" i="12"/>
  <c r="M407" i="12"/>
  <c r="M392" i="12"/>
  <c r="M406" i="12"/>
  <c r="M385" i="12"/>
  <c r="I511" i="12"/>
  <c r="I510" i="12"/>
  <c r="I517" i="12"/>
  <c r="J390" i="12"/>
  <c r="J389" i="12"/>
  <c r="H390" i="12"/>
  <c r="H389" i="12"/>
  <c r="K517" i="12"/>
  <c r="K511" i="12"/>
  <c r="K510" i="12"/>
  <c r="I497" i="12"/>
  <c r="I496" i="12"/>
  <c r="L517" i="12"/>
  <c r="L511" i="12"/>
  <c r="L510" i="12"/>
  <c r="K390" i="12"/>
  <c r="K389" i="12"/>
  <c r="N390" i="12"/>
  <c r="N389" i="12"/>
  <c r="N385" i="12"/>
  <c r="N413" i="12"/>
  <c r="N392" i="12"/>
  <c r="N411" i="12"/>
  <c r="N399" i="12"/>
  <c r="N407" i="12"/>
  <c r="N395" i="12"/>
  <c r="N406" i="12"/>
  <c r="J692" i="12"/>
  <c r="J23" i="14" s="1"/>
  <c r="J34" i="14" s="1"/>
  <c r="F104" i="14" s="1"/>
  <c r="I104" i="14" s="1"/>
  <c r="M692" i="12"/>
  <c r="M23" i="14" s="1"/>
  <c r="M34" i="14" s="1"/>
  <c r="F107" i="14" s="1"/>
  <c r="I107" i="14" s="1"/>
  <c r="I692" i="12"/>
  <c r="I23" i="14" s="1"/>
  <c r="I34" i="14" s="1"/>
  <c r="F103" i="14" s="1"/>
  <c r="M103" i="14" s="1"/>
  <c r="K138" i="14"/>
  <c r="L138" i="14"/>
  <c r="M138" i="14"/>
  <c r="I138" i="14"/>
  <c r="N138" i="14"/>
  <c r="J138" i="14"/>
  <c r="K133" i="14"/>
  <c r="J133" i="14"/>
  <c r="F140" i="14"/>
  <c r="L133" i="14"/>
  <c r="I133" i="14"/>
  <c r="N133" i="14"/>
  <c r="M133" i="14"/>
  <c r="I105" i="14"/>
  <c r="J105" i="14"/>
  <c r="K105" i="14"/>
  <c r="L105" i="14"/>
  <c r="M105" i="14"/>
  <c r="N105" i="14"/>
  <c r="N134" i="14"/>
  <c r="K134" i="14"/>
  <c r="M134" i="14"/>
  <c r="J134" i="14"/>
  <c r="L134" i="14"/>
  <c r="I134" i="14"/>
  <c r="N139" i="14"/>
  <c r="I139" i="14"/>
  <c r="L139" i="14"/>
  <c r="M139" i="14"/>
  <c r="K139" i="14"/>
  <c r="J139" i="14"/>
  <c r="J137" i="14"/>
  <c r="I137" i="14"/>
  <c r="N137" i="14"/>
  <c r="M137" i="14"/>
  <c r="L137" i="14"/>
  <c r="K137" i="14"/>
  <c r="J135" i="14"/>
  <c r="I135" i="14"/>
  <c r="K135" i="14"/>
  <c r="N135" i="14"/>
  <c r="M135" i="14"/>
  <c r="L135" i="14"/>
  <c r="L136" i="14"/>
  <c r="M136" i="14"/>
  <c r="I136" i="14"/>
  <c r="J136" i="14"/>
  <c r="K136" i="14"/>
  <c r="N136" i="14"/>
  <c r="N1372" i="13"/>
  <c r="N872" i="13"/>
  <c r="N860" i="13"/>
  <c r="N920" i="13"/>
  <c r="O368" i="13"/>
  <c r="O1319" i="13" s="1"/>
  <c r="N891" i="13"/>
  <c r="N692" i="12"/>
  <c r="N23" i="14" s="1"/>
  <c r="N34" i="14" s="1"/>
  <c r="F108" i="14" s="1"/>
  <c r="H692" i="12"/>
  <c r="H23" i="14" s="1"/>
  <c r="H34" i="14" s="1"/>
  <c r="F102" i="14" s="1"/>
  <c r="L692" i="12"/>
  <c r="L23" i="14" s="1"/>
  <c r="L34" i="14" s="1"/>
  <c r="F106" i="14" s="1"/>
  <c r="H693" i="12"/>
  <c r="H24" i="14" s="1"/>
  <c r="M693" i="12"/>
  <c r="M24" i="14" s="1"/>
  <c r="N1379" i="13"/>
  <c r="L46" i="7"/>
  <c r="L39" i="8" s="1"/>
  <c r="L38" i="8"/>
  <c r="K31" i="8"/>
  <c r="K38" i="8"/>
  <c r="L21" i="7"/>
  <c r="L20" i="8" s="1"/>
  <c r="K39" i="8"/>
  <c r="K47" i="7"/>
  <c r="L19" i="8"/>
  <c r="D7" i="18"/>
  <c r="D19" i="18" s="1"/>
  <c r="D24" i="18" s="1"/>
  <c r="F7" i="7" s="1"/>
  <c r="J46" i="7"/>
  <c r="J39" i="8" s="1"/>
  <c r="F317" i="12"/>
  <c r="J38" i="8"/>
  <c r="F246" i="12"/>
  <c r="F271" i="12"/>
  <c r="F295" i="12"/>
  <c r="O338" i="13"/>
  <c r="O1289" i="13" s="1"/>
  <c r="O404" i="13"/>
  <c r="O879" i="13" s="1"/>
  <c r="O419" i="13"/>
  <c r="O894" i="13" s="1"/>
  <c r="O371" i="13"/>
  <c r="O1322" i="13" s="1"/>
  <c r="O473" i="13"/>
  <c r="O948" i="13" s="1"/>
  <c r="O376" i="13"/>
  <c r="O1327" i="13" s="1"/>
  <c r="O468" i="13"/>
  <c r="O1419" i="13" s="1"/>
  <c r="O455" i="13"/>
  <c r="O930" i="13" s="1"/>
  <c r="O358" i="13"/>
  <c r="O353" i="13"/>
  <c r="O402" i="13"/>
  <c r="O354" i="13"/>
  <c r="O374" i="13"/>
  <c r="O1325" i="13" s="1"/>
  <c r="O476" i="13"/>
  <c r="O1427" i="13" s="1"/>
  <c r="O389" i="13"/>
  <c r="O1340" i="13" s="1"/>
  <c r="O412" i="13"/>
  <c r="O887" i="13" s="1"/>
  <c r="O438" i="13"/>
  <c r="O1389" i="13" s="1"/>
  <c r="O394" i="13"/>
  <c r="O1345" i="13" s="1"/>
  <c r="O357" i="13"/>
  <c r="O1308" i="13" s="1"/>
  <c r="N249" i="13"/>
  <c r="O332" i="13"/>
  <c r="L32" i="15"/>
  <c r="L38" i="15" s="1"/>
  <c r="O399" i="13"/>
  <c r="O1350" i="13" s="1"/>
  <c r="O425" i="13"/>
  <c r="O1376" i="13" s="1"/>
  <c r="O474" i="13"/>
  <c r="O1425" i="13" s="1"/>
  <c r="O390" i="13"/>
  <c r="O1341" i="13" s="1"/>
  <c r="O349" i="13"/>
  <c r="O1300" i="13" s="1"/>
  <c r="O407" i="13"/>
  <c r="O882" i="13" s="1"/>
  <c r="O393" i="13"/>
  <c r="O1344" i="13" s="1"/>
  <c r="N309" i="13"/>
  <c r="N784" i="13" s="1"/>
  <c r="O471" i="13"/>
  <c r="O1422" i="13" s="1"/>
  <c r="O461" i="13"/>
  <c r="O448" i="13"/>
  <c r="N229" i="13"/>
  <c r="N1180" i="13" s="1"/>
  <c r="O324" i="13"/>
  <c r="O443" i="13"/>
  <c r="O430" i="13"/>
  <c r="O1381" i="13" s="1"/>
  <c r="O429" i="13"/>
  <c r="O904" i="13" s="1"/>
  <c r="O331" i="13"/>
  <c r="O1282" i="13" s="1"/>
  <c r="O410" i="13"/>
  <c r="O1361" i="13" s="1"/>
  <c r="O397" i="13"/>
  <c r="O872" i="13" s="1"/>
  <c r="N264" i="13"/>
  <c r="N739" i="13" s="1"/>
  <c r="O479" i="13"/>
  <c r="O1430" i="13" s="1"/>
  <c r="O465" i="13"/>
  <c r="O426" i="13"/>
  <c r="O289" i="13"/>
  <c r="O360" i="13"/>
  <c r="N275" i="13"/>
  <c r="N1226" i="13" s="1"/>
  <c r="O466" i="13"/>
  <c r="O1417" i="13" s="1"/>
  <c r="O345" i="13"/>
  <c r="O820" i="13" s="1"/>
  <c r="O367" i="13"/>
  <c r="O1318" i="13" s="1"/>
  <c r="O462" i="13"/>
  <c r="O1413" i="13" s="1"/>
  <c r="O446" i="13"/>
  <c r="O921" i="13" s="1"/>
  <c r="O445" i="13"/>
  <c r="O1396" i="13" s="1"/>
  <c r="O337" i="13"/>
  <c r="O1288" i="13" s="1"/>
  <c r="O423" i="13"/>
  <c r="O898" i="13" s="1"/>
  <c r="O381" i="13"/>
  <c r="O1332" i="13" s="1"/>
  <c r="O339" i="13"/>
  <c r="O375" i="13"/>
  <c r="O385" i="13"/>
  <c r="O396" i="13"/>
  <c r="O1347" i="13" s="1"/>
  <c r="N312" i="13"/>
  <c r="N787" i="13" s="1"/>
  <c r="O335" i="13"/>
  <c r="O810" i="13" s="1"/>
  <c r="O417" i="13"/>
  <c r="O1368" i="13" s="1"/>
  <c r="O403" i="13"/>
  <c r="O1354" i="13" s="1"/>
  <c r="O365" i="13"/>
  <c r="O840" i="13" s="1"/>
  <c r="N156" i="13"/>
  <c r="N1107" i="13" s="1"/>
  <c r="O440" i="13"/>
  <c r="O326" i="13"/>
  <c r="O1277" i="13" s="1"/>
  <c r="O420" i="13"/>
  <c r="O418" i="13"/>
  <c r="O382" i="13"/>
  <c r="O857" i="13" s="1"/>
  <c r="O472" i="13"/>
  <c r="O947" i="13" s="1"/>
  <c r="O400" i="13"/>
  <c r="O1351" i="13" s="1"/>
  <c r="O328" i="13"/>
  <c r="O1279" i="13" s="1"/>
  <c r="O330" i="13"/>
  <c r="O1281" i="13" s="1"/>
  <c r="O421" i="13"/>
  <c r="O896" i="13" s="1"/>
  <c r="O348" i="13"/>
  <c r="O1299" i="13" s="1"/>
  <c r="O359" i="13"/>
  <c r="O346" i="13"/>
  <c r="O1297" i="13" s="1"/>
  <c r="O378" i="13"/>
  <c r="O1329" i="13" s="1"/>
  <c r="O434" i="13"/>
  <c r="O411" i="13"/>
  <c r="O1362" i="13" s="1"/>
  <c r="O391" i="13"/>
  <c r="O1342" i="13" s="1"/>
  <c r="O467" i="13"/>
  <c r="O942" i="13" s="1"/>
  <c r="O395" i="13"/>
  <c r="O477" i="13"/>
  <c r="O1428" i="13" s="1"/>
  <c r="O405" i="13"/>
  <c r="O880" i="13" s="1"/>
  <c r="O333" i="13"/>
  <c r="O1284" i="13" s="1"/>
  <c r="O449" i="13"/>
  <c r="O1400" i="13" s="1"/>
  <c r="O377" i="13"/>
  <c r="O1328" i="13" s="1"/>
  <c r="O450" i="13"/>
  <c r="O1401" i="13" s="1"/>
  <c r="O386" i="13"/>
  <c r="O861" i="13" s="1"/>
  <c r="O409" i="13"/>
  <c r="O884" i="13" s="1"/>
  <c r="O444" i="13"/>
  <c r="O919" i="13" s="1"/>
  <c r="O336" i="13"/>
  <c r="O347" i="13"/>
  <c r="O1298" i="13" s="1"/>
  <c r="O442" i="13"/>
  <c r="O1393" i="13" s="1"/>
  <c r="O370" i="13"/>
  <c r="O845" i="13" s="1"/>
  <c r="O463" i="13"/>
  <c r="O460" i="13"/>
  <c r="O1411" i="13" s="1"/>
  <c r="O388" i="13"/>
  <c r="O863" i="13" s="1"/>
  <c r="O68" i="13"/>
  <c r="O392" i="13"/>
  <c r="O1343" i="13" s="1"/>
  <c r="O383" i="13"/>
  <c r="O287" i="13"/>
  <c r="O380" i="13"/>
  <c r="O1331" i="13" s="1"/>
  <c r="O329" i="13"/>
  <c r="O804" i="13" s="1"/>
  <c r="O459" i="13"/>
  <c r="O934" i="13" s="1"/>
  <c r="O366" i="13"/>
  <c r="O1317" i="13" s="1"/>
  <c r="O362" i="13"/>
  <c r="O1313" i="13" s="1"/>
  <c r="O456" i="13"/>
  <c r="O1407" i="13" s="1"/>
  <c r="O384" i="13"/>
  <c r="O1335" i="13" s="1"/>
  <c r="O454" i="13"/>
  <c r="O1405" i="13" s="1"/>
  <c r="O475" i="13"/>
  <c r="O1426" i="13" s="1"/>
  <c r="O436" i="13"/>
  <c r="O1387" i="13" s="1"/>
  <c r="O364" i="13"/>
  <c r="O1315" i="13" s="1"/>
  <c r="O327" i="13"/>
  <c r="O1278" i="13" s="1"/>
  <c r="O469" i="13"/>
  <c r="O1420" i="13" s="1"/>
  <c r="O373" i="13"/>
  <c r="O1324" i="13" s="1"/>
  <c r="O363" i="13"/>
  <c r="O293" i="13"/>
  <c r="O470" i="13"/>
  <c r="O1421" i="13" s="1"/>
  <c r="O398" i="13"/>
  <c r="O427" i="13"/>
  <c r="O1378" i="13" s="1"/>
  <c r="O355" i="13"/>
  <c r="O1306" i="13" s="1"/>
  <c r="O356" i="13"/>
  <c r="O66" i="13"/>
  <c r="O325" i="13"/>
  <c r="O1276" i="13" s="1"/>
  <c r="O435" i="13"/>
  <c r="O1386" i="13" s="1"/>
  <c r="O431" i="13"/>
  <c r="O1382" i="13" s="1"/>
  <c r="O441" i="13"/>
  <c r="O1392" i="13" s="1"/>
  <c r="O369" i="13"/>
  <c r="O1320" i="13" s="1"/>
  <c r="O428" i="13"/>
  <c r="O1379" i="13" s="1"/>
  <c r="O413" i="13"/>
  <c r="O1364" i="13" s="1"/>
  <c r="O414" i="13"/>
  <c r="O1365" i="13" s="1"/>
  <c r="O350" i="13"/>
  <c r="O1301" i="13" s="1"/>
  <c r="O457" i="13"/>
  <c r="O1408" i="13" s="1"/>
  <c r="O361" i="13"/>
  <c r="O1312" i="13" s="1"/>
  <c r="O480" i="13"/>
  <c r="O1431" i="13" s="1"/>
  <c r="O408" i="13"/>
  <c r="O372" i="13"/>
  <c r="O1323" i="13" s="1"/>
  <c r="O478" i="13"/>
  <c r="O1429" i="13" s="1"/>
  <c r="O406" i="13"/>
  <c r="O334" i="13"/>
  <c r="O351" i="13"/>
  <c r="O1302" i="13" s="1"/>
  <c r="O387" i="13"/>
  <c r="O1338" i="13" s="1"/>
  <c r="O424" i="13"/>
  <c r="O899" i="13" s="1"/>
  <c r="O352" i="13"/>
  <c r="O1303" i="13" s="1"/>
  <c r="O342" i="13"/>
  <c r="O1293" i="13" s="1"/>
  <c r="O76" i="13"/>
  <c r="O458" i="13"/>
  <c r="O1409" i="13" s="1"/>
  <c r="O422" i="13"/>
  <c r="O897" i="13" s="1"/>
  <c r="O464" i="13"/>
  <c r="O1415" i="13" s="1"/>
  <c r="O452" i="13"/>
  <c r="O1403" i="13" s="1"/>
  <c r="O451" i="13"/>
  <c r="O415" i="13"/>
  <c r="O890" i="13" s="1"/>
  <c r="O379" i="13"/>
  <c r="O854" i="13" s="1"/>
  <c r="O343" i="13"/>
  <c r="O1294" i="13" s="1"/>
  <c r="O843" i="13"/>
  <c r="N302" i="13"/>
  <c r="N1253" i="13" s="1"/>
  <c r="N253" i="13"/>
  <c r="N1204" i="13" s="1"/>
  <c r="L34" i="15"/>
  <c r="M34" i="15" s="1"/>
  <c r="J12" i="8"/>
  <c r="J19" i="8"/>
  <c r="N38" i="8"/>
  <c r="N31" i="8"/>
  <c r="I12" i="8"/>
  <c r="I19" i="8"/>
  <c r="I31" i="8"/>
  <c r="I38" i="8"/>
  <c r="H38" i="8"/>
  <c r="H31" i="8"/>
  <c r="H46" i="7"/>
  <c r="H39" i="8" s="1"/>
  <c r="H12" i="8"/>
  <c r="H19" i="8"/>
  <c r="H21" i="7"/>
  <c r="H20" i="8" s="1"/>
  <c r="M21" i="7"/>
  <c r="M20" i="8" s="1"/>
  <c r="M19" i="8"/>
  <c r="M12" i="8"/>
  <c r="K19" i="8"/>
  <c r="K12" i="8"/>
  <c r="M38" i="8"/>
  <c r="M31" i="8"/>
  <c r="J21" i="7"/>
  <c r="J20" i="8" s="1"/>
  <c r="N46" i="7"/>
  <c r="N39" i="8" s="1"/>
  <c r="I46" i="7"/>
  <c r="I39" i="8" s="1"/>
  <c r="I20" i="8"/>
  <c r="K21" i="7"/>
  <c r="K20" i="8" s="1"/>
  <c r="N19" i="7"/>
  <c r="N1142" i="13"/>
  <c r="N666" i="13"/>
  <c r="N1361" i="13"/>
  <c r="N885" i="13"/>
  <c r="N218" i="13"/>
  <c r="N1384" i="13"/>
  <c r="N908" i="13"/>
  <c r="N277" i="13"/>
  <c r="N1415" i="13"/>
  <c r="N939" i="13"/>
  <c r="N251" i="13"/>
  <c r="N227" i="13"/>
  <c r="N1368" i="13"/>
  <c r="N892" i="13"/>
  <c r="N285" i="13"/>
  <c r="N1400" i="13"/>
  <c r="N924" i="13"/>
  <c r="N1291" i="13"/>
  <c r="N815" i="13"/>
  <c r="N85" i="13"/>
  <c r="N171" i="13"/>
  <c r="N124" i="13"/>
  <c r="N158" i="13"/>
  <c r="N54" i="13"/>
  <c r="N152" i="13"/>
  <c r="N27" i="13"/>
  <c r="N117" i="13"/>
  <c r="N118" i="13"/>
  <c r="N178" i="13"/>
  <c r="N71" i="13"/>
  <c r="N167" i="13"/>
  <c r="N215" i="13"/>
  <c r="N78" i="13"/>
  <c r="N216" i="13"/>
  <c r="N291" i="13"/>
  <c r="N196" i="13"/>
  <c r="N280" i="13"/>
  <c r="N235" i="13"/>
  <c r="N272" i="13"/>
  <c r="N165" i="13"/>
  <c r="N273" i="13"/>
  <c r="N214" i="13"/>
  <c r="N73" i="13"/>
  <c r="N109" i="13"/>
  <c r="N217" i="13"/>
  <c r="N99" i="13"/>
  <c r="N195" i="13"/>
  <c r="N16" i="13"/>
  <c r="N64" i="13"/>
  <c r="N149" i="13"/>
  <c r="N282" i="13"/>
  <c r="N306" i="13"/>
  <c r="N139" i="13"/>
  <c r="N199" i="13"/>
  <c r="N32" i="13"/>
  <c r="N92" i="13"/>
  <c r="N57" i="13"/>
  <c r="N102" i="13"/>
  <c r="N34" i="13"/>
  <c r="N110" i="13"/>
  <c r="N107" i="13"/>
  <c r="N63" i="13"/>
  <c r="N72" i="13"/>
  <c r="N120" i="13"/>
  <c r="N180" i="13"/>
  <c r="N231" i="13"/>
  <c r="N220" i="13"/>
  <c r="N304" i="13"/>
  <c r="N209" i="13"/>
  <c r="N317" i="13"/>
  <c r="N259" i="13"/>
  <c r="N212" i="13"/>
  <c r="N298" i="13"/>
  <c r="N299" i="13"/>
  <c r="N288" i="13"/>
  <c r="N13" i="13"/>
  <c r="N148" i="13"/>
  <c r="N41" i="13"/>
  <c r="N89" i="13"/>
  <c r="N86" i="13"/>
  <c r="N186" i="13"/>
  <c r="N79" i="13"/>
  <c r="N141" i="13"/>
  <c r="N142" i="13"/>
  <c r="N114" i="13"/>
  <c r="N22" i="13"/>
  <c r="N315" i="13"/>
  <c r="N233" i="13"/>
  <c r="N296" i="13"/>
  <c r="N38" i="13"/>
  <c r="N135" i="13"/>
  <c r="N88" i="13"/>
  <c r="N111" i="13"/>
  <c r="N29" i="13"/>
  <c r="N19" i="13"/>
  <c r="N55" i="13"/>
  <c r="N56" i="13"/>
  <c r="N116" i="13"/>
  <c r="N162" i="13"/>
  <c r="N33" i="13"/>
  <c r="N81" i="13"/>
  <c r="N82" i="13"/>
  <c r="N35" i="13"/>
  <c r="N131" i="13"/>
  <c r="N144" i="13"/>
  <c r="N255" i="13"/>
  <c r="N160" i="13"/>
  <c r="N244" i="13"/>
  <c r="N283" i="13"/>
  <c r="N236" i="13"/>
  <c r="N213" i="13"/>
  <c r="N37" i="13"/>
  <c r="N133" i="13"/>
  <c r="N157" i="13"/>
  <c r="N39" i="13"/>
  <c r="N65" i="13"/>
  <c r="N113" i="13"/>
  <c r="N50" i="13"/>
  <c r="N246" i="13"/>
  <c r="N103" i="13"/>
  <c r="N15" i="13"/>
  <c r="N18" i="13"/>
  <c r="N166" i="13"/>
  <c r="N58" i="13"/>
  <c r="N11" i="13"/>
  <c r="N486" i="13" s="1"/>
  <c r="N36" i="13"/>
  <c r="N84" i="13"/>
  <c r="N257" i="13"/>
  <c r="N307" i="13"/>
  <c r="N181" i="13"/>
  <c r="N112" i="13"/>
  <c r="N75" i="13"/>
  <c r="N187" i="13"/>
  <c r="N140" i="13"/>
  <c r="N134" i="13"/>
  <c r="N105" i="13"/>
  <c r="N210" i="13"/>
  <c r="N106" i="13"/>
  <c r="N202" i="13"/>
  <c r="N30" i="13"/>
  <c r="N59" i="13"/>
  <c r="N155" i="13"/>
  <c r="N203" i="13"/>
  <c r="N122" i="13"/>
  <c r="N24" i="13"/>
  <c r="N168" i="13"/>
  <c r="N204" i="13"/>
  <c r="N279" i="13"/>
  <c r="N268" i="13"/>
  <c r="N176" i="13"/>
  <c r="N260" i="13"/>
  <c r="N237" i="13"/>
  <c r="N261" i="13"/>
  <c r="N61" i="13"/>
  <c r="N97" i="13"/>
  <c r="N205" i="13"/>
  <c r="N183" i="13"/>
  <c r="N52" i="13"/>
  <c r="N136" i="13"/>
  <c r="N137" i="13"/>
  <c r="N173" i="13"/>
  <c r="N258" i="13"/>
  <c r="N294" i="13"/>
  <c r="N127" i="13"/>
  <c r="N174" i="13"/>
  <c r="N45" i="13"/>
  <c r="N26" i="13"/>
  <c r="N198" i="13"/>
  <c r="N95" i="13"/>
  <c r="N150" i="13"/>
  <c r="N60" i="13"/>
  <c r="N108" i="13"/>
  <c r="N219" i="13"/>
  <c r="N292" i="13"/>
  <c r="N281" i="13"/>
  <c r="N223" i="13"/>
  <c r="N247" i="13"/>
  <c r="N200" i="13"/>
  <c r="N177" i="13"/>
  <c r="N159" i="13"/>
  <c r="N77" i="13"/>
  <c r="N138" i="13"/>
  <c r="N163" i="13"/>
  <c r="N80" i="13"/>
  <c r="N129" i="13"/>
  <c r="N130" i="13"/>
  <c r="N190" i="13"/>
  <c r="N179" i="13"/>
  <c r="N228" i="13"/>
  <c r="N303" i="13"/>
  <c r="N208" i="13"/>
  <c r="N305" i="13"/>
  <c r="N284" i="13"/>
  <c r="N121" i="13"/>
  <c r="N28" i="13"/>
  <c r="N87" i="13"/>
  <c r="N17" i="13"/>
  <c r="N318" i="13"/>
  <c r="N43" i="13"/>
  <c r="N151" i="13"/>
  <c r="N44" i="13"/>
  <c r="N104" i="13"/>
  <c r="N21" i="13"/>
  <c r="N70" i="13"/>
  <c r="N119" i="13"/>
  <c r="N132" i="13"/>
  <c r="N243" i="13"/>
  <c r="N232" i="13"/>
  <c r="N316" i="13"/>
  <c r="N271" i="13"/>
  <c r="N224" i="13"/>
  <c r="N201" i="13"/>
  <c r="N310" i="13"/>
  <c r="N311" i="13"/>
  <c r="N300" i="13"/>
  <c r="N49" i="13"/>
  <c r="N193" i="13"/>
  <c r="N40" i="13"/>
  <c r="N62" i="13"/>
  <c r="N125" i="13"/>
  <c r="N185" i="13"/>
  <c r="N222" i="13"/>
  <c r="N270" i="13"/>
  <c r="N67" i="13"/>
  <c r="N115" i="13"/>
  <c r="N175" i="13"/>
  <c r="N23" i="13"/>
  <c r="N83" i="13"/>
  <c r="N48" i="13"/>
  <c r="N96" i="13"/>
  <c r="N192" i="13"/>
  <c r="N207" i="13"/>
  <c r="N172" i="13"/>
  <c r="N269" i="13"/>
  <c r="N211" i="13"/>
  <c r="N1378" i="13"/>
  <c r="N902" i="13"/>
  <c r="N1318" i="13"/>
  <c r="N842" i="13"/>
  <c r="N295" i="13"/>
  <c r="N184" i="13"/>
  <c r="N1410" i="13"/>
  <c r="N934" i="13"/>
  <c r="N14" i="13"/>
  <c r="N46" i="13"/>
  <c r="N234" i="13"/>
  <c r="N100" i="13"/>
  <c r="N146" i="13"/>
  <c r="N145" i="13"/>
  <c r="N10" i="13"/>
  <c r="N1397" i="13"/>
  <c r="N921" i="13"/>
  <c r="N254" i="13"/>
  <c r="O1383" i="13"/>
  <c r="O907" i="13"/>
  <c r="N1359" i="13"/>
  <c r="N883" i="13"/>
  <c r="N1358" i="13"/>
  <c r="N882" i="13"/>
  <c r="N323" i="13"/>
  <c r="N221" i="13"/>
  <c r="N1345" i="13"/>
  <c r="N869" i="13"/>
  <c r="N1284" i="13"/>
  <c r="N808" i="13"/>
  <c r="N188" i="13"/>
  <c r="N267" i="13"/>
  <c r="N74" i="13"/>
  <c r="N91" i="13"/>
  <c r="N1287" i="13"/>
  <c r="N811" i="13"/>
  <c r="N1191" i="13"/>
  <c r="N715" i="13"/>
  <c r="N1177" i="13"/>
  <c r="N701" i="13"/>
  <c r="F217" i="12"/>
  <c r="O1398" i="13"/>
  <c r="O922" i="13"/>
  <c r="N1313" i="13"/>
  <c r="N837" i="13"/>
  <c r="N1288" i="13"/>
  <c r="N812" i="13"/>
  <c r="N1383" i="13"/>
  <c r="N907" i="13"/>
  <c r="N1406" i="13"/>
  <c r="N930" i="13"/>
  <c r="N1382" i="13"/>
  <c r="N906" i="13"/>
  <c r="N250" i="13"/>
  <c r="N308" i="13"/>
  <c r="N69" i="13"/>
  <c r="N42" i="13"/>
  <c r="N1421" i="13"/>
  <c r="N945" i="13"/>
  <c r="N1373" i="13"/>
  <c r="N897" i="13"/>
  <c r="N313" i="13"/>
  <c r="N1407" i="13"/>
  <c r="N931" i="13"/>
  <c r="N1302" i="13"/>
  <c r="N826" i="13"/>
  <c r="N1405" i="13"/>
  <c r="N929" i="13"/>
  <c r="O1285" i="13"/>
  <c r="O809" i="13"/>
  <c r="N274" i="13"/>
  <c r="N1428" i="13"/>
  <c r="N952" i="13"/>
  <c r="N1316" i="13"/>
  <c r="N840" i="13"/>
  <c r="N51" i="13"/>
  <c r="N154" i="13"/>
  <c r="N31" i="13"/>
  <c r="N123" i="13"/>
  <c r="N1355" i="13"/>
  <c r="N879" i="13"/>
  <c r="L33" i="15"/>
  <c r="K39" i="15"/>
  <c r="N1260" i="13"/>
  <c r="N1351" i="13"/>
  <c r="N875" i="13"/>
  <c r="N230" i="13"/>
  <c r="N1427" i="13"/>
  <c r="N951" i="13"/>
  <c r="N1289" i="13"/>
  <c r="N813" i="13"/>
  <c r="N314" i="13"/>
  <c r="N206" i="13"/>
  <c r="O1292" i="13"/>
  <c r="O816" i="13"/>
  <c r="N265" i="13"/>
  <c r="N1431" i="13"/>
  <c r="N955" i="13"/>
  <c r="N1298" i="13"/>
  <c r="N822" i="13"/>
  <c r="N239" i="13"/>
  <c r="N1309" i="13"/>
  <c r="N833" i="13"/>
  <c r="N1404" i="13"/>
  <c r="N928" i="13"/>
  <c r="N1356" i="13"/>
  <c r="N880" i="13"/>
  <c r="N1308" i="13"/>
  <c r="N832" i="13"/>
  <c r="N297" i="13"/>
  <c r="N20" i="13"/>
  <c r="N161" i="13"/>
  <c r="N1335" i="13"/>
  <c r="N859" i="13"/>
  <c r="N241" i="13"/>
  <c r="N1323" i="13"/>
  <c r="N847" i="13"/>
  <c r="N276" i="13"/>
  <c r="N263" i="13"/>
  <c r="N319" i="13"/>
  <c r="N252" i="13"/>
  <c r="N94" i="13"/>
  <c r="N126" i="13"/>
  <c r="N1401" i="13"/>
  <c r="N925" i="13"/>
  <c r="N25" i="13"/>
  <c r="N1409" i="13"/>
  <c r="N933" i="13"/>
  <c r="N290" i="13"/>
  <c r="N266" i="13"/>
  <c r="N1343" i="13"/>
  <c r="N867" i="13"/>
  <c r="N1347" i="13"/>
  <c r="N871" i="13"/>
  <c r="N1275" i="13"/>
  <c r="N799" i="13"/>
  <c r="N1429" i="13"/>
  <c r="N953" i="13"/>
  <c r="N322" i="13"/>
  <c r="N321" i="13"/>
  <c r="N189" i="13"/>
  <c r="N1283" i="13"/>
  <c r="N807" i="13"/>
  <c r="N153" i="13"/>
  <c r="N128" i="13"/>
  <c r="N53" i="13"/>
  <c r="N169" i="13"/>
  <c r="N1292" i="13"/>
  <c r="N816" i="13"/>
  <c r="N1325" i="13"/>
  <c r="N849" i="13"/>
  <c r="N1300" i="13"/>
  <c r="N824" i="13"/>
  <c r="N1371" i="13"/>
  <c r="N895" i="13"/>
  <c r="N1370" i="13"/>
  <c r="N894" i="13"/>
  <c r="N1393" i="13"/>
  <c r="N917" i="13"/>
  <c r="N1297" i="13"/>
  <c r="N821" i="13"/>
  <c r="N238" i="13"/>
  <c r="N225" i="13"/>
  <c r="N164" i="13"/>
  <c r="N98" i="13"/>
  <c r="N101" i="13"/>
  <c r="N1417" i="13"/>
  <c r="N941" i="13"/>
  <c r="N1278" i="13"/>
  <c r="N802" i="13"/>
  <c r="N1317" i="13"/>
  <c r="N841" i="13"/>
  <c r="N1337" i="13"/>
  <c r="N861" i="13"/>
  <c r="N1312" i="13"/>
  <c r="N836" i="13"/>
  <c r="N1385" i="13"/>
  <c r="N909" i="13"/>
  <c r="N242" i="13"/>
  <c r="N170" i="13"/>
  <c r="N1276" i="13"/>
  <c r="N800" i="13"/>
  <c r="N1395" i="13"/>
  <c r="N919" i="13"/>
  <c r="N1394" i="13"/>
  <c r="N918" i="13"/>
  <c r="N1286" i="13"/>
  <c r="N810" i="13"/>
  <c r="N248" i="13"/>
  <c r="N1294" i="13"/>
  <c r="N818" i="13"/>
  <c r="N245" i="13"/>
  <c r="N256" i="13"/>
  <c r="N47" i="13"/>
  <c r="N93" i="13"/>
  <c r="N197" i="13"/>
  <c r="N1311" i="13"/>
  <c r="N835" i="13"/>
  <c r="N1326" i="13"/>
  <c r="N850" i="13"/>
  <c r="N1229" i="13"/>
  <c r="N753" i="13"/>
  <c r="N182" i="13"/>
  <c r="N1301" i="13"/>
  <c r="N825" i="13"/>
  <c r="N1277" i="13"/>
  <c r="N801" i="13"/>
  <c r="N194" i="13"/>
  <c r="O1384" i="13"/>
  <c r="O908" i="13"/>
  <c r="N301" i="13"/>
  <c r="N1419" i="13"/>
  <c r="N943" i="13"/>
  <c r="N1357" i="13"/>
  <c r="N881" i="13"/>
  <c r="N286" i="13"/>
  <c r="N262" i="13"/>
  <c r="N1416" i="13"/>
  <c r="N940" i="13"/>
  <c r="N1296" i="13"/>
  <c r="N820" i="13"/>
  <c r="N320" i="13"/>
  <c r="O1367" i="13"/>
  <c r="O891" i="13"/>
  <c r="N12" i="13"/>
  <c r="N143" i="13"/>
  <c r="N90" i="13"/>
  <c r="N147" i="13"/>
  <c r="N1376" i="13"/>
  <c r="N900" i="13"/>
  <c r="N1375" i="13"/>
  <c r="N899" i="13"/>
  <c r="O1291" i="13"/>
  <c r="O815" i="13"/>
  <c r="N1386" i="13"/>
  <c r="N910" i="13"/>
  <c r="N1341" i="13"/>
  <c r="N865" i="13"/>
  <c r="N1430" i="13"/>
  <c r="N954" i="13"/>
  <c r="N1403" i="13"/>
  <c r="N927" i="13"/>
  <c r="N1369" i="13"/>
  <c r="N893" i="13"/>
  <c r="O1404" i="13"/>
  <c r="O928" i="13"/>
  <c r="N1344" i="13"/>
  <c r="N868" i="13"/>
  <c r="F46" i="12"/>
  <c r="F409" i="12" s="1"/>
  <c r="F442" i="12" s="1"/>
  <c r="F45" i="12"/>
  <c r="F44" i="12"/>
  <c r="F43" i="12"/>
  <c r="F397" i="12" s="1"/>
  <c r="F430" i="12" s="1"/>
  <c r="F42" i="12"/>
  <c r="N1354" i="13"/>
  <c r="N878" i="13"/>
  <c r="N1340" i="13"/>
  <c r="N864" i="13"/>
  <c r="N1280" i="13"/>
  <c r="N804" i="13"/>
  <c r="N1411" i="13"/>
  <c r="N935" i="13"/>
  <c r="N1350" i="13"/>
  <c r="N874" i="13"/>
  <c r="N1293" i="13"/>
  <c r="N817" i="13"/>
  <c r="N1377" i="13"/>
  <c r="N901" i="13"/>
  <c r="F53" i="12"/>
  <c r="F494" i="12" s="1"/>
  <c r="F527" i="12" s="1"/>
  <c r="F52" i="12"/>
  <c r="F516" i="12" s="1"/>
  <c r="F549" i="12" s="1"/>
  <c r="F51" i="12"/>
  <c r="F50" i="12"/>
  <c r="F508" i="12" s="1"/>
  <c r="F541" i="12" s="1"/>
  <c r="F54" i="12"/>
  <c r="F500" i="12" s="1"/>
  <c r="F533" i="12" s="1"/>
  <c r="F49" i="12"/>
  <c r="O1295" i="13"/>
  <c r="O819" i="13"/>
  <c r="N1424" i="13"/>
  <c r="N948" i="13"/>
  <c r="N1327" i="13"/>
  <c r="N851" i="13"/>
  <c r="N1320" i="13"/>
  <c r="N844" i="13"/>
  <c r="N1295" i="13"/>
  <c r="N819" i="13"/>
  <c r="O1390" i="13"/>
  <c r="O914" i="13"/>
  <c r="N1330" i="13"/>
  <c r="N854" i="13"/>
  <c r="N1364" i="13"/>
  <c r="N888" i="13"/>
  <c r="N1387" i="13"/>
  <c r="N911" i="13"/>
  <c r="K41" i="15"/>
  <c r="L35" i="15"/>
  <c r="N1374" i="13"/>
  <c r="N898" i="13"/>
  <c r="N1322" i="13"/>
  <c r="N846" i="13"/>
  <c r="N1333" i="13"/>
  <c r="N857" i="13"/>
  <c r="N1380" i="13"/>
  <c r="N904" i="13"/>
  <c r="N1319" i="13"/>
  <c r="N843" i="13"/>
  <c r="N1390" i="13"/>
  <c r="N914" i="13"/>
  <c r="O1388" i="13"/>
  <c r="O912" i="13"/>
  <c r="N1304" i="13"/>
  <c r="N828" i="13"/>
  <c r="N1303" i="13"/>
  <c r="N827" i="13"/>
  <c r="N1413" i="13"/>
  <c r="N937" i="13"/>
  <c r="N1306" i="13"/>
  <c r="N830" i="13"/>
  <c r="N1388" i="13"/>
  <c r="N912" i="13"/>
  <c r="N1363" i="13"/>
  <c r="N887" i="13"/>
  <c r="N1398" i="13"/>
  <c r="N922" i="13"/>
  <c r="N1290" i="13"/>
  <c r="N814" i="13"/>
  <c r="N1329" i="13"/>
  <c r="N853" i="13"/>
  <c r="N1366" i="13"/>
  <c r="N890" i="13"/>
  <c r="N1282" i="13"/>
  <c r="N806" i="13"/>
  <c r="N1328" i="13"/>
  <c r="N852" i="13"/>
  <c r="N1423" i="13"/>
  <c r="N947" i="13"/>
  <c r="N1279" i="13"/>
  <c r="N803" i="13"/>
  <c r="N1338" i="13"/>
  <c r="N862" i="13"/>
  <c r="N1389" i="13"/>
  <c r="N913" i="13"/>
  <c r="N1281" i="13"/>
  <c r="N805" i="13"/>
  <c r="N1391" i="13"/>
  <c r="N915" i="13"/>
  <c r="N1426" i="13"/>
  <c r="N950" i="13"/>
  <c r="N1412" i="13"/>
  <c r="N936" i="13"/>
  <c r="O1352" i="13"/>
  <c r="O876" i="13"/>
  <c r="N1339" i="13"/>
  <c r="N863" i="13"/>
  <c r="N1422" i="13"/>
  <c r="N946" i="13"/>
  <c r="N1305" i="13"/>
  <c r="N829" i="13"/>
  <c r="N1299" i="13"/>
  <c r="N823" i="13"/>
  <c r="N1418" i="13"/>
  <c r="N942" i="13"/>
  <c r="N1381" i="13"/>
  <c r="N905" i="13"/>
  <c r="N1332" i="13"/>
  <c r="N856" i="13"/>
  <c r="N1342" i="13"/>
  <c r="N866" i="13"/>
  <c r="N1352" i="13"/>
  <c r="N876" i="13"/>
  <c r="N1399" i="13"/>
  <c r="N923" i="13"/>
  <c r="N1362" i="13"/>
  <c r="N886" i="13"/>
  <c r="N1365" i="13"/>
  <c r="N889" i="13"/>
  <c r="N1334" i="13"/>
  <c r="N858" i="13"/>
  <c r="N1331" i="13"/>
  <c r="N855" i="13"/>
  <c r="N1321" i="13"/>
  <c r="N845" i="13"/>
  <c r="N1392" i="13"/>
  <c r="N916" i="13"/>
  <c r="N1402" i="13"/>
  <c r="N926" i="13"/>
  <c r="N1315" i="13"/>
  <c r="N839" i="13"/>
  <c r="N1425" i="13"/>
  <c r="N949" i="13"/>
  <c r="M47" i="7"/>
  <c r="N2" i="13"/>
  <c r="F429" i="12" l="1"/>
  <c r="F523" i="12"/>
  <c r="F384" i="12"/>
  <c r="M104" i="14"/>
  <c r="K104" i="14"/>
  <c r="J104" i="14"/>
  <c r="M107" i="14"/>
  <c r="L107" i="14"/>
  <c r="L104" i="14"/>
  <c r="N107" i="14"/>
  <c r="N104" i="14"/>
  <c r="K107" i="14"/>
  <c r="J107" i="14"/>
  <c r="L103" i="14"/>
  <c r="N103" i="14"/>
  <c r="K103" i="14"/>
  <c r="J103" i="14"/>
  <c r="I103" i="14"/>
  <c r="F327" i="12"/>
  <c r="F464" i="12" s="1"/>
  <c r="K106" i="14"/>
  <c r="L106" i="14"/>
  <c r="I106" i="14"/>
  <c r="M106" i="14"/>
  <c r="N106" i="14"/>
  <c r="J106" i="14"/>
  <c r="N102" i="14"/>
  <c r="M102" i="14"/>
  <c r="L102" i="14"/>
  <c r="K102" i="14"/>
  <c r="J102" i="14"/>
  <c r="I102" i="14"/>
  <c r="F109" i="14"/>
  <c r="J108" i="14"/>
  <c r="N108" i="14"/>
  <c r="I108" i="14"/>
  <c r="K108" i="14"/>
  <c r="M108" i="14"/>
  <c r="L108" i="14"/>
  <c r="O1418" i="13"/>
  <c r="O1410" i="13"/>
  <c r="N1263" i="13"/>
  <c r="O1339" i="13"/>
  <c r="O920" i="13"/>
  <c r="O851" i="13"/>
  <c r="O839" i="13"/>
  <c r="O1337" i="13"/>
  <c r="O818" i="13"/>
  <c r="O813" i="13"/>
  <c r="O1423" i="13"/>
  <c r="O950" i="13"/>
  <c r="N1215" i="13"/>
  <c r="O945" i="13"/>
  <c r="O1316" i="13"/>
  <c r="L47" i="7"/>
  <c r="F331" i="12"/>
  <c r="F341" i="12"/>
  <c r="O1406" i="13"/>
  <c r="O953" i="13"/>
  <c r="O910" i="13"/>
  <c r="O1296" i="13"/>
  <c r="O869" i="13"/>
  <c r="F337" i="12"/>
  <c r="L22" i="7"/>
  <c r="O865" i="13"/>
  <c r="O826" i="13"/>
  <c r="O941" i="13"/>
  <c r="O844" i="13"/>
  <c r="O949" i="13"/>
  <c r="O951" i="13"/>
  <c r="O1366" i="13"/>
  <c r="O822" i="13"/>
  <c r="O943" i="13"/>
  <c r="N728" i="13"/>
  <c r="O917" i="13"/>
  <c r="O841" i="13"/>
  <c r="O1370" i="13"/>
  <c r="O871" i="13"/>
  <c r="O905" i="13"/>
  <c r="O1355" i="13"/>
  <c r="O849" i="13"/>
  <c r="O1363" i="13"/>
  <c r="O1380" i="13"/>
  <c r="O1424" i="13"/>
  <c r="O1358" i="13"/>
  <c r="O875" i="13"/>
  <c r="O1286" i="13"/>
  <c r="O889" i="13"/>
  <c r="O1397" i="13"/>
  <c r="O1372" i="13"/>
  <c r="O837" i="13"/>
  <c r="O931" i="13"/>
  <c r="O1348" i="13"/>
  <c r="O842" i="13"/>
  <c r="O803" i="13"/>
  <c r="N777" i="13"/>
  <c r="O878" i="13"/>
  <c r="O1356" i="13"/>
  <c r="O1330" i="13"/>
  <c r="O824" i="13"/>
  <c r="O913" i="13"/>
  <c r="O1321" i="13"/>
  <c r="O885" i="13"/>
  <c r="O846" i="13"/>
  <c r="O1373" i="13"/>
  <c r="O1374" i="13"/>
  <c r="O939" i="13"/>
  <c r="D14" i="18"/>
  <c r="I65" i="15"/>
  <c r="I67" i="15" s="1"/>
  <c r="I75" i="15" s="1"/>
  <c r="J47" i="7"/>
  <c r="L70" i="15"/>
  <c r="L72" i="15" s="1"/>
  <c r="L76" i="15" s="1"/>
  <c r="K70" i="15"/>
  <c r="K72" i="15" s="1"/>
  <c r="K76" i="15" s="1"/>
  <c r="O1238" i="13" s="1"/>
  <c r="N65" i="15"/>
  <c r="N67" i="15" s="1"/>
  <c r="N75" i="15" s="1"/>
  <c r="I70" i="15"/>
  <c r="I72" i="15" s="1"/>
  <c r="I76" i="15" s="1"/>
  <c r="M65" i="15"/>
  <c r="M67" i="15" s="1"/>
  <c r="M75" i="15" s="1"/>
  <c r="M70" i="15"/>
  <c r="M72" i="15" s="1"/>
  <c r="M76" i="15" s="1"/>
  <c r="N47" i="7"/>
  <c r="L65" i="15"/>
  <c r="L67" i="15" s="1"/>
  <c r="L75" i="15" s="1"/>
  <c r="I47" i="7"/>
  <c r="J70" i="15"/>
  <c r="J72" i="15" s="1"/>
  <c r="J76" i="15" s="1"/>
  <c r="N70" i="15"/>
  <c r="N72" i="15" s="1"/>
  <c r="N76" i="15" s="1"/>
  <c r="J65" i="15"/>
  <c r="J67" i="15" s="1"/>
  <c r="J75" i="15" s="1"/>
  <c r="N485" i="13" s="1"/>
  <c r="K65" i="15"/>
  <c r="K67" i="15" s="1"/>
  <c r="K75" i="15" s="1"/>
  <c r="O1402" i="13"/>
  <c r="O926" i="13"/>
  <c r="O881" i="13"/>
  <c r="O1357" i="13"/>
  <c r="O1287" i="13"/>
  <c r="O811" i="13"/>
  <c r="O1336" i="13"/>
  <c r="O860" i="13"/>
  <c r="O1394" i="13"/>
  <c r="O918" i="13"/>
  <c r="O1305" i="13"/>
  <c r="O829" i="13"/>
  <c r="O916" i="13"/>
  <c r="N750" i="13"/>
  <c r="O1369" i="13"/>
  <c r="O893" i="13"/>
  <c r="O1326" i="13"/>
  <c r="O850" i="13"/>
  <c r="O1311" i="13"/>
  <c r="O835" i="13"/>
  <c r="O1275" i="13"/>
  <c r="O799" i="13"/>
  <c r="O1385" i="13"/>
  <c r="O909" i="13"/>
  <c r="O1371" i="13"/>
  <c r="O895" i="13"/>
  <c r="O1290" i="13"/>
  <c r="O814" i="13"/>
  <c r="O1304" i="13"/>
  <c r="O828" i="13"/>
  <c r="O855" i="13"/>
  <c r="O1395" i="13"/>
  <c r="O886" i="13"/>
  <c r="O1359" i="13"/>
  <c r="O883" i="13"/>
  <c r="O1334" i="13"/>
  <c r="O858" i="13"/>
  <c r="O1377" i="13"/>
  <c r="O901" i="13"/>
  <c r="O1399" i="13"/>
  <c r="O923" i="13"/>
  <c r="O1283" i="13"/>
  <c r="O807" i="13"/>
  <c r="O1309" i="13"/>
  <c r="O833" i="13"/>
  <c r="O853" i="13"/>
  <c r="O1360" i="13"/>
  <c r="O800" i="13"/>
  <c r="O848" i="13"/>
  <c r="O856" i="13"/>
  <c r="O944" i="13"/>
  <c r="O1391" i="13"/>
  <c r="O915" i="13"/>
  <c r="O1416" i="13"/>
  <c r="O940" i="13"/>
  <c r="O1412" i="13"/>
  <c r="O936" i="13"/>
  <c r="N1200" i="13"/>
  <c r="N724" i="13"/>
  <c r="N704" i="13"/>
  <c r="O847" i="13"/>
  <c r="O802" i="13"/>
  <c r="M32" i="15"/>
  <c r="M38" i="15" s="1"/>
  <c r="O874" i="13"/>
  <c r="O900" i="13"/>
  <c r="O906" i="13"/>
  <c r="O801" i="13"/>
  <c r="O1333" i="13"/>
  <c r="O946" i="13"/>
  <c r="O812" i="13"/>
  <c r="O832" i="13"/>
  <c r="O868" i="13"/>
  <c r="N631" i="13"/>
  <c r="O830" i="13"/>
  <c r="O954" i="13"/>
  <c r="O937" i="13"/>
  <c r="O806" i="13"/>
  <c r="O892" i="13"/>
  <c r="O864" i="13"/>
  <c r="O1375" i="13"/>
  <c r="O821" i="13"/>
  <c r="O933" i="13"/>
  <c r="O827" i="13"/>
  <c r="O911" i="13"/>
  <c r="O867" i="13"/>
  <c r="O955" i="13"/>
  <c r="O929" i="13"/>
  <c r="O932" i="13"/>
  <c r="O808" i="13"/>
  <c r="O888" i="13"/>
  <c r="O817" i="13"/>
  <c r="O902" i="13"/>
  <c r="O823" i="13"/>
  <c r="O952" i="13"/>
  <c r="O935" i="13"/>
  <c r="O852" i="13"/>
  <c r="O862" i="13"/>
  <c r="O859" i="13"/>
  <c r="O866" i="13"/>
  <c r="O924" i="13"/>
  <c r="O836" i="13"/>
  <c r="O903" i="13"/>
  <c r="O925" i="13"/>
  <c r="O805" i="13"/>
  <c r="L40" i="15"/>
  <c r="O825" i="13"/>
  <c r="O927" i="13"/>
  <c r="O1280" i="13"/>
  <c r="N21" i="7"/>
  <c r="N20" i="8" s="1"/>
  <c r="N19" i="8"/>
  <c r="N12" i="8"/>
  <c r="J22" i="7"/>
  <c r="M22" i="7"/>
  <c r="H47" i="7"/>
  <c r="K22" i="7"/>
  <c r="I22" i="7"/>
  <c r="H22" i="7"/>
  <c r="N983" i="13"/>
  <c r="N507" i="13"/>
  <c r="F497" i="12"/>
  <c r="F530" i="12" s="1"/>
  <c r="F496" i="12"/>
  <c r="F529" i="12" s="1"/>
  <c r="F385" i="12"/>
  <c r="F418" i="12" s="1"/>
  <c r="F411" i="12"/>
  <c r="F444" i="12" s="1"/>
  <c r="F407" i="12"/>
  <c r="F440" i="12" s="1"/>
  <c r="F413" i="12"/>
  <c r="F446" i="12" s="1"/>
  <c r="F406" i="12"/>
  <c r="F439" i="12" s="1"/>
  <c r="F399" i="12"/>
  <c r="F432" i="12" s="1"/>
  <c r="F395" i="12"/>
  <c r="F428" i="12" s="1"/>
  <c r="F392" i="12"/>
  <c r="F425" i="12" s="1"/>
  <c r="M40" i="15"/>
  <c r="N34" i="15"/>
  <c r="N40" i="15" s="1"/>
  <c r="N1145" i="13"/>
  <c r="N669" i="13"/>
  <c r="N1133" i="13"/>
  <c r="N657" i="13"/>
  <c r="N1203" i="13"/>
  <c r="N727" i="13"/>
  <c r="N1227" i="13"/>
  <c r="N751" i="13"/>
  <c r="N1265" i="13"/>
  <c r="N789" i="13"/>
  <c r="N1181" i="13"/>
  <c r="N705" i="13"/>
  <c r="N1201" i="13"/>
  <c r="N725" i="13"/>
  <c r="N1042" i="13"/>
  <c r="N566" i="13"/>
  <c r="N1205" i="13"/>
  <c r="N729" i="13"/>
  <c r="N489" i="13"/>
  <c r="N965" i="13"/>
  <c r="N1018" i="13"/>
  <c r="N542" i="13"/>
  <c r="N1152" i="13"/>
  <c r="N676" i="13"/>
  <c r="N1102" i="13"/>
  <c r="N626" i="13"/>
  <c r="N1130" i="13"/>
  <c r="N654" i="13"/>
  <c r="N1174" i="13"/>
  <c r="N698" i="13"/>
  <c r="N1078" i="13"/>
  <c r="N602" i="13"/>
  <c r="N1188" i="13"/>
  <c r="N712" i="13"/>
  <c r="N981" i="13"/>
  <c r="N505" i="13"/>
  <c r="N1208" i="13"/>
  <c r="N732" i="13"/>
  <c r="N1016" i="13"/>
  <c r="N540" i="13"/>
  <c r="N1082" i="13"/>
  <c r="N606" i="13"/>
  <c r="N563" i="13"/>
  <c r="N1039" i="13"/>
  <c r="N1037" i="13"/>
  <c r="N561" i="13"/>
  <c r="N1255" i="13"/>
  <c r="N779" i="13"/>
  <c r="N1043" i="13"/>
  <c r="N567" i="13"/>
  <c r="N1060" i="13"/>
  <c r="N584" i="13"/>
  <c r="N1166" i="13"/>
  <c r="N690" i="13"/>
  <c r="N1036" i="13"/>
  <c r="N560" i="13"/>
  <c r="N1202" i="13"/>
  <c r="N726" i="13"/>
  <c r="N1169" i="13"/>
  <c r="N693" i="13"/>
  <c r="N1175" i="13"/>
  <c r="N699" i="13"/>
  <c r="N1211" i="13"/>
  <c r="N735" i="13"/>
  <c r="N1115" i="13"/>
  <c r="N639" i="13"/>
  <c r="M33" i="15"/>
  <c r="L39" i="15"/>
  <c r="N1218" i="13"/>
  <c r="N742" i="13"/>
  <c r="N1222" i="13"/>
  <c r="N746" i="13"/>
  <c r="N1127" i="13"/>
  <c r="N651" i="13"/>
  <c r="N987" i="13"/>
  <c r="N511" i="13"/>
  <c r="N1033" i="13"/>
  <c r="N557" i="13"/>
  <c r="N1182" i="13"/>
  <c r="N706" i="13"/>
  <c r="F517" i="12"/>
  <c r="F550" i="12" s="1"/>
  <c r="F511" i="12"/>
  <c r="F544" i="12" s="1"/>
  <c r="F510" i="12"/>
  <c r="F543" i="12" s="1"/>
  <c r="N1176" i="13"/>
  <c r="N700" i="13"/>
  <c r="N1139" i="13"/>
  <c r="N663" i="13"/>
  <c r="N1135" i="13"/>
  <c r="N659" i="13"/>
  <c r="N1123" i="13"/>
  <c r="N647" i="13"/>
  <c r="N1136" i="13"/>
  <c r="N660" i="13"/>
  <c r="N1267" i="13"/>
  <c r="N791" i="13"/>
  <c r="N968" i="13"/>
  <c r="N492" i="13"/>
  <c r="N1080" i="13"/>
  <c r="N604" i="13"/>
  <c r="N1124" i="13"/>
  <c r="N648" i="13"/>
  <c r="N1219" i="13"/>
  <c r="N743" i="13"/>
  <c r="N1161" i="13"/>
  <c r="N685" i="13"/>
  <c r="N962" i="13"/>
  <c r="N1084" i="13"/>
  <c r="N608" i="13"/>
  <c r="N1032" i="13"/>
  <c r="N556" i="13"/>
  <c r="N1247" i="13"/>
  <c r="N771" i="13"/>
  <c r="N1099" i="13"/>
  <c r="N623" i="13"/>
  <c r="N1131" i="13"/>
  <c r="N655" i="13"/>
  <c r="N1090" i="13"/>
  <c r="N614" i="13"/>
  <c r="N1224" i="13"/>
  <c r="N748" i="13"/>
  <c r="N1129" i="13"/>
  <c r="N653" i="13"/>
  <c r="N1118" i="13"/>
  <c r="N642" i="13"/>
  <c r="L41" i="15"/>
  <c r="M35" i="15"/>
  <c r="N1121" i="13"/>
  <c r="N645" i="13"/>
  <c r="N1189" i="13"/>
  <c r="N713" i="13"/>
  <c r="N1120" i="13"/>
  <c r="N644" i="13"/>
  <c r="N1112" i="13"/>
  <c r="N636" i="13"/>
  <c r="N1158" i="13"/>
  <c r="N682" i="13"/>
  <c r="N1076" i="13"/>
  <c r="N600" i="13"/>
  <c r="N1183" i="13"/>
  <c r="N707" i="13"/>
  <c r="N1038" i="13"/>
  <c r="N562" i="13"/>
  <c r="N1031" i="13"/>
  <c r="N555" i="13"/>
  <c r="N1059" i="13"/>
  <c r="N583" i="13"/>
  <c r="N1088" i="13"/>
  <c r="N612" i="13"/>
  <c r="N1230" i="13"/>
  <c r="N754" i="13"/>
  <c r="N1056" i="13"/>
  <c r="N580" i="13"/>
  <c r="N1009" i="13"/>
  <c r="N533" i="13"/>
  <c r="N988" i="13"/>
  <c r="N512" i="13"/>
  <c r="N984" i="13"/>
  <c r="N508" i="13"/>
  <c r="N1184" i="13"/>
  <c r="N708" i="13"/>
  <c r="N964" i="13"/>
  <c r="N488" i="13"/>
  <c r="N1071" i="13"/>
  <c r="N595" i="13"/>
  <c r="N1257" i="13"/>
  <c r="N781" i="13"/>
  <c r="N1116" i="13"/>
  <c r="N640" i="13"/>
  <c r="N1069" i="13"/>
  <c r="N593" i="13"/>
  <c r="N1171" i="13"/>
  <c r="N695" i="13"/>
  <c r="N1199" i="13"/>
  <c r="N723" i="13"/>
  <c r="N1220" i="13"/>
  <c r="N744" i="13"/>
  <c r="N1213" i="13"/>
  <c r="N737" i="13"/>
  <c r="N1148" i="13"/>
  <c r="N672" i="13"/>
  <c r="N1193" i="13"/>
  <c r="N717" i="13"/>
  <c r="N1074" i="13"/>
  <c r="N598" i="13"/>
  <c r="N1225" i="13"/>
  <c r="N749" i="13"/>
  <c r="N1143" i="13"/>
  <c r="N667" i="13"/>
  <c r="N537" i="13"/>
  <c r="N1013" i="13"/>
  <c r="N1194" i="13"/>
  <c r="N718" i="13"/>
  <c r="N503" i="13"/>
  <c r="N979" i="13"/>
  <c r="N1114" i="13"/>
  <c r="N638" i="13"/>
  <c r="N1011" i="13"/>
  <c r="N535" i="13"/>
  <c r="N1087" i="13"/>
  <c r="N611" i="13"/>
  <c r="N1155" i="13"/>
  <c r="N679" i="13"/>
  <c r="N1085" i="13"/>
  <c r="N609" i="13"/>
  <c r="N1117" i="13"/>
  <c r="N641" i="13"/>
  <c r="N1164" i="13"/>
  <c r="N688" i="13"/>
  <c r="N1113" i="13"/>
  <c r="N637" i="13"/>
  <c r="N1266" i="13"/>
  <c r="N790" i="13"/>
  <c r="N1239" i="13"/>
  <c r="N763" i="13"/>
  <c r="N1023" i="13"/>
  <c r="N547" i="13"/>
  <c r="N1233" i="13"/>
  <c r="N757" i="13"/>
  <c r="N1223" i="13"/>
  <c r="N747" i="13"/>
  <c r="N1068" i="13"/>
  <c r="N592" i="13"/>
  <c r="O49" i="13"/>
  <c r="O109" i="13"/>
  <c r="O193" i="13"/>
  <c r="O195" i="13"/>
  <c r="O16" i="13"/>
  <c r="O40" i="13"/>
  <c r="O65" i="13"/>
  <c r="O125" i="13"/>
  <c r="O185" i="13"/>
  <c r="O222" i="13"/>
  <c r="O270" i="13"/>
  <c r="O115" i="13"/>
  <c r="O128" i="13"/>
  <c r="O154" i="13"/>
  <c r="O23" i="13"/>
  <c r="O96" i="13"/>
  <c r="O207" i="13"/>
  <c r="O172" i="13"/>
  <c r="O209" i="13"/>
  <c r="O164" i="13"/>
  <c r="O188" i="13"/>
  <c r="O249" i="13"/>
  <c r="O262" i="13"/>
  <c r="O275" i="13"/>
  <c r="O135" i="13"/>
  <c r="O124" i="13"/>
  <c r="O62" i="13"/>
  <c r="O111" i="13"/>
  <c r="O54" i="13"/>
  <c r="O27" i="13"/>
  <c r="O117" i="13"/>
  <c r="O178" i="13"/>
  <c r="O202" i="13"/>
  <c r="O71" i="13"/>
  <c r="O155" i="13"/>
  <c r="O215" i="13"/>
  <c r="O216" i="13"/>
  <c r="O291" i="13"/>
  <c r="O196" i="13"/>
  <c r="O280" i="13"/>
  <c r="O233" i="13"/>
  <c r="O211" i="13"/>
  <c r="O272" i="13"/>
  <c r="O165" i="13"/>
  <c r="O273" i="13"/>
  <c r="O73" i="13"/>
  <c r="O133" i="13"/>
  <c r="O217" i="13"/>
  <c r="O64" i="13"/>
  <c r="O149" i="13"/>
  <c r="O282" i="13"/>
  <c r="O158" i="13"/>
  <c r="O306" i="13"/>
  <c r="O139" i="13"/>
  <c r="O32" i="13"/>
  <c r="O57" i="13"/>
  <c r="O102" i="13"/>
  <c r="O34" i="13"/>
  <c r="O94" i="13"/>
  <c r="O110" i="13"/>
  <c r="O95" i="13"/>
  <c r="O63" i="13"/>
  <c r="O120" i="13"/>
  <c r="O180" i="13"/>
  <c r="O231" i="13"/>
  <c r="O220" i="13"/>
  <c r="O304" i="13"/>
  <c r="O317" i="13"/>
  <c r="O235" i="13"/>
  <c r="O212" i="13"/>
  <c r="O13" i="13"/>
  <c r="O157" i="13"/>
  <c r="O159" i="13"/>
  <c r="O148" i="13"/>
  <c r="O89" i="13"/>
  <c r="O86" i="13"/>
  <c r="O186" i="13"/>
  <c r="O79" i="13"/>
  <c r="O163" i="13"/>
  <c r="O199" i="13"/>
  <c r="O92" i="13"/>
  <c r="O152" i="13"/>
  <c r="O141" i="13"/>
  <c r="O118" i="13"/>
  <c r="O114" i="13"/>
  <c r="O22" i="13"/>
  <c r="O179" i="13"/>
  <c r="O36" i="13"/>
  <c r="O315" i="13"/>
  <c r="O257" i="13"/>
  <c r="O259" i="13"/>
  <c r="O296" i="13"/>
  <c r="O88" i="13"/>
  <c r="O29" i="13"/>
  <c r="O19" i="13"/>
  <c r="O55" i="13"/>
  <c r="O56" i="13"/>
  <c r="O176" i="13"/>
  <c r="O162" i="13"/>
  <c r="O21" i="13"/>
  <c r="O81" i="13"/>
  <c r="O35" i="13"/>
  <c r="O119" i="13"/>
  <c r="O144" i="13"/>
  <c r="O255" i="13"/>
  <c r="O244" i="13"/>
  <c r="O37" i="13"/>
  <c r="O97" i="13"/>
  <c r="O38" i="13"/>
  <c r="O39" i="13"/>
  <c r="O183" i="13"/>
  <c r="O53" i="13"/>
  <c r="O113" i="13"/>
  <c r="O246" i="13"/>
  <c r="O103" i="13"/>
  <c r="O15" i="13"/>
  <c r="O116" i="13"/>
  <c r="O58" i="13"/>
  <c r="O11" i="13"/>
  <c r="O60" i="13"/>
  <c r="O84" i="13"/>
  <c r="O160" i="13"/>
  <c r="O281" i="13"/>
  <c r="O283" i="13"/>
  <c r="O320" i="13"/>
  <c r="O189" i="13"/>
  <c r="O223" i="13"/>
  <c r="O250" i="13"/>
  <c r="O263" i="13"/>
  <c r="O123" i="13"/>
  <c r="O112" i="13"/>
  <c r="O87" i="13"/>
  <c r="O50" i="13"/>
  <c r="O75" i="13"/>
  <c r="O187" i="13"/>
  <c r="O134" i="13"/>
  <c r="O105" i="13"/>
  <c r="O18" i="13"/>
  <c r="O210" i="13"/>
  <c r="O82" i="13"/>
  <c r="O142" i="13"/>
  <c r="O59" i="13"/>
  <c r="O143" i="13"/>
  <c r="O203" i="13"/>
  <c r="O122" i="13"/>
  <c r="O24" i="13"/>
  <c r="O204" i="13"/>
  <c r="O279" i="13"/>
  <c r="O268" i="13"/>
  <c r="O305" i="13"/>
  <c r="O307" i="13"/>
  <c r="O260" i="13"/>
  <c r="O237" i="13"/>
  <c r="O261" i="13"/>
  <c r="O61" i="13"/>
  <c r="O121" i="13"/>
  <c r="O181" i="13"/>
  <c r="O205" i="13"/>
  <c r="O28" i="13"/>
  <c r="O52" i="13"/>
  <c r="O136" i="13"/>
  <c r="O137" i="13"/>
  <c r="O173" i="13"/>
  <c r="O258" i="13"/>
  <c r="O294" i="13"/>
  <c r="O127" i="13"/>
  <c r="O174" i="13"/>
  <c r="O140" i="13"/>
  <c r="O45" i="13"/>
  <c r="O166" i="13"/>
  <c r="O26" i="13"/>
  <c r="O30" i="13"/>
  <c r="O198" i="13"/>
  <c r="O83" i="13"/>
  <c r="O150" i="13"/>
  <c r="O108" i="13"/>
  <c r="O219" i="13"/>
  <c r="O292" i="13"/>
  <c r="O221" i="13"/>
  <c r="O200" i="13"/>
  <c r="O319" i="13"/>
  <c r="O177" i="13"/>
  <c r="O147" i="13"/>
  <c r="O77" i="13"/>
  <c r="O161" i="13"/>
  <c r="O197" i="13"/>
  <c r="O138" i="13"/>
  <c r="O80" i="13"/>
  <c r="O129" i="13"/>
  <c r="O106" i="13"/>
  <c r="O190" i="13"/>
  <c r="O167" i="13"/>
  <c r="O78" i="13"/>
  <c r="O168" i="13"/>
  <c r="O192" i="13"/>
  <c r="O228" i="13"/>
  <c r="O303" i="13"/>
  <c r="O184" i="13"/>
  <c r="O208" i="13"/>
  <c r="O245" i="13"/>
  <c r="O247" i="13"/>
  <c r="O284" i="13"/>
  <c r="O285" i="13"/>
  <c r="O214" i="13"/>
  <c r="O227" i="13"/>
  <c r="O265" i="13"/>
  <c r="O99" i="13"/>
  <c r="O100" i="13"/>
  <c r="O126" i="13"/>
  <c r="O31" i="13"/>
  <c r="O104" i="13"/>
  <c r="O90" i="13"/>
  <c r="O33" i="13"/>
  <c r="O69" i="13"/>
  <c r="O93" i="13"/>
  <c r="O74" i="13"/>
  <c r="O47" i="13"/>
  <c r="O131" i="13"/>
  <c r="O191" i="13"/>
  <c r="O14" i="13"/>
  <c r="O12" i="13"/>
  <c r="O487" i="13" s="1"/>
  <c r="O156" i="13"/>
  <c r="O267" i="13"/>
  <c r="O256" i="13"/>
  <c r="O41" i="13"/>
  <c r="O238" i="13"/>
  <c r="O251" i="13"/>
  <c r="O311" i="13"/>
  <c r="O277" i="13"/>
  <c r="O170" i="13"/>
  <c r="O218" i="13"/>
  <c r="O266" i="13"/>
  <c r="O151" i="13"/>
  <c r="O240" i="13"/>
  <c r="O130" i="13"/>
  <c r="O194" i="13"/>
  <c r="O322" i="13"/>
  <c r="O301" i="13"/>
  <c r="O10" i="13"/>
  <c r="O290" i="13"/>
  <c r="O70" i="13"/>
  <c r="O278" i="13"/>
  <c r="O169" i="13"/>
  <c r="O72" i="13"/>
  <c r="O243" i="13"/>
  <c r="O271" i="13"/>
  <c r="O248" i="13"/>
  <c r="O242" i="13"/>
  <c r="O254" i="13"/>
  <c r="O101" i="13"/>
  <c r="O67" i="13"/>
  <c r="O98" i="13"/>
  <c r="O107" i="13"/>
  <c r="O316" i="13"/>
  <c r="O225" i="13"/>
  <c r="O274" i="13"/>
  <c r="O298" i="13"/>
  <c r="O295" i="13"/>
  <c r="O175" i="13"/>
  <c r="O153" i="13"/>
  <c r="O132" i="13"/>
  <c r="O321" i="13"/>
  <c r="O252" i="13"/>
  <c r="O25" i="13"/>
  <c r="O171" i="13"/>
  <c r="O264" i="13"/>
  <c r="O224" i="13"/>
  <c r="O323" i="13"/>
  <c r="O276" i="13"/>
  <c r="O300" i="13"/>
  <c r="O241" i="13"/>
  <c r="O182" i="13"/>
  <c r="O314" i="13"/>
  <c r="O286" i="13"/>
  <c r="O146" i="13"/>
  <c r="O236" i="13"/>
  <c r="O44" i="13"/>
  <c r="O20" i="13"/>
  <c r="O201" i="13"/>
  <c r="O297" i="13"/>
  <c r="O226" i="13"/>
  <c r="O239" i="13"/>
  <c r="O206" i="13"/>
  <c r="O85" i="13"/>
  <c r="O51" i="13"/>
  <c r="O232" i="13"/>
  <c r="O269" i="13"/>
  <c r="O299" i="13"/>
  <c r="O313" i="13"/>
  <c r="O230" i="13"/>
  <c r="O145" i="13"/>
  <c r="O17" i="13"/>
  <c r="O42" i="13"/>
  <c r="O308" i="13"/>
  <c r="O310" i="13"/>
  <c r="O318" i="13"/>
  <c r="O43" i="13"/>
  <c r="O91" i="13"/>
  <c r="O48" i="13"/>
  <c r="O234" i="13"/>
  <c r="O46" i="13"/>
  <c r="O312" i="13"/>
  <c r="O213" i="13"/>
  <c r="O309" i="13"/>
  <c r="O288" i="13"/>
  <c r="O229" i="13"/>
  <c r="O253" i="13"/>
  <c r="O302" i="13"/>
  <c r="N994" i="13"/>
  <c r="N518" i="13"/>
  <c r="N1245" i="13"/>
  <c r="N769" i="13"/>
  <c r="N990" i="13"/>
  <c r="N514" i="13"/>
  <c r="N1209" i="13"/>
  <c r="N733" i="13"/>
  <c r="N1057" i="13"/>
  <c r="N581" i="13"/>
  <c r="N1108" i="13"/>
  <c r="N632" i="13"/>
  <c r="N1271" i="13"/>
  <c r="N795" i="13"/>
  <c r="N1237" i="13"/>
  <c r="N761" i="13"/>
  <c r="N1140" i="13"/>
  <c r="N664" i="13"/>
  <c r="N1047" i="13"/>
  <c r="N571" i="13"/>
  <c r="N991" i="13"/>
  <c r="N515" i="13"/>
  <c r="N1083" i="13"/>
  <c r="N607" i="13"/>
  <c r="N1072" i="13"/>
  <c r="N596" i="13"/>
  <c r="N1089" i="13"/>
  <c r="N613" i="13"/>
  <c r="N1101" i="13"/>
  <c r="N625" i="13"/>
  <c r="N527" i="13"/>
  <c r="N1003" i="13"/>
  <c r="N1119" i="13"/>
  <c r="N643" i="13"/>
  <c r="N1091" i="13"/>
  <c r="N615" i="13"/>
  <c r="N493" i="13"/>
  <c r="N969" i="13"/>
  <c r="N1187" i="13"/>
  <c r="N711" i="13"/>
  <c r="N1067" i="13"/>
  <c r="N591" i="13"/>
  <c r="N973" i="13"/>
  <c r="N497" i="13"/>
  <c r="N1250" i="13"/>
  <c r="N774" i="13"/>
  <c r="N1014" i="13"/>
  <c r="N538" i="13"/>
  <c r="N1100" i="13"/>
  <c r="N624" i="13"/>
  <c r="N1186" i="13"/>
  <c r="N710" i="13"/>
  <c r="N978" i="13"/>
  <c r="N502" i="13"/>
  <c r="N1236" i="13"/>
  <c r="N760" i="13"/>
  <c r="N1086" i="13"/>
  <c r="N610" i="13"/>
  <c r="N1269" i="13"/>
  <c r="N793" i="13"/>
  <c r="N1004" i="13"/>
  <c r="N528" i="13"/>
  <c r="N1272" i="13"/>
  <c r="N796" i="13"/>
  <c r="N1217" i="13"/>
  <c r="N741" i="13"/>
  <c r="N976" i="13"/>
  <c r="N500" i="13"/>
  <c r="N1192" i="13"/>
  <c r="N716" i="13"/>
  <c r="N495" i="13"/>
  <c r="N971" i="13"/>
  <c r="N1105" i="13"/>
  <c r="N629" i="13"/>
  <c r="N517" i="13"/>
  <c r="N993" i="13"/>
  <c r="N1096" i="13"/>
  <c r="N620" i="13"/>
  <c r="N999" i="13"/>
  <c r="N523" i="13"/>
  <c r="N1144" i="13"/>
  <c r="N668" i="13"/>
  <c r="N1070" i="13"/>
  <c r="N594" i="13"/>
  <c r="N1235" i="13"/>
  <c r="N759" i="13"/>
  <c r="N1028" i="13"/>
  <c r="N552" i="13"/>
  <c r="N1046" i="13"/>
  <c r="N570" i="13"/>
  <c r="N1134" i="13"/>
  <c r="N658" i="13"/>
  <c r="N975" i="13"/>
  <c r="N499" i="13"/>
  <c r="N1138" i="13"/>
  <c r="N662" i="13"/>
  <c r="N966" i="13"/>
  <c r="N490" i="13"/>
  <c r="N1234" i="13"/>
  <c r="N758" i="13"/>
  <c r="N1007" i="13"/>
  <c r="N531" i="13"/>
  <c r="N1065" i="13"/>
  <c r="N589" i="13"/>
  <c r="N1249" i="13"/>
  <c r="N773" i="13"/>
  <c r="N1058" i="13"/>
  <c r="N582" i="13"/>
  <c r="N539" i="13"/>
  <c r="N1015" i="13"/>
  <c r="N1231" i="13"/>
  <c r="N755" i="13"/>
  <c r="N1103" i="13"/>
  <c r="N627" i="13"/>
  <c r="F390" i="12"/>
  <c r="F423" i="12" s="1"/>
  <c r="F389" i="12"/>
  <c r="F422" i="12" s="1"/>
  <c r="N1040" i="13"/>
  <c r="N564" i="13"/>
  <c r="N992" i="13"/>
  <c r="N516" i="13"/>
  <c r="N1044" i="13"/>
  <c r="N568" i="13"/>
  <c r="N1079" i="13"/>
  <c r="N603" i="13"/>
  <c r="N1273" i="13"/>
  <c r="N797" i="13"/>
  <c r="N1241" i="13"/>
  <c r="N765" i="13"/>
  <c r="N1248" i="13"/>
  <c r="N772" i="13"/>
  <c r="N1002" i="13"/>
  <c r="N526" i="13"/>
  <c r="N1020" i="13"/>
  <c r="N544" i="13"/>
  <c r="N1172" i="13"/>
  <c r="N696" i="13"/>
  <c r="N1097" i="13"/>
  <c r="N621" i="13"/>
  <c r="N1246" i="13"/>
  <c r="N770" i="13"/>
  <c r="N1034" i="13"/>
  <c r="N558" i="13"/>
  <c r="N1000" i="13"/>
  <c r="N524" i="13"/>
  <c r="N1021" i="13"/>
  <c r="N545" i="13"/>
  <c r="N1256" i="13"/>
  <c r="N780" i="13"/>
  <c r="N1110" i="13"/>
  <c r="N634" i="13"/>
  <c r="N1149" i="13"/>
  <c r="N673" i="13"/>
  <c r="N1156" i="13"/>
  <c r="N680" i="13"/>
  <c r="N1073" i="13"/>
  <c r="N597" i="13"/>
  <c r="N1026" i="13"/>
  <c r="N550" i="13"/>
  <c r="N1054" i="13"/>
  <c r="N578" i="13"/>
  <c r="N1195" i="13"/>
  <c r="N719" i="13"/>
  <c r="N1006" i="13"/>
  <c r="N530" i="13"/>
  <c r="N1093" i="13"/>
  <c r="N617" i="13"/>
  <c r="N1163" i="13"/>
  <c r="N687" i="13"/>
  <c r="N1061" i="13"/>
  <c r="N585" i="13"/>
  <c r="N491" i="13"/>
  <c r="N967" i="13"/>
  <c r="N529" i="13"/>
  <c r="N1005" i="13"/>
  <c r="N1252" i="13"/>
  <c r="N776" i="13"/>
  <c r="N1270" i="13"/>
  <c r="N794" i="13"/>
  <c r="N1024" i="13"/>
  <c r="N548" i="13"/>
  <c r="N1165" i="13"/>
  <c r="N689" i="13"/>
  <c r="N998" i="13"/>
  <c r="N522" i="13"/>
  <c r="N1104" i="13"/>
  <c r="N628" i="13"/>
  <c r="N1259" i="13"/>
  <c r="N783" i="13"/>
  <c r="N1274" i="13"/>
  <c r="N798" i="13"/>
  <c r="N1051" i="13"/>
  <c r="N575" i="13"/>
  <c r="N974" i="13"/>
  <c r="N498" i="13"/>
  <c r="N1251" i="13"/>
  <c r="N775" i="13"/>
  <c r="N972" i="13"/>
  <c r="N496" i="13"/>
  <c r="N1159" i="13"/>
  <c r="N683" i="13"/>
  <c r="N1128" i="13"/>
  <c r="N652" i="13"/>
  <c r="N501" i="13"/>
  <c r="N977" i="13"/>
  <c r="N1048" i="13"/>
  <c r="N572" i="13"/>
  <c r="N1154" i="13"/>
  <c r="N678" i="13"/>
  <c r="N1063" i="13"/>
  <c r="N587" i="13"/>
  <c r="N1197" i="13"/>
  <c r="N721" i="13"/>
  <c r="N1111" i="13"/>
  <c r="N635" i="13"/>
  <c r="N970" i="13"/>
  <c r="N494" i="13"/>
  <c r="N1092" i="13"/>
  <c r="N616" i="13"/>
  <c r="N1210" i="13"/>
  <c r="N734" i="13"/>
  <c r="N509" i="13"/>
  <c r="N985" i="13"/>
  <c r="N1146" i="13"/>
  <c r="N670" i="13"/>
  <c r="N1242" i="13"/>
  <c r="N766" i="13"/>
  <c r="N1109" i="13"/>
  <c r="N633" i="13"/>
  <c r="N1228" i="13"/>
  <c r="N752" i="13"/>
  <c r="N1221" i="13"/>
  <c r="N745" i="13"/>
  <c r="N1232" i="13"/>
  <c r="N756" i="13"/>
  <c r="N1153" i="13"/>
  <c r="N677" i="13"/>
  <c r="N986" i="13"/>
  <c r="N510" i="13"/>
  <c r="N1243" i="13"/>
  <c r="N767" i="13"/>
  <c r="N1150" i="13"/>
  <c r="N674" i="13"/>
  <c r="N32" i="15"/>
  <c r="N38" i="15" s="1"/>
  <c r="P438" i="13"/>
  <c r="P68" i="13"/>
  <c r="P430" i="13"/>
  <c r="P340" i="13"/>
  <c r="P341" i="13"/>
  <c r="P365" i="13"/>
  <c r="P343" i="13"/>
  <c r="P427" i="13"/>
  <c r="P464" i="13"/>
  <c r="P333" i="13"/>
  <c r="P417" i="13"/>
  <c r="P423" i="13"/>
  <c r="P359" i="13"/>
  <c r="P378" i="13"/>
  <c r="P66" i="13"/>
  <c r="P442" i="13"/>
  <c r="P424" i="13"/>
  <c r="P425" i="13"/>
  <c r="P367" i="13"/>
  <c r="P332" i="13"/>
  <c r="P380" i="13"/>
  <c r="P357" i="13"/>
  <c r="P346" i="13"/>
  <c r="P443" i="13"/>
  <c r="P462" i="13"/>
  <c r="P454" i="13"/>
  <c r="P364" i="13"/>
  <c r="P451" i="13"/>
  <c r="P440" i="13"/>
  <c r="P402" i="13"/>
  <c r="P448" i="13"/>
  <c r="P401" i="13"/>
  <c r="P471" i="13"/>
  <c r="P391" i="13"/>
  <c r="P356" i="13"/>
  <c r="P330" i="13"/>
  <c r="P388" i="13"/>
  <c r="P461" i="13"/>
  <c r="P475" i="13"/>
  <c r="P411" i="13"/>
  <c r="P426" i="13"/>
  <c r="P328" i="13"/>
  <c r="P472" i="13"/>
  <c r="P329" i="13"/>
  <c r="P377" i="13"/>
  <c r="P331" i="13"/>
  <c r="P415" i="13"/>
  <c r="P476" i="13"/>
  <c r="P405" i="13"/>
  <c r="P366" i="13"/>
  <c r="P339" i="13"/>
  <c r="P412" i="13"/>
  <c r="P437" i="13"/>
  <c r="P355" i="13"/>
  <c r="P392" i="13"/>
  <c r="P345" i="13"/>
  <c r="P450" i="13"/>
  <c r="P459" i="13"/>
  <c r="P352" i="13"/>
  <c r="P353" i="13"/>
  <c r="P399" i="13"/>
  <c r="P439" i="13"/>
  <c r="P452" i="13"/>
  <c r="P390" i="13"/>
  <c r="P358" i="13"/>
  <c r="P436" i="13"/>
  <c r="P413" i="13"/>
  <c r="P379" i="13"/>
  <c r="P344" i="13"/>
  <c r="P368" i="13"/>
  <c r="P369" i="13"/>
  <c r="P287" i="13"/>
  <c r="P455" i="13"/>
  <c r="P76" i="13"/>
  <c r="P354" i="13"/>
  <c r="P327" i="13"/>
  <c r="P351" i="13"/>
  <c r="P387" i="13"/>
  <c r="P400" i="13"/>
  <c r="P449" i="13"/>
  <c r="P474" i="13"/>
  <c r="P342" i="13"/>
  <c r="P404" i="13"/>
  <c r="P441" i="13"/>
  <c r="P466" i="13"/>
  <c r="P335" i="13"/>
  <c r="P336" i="13"/>
  <c r="P360" i="13"/>
  <c r="P470" i="13"/>
  <c r="P374" i="13"/>
  <c r="P431" i="13"/>
  <c r="P433" i="13"/>
  <c r="P407" i="13"/>
  <c r="P478" i="13"/>
  <c r="P447" i="13"/>
  <c r="P403" i="13"/>
  <c r="P393" i="13"/>
  <c r="P363" i="13"/>
  <c r="P410" i="13"/>
  <c r="P385" i="13"/>
  <c r="P418" i="13"/>
  <c r="P460" i="13"/>
  <c r="P463" i="13"/>
  <c r="P446" i="13"/>
  <c r="P414" i="13"/>
  <c r="P376" i="13"/>
  <c r="P465" i="13"/>
  <c r="P468" i="13"/>
  <c r="P406" i="13"/>
  <c r="P326" i="13"/>
  <c r="P350" i="13"/>
  <c r="P416" i="13"/>
  <c r="P371" i="13"/>
  <c r="P395" i="13"/>
  <c r="P467" i="13"/>
  <c r="P444" i="13"/>
  <c r="P373" i="13"/>
  <c r="P397" i="13"/>
  <c r="P421" i="13"/>
  <c r="P445" i="13"/>
  <c r="P469" i="13"/>
  <c r="P375" i="13"/>
  <c r="P434" i="13"/>
  <c r="P435" i="13"/>
  <c r="P389" i="13"/>
  <c r="P394" i="13"/>
  <c r="P419" i="13"/>
  <c r="P420" i="13"/>
  <c r="P325" i="13"/>
  <c r="P324" i="13"/>
  <c r="P396" i="13"/>
  <c r="P349" i="13"/>
  <c r="P458" i="13"/>
  <c r="P398" i="13"/>
  <c r="P432" i="13"/>
  <c r="P293" i="13"/>
  <c r="P428" i="13"/>
  <c r="P429" i="13"/>
  <c r="P347" i="13"/>
  <c r="P348" i="13"/>
  <c r="P372" i="13"/>
  <c r="P457" i="13"/>
  <c r="P362" i="13"/>
  <c r="P408" i="13"/>
  <c r="P381" i="13"/>
  <c r="P453" i="13"/>
  <c r="P334" i="13"/>
  <c r="P480" i="13"/>
  <c r="P289" i="13"/>
  <c r="P338" i="13"/>
  <c r="P409" i="13"/>
  <c r="P370" i="13"/>
  <c r="P477" i="13"/>
  <c r="P456" i="13"/>
  <c r="P422" i="13"/>
  <c r="P382" i="13"/>
  <c r="P473" i="13"/>
  <c r="P383" i="13"/>
  <c r="P361" i="13"/>
  <c r="P479" i="13"/>
  <c r="P384" i="13"/>
  <c r="P337" i="13"/>
  <c r="P386" i="13"/>
  <c r="N1094" i="13"/>
  <c r="N618" i="13"/>
  <c r="N1207" i="13"/>
  <c r="N731" i="13"/>
  <c r="N1052" i="13"/>
  <c r="N576" i="13"/>
  <c r="N1077" i="13"/>
  <c r="N601" i="13"/>
  <c r="N1214" i="13"/>
  <c r="N738" i="13"/>
  <c r="N1216" i="13"/>
  <c r="N740" i="13"/>
  <c r="N1185" i="13"/>
  <c r="N709" i="13"/>
  <c r="N1126" i="13"/>
  <c r="N650" i="13"/>
  <c r="N1262" i="13"/>
  <c r="N786" i="13"/>
  <c r="N1055" i="13"/>
  <c r="N579" i="13"/>
  <c r="N1254" i="13"/>
  <c r="N778" i="13"/>
  <c r="N1151" i="13"/>
  <c r="N675" i="13"/>
  <c r="N996" i="13"/>
  <c r="N520" i="13"/>
  <c r="N1012" i="13"/>
  <c r="N536" i="13"/>
  <c r="N1106" i="13"/>
  <c r="N630" i="13"/>
  <c r="N1132" i="13"/>
  <c r="N656" i="13"/>
  <c r="N525" i="13"/>
  <c r="N1001" i="13"/>
  <c r="N1206" i="13"/>
  <c r="N730" i="13"/>
  <c r="N1030" i="13"/>
  <c r="N554" i="13"/>
  <c r="N1268" i="13"/>
  <c r="N792" i="13"/>
  <c r="N1053" i="13"/>
  <c r="N577" i="13"/>
  <c r="N1050" i="13"/>
  <c r="N574" i="13"/>
  <c r="N1167" i="13"/>
  <c r="N691" i="13"/>
  <c r="N1075" i="13"/>
  <c r="N599" i="13"/>
  <c r="N549" i="13"/>
  <c r="N1025" i="13"/>
  <c r="N1141" i="13"/>
  <c r="N665" i="13"/>
  <c r="N1035" i="13"/>
  <c r="N559" i="13"/>
  <c r="N1081" i="13"/>
  <c r="N605" i="13"/>
  <c r="N1022" i="13"/>
  <c r="N546" i="13"/>
  <c r="N1098" i="13"/>
  <c r="N622" i="13"/>
  <c r="N1041" i="13"/>
  <c r="N565" i="13"/>
  <c r="N963" i="13"/>
  <c r="N487" i="13"/>
  <c r="N1196" i="13"/>
  <c r="N720" i="13"/>
  <c r="N1049" i="13"/>
  <c r="N573" i="13"/>
  <c r="N1045" i="13"/>
  <c r="N569" i="13"/>
  <c r="N1190" i="13"/>
  <c r="N714" i="13"/>
  <c r="N1157" i="13"/>
  <c r="N681" i="13"/>
  <c r="N1264" i="13"/>
  <c r="N788" i="13"/>
  <c r="N997" i="13"/>
  <c r="N521" i="13"/>
  <c r="N1066" i="13"/>
  <c r="N590" i="13"/>
  <c r="N1261" i="13"/>
  <c r="N785" i="13"/>
  <c r="N995" i="13"/>
  <c r="N519" i="13"/>
  <c r="N1179" i="13"/>
  <c r="N703" i="13"/>
  <c r="N1198" i="13"/>
  <c r="N722" i="13"/>
  <c r="N1125" i="13"/>
  <c r="N649" i="13"/>
  <c r="N1212" i="13"/>
  <c r="N736" i="13"/>
  <c r="N534" i="13"/>
  <c r="N1010" i="13"/>
  <c r="N1258" i="13"/>
  <c r="N782" i="13"/>
  <c r="N1064" i="13"/>
  <c r="N588" i="13"/>
  <c r="N1095" i="13"/>
  <c r="N619" i="13"/>
  <c r="N1062" i="13"/>
  <c r="N586" i="13"/>
  <c r="N1137" i="13"/>
  <c r="N661" i="13"/>
  <c r="N1160" i="13"/>
  <c r="N684" i="13"/>
  <c r="N1008" i="13"/>
  <c r="N532" i="13"/>
  <c r="N1168" i="13"/>
  <c r="N692" i="13"/>
  <c r="N1029" i="13"/>
  <c r="N553" i="13"/>
  <c r="N1122" i="13"/>
  <c r="N646" i="13"/>
  <c r="N1178" i="13"/>
  <c r="N702" i="13"/>
  <c r="O2" i="13"/>
  <c r="F561" i="12" l="1"/>
  <c r="F571" i="12"/>
  <c r="F570" i="12"/>
  <c r="F463" i="12"/>
  <c r="F578" i="12"/>
  <c r="F584" i="12"/>
  <c r="F452" i="12"/>
  <c r="F456" i="12"/>
  <c r="F459" i="12"/>
  <c r="F457" i="12"/>
  <c r="F462" i="12"/>
  <c r="F577" i="12"/>
  <c r="F563" i="12"/>
  <c r="F564" i="12"/>
  <c r="F417" i="12"/>
  <c r="F416" i="12" s="1"/>
  <c r="F674" i="12"/>
  <c r="G65" i="15" s="1"/>
  <c r="G67" i="15" s="1"/>
  <c r="G75" i="15" s="1"/>
  <c r="F466" i="12"/>
  <c r="F575" i="12"/>
  <c r="F473" i="12"/>
  <c r="F557" i="12"/>
  <c r="F480" i="12"/>
  <c r="F474" i="12"/>
  <c r="F573" i="12"/>
  <c r="F587" i="12"/>
  <c r="F574" i="12"/>
  <c r="F585" i="12"/>
  <c r="F569" i="12"/>
  <c r="F581" i="12"/>
  <c r="F566" i="12"/>
  <c r="F558" i="12"/>
  <c r="F580" i="12"/>
  <c r="F559" i="12"/>
  <c r="F560" i="12"/>
  <c r="F567" i="12"/>
  <c r="F478" i="12"/>
  <c r="F583" i="12"/>
  <c r="F477" i="12"/>
  <c r="F467" i="12"/>
  <c r="F460" i="12"/>
  <c r="F454" i="12"/>
  <c r="F470" i="12"/>
  <c r="F453" i="12"/>
  <c r="F471" i="12"/>
  <c r="F468" i="12"/>
  <c r="F476" i="12"/>
  <c r="I109" i="14"/>
  <c r="N109" i="14"/>
  <c r="J109" i="14"/>
  <c r="K109" i="14"/>
  <c r="M938" i="13"/>
  <c r="M485" i="13"/>
  <c r="L109" i="14"/>
  <c r="M109" i="14"/>
  <c r="M694" i="13"/>
  <c r="M838" i="13"/>
  <c r="N513" i="13"/>
  <c r="N541" i="13"/>
  <c r="F642" i="12"/>
  <c r="F648" i="12" s="1"/>
  <c r="F607" i="12"/>
  <c r="F614" i="12" s="1"/>
  <c r="M504" i="13"/>
  <c r="M877" i="13"/>
  <c r="M513" i="13"/>
  <c r="M834" i="13"/>
  <c r="M541" i="13"/>
  <c r="O1027" i="13"/>
  <c r="N22" i="7"/>
  <c r="M873" i="13"/>
  <c r="M831" i="13"/>
  <c r="M543" i="13"/>
  <c r="M870" i="13"/>
  <c r="M697" i="13"/>
  <c r="M671" i="13"/>
  <c r="M551" i="13"/>
  <c r="M762" i="13"/>
  <c r="O1310" i="13"/>
  <c r="M764" i="13"/>
  <c r="M768" i="13"/>
  <c r="M506" i="13"/>
  <c r="M686" i="13"/>
  <c r="O541" i="13"/>
  <c r="O838" i="13"/>
  <c r="O543" i="13"/>
  <c r="O938" i="13"/>
  <c r="O831" i="13"/>
  <c r="O768" i="13"/>
  <c r="N1238" i="13"/>
  <c r="N961" i="13"/>
  <c r="N1307" i="13"/>
  <c r="N1310" i="13"/>
  <c r="N1173" i="13"/>
  <c r="N1353" i="13"/>
  <c r="N980" i="13"/>
  <c r="N1314" i="13"/>
  <c r="N1414" i="13"/>
  <c r="N1147" i="13"/>
  <c r="N1019" i="13"/>
  <c r="N1349" i="13"/>
  <c r="N1162" i="13"/>
  <c r="N1244" i="13"/>
  <c r="N1346" i="13"/>
  <c r="O762" i="13"/>
  <c r="O1019" i="13"/>
  <c r="O764" i="13"/>
  <c r="N1240" i="13"/>
  <c r="F680" i="12"/>
  <c r="G70" i="15" s="1"/>
  <c r="G72" i="15" s="1"/>
  <c r="G76" i="15" s="1"/>
  <c r="O870" i="13"/>
  <c r="O834" i="13"/>
  <c r="O1349" i="13"/>
  <c r="N989" i="13"/>
  <c r="O551" i="13"/>
  <c r="N1017" i="13"/>
  <c r="O1314" i="13"/>
  <c r="O877" i="13"/>
  <c r="O873" i="13"/>
  <c r="N982" i="13"/>
  <c r="N1027" i="13"/>
  <c r="N1170" i="13"/>
  <c r="O1240" i="13"/>
  <c r="O1017" i="13"/>
  <c r="O1307" i="13"/>
  <c r="O1244" i="13"/>
  <c r="O1414" i="13"/>
  <c r="O1353" i="13"/>
  <c r="O1346" i="13"/>
  <c r="P1333" i="13"/>
  <c r="P857" i="13"/>
  <c r="O1107" i="13"/>
  <c r="O631" i="13"/>
  <c r="P1424" i="13"/>
  <c r="P948" i="13"/>
  <c r="P1332" i="13"/>
  <c r="P856" i="13"/>
  <c r="P1409" i="13"/>
  <c r="P933" i="13"/>
  <c r="P1420" i="13"/>
  <c r="P944" i="13"/>
  <c r="P1357" i="13"/>
  <c r="P881" i="13"/>
  <c r="P1344" i="13"/>
  <c r="P868" i="13"/>
  <c r="P1417" i="13"/>
  <c r="P941" i="13"/>
  <c r="P1406" i="13"/>
  <c r="P930" i="13"/>
  <c r="P1350" i="13"/>
  <c r="P874" i="13"/>
  <c r="P1356" i="13"/>
  <c r="P880" i="13"/>
  <c r="P1339" i="13"/>
  <c r="P863" i="13"/>
  <c r="P1413" i="13"/>
  <c r="P937" i="13"/>
  <c r="P1310" i="13"/>
  <c r="P834" i="13"/>
  <c r="P1389" i="13"/>
  <c r="P913" i="13"/>
  <c r="O1204" i="13"/>
  <c r="O728" i="13"/>
  <c r="O1261" i="13"/>
  <c r="O785" i="13"/>
  <c r="O1157" i="13"/>
  <c r="O681" i="13"/>
  <c r="O1192" i="13"/>
  <c r="O716" i="13"/>
  <c r="O1126" i="13"/>
  <c r="O650" i="13"/>
  <c r="O1199" i="13"/>
  <c r="O723" i="13"/>
  <c r="O1081" i="13"/>
  <c r="O605" i="13"/>
  <c r="O1218" i="13"/>
  <c r="O742" i="13"/>
  <c r="O1055" i="13"/>
  <c r="O579" i="13"/>
  <c r="O1159" i="13"/>
  <c r="O683" i="13"/>
  <c r="O1089" i="13"/>
  <c r="O613" i="13"/>
  <c r="O1101" i="13"/>
  <c r="O625" i="13"/>
  <c r="O1124" i="13"/>
  <c r="O648" i="13"/>
  <c r="O1258" i="13"/>
  <c r="O782" i="13"/>
  <c r="O1161" i="13"/>
  <c r="O685" i="13"/>
  <c r="O1174" i="13"/>
  <c r="O698" i="13"/>
  <c r="O1054" i="13"/>
  <c r="O578" i="13"/>
  <c r="O1070" i="13"/>
  <c r="O594" i="13"/>
  <c r="O1210" i="13"/>
  <c r="O734" i="13"/>
  <c r="O1114" i="13"/>
  <c r="O638" i="13"/>
  <c r="O1255" i="13"/>
  <c r="O779" i="13"/>
  <c r="O983" i="13"/>
  <c r="O507" i="13"/>
  <c r="O1223" i="13"/>
  <c r="O747" i="13"/>
  <c r="O1068" i="13"/>
  <c r="O592" i="13"/>
  <c r="O1160" i="13"/>
  <c r="O684" i="13"/>
  <c r="O1016" i="13"/>
  <c r="O540" i="13"/>
  <c r="P1419" i="13"/>
  <c r="P943" i="13"/>
  <c r="P1394" i="13"/>
  <c r="P918" i="13"/>
  <c r="O1190" i="13"/>
  <c r="O714" i="13"/>
  <c r="O506" i="13"/>
  <c r="O982" i="13"/>
  <c r="O986" i="13"/>
  <c r="O510" i="13"/>
  <c r="O1090" i="13"/>
  <c r="O614" i="13"/>
  <c r="O991" i="13"/>
  <c r="O515" i="13"/>
  <c r="P1372" i="13"/>
  <c r="P896" i="13"/>
  <c r="R414" i="13"/>
  <c r="R384" i="13"/>
  <c r="R351" i="13"/>
  <c r="R411" i="13"/>
  <c r="R460" i="13"/>
  <c r="R403" i="13"/>
  <c r="R380" i="13"/>
  <c r="R393" i="13"/>
  <c r="R394" i="13"/>
  <c r="R354" i="13"/>
  <c r="R396" i="13"/>
  <c r="R327" i="13"/>
  <c r="R471" i="13"/>
  <c r="R400" i="13"/>
  <c r="R440" i="13"/>
  <c r="R477" i="13"/>
  <c r="R454" i="13"/>
  <c r="R335" i="13"/>
  <c r="R419" i="13"/>
  <c r="R377" i="13"/>
  <c r="R420" i="13"/>
  <c r="R438" i="13"/>
  <c r="R68" i="13"/>
  <c r="R408" i="13"/>
  <c r="R387" i="13"/>
  <c r="R340" i="13"/>
  <c r="R341" i="13"/>
  <c r="R331" i="13"/>
  <c r="R427" i="13"/>
  <c r="R332" i="13"/>
  <c r="R356" i="13"/>
  <c r="R378" i="13"/>
  <c r="R66" i="13"/>
  <c r="R444" i="13"/>
  <c r="R447" i="13"/>
  <c r="R424" i="13"/>
  <c r="R367" i="13"/>
  <c r="R425" i="13"/>
  <c r="R416" i="13"/>
  <c r="R462" i="13"/>
  <c r="R333" i="13"/>
  <c r="R456" i="13"/>
  <c r="R363" i="13"/>
  <c r="R364" i="13"/>
  <c r="R451" i="13"/>
  <c r="R402" i="13"/>
  <c r="R468" i="13"/>
  <c r="R423" i="13"/>
  <c r="R448" i="13"/>
  <c r="R391" i="13"/>
  <c r="R392" i="13"/>
  <c r="R381" i="13"/>
  <c r="R406" i="13"/>
  <c r="R330" i="13"/>
  <c r="R480" i="13"/>
  <c r="R473" i="13"/>
  <c r="R388" i="13"/>
  <c r="R413" i="13"/>
  <c r="R475" i="13"/>
  <c r="R353" i="13"/>
  <c r="R452" i="13"/>
  <c r="R426" i="13"/>
  <c r="R399" i="13"/>
  <c r="R328" i="13"/>
  <c r="R472" i="13"/>
  <c r="R329" i="13"/>
  <c r="R415" i="13"/>
  <c r="R368" i="13"/>
  <c r="R366" i="13"/>
  <c r="R339" i="13"/>
  <c r="R459" i="13"/>
  <c r="R412" i="13"/>
  <c r="R355" i="13"/>
  <c r="R428" i="13"/>
  <c r="R345" i="13"/>
  <c r="R442" i="13"/>
  <c r="R431" i="13"/>
  <c r="R324" i="13"/>
  <c r="R474" i="13"/>
  <c r="R342" i="13"/>
  <c r="R372" i="13"/>
  <c r="R376" i="13"/>
  <c r="R293" i="13"/>
  <c r="R343" i="13"/>
  <c r="R463" i="13"/>
  <c r="R370" i="13"/>
  <c r="R466" i="13"/>
  <c r="R479" i="13"/>
  <c r="R446" i="13"/>
  <c r="R289" i="13"/>
  <c r="R422" i="13"/>
  <c r="R401" i="13"/>
  <c r="R436" i="13"/>
  <c r="R417" i="13"/>
  <c r="R346" i="13"/>
  <c r="R386" i="13"/>
  <c r="R360" i="13"/>
  <c r="R350" i="13"/>
  <c r="R337" i="13"/>
  <c r="R435" i="13"/>
  <c r="R464" i="13"/>
  <c r="R369" i="13"/>
  <c r="R441" i="13"/>
  <c r="R347" i="13"/>
  <c r="R389" i="13"/>
  <c r="R470" i="13"/>
  <c r="R359" i="13"/>
  <c r="R450" i="13"/>
  <c r="R439" i="13"/>
  <c r="R465" i="13"/>
  <c r="R325" i="13"/>
  <c r="R410" i="13"/>
  <c r="R76" i="13"/>
  <c r="R326" i="13"/>
  <c r="R379" i="13"/>
  <c r="R287" i="13"/>
  <c r="R371" i="13"/>
  <c r="R443" i="13"/>
  <c r="R348" i="13"/>
  <c r="R461" i="13"/>
  <c r="R352" i="13"/>
  <c r="R476" i="13"/>
  <c r="R382" i="13"/>
  <c r="R478" i="13"/>
  <c r="R395" i="13"/>
  <c r="R467" i="13"/>
  <c r="R373" i="13"/>
  <c r="R397" i="13"/>
  <c r="R421" i="13"/>
  <c r="R445" i="13"/>
  <c r="R469" i="13"/>
  <c r="R434" i="13"/>
  <c r="R453" i="13"/>
  <c r="R437" i="13"/>
  <c r="R418" i="13"/>
  <c r="R349" i="13"/>
  <c r="R374" i="13"/>
  <c r="R390" i="13"/>
  <c r="R429" i="13"/>
  <c r="R358" i="13"/>
  <c r="R458" i="13"/>
  <c r="R338" i="13"/>
  <c r="R357" i="13"/>
  <c r="R405" i="13"/>
  <c r="R365" i="13"/>
  <c r="R334" i="13"/>
  <c r="R398" i="13"/>
  <c r="R432" i="13"/>
  <c r="R375" i="13"/>
  <c r="R344" i="13"/>
  <c r="R449" i="13"/>
  <c r="R336" i="13"/>
  <c r="R404" i="13"/>
  <c r="R430" i="13"/>
  <c r="R383" i="13"/>
  <c r="R407" i="13"/>
  <c r="R361" i="13"/>
  <c r="R385" i="13"/>
  <c r="R409" i="13"/>
  <c r="R433" i="13"/>
  <c r="R457" i="13"/>
  <c r="R362" i="13"/>
  <c r="R455" i="13"/>
  <c r="O517" i="13"/>
  <c r="O993" i="13"/>
  <c r="O1194" i="13"/>
  <c r="O718" i="13"/>
  <c r="O1087" i="13"/>
  <c r="O611" i="13"/>
  <c r="O661" i="13"/>
  <c r="O1137" i="13"/>
  <c r="O491" i="13"/>
  <c r="O967" i="13"/>
  <c r="N504" i="13"/>
  <c r="P1407" i="13"/>
  <c r="P931" i="13"/>
  <c r="P1408" i="13"/>
  <c r="P932" i="13"/>
  <c r="P1275" i="13"/>
  <c r="P799" i="13"/>
  <c r="P1348" i="13"/>
  <c r="P872" i="13"/>
  <c r="P1327" i="13"/>
  <c r="P851" i="13"/>
  <c r="P1429" i="13"/>
  <c r="P953" i="13"/>
  <c r="P1293" i="13"/>
  <c r="P817" i="13"/>
  <c r="P1319" i="13"/>
  <c r="P843" i="13"/>
  <c r="P1410" i="13"/>
  <c r="P934" i="13"/>
  <c r="P1282" i="13"/>
  <c r="P806" i="13"/>
  <c r="P1342" i="13"/>
  <c r="P866" i="13"/>
  <c r="P1308" i="13"/>
  <c r="P832" i="13"/>
  <c r="P1284" i="13"/>
  <c r="P808" i="13"/>
  <c r="Q76" i="13"/>
  <c r="Q354" i="13"/>
  <c r="Q326" i="13"/>
  <c r="Q327" i="13"/>
  <c r="Q435" i="13"/>
  <c r="Q358" i="13"/>
  <c r="Q400" i="13"/>
  <c r="Q440" i="13"/>
  <c r="Q477" i="13"/>
  <c r="Q335" i="13"/>
  <c r="Q419" i="13"/>
  <c r="Q438" i="13"/>
  <c r="Q68" i="13"/>
  <c r="Q351" i="13"/>
  <c r="Q340" i="13"/>
  <c r="Q341" i="13"/>
  <c r="Q343" i="13"/>
  <c r="Q427" i="13"/>
  <c r="Q356" i="13"/>
  <c r="Q333" i="13"/>
  <c r="Q417" i="13"/>
  <c r="Q365" i="13"/>
  <c r="Q359" i="13"/>
  <c r="Q372" i="13"/>
  <c r="Q396" i="13"/>
  <c r="Q420" i="13"/>
  <c r="Q444" i="13"/>
  <c r="Q468" i="13"/>
  <c r="Q378" i="13"/>
  <c r="Q66" i="13"/>
  <c r="Q411" i="13"/>
  <c r="Q424" i="13"/>
  <c r="Q367" i="13"/>
  <c r="Q454" i="13"/>
  <c r="Q416" i="13"/>
  <c r="Q462" i="13"/>
  <c r="Q466" i="13"/>
  <c r="Q471" i="13"/>
  <c r="Q364" i="13"/>
  <c r="Q451" i="13"/>
  <c r="Q332" i="13"/>
  <c r="Q476" i="13"/>
  <c r="Q425" i="13"/>
  <c r="Q402" i="13"/>
  <c r="Q387" i="13"/>
  <c r="Q448" i="13"/>
  <c r="Q442" i="13"/>
  <c r="Q391" i="13"/>
  <c r="Q330" i="13"/>
  <c r="Q447" i="13"/>
  <c r="Q388" i="13"/>
  <c r="Q475" i="13"/>
  <c r="Q382" i="13"/>
  <c r="Q452" i="13"/>
  <c r="Q465" i="13"/>
  <c r="Q407" i="13"/>
  <c r="Q426" i="13"/>
  <c r="Q363" i="13"/>
  <c r="Q328" i="13"/>
  <c r="Q472" i="13"/>
  <c r="Q329" i="13"/>
  <c r="Q413" i="13"/>
  <c r="Q331" i="13"/>
  <c r="Q415" i="13"/>
  <c r="Q368" i="13"/>
  <c r="Q353" i="13"/>
  <c r="Q366" i="13"/>
  <c r="Q339" i="13"/>
  <c r="Q423" i="13"/>
  <c r="Q412" i="13"/>
  <c r="Q355" i="13"/>
  <c r="Q428" i="13"/>
  <c r="Q450" i="13"/>
  <c r="Q430" i="13"/>
  <c r="Q352" i="13"/>
  <c r="Q370" i="13"/>
  <c r="Q439" i="13"/>
  <c r="Q429" i="13"/>
  <c r="Q334" i="13"/>
  <c r="Q371" i="13"/>
  <c r="Q325" i="13"/>
  <c r="Q473" i="13"/>
  <c r="Q414" i="13"/>
  <c r="Q394" i="13"/>
  <c r="Q375" i="13"/>
  <c r="Q460" i="13"/>
  <c r="Q436" i="13"/>
  <c r="Q346" i="13"/>
  <c r="Q384" i="13"/>
  <c r="Q449" i="13"/>
  <c r="Q418" i="13"/>
  <c r="Q386" i="13"/>
  <c r="Q373" i="13"/>
  <c r="Q469" i="13"/>
  <c r="Q434" i="13"/>
  <c r="Q422" i="13"/>
  <c r="Q361" i="13"/>
  <c r="Q474" i="13"/>
  <c r="Q342" i="13"/>
  <c r="Q464" i="13"/>
  <c r="Q369" i="13"/>
  <c r="Q441" i="13"/>
  <c r="Q360" i="13"/>
  <c r="Q470" i="13"/>
  <c r="Q349" i="13"/>
  <c r="Q456" i="13"/>
  <c r="Q431" i="13"/>
  <c r="Q401" i="13"/>
  <c r="Q403" i="13"/>
  <c r="Q345" i="13"/>
  <c r="Q393" i="13"/>
  <c r="Q437" i="13"/>
  <c r="Q324" i="13"/>
  <c r="Q410" i="13"/>
  <c r="Q445" i="13"/>
  <c r="Q376" i="13"/>
  <c r="Q379" i="13"/>
  <c r="Q287" i="13"/>
  <c r="Q443" i="13"/>
  <c r="Q348" i="13"/>
  <c r="Q350" i="13"/>
  <c r="Q459" i="13"/>
  <c r="Q457" i="13"/>
  <c r="Q380" i="13"/>
  <c r="Q395" i="13"/>
  <c r="Q467" i="13"/>
  <c r="Q377" i="13"/>
  <c r="Q397" i="13"/>
  <c r="Q421" i="13"/>
  <c r="Q399" i="13"/>
  <c r="Q374" i="13"/>
  <c r="Q347" i="13"/>
  <c r="Q458" i="13"/>
  <c r="Q461" i="13"/>
  <c r="Q337" i="13"/>
  <c r="Q383" i="13"/>
  <c r="Q432" i="13"/>
  <c r="Q409" i="13"/>
  <c r="Q362" i="13"/>
  <c r="Q390" i="13"/>
  <c r="Q455" i="13"/>
  <c r="Q392" i="13"/>
  <c r="Q357" i="13"/>
  <c r="Q405" i="13"/>
  <c r="Q478" i="13"/>
  <c r="Q398" i="13"/>
  <c r="Q404" i="13"/>
  <c r="Q381" i="13"/>
  <c r="Q453" i="13"/>
  <c r="Q336" i="13"/>
  <c r="Q480" i="13"/>
  <c r="Q289" i="13"/>
  <c r="Q338" i="13"/>
  <c r="Q344" i="13"/>
  <c r="Q385" i="13"/>
  <c r="Q293" i="13"/>
  <c r="Q463" i="13"/>
  <c r="Q479" i="13"/>
  <c r="Q406" i="13"/>
  <c r="Q408" i="13"/>
  <c r="Q446" i="13"/>
  <c r="Q389" i="13"/>
  <c r="Q433" i="13"/>
  <c r="O1260" i="13"/>
  <c r="O784" i="13"/>
  <c r="O968" i="13"/>
  <c r="O492" i="13"/>
  <c r="O1248" i="13"/>
  <c r="O772" i="13"/>
  <c r="O1274" i="13"/>
  <c r="O798" i="13"/>
  <c r="O1225" i="13"/>
  <c r="O749" i="13"/>
  <c r="O1023" i="13"/>
  <c r="O547" i="13"/>
  <c r="O1217" i="13"/>
  <c r="O741" i="13"/>
  <c r="O965" i="13"/>
  <c r="O489" i="13"/>
  <c r="O1051" i="13"/>
  <c r="O575" i="13"/>
  <c r="O1179" i="13"/>
  <c r="O703" i="13"/>
  <c r="O1028" i="13"/>
  <c r="O552" i="13"/>
  <c r="O981" i="13"/>
  <c r="O505" i="13"/>
  <c r="O527" i="13"/>
  <c r="O1003" i="13"/>
  <c r="O1230" i="13"/>
  <c r="O754" i="13"/>
  <c r="O1085" i="13"/>
  <c r="O609" i="13"/>
  <c r="O1234" i="13"/>
  <c r="O758" i="13"/>
  <c r="O1004" i="13"/>
  <c r="O528" i="13"/>
  <c r="O972" i="13"/>
  <c r="O496" i="13"/>
  <c r="O987" i="13"/>
  <c r="O511" i="13"/>
  <c r="O1037" i="13"/>
  <c r="O561" i="13"/>
  <c r="O1131" i="13"/>
  <c r="O655" i="13"/>
  <c r="O1109" i="13"/>
  <c r="O633" i="13"/>
  <c r="O1231" i="13"/>
  <c r="O755" i="13"/>
  <c r="O1062" i="13"/>
  <c r="O586" i="13"/>
  <c r="O1047" i="13"/>
  <c r="O571" i="13"/>
  <c r="O1146" i="13"/>
  <c r="O670" i="13"/>
  <c r="N694" i="13"/>
  <c r="P25" i="13"/>
  <c r="P100" i="13"/>
  <c r="P101" i="13"/>
  <c r="P31" i="13"/>
  <c r="P175" i="13"/>
  <c r="P33" i="13"/>
  <c r="P69" i="13"/>
  <c r="P93" i="13"/>
  <c r="P47" i="13"/>
  <c r="P131" i="13"/>
  <c r="P191" i="13"/>
  <c r="P14" i="13"/>
  <c r="P12" i="13"/>
  <c r="P36" i="13"/>
  <c r="P156" i="13"/>
  <c r="P267" i="13"/>
  <c r="P256" i="13"/>
  <c r="P257" i="13"/>
  <c r="P295" i="13"/>
  <c r="P248" i="13"/>
  <c r="P225" i="13"/>
  <c r="P322" i="13"/>
  <c r="P49" i="13"/>
  <c r="P193" i="13"/>
  <c r="P171" i="13"/>
  <c r="P40" i="13"/>
  <c r="P65" i="13"/>
  <c r="P185" i="13"/>
  <c r="P222" i="13"/>
  <c r="P270" i="13"/>
  <c r="P115" i="13"/>
  <c r="P152" i="13"/>
  <c r="P118" i="13"/>
  <c r="P96" i="13"/>
  <c r="P207" i="13"/>
  <c r="P172" i="13"/>
  <c r="P188" i="13"/>
  <c r="P249" i="13"/>
  <c r="P262" i="13"/>
  <c r="P275" i="13"/>
  <c r="P109" i="13"/>
  <c r="P99" i="13"/>
  <c r="P195" i="13"/>
  <c r="P124" i="13"/>
  <c r="P62" i="13"/>
  <c r="P125" i="13"/>
  <c r="P54" i="13"/>
  <c r="P55" i="13"/>
  <c r="P92" i="13"/>
  <c r="P27" i="13"/>
  <c r="P162" i="13"/>
  <c r="P117" i="13"/>
  <c r="P202" i="13"/>
  <c r="P71" i="13"/>
  <c r="P155" i="13"/>
  <c r="P215" i="13"/>
  <c r="P60" i="13"/>
  <c r="P291" i="13"/>
  <c r="P196" i="13"/>
  <c r="P280" i="13"/>
  <c r="P281" i="13"/>
  <c r="P211" i="13"/>
  <c r="P272" i="13"/>
  <c r="P165" i="13"/>
  <c r="P73" i="13"/>
  <c r="P133" i="13"/>
  <c r="P217" i="13"/>
  <c r="P64" i="13"/>
  <c r="P282" i="13"/>
  <c r="P306" i="13"/>
  <c r="P139" i="13"/>
  <c r="P32" i="13"/>
  <c r="P34" i="13"/>
  <c r="P142" i="13"/>
  <c r="P110" i="13"/>
  <c r="P11" i="13"/>
  <c r="P95" i="13"/>
  <c r="P63" i="13"/>
  <c r="P150" i="13"/>
  <c r="P120" i="13"/>
  <c r="P180" i="13"/>
  <c r="P231" i="13"/>
  <c r="P220" i="13"/>
  <c r="P304" i="13"/>
  <c r="P305" i="13"/>
  <c r="P212" i="13"/>
  <c r="P189" i="13"/>
  <c r="P135" i="13"/>
  <c r="P28" i="13"/>
  <c r="P148" i="13"/>
  <c r="P111" i="13"/>
  <c r="P149" i="13"/>
  <c r="P86" i="13"/>
  <c r="P138" i="13"/>
  <c r="P79" i="13"/>
  <c r="P199" i="13"/>
  <c r="P116" i="13"/>
  <c r="P57" i="13"/>
  <c r="P141" i="13"/>
  <c r="P82" i="13"/>
  <c r="P22" i="13"/>
  <c r="P179" i="13"/>
  <c r="P204" i="13"/>
  <c r="P315" i="13"/>
  <c r="P221" i="13"/>
  <c r="P259" i="13"/>
  <c r="P13" i="13"/>
  <c r="P157" i="13"/>
  <c r="P159" i="13"/>
  <c r="P88" i="13"/>
  <c r="P29" i="13"/>
  <c r="P89" i="13"/>
  <c r="P173" i="13"/>
  <c r="P197" i="13"/>
  <c r="P186" i="13"/>
  <c r="P19" i="13"/>
  <c r="P163" i="13"/>
  <c r="P56" i="13"/>
  <c r="P21" i="13"/>
  <c r="P81" i="13"/>
  <c r="P166" i="13"/>
  <c r="P35" i="13"/>
  <c r="P119" i="13"/>
  <c r="P144" i="13"/>
  <c r="P255" i="13"/>
  <c r="P184" i="13"/>
  <c r="P244" i="13"/>
  <c r="P245" i="13"/>
  <c r="P236" i="13"/>
  <c r="P213" i="13"/>
  <c r="P321" i="13"/>
  <c r="P310" i="13"/>
  <c r="P37" i="13"/>
  <c r="P38" i="13"/>
  <c r="P39" i="13"/>
  <c r="P53" i="13"/>
  <c r="P246" i="13"/>
  <c r="P103" i="13"/>
  <c r="P15" i="13"/>
  <c r="P140" i="13"/>
  <c r="P106" i="13"/>
  <c r="P190" i="13"/>
  <c r="P266" i="13"/>
  <c r="P58" i="13"/>
  <c r="P84" i="13"/>
  <c r="P168" i="13"/>
  <c r="P228" i="13"/>
  <c r="P160" i="13"/>
  <c r="P283" i="13"/>
  <c r="P320" i="13"/>
  <c r="P97" i="13"/>
  <c r="P183" i="13"/>
  <c r="P112" i="13"/>
  <c r="P50" i="13"/>
  <c r="P75" i="13"/>
  <c r="P126" i="13"/>
  <c r="P43" i="13"/>
  <c r="P67" i="13"/>
  <c r="P187" i="13"/>
  <c r="P134" i="13"/>
  <c r="P90" i="13"/>
  <c r="P105" i="13"/>
  <c r="P18" i="13"/>
  <c r="P210" i="13"/>
  <c r="P59" i="13"/>
  <c r="P143" i="13"/>
  <c r="P203" i="13"/>
  <c r="P122" i="13"/>
  <c r="P24" i="13"/>
  <c r="P48" i="13"/>
  <c r="P279" i="13"/>
  <c r="P268" i="13"/>
  <c r="P269" i="13"/>
  <c r="P319" i="13"/>
  <c r="P260" i="13"/>
  <c r="P61" i="13"/>
  <c r="P181" i="13"/>
  <c r="P205" i="13"/>
  <c r="P52" i="13"/>
  <c r="P113" i="13"/>
  <c r="P258" i="13"/>
  <c r="P294" i="13"/>
  <c r="P127" i="13"/>
  <c r="P174" i="13"/>
  <c r="P130" i="13"/>
  <c r="P26" i="13"/>
  <c r="P30" i="13"/>
  <c r="P198" i="13"/>
  <c r="P83" i="13"/>
  <c r="P108" i="13"/>
  <c r="P219" i="13"/>
  <c r="P292" i="13"/>
  <c r="P223" i="13"/>
  <c r="P176" i="13"/>
  <c r="P200" i="13"/>
  <c r="P235" i="13"/>
  <c r="P177" i="13"/>
  <c r="P274" i="13"/>
  <c r="P85" i="13"/>
  <c r="P145" i="13"/>
  <c r="P169" i="13"/>
  <c r="P146" i="13"/>
  <c r="P147" i="13"/>
  <c r="P41" i="13"/>
  <c r="P161" i="13"/>
  <c r="P42" i="13"/>
  <c r="P234" i="13"/>
  <c r="P91" i="13"/>
  <c r="P98" i="13"/>
  <c r="P128" i="13"/>
  <c r="P20" i="13"/>
  <c r="P153" i="13"/>
  <c r="P94" i="13"/>
  <c r="P178" i="13"/>
  <c r="P51" i="13"/>
  <c r="P114" i="13"/>
  <c r="P46" i="13"/>
  <c r="P216" i="13"/>
  <c r="P285" i="13"/>
  <c r="P309" i="13"/>
  <c r="P227" i="13"/>
  <c r="P229" i="13"/>
  <c r="P253" i="13"/>
  <c r="P278" i="13"/>
  <c r="P137" i="13"/>
  <c r="P233" i="13"/>
  <c r="P45" i="13"/>
  <c r="P102" i="13"/>
  <c r="P208" i="13"/>
  <c r="P214" i="13"/>
  <c r="P238" i="13"/>
  <c r="P251" i="13"/>
  <c r="P311" i="13"/>
  <c r="P277" i="13"/>
  <c r="P302" i="13"/>
  <c r="P10" i="13"/>
  <c r="P242" i="13"/>
  <c r="P264" i="13"/>
  <c r="P230" i="13"/>
  <c r="P16" i="13"/>
  <c r="P87" i="13"/>
  <c r="P261" i="13"/>
  <c r="P301" i="13"/>
  <c r="P194" i="13"/>
  <c r="P218" i="13"/>
  <c r="P121" i="13"/>
  <c r="P80" i="13"/>
  <c r="P72" i="13"/>
  <c r="P243" i="13"/>
  <c r="P271" i="13"/>
  <c r="P164" i="13"/>
  <c r="P252" i="13"/>
  <c r="P276" i="13"/>
  <c r="P107" i="13"/>
  <c r="P303" i="13"/>
  <c r="P316" i="13"/>
  <c r="P209" i="13"/>
  <c r="P296" i="13"/>
  <c r="P298" i="13"/>
  <c r="P300" i="13"/>
  <c r="P123" i="13"/>
  <c r="P136" i="13"/>
  <c r="P167" i="13"/>
  <c r="P132" i="13"/>
  <c r="P317" i="13"/>
  <c r="P250" i="13"/>
  <c r="P263" i="13"/>
  <c r="P182" i="13"/>
  <c r="P286" i="13"/>
  <c r="P288" i="13"/>
  <c r="P78" i="13"/>
  <c r="P192" i="13"/>
  <c r="P224" i="13"/>
  <c r="P273" i="13"/>
  <c r="P323" i="13"/>
  <c r="P241" i="13"/>
  <c r="P265" i="13"/>
  <c r="P290" i="13"/>
  <c r="P158" i="13"/>
  <c r="P44" i="13"/>
  <c r="P74" i="13"/>
  <c r="P154" i="13"/>
  <c r="P201" i="13"/>
  <c r="P237" i="13"/>
  <c r="P297" i="13"/>
  <c r="P226" i="13"/>
  <c r="P307" i="13"/>
  <c r="P239" i="13"/>
  <c r="P314" i="13"/>
  <c r="P77" i="13"/>
  <c r="P104" i="13"/>
  <c r="P23" i="13"/>
  <c r="P232" i="13"/>
  <c r="P247" i="13"/>
  <c r="P299" i="13"/>
  <c r="P240" i="13"/>
  <c r="P313" i="13"/>
  <c r="P206" i="13"/>
  <c r="P17" i="13"/>
  <c r="P129" i="13"/>
  <c r="P308" i="13"/>
  <c r="P170" i="13"/>
  <c r="P318" i="13"/>
  <c r="P151" i="13"/>
  <c r="P70" i="13"/>
  <c r="P284" i="13"/>
  <c r="P312" i="13"/>
  <c r="P254" i="13"/>
  <c r="P1392" i="13"/>
  <c r="P916" i="13"/>
  <c r="O1034" i="13"/>
  <c r="O558" i="13"/>
  <c r="P1373" i="13"/>
  <c r="P897" i="13"/>
  <c r="O963" i="13"/>
  <c r="O1182" i="13"/>
  <c r="O706" i="13"/>
  <c r="P1428" i="13"/>
  <c r="P952" i="13"/>
  <c r="P1323" i="13"/>
  <c r="P847" i="13"/>
  <c r="P1324" i="13"/>
  <c r="P848" i="13"/>
  <c r="P1365" i="13"/>
  <c r="P889" i="13"/>
  <c r="P1358" i="13"/>
  <c r="P882" i="13"/>
  <c r="P1425" i="13"/>
  <c r="P949" i="13"/>
  <c r="P1295" i="13"/>
  <c r="P819" i="13"/>
  <c r="P1401" i="13"/>
  <c r="P925" i="13"/>
  <c r="P1328" i="13"/>
  <c r="P852" i="13"/>
  <c r="P1422" i="13"/>
  <c r="P946" i="13"/>
  <c r="P1331" i="13"/>
  <c r="P855" i="13"/>
  <c r="P1415" i="13"/>
  <c r="P939" i="13"/>
  <c r="O1164" i="13"/>
  <c r="O688" i="13"/>
  <c r="O1096" i="13"/>
  <c r="O620" i="13"/>
  <c r="O1152" i="13"/>
  <c r="O676" i="13"/>
  <c r="O1175" i="13"/>
  <c r="O699" i="13"/>
  <c r="O1176" i="13"/>
  <c r="O700" i="13"/>
  <c r="O1120" i="13"/>
  <c r="O644" i="13"/>
  <c r="O1169" i="13"/>
  <c r="O693" i="13"/>
  <c r="O1142" i="13"/>
  <c r="O666" i="13"/>
  <c r="O1050" i="13"/>
  <c r="O574" i="13"/>
  <c r="O667" i="13"/>
  <c r="O1143" i="13"/>
  <c r="O1098" i="13"/>
  <c r="O622" i="13"/>
  <c r="O977" i="13"/>
  <c r="O501" i="13"/>
  <c r="O503" i="13"/>
  <c r="O979" i="13"/>
  <c r="O1155" i="13"/>
  <c r="O679" i="13"/>
  <c r="O1138" i="13"/>
  <c r="O662" i="13"/>
  <c r="O1232" i="13"/>
  <c r="O756" i="13"/>
  <c r="O1134" i="13"/>
  <c r="O658" i="13"/>
  <c r="O1113" i="13"/>
  <c r="O637" i="13"/>
  <c r="O1130" i="13"/>
  <c r="O654" i="13"/>
  <c r="O1040" i="13"/>
  <c r="O564" i="13"/>
  <c r="O1071" i="13"/>
  <c r="O595" i="13"/>
  <c r="O1233" i="13"/>
  <c r="O757" i="13"/>
  <c r="O671" i="13"/>
  <c r="O1147" i="13"/>
  <c r="O537" i="13"/>
  <c r="O1013" i="13"/>
  <c r="O974" i="13"/>
  <c r="O498" i="13"/>
  <c r="O1144" i="13"/>
  <c r="O668" i="13"/>
  <c r="N33" i="15"/>
  <c r="N39" i="15" s="1"/>
  <c r="M39" i="15"/>
  <c r="P1354" i="13"/>
  <c r="P878" i="13"/>
  <c r="O1180" i="13"/>
  <c r="O704" i="13"/>
  <c r="O1140" i="13"/>
  <c r="O664" i="13"/>
  <c r="P1347" i="13"/>
  <c r="P871" i="13"/>
  <c r="O1112" i="13"/>
  <c r="O636" i="13"/>
  <c r="O1184" i="13"/>
  <c r="O708" i="13"/>
  <c r="P1371" i="13"/>
  <c r="P895" i="13"/>
  <c r="P1384" i="13"/>
  <c r="P908" i="13"/>
  <c r="P1296" i="13"/>
  <c r="P820" i="13"/>
  <c r="P1378" i="13"/>
  <c r="P902" i="13"/>
  <c r="O1263" i="13"/>
  <c r="O787" i="13"/>
  <c r="O1181" i="13"/>
  <c r="O705" i="13"/>
  <c r="O495" i="13"/>
  <c r="O971" i="13"/>
  <c r="O1215" i="13"/>
  <c r="O739" i="13"/>
  <c r="O1267" i="13"/>
  <c r="O791" i="13"/>
  <c r="O1229" i="13"/>
  <c r="O753" i="13"/>
  <c r="O1121" i="13"/>
  <c r="O645" i="13"/>
  <c r="O1082" i="13"/>
  <c r="O606" i="13"/>
  <c r="O1216" i="13"/>
  <c r="O740" i="13"/>
  <c r="O1119" i="13"/>
  <c r="O643" i="13"/>
  <c r="O1128" i="13"/>
  <c r="O652" i="13"/>
  <c r="O1117" i="13"/>
  <c r="O641" i="13"/>
  <c r="O1156" i="13"/>
  <c r="O680" i="13"/>
  <c r="O975" i="13"/>
  <c r="O499" i="13"/>
  <c r="O1026" i="13"/>
  <c r="O550" i="13"/>
  <c r="O1111" i="13"/>
  <c r="O635" i="13"/>
  <c r="O990" i="13"/>
  <c r="O514" i="13"/>
  <c r="O1127" i="13"/>
  <c r="O651" i="13"/>
  <c r="O973" i="13"/>
  <c r="O497" i="13"/>
  <c r="O1099" i="13"/>
  <c r="O623" i="13"/>
  <c r="O1014" i="13"/>
  <c r="O538" i="13"/>
  <c r="O1100" i="13"/>
  <c r="O624" i="13"/>
  <c r="O1242" i="13"/>
  <c r="O766" i="13"/>
  <c r="O1075" i="13"/>
  <c r="O599" i="13"/>
  <c r="O1105" i="13"/>
  <c r="O629" i="13"/>
  <c r="O1060" i="13"/>
  <c r="O584" i="13"/>
  <c r="P1374" i="13"/>
  <c r="P898" i="13"/>
  <c r="N831" i="13"/>
  <c r="N768" i="13"/>
  <c r="N764" i="13"/>
  <c r="N870" i="13"/>
  <c r="N838" i="13"/>
  <c r="N762" i="13"/>
  <c r="N551" i="13"/>
  <c r="N834" i="13"/>
  <c r="N877" i="13"/>
  <c r="N543" i="13"/>
  <c r="N938" i="13"/>
  <c r="N873" i="13"/>
  <c r="O1246" i="13"/>
  <c r="O770" i="13"/>
  <c r="O1088" i="13"/>
  <c r="O612" i="13"/>
  <c r="O1208" i="13"/>
  <c r="O732" i="13"/>
  <c r="O1162" i="13"/>
  <c r="O686" i="13"/>
  <c r="P1313" i="13"/>
  <c r="P837" i="13"/>
  <c r="P1303" i="13"/>
  <c r="P827" i="13"/>
  <c r="P1368" i="13"/>
  <c r="P892" i="13"/>
  <c r="O1177" i="13"/>
  <c r="O701" i="13"/>
  <c r="O1102" i="13"/>
  <c r="O626" i="13"/>
  <c r="O1219" i="13"/>
  <c r="O743" i="13"/>
  <c r="O1032" i="13"/>
  <c r="O556" i="13"/>
  <c r="O1257" i="13"/>
  <c r="O781" i="13"/>
  <c r="P1276" i="13"/>
  <c r="P800" i="13"/>
  <c r="P1321" i="13"/>
  <c r="P845" i="13"/>
  <c r="P1299" i="13"/>
  <c r="P823" i="13"/>
  <c r="P1395" i="13"/>
  <c r="P919" i="13"/>
  <c r="P1397" i="13"/>
  <c r="P921" i="13"/>
  <c r="P1400" i="13"/>
  <c r="P924" i="13"/>
  <c r="P1330" i="13"/>
  <c r="P854" i="13"/>
  <c r="P1280" i="13"/>
  <c r="P804" i="13"/>
  <c r="P1352" i="13"/>
  <c r="P876" i="13"/>
  <c r="P1283" i="13"/>
  <c r="P807" i="13"/>
  <c r="P1337" i="13"/>
  <c r="P861" i="13"/>
  <c r="P1360" i="13"/>
  <c r="P884" i="13"/>
  <c r="P1298" i="13"/>
  <c r="P822" i="13"/>
  <c r="P1370" i="13"/>
  <c r="P894" i="13"/>
  <c r="P1418" i="13"/>
  <c r="P942" i="13"/>
  <c r="P1414" i="13"/>
  <c r="P938" i="13"/>
  <c r="P1382" i="13"/>
  <c r="P906" i="13"/>
  <c r="P1351" i="13"/>
  <c r="P875" i="13"/>
  <c r="P1364" i="13"/>
  <c r="P888" i="13"/>
  <c r="P1343" i="13"/>
  <c r="P867" i="13"/>
  <c r="P1423" i="13"/>
  <c r="P947" i="13"/>
  <c r="P1399" i="13"/>
  <c r="P923" i="13"/>
  <c r="P1318" i="13"/>
  <c r="P842" i="13"/>
  <c r="P1294" i="13"/>
  <c r="P818" i="13"/>
  <c r="N671" i="13"/>
  <c r="O997" i="13"/>
  <c r="O521" i="13"/>
  <c r="O1264" i="13"/>
  <c r="O788" i="13"/>
  <c r="O519" i="13"/>
  <c r="O995" i="13"/>
  <c r="O1122" i="13"/>
  <c r="O646" i="13"/>
  <c r="O1058" i="13"/>
  <c r="O582" i="13"/>
  <c r="O1021" i="13"/>
  <c r="O545" i="13"/>
  <c r="O1228" i="13"/>
  <c r="O752" i="13"/>
  <c r="O998" i="13"/>
  <c r="O522" i="13"/>
  <c r="O1178" i="13"/>
  <c r="O702" i="13"/>
  <c r="O1029" i="13"/>
  <c r="O553" i="13"/>
  <c r="O1270" i="13"/>
  <c r="O794" i="13"/>
  <c r="O996" i="13"/>
  <c r="O520" i="13"/>
  <c r="O1132" i="13"/>
  <c r="O656" i="13"/>
  <c r="O1073" i="13"/>
  <c r="O597" i="13"/>
  <c r="O525" i="13"/>
  <c r="O1001" i="13"/>
  <c r="O1035" i="13"/>
  <c r="O559" i="13"/>
  <c r="O513" i="13"/>
  <c r="O989" i="13"/>
  <c r="O1007" i="13"/>
  <c r="O531" i="13"/>
  <c r="O1065" i="13"/>
  <c r="O589" i="13"/>
  <c r="O1110" i="13"/>
  <c r="O634" i="13"/>
  <c r="O1046" i="13"/>
  <c r="O570" i="13"/>
  <c r="O539" i="13"/>
  <c r="O1015" i="13"/>
  <c r="O1167" i="13"/>
  <c r="O691" i="13"/>
  <c r="O1086" i="13"/>
  <c r="O610" i="13"/>
  <c r="O1079" i="13"/>
  <c r="O603" i="13"/>
  <c r="O1000" i="13"/>
  <c r="O524" i="13"/>
  <c r="P1304" i="13"/>
  <c r="P828" i="13"/>
  <c r="O1135" i="13"/>
  <c r="O659" i="13"/>
  <c r="P1416" i="13"/>
  <c r="P940" i="13"/>
  <c r="P1380" i="13"/>
  <c r="P904" i="13"/>
  <c r="P1338" i="13"/>
  <c r="P862" i="13"/>
  <c r="P1376" i="13"/>
  <c r="P900" i="13"/>
  <c r="P1316" i="13"/>
  <c r="P840" i="13"/>
  <c r="M989" i="13"/>
  <c r="M1353" i="13"/>
  <c r="M980" i="13"/>
  <c r="M1314" i="13"/>
  <c r="M1170" i="13"/>
  <c r="M1414" i="13"/>
  <c r="M1346" i="13"/>
  <c r="M1027" i="13"/>
  <c r="M1244" i="13"/>
  <c r="M1019" i="13"/>
  <c r="M1162" i="13"/>
  <c r="M1310" i="13"/>
  <c r="M1238" i="13"/>
  <c r="M1349" i="13"/>
  <c r="M1240" i="13"/>
  <c r="M982" i="13"/>
  <c r="M961" i="13"/>
  <c r="M1147" i="13"/>
  <c r="M1017" i="13"/>
  <c r="M1173" i="13"/>
  <c r="M1307" i="13"/>
  <c r="O1185" i="13"/>
  <c r="O709" i="13"/>
  <c r="O1250" i="13"/>
  <c r="O774" i="13"/>
  <c r="O1187" i="13"/>
  <c r="O711" i="13"/>
  <c r="O976" i="13"/>
  <c r="O500" i="13"/>
  <c r="O1049" i="13"/>
  <c r="O573" i="13"/>
  <c r="O1241" i="13"/>
  <c r="O765" i="13"/>
  <c r="O1262" i="13"/>
  <c r="O786" i="13"/>
  <c r="O1025" i="13"/>
  <c r="O549" i="13"/>
  <c r="O1165" i="13"/>
  <c r="O689" i="13"/>
  <c r="O1118" i="13"/>
  <c r="O642" i="13"/>
  <c r="O1151" i="13"/>
  <c r="O675" i="13"/>
  <c r="O1091" i="13"/>
  <c r="O615" i="13"/>
  <c r="O1072" i="13"/>
  <c r="O596" i="13"/>
  <c r="O1154" i="13"/>
  <c r="O678" i="13"/>
  <c r="O1038" i="13"/>
  <c r="O562" i="13"/>
  <c r="O1011" i="13"/>
  <c r="O535" i="13"/>
  <c r="O1048" i="13"/>
  <c r="O572" i="13"/>
  <c r="O1006" i="13"/>
  <c r="O530" i="13"/>
  <c r="O1069" i="13"/>
  <c r="O593" i="13"/>
  <c r="O1108" i="13"/>
  <c r="O632" i="13"/>
  <c r="O1061" i="13"/>
  <c r="O585" i="13"/>
  <c r="O1168" i="13"/>
  <c r="O692" i="13"/>
  <c r="O1166" i="13"/>
  <c r="O690" i="13"/>
  <c r="O1226" i="13"/>
  <c r="O750" i="13"/>
  <c r="O1066" i="13"/>
  <c r="O590" i="13"/>
  <c r="P1300" i="13"/>
  <c r="P824" i="13"/>
  <c r="O1148" i="13"/>
  <c r="O672" i="13"/>
  <c r="P1297" i="13"/>
  <c r="P821" i="13"/>
  <c r="O1254" i="13"/>
  <c r="O778" i="13"/>
  <c r="P1346" i="13"/>
  <c r="P870" i="13"/>
  <c r="P1387" i="13"/>
  <c r="P911" i="13"/>
  <c r="P1240" i="13"/>
  <c r="P764" i="13"/>
  <c r="P1340" i="13"/>
  <c r="P864" i="13"/>
  <c r="P1322" i="13"/>
  <c r="P846" i="13"/>
  <c r="P1369" i="13"/>
  <c r="P893" i="13"/>
  <c r="P1421" i="13"/>
  <c r="P945" i="13"/>
  <c r="P1302" i="13"/>
  <c r="P826" i="13"/>
  <c r="P1309" i="13"/>
  <c r="P833" i="13"/>
  <c r="P1388" i="13"/>
  <c r="P912" i="13"/>
  <c r="P1377" i="13"/>
  <c r="P901" i="13"/>
  <c r="P1391" i="13"/>
  <c r="P915" i="13"/>
  <c r="P1375" i="13"/>
  <c r="P899" i="13"/>
  <c r="P1292" i="13"/>
  <c r="P816" i="13"/>
  <c r="O999" i="13"/>
  <c r="O523" i="13"/>
  <c r="O1220" i="13"/>
  <c r="O744" i="13"/>
  <c r="O1097" i="13"/>
  <c r="O621" i="13"/>
  <c r="O1203" i="13"/>
  <c r="O727" i="13"/>
  <c r="O1018" i="13"/>
  <c r="O542" i="13"/>
  <c r="O961" i="13"/>
  <c r="O485" i="13"/>
  <c r="O1202" i="13"/>
  <c r="O726" i="13"/>
  <c r="O1044" i="13"/>
  <c r="O568" i="13"/>
  <c r="O1236" i="13"/>
  <c r="O760" i="13"/>
  <c r="O1141" i="13"/>
  <c r="O665" i="13"/>
  <c r="O1172" i="13"/>
  <c r="O696" i="13"/>
  <c r="O1125" i="13"/>
  <c r="O649" i="13"/>
  <c r="O1012" i="13"/>
  <c r="O536" i="13"/>
  <c r="O1094" i="13"/>
  <c r="O618" i="13"/>
  <c r="O1063" i="13"/>
  <c r="O587" i="13"/>
  <c r="O962" i="13"/>
  <c r="O486" i="13"/>
  <c r="O988" i="13"/>
  <c r="O512" i="13"/>
  <c r="O970" i="13"/>
  <c r="O494" i="13"/>
  <c r="O1092" i="13"/>
  <c r="O616" i="13"/>
  <c r="O964" i="13"/>
  <c r="O488" i="13"/>
  <c r="O1045" i="13"/>
  <c r="O569" i="13"/>
  <c r="O1084" i="13"/>
  <c r="O608" i="13"/>
  <c r="O1106" i="13"/>
  <c r="O630" i="13"/>
  <c r="O1213" i="13"/>
  <c r="O737" i="13"/>
  <c r="O1221" i="13"/>
  <c r="O745" i="13"/>
  <c r="P1238" i="13"/>
  <c r="P762" i="13"/>
  <c r="N697" i="13"/>
  <c r="O1197" i="13"/>
  <c r="O721" i="13"/>
  <c r="P1398" i="13"/>
  <c r="P922" i="13"/>
  <c r="O1056" i="13"/>
  <c r="O580" i="13"/>
  <c r="P1345" i="13"/>
  <c r="P869" i="13"/>
  <c r="P1306" i="13"/>
  <c r="P830" i="13"/>
  <c r="P1335" i="13"/>
  <c r="P859" i="13"/>
  <c r="P1430" i="13"/>
  <c r="P954" i="13"/>
  <c r="P1386" i="13"/>
  <c r="P910" i="13"/>
  <c r="P1311" i="13"/>
  <c r="P835" i="13"/>
  <c r="P1363" i="13"/>
  <c r="P887" i="13"/>
  <c r="P1393" i="13"/>
  <c r="P917" i="13"/>
  <c r="N506" i="13"/>
  <c r="N686" i="13"/>
  <c r="O1042" i="13"/>
  <c r="O566" i="13"/>
  <c r="O1183" i="13"/>
  <c r="O707" i="13"/>
  <c r="O1237" i="13"/>
  <c r="O761" i="13"/>
  <c r="O1272" i="13"/>
  <c r="O796" i="13"/>
  <c r="O1052" i="13"/>
  <c r="O576" i="13"/>
  <c r="O1252" i="13"/>
  <c r="O776" i="13"/>
  <c r="O1189" i="13"/>
  <c r="O713" i="13"/>
  <c r="O1020" i="13"/>
  <c r="O544" i="13"/>
  <c r="O1235" i="13"/>
  <c r="O759" i="13"/>
  <c r="O1057" i="13"/>
  <c r="O581" i="13"/>
  <c r="O1243" i="13"/>
  <c r="O767" i="13"/>
  <c r="O1078" i="13"/>
  <c r="O602" i="13"/>
  <c r="O1212" i="13"/>
  <c r="O736" i="13"/>
  <c r="O1010" i="13"/>
  <c r="O534" i="13"/>
  <c r="O1074" i="13"/>
  <c r="O598" i="13"/>
  <c r="O1009" i="13"/>
  <c r="O533" i="13"/>
  <c r="O1195" i="13"/>
  <c r="O719" i="13"/>
  <c r="O980" i="13"/>
  <c r="O504" i="13"/>
  <c r="O1103" i="13"/>
  <c r="O627" i="13"/>
  <c r="O1163" i="13"/>
  <c r="O687" i="13"/>
  <c r="O509" i="13"/>
  <c r="O985" i="13"/>
  <c r="O1024" i="13"/>
  <c r="O548" i="13"/>
  <c r="O1022" i="13"/>
  <c r="O546" i="13"/>
  <c r="O1200" i="13"/>
  <c r="O724" i="13"/>
  <c r="O1173" i="13"/>
  <c r="O697" i="13"/>
  <c r="P1359" i="13"/>
  <c r="P883" i="13"/>
  <c r="P1427" i="13"/>
  <c r="P951" i="13"/>
  <c r="O1251" i="13"/>
  <c r="O775" i="13"/>
  <c r="O1222" i="13"/>
  <c r="O746" i="13"/>
  <c r="O1256" i="13"/>
  <c r="O780" i="13"/>
  <c r="O1030" i="13"/>
  <c r="O554" i="13"/>
  <c r="O502" i="13"/>
  <c r="O978" i="13"/>
  <c r="P1320" i="13"/>
  <c r="P844" i="13"/>
  <c r="P1366" i="13"/>
  <c r="P890" i="13"/>
  <c r="O1227" i="13"/>
  <c r="O751" i="13"/>
  <c r="O1077" i="13"/>
  <c r="O601" i="13"/>
  <c r="O1271" i="13"/>
  <c r="O795" i="13"/>
  <c r="O1266" i="13"/>
  <c r="O790" i="13"/>
  <c r="O1158" i="13"/>
  <c r="O682" i="13"/>
  <c r="P1289" i="13"/>
  <c r="P813" i="13"/>
  <c r="P1411" i="13"/>
  <c r="P935" i="13"/>
  <c r="P1353" i="13"/>
  <c r="P877" i="13"/>
  <c r="P1379" i="13"/>
  <c r="P903" i="13"/>
  <c r="P1431" i="13"/>
  <c r="P955" i="13"/>
  <c r="P1244" i="13"/>
  <c r="P768" i="13"/>
  <c r="P1367" i="13"/>
  <c r="P891" i="13"/>
  <c r="P1336" i="13"/>
  <c r="P860" i="13"/>
  <c r="P1278" i="13"/>
  <c r="P802" i="13"/>
  <c r="P1341" i="13"/>
  <c r="P865" i="13"/>
  <c r="P1362" i="13"/>
  <c r="P886" i="13"/>
  <c r="P1402" i="13"/>
  <c r="P926" i="13"/>
  <c r="P1291" i="13"/>
  <c r="P815" i="13"/>
  <c r="P1312" i="13"/>
  <c r="P836" i="13"/>
  <c r="P1285" i="13"/>
  <c r="P809" i="13"/>
  <c r="P1383" i="13"/>
  <c r="P907" i="13"/>
  <c r="P1385" i="13"/>
  <c r="P909" i="13"/>
  <c r="P1301" i="13"/>
  <c r="P825" i="13"/>
  <c r="P1361" i="13"/>
  <c r="P885" i="13"/>
  <c r="P1287" i="13"/>
  <c r="P811" i="13"/>
  <c r="P1305" i="13"/>
  <c r="P829" i="13"/>
  <c r="P1403" i="13"/>
  <c r="P927" i="13"/>
  <c r="P1290" i="13"/>
  <c r="P814" i="13"/>
  <c r="P1426" i="13"/>
  <c r="P950" i="13"/>
  <c r="P1315" i="13"/>
  <c r="P839" i="13"/>
  <c r="P1017" i="13"/>
  <c r="P541" i="13"/>
  <c r="P1381" i="13"/>
  <c r="P905" i="13"/>
  <c r="O994" i="13"/>
  <c r="O518" i="13"/>
  <c r="O1002" i="13"/>
  <c r="O526" i="13"/>
  <c r="O1265" i="13"/>
  <c r="O789" i="13"/>
  <c r="O1083" i="13"/>
  <c r="O607" i="13"/>
  <c r="O1205" i="13"/>
  <c r="O729" i="13"/>
  <c r="O1273" i="13"/>
  <c r="O797" i="13"/>
  <c r="O992" i="13"/>
  <c r="O516" i="13"/>
  <c r="O984" i="13"/>
  <c r="O508" i="13"/>
  <c r="O1198" i="13"/>
  <c r="O722" i="13"/>
  <c r="O1080" i="13"/>
  <c r="O604" i="13"/>
  <c r="O1170" i="13"/>
  <c r="O694" i="13"/>
  <c r="O1245" i="13"/>
  <c r="O769" i="13"/>
  <c r="O1188" i="13"/>
  <c r="O712" i="13"/>
  <c r="O1093" i="13"/>
  <c r="O617" i="13"/>
  <c r="O1214" i="13"/>
  <c r="O738" i="13"/>
  <c r="O1067" i="13"/>
  <c r="O591" i="13"/>
  <c r="O1206" i="13"/>
  <c r="O730" i="13"/>
  <c r="O1039" i="13"/>
  <c r="O563" i="13"/>
  <c r="O1043" i="13"/>
  <c r="O567" i="13"/>
  <c r="O1186" i="13"/>
  <c r="O710" i="13"/>
  <c r="O1053" i="13"/>
  <c r="O577" i="13"/>
  <c r="O1224" i="13"/>
  <c r="O748" i="13"/>
  <c r="O1153" i="13"/>
  <c r="O677" i="13"/>
  <c r="O1139" i="13"/>
  <c r="O663" i="13"/>
  <c r="O1136" i="13"/>
  <c r="O660" i="13"/>
  <c r="P1396" i="13"/>
  <c r="P920" i="13"/>
  <c r="P1281" i="13"/>
  <c r="P805" i="13"/>
  <c r="O1259" i="13"/>
  <c r="O783" i="13"/>
  <c r="O1191" i="13"/>
  <c r="O715" i="13"/>
  <c r="O493" i="13"/>
  <c r="O969" i="13"/>
  <c r="O1171" i="13"/>
  <c r="O695" i="13"/>
  <c r="O1123" i="13"/>
  <c r="O647" i="13"/>
  <c r="P1355" i="13"/>
  <c r="P879" i="13"/>
  <c r="P1307" i="13"/>
  <c r="P831" i="13"/>
  <c r="O1239" i="13"/>
  <c r="O763" i="13"/>
  <c r="O1249" i="13"/>
  <c r="O773" i="13"/>
  <c r="O1149" i="13"/>
  <c r="O673" i="13"/>
  <c r="O1064" i="13"/>
  <c r="O588" i="13"/>
  <c r="O529" i="13"/>
  <c r="O1005" i="13"/>
  <c r="P1288" i="13"/>
  <c r="P812" i="13"/>
  <c r="P1325" i="13"/>
  <c r="P849" i="13"/>
  <c r="P1279" i="13"/>
  <c r="P803" i="13"/>
  <c r="P1334" i="13"/>
  <c r="P858" i="13"/>
  <c r="P1404" i="13"/>
  <c r="P928" i="13"/>
  <c r="P1349" i="13"/>
  <c r="P873" i="13"/>
  <c r="P1326" i="13"/>
  <c r="P850" i="13"/>
  <c r="P1277" i="13"/>
  <c r="P801" i="13"/>
  <c r="P1314" i="13"/>
  <c r="P838" i="13"/>
  <c r="P1286" i="13"/>
  <c r="P810" i="13"/>
  <c r="P1027" i="13"/>
  <c r="P551" i="13"/>
  <c r="P1390" i="13"/>
  <c r="P914" i="13"/>
  <c r="P1317" i="13"/>
  <c r="P841" i="13"/>
  <c r="P1412" i="13"/>
  <c r="P936" i="13"/>
  <c r="P1405" i="13"/>
  <c r="P929" i="13"/>
  <c r="P1329" i="13"/>
  <c r="P853" i="13"/>
  <c r="P1019" i="13"/>
  <c r="P543" i="13"/>
  <c r="O1253" i="13"/>
  <c r="O777" i="13"/>
  <c r="O1269" i="13"/>
  <c r="O793" i="13"/>
  <c r="O1036" i="13"/>
  <c r="O560" i="13"/>
  <c r="O1133" i="13"/>
  <c r="O657" i="13"/>
  <c r="O1104" i="13"/>
  <c r="O628" i="13"/>
  <c r="O1193" i="13"/>
  <c r="O717" i="13"/>
  <c r="O1145" i="13"/>
  <c r="O669" i="13"/>
  <c r="O1207" i="13"/>
  <c r="O731" i="13"/>
  <c r="O1041" i="13"/>
  <c r="O565" i="13"/>
  <c r="O1196" i="13"/>
  <c r="O720" i="13"/>
  <c r="O1031" i="13"/>
  <c r="O555" i="13"/>
  <c r="O1059" i="13"/>
  <c r="O583" i="13"/>
  <c r="O1209" i="13"/>
  <c r="O733" i="13"/>
  <c r="O1211" i="13"/>
  <c r="O735" i="13"/>
  <c r="O1033" i="13"/>
  <c r="O557" i="13"/>
  <c r="O1201" i="13"/>
  <c r="O725" i="13"/>
  <c r="O966" i="13"/>
  <c r="O490" i="13"/>
  <c r="O619" i="13"/>
  <c r="O1095" i="13"/>
  <c r="O1247" i="13"/>
  <c r="O771" i="13"/>
  <c r="O1150" i="13"/>
  <c r="O674" i="13"/>
  <c r="O1268" i="13"/>
  <c r="O792" i="13"/>
  <c r="O1008" i="13"/>
  <c r="O532" i="13"/>
  <c r="O1116" i="13"/>
  <c r="O640" i="13"/>
  <c r="O1129" i="13"/>
  <c r="O653" i="13"/>
  <c r="O1115" i="13"/>
  <c r="O639" i="13"/>
  <c r="O1076" i="13"/>
  <c r="O600" i="13"/>
  <c r="N35" i="15"/>
  <c r="N41" i="15" s="1"/>
  <c r="M41" i="15"/>
  <c r="P2" i="13"/>
  <c r="F450" i="12" l="1"/>
  <c r="F451" i="12"/>
  <c r="F656" i="12"/>
  <c r="F660" i="12" s="1"/>
  <c r="F703" i="12" s="1"/>
  <c r="H703" i="12" s="1"/>
  <c r="F655" i="12"/>
  <c r="F659" i="12" s="1"/>
  <c r="F702" i="12" s="1"/>
  <c r="I702" i="12" s="1"/>
  <c r="I41" i="14" s="1"/>
  <c r="F623" i="12"/>
  <c r="F627" i="12" s="1"/>
  <c r="F690" i="12" s="1"/>
  <c r="F622" i="12"/>
  <c r="F652" i="12"/>
  <c r="F619" i="12"/>
  <c r="F682" i="12"/>
  <c r="M956" i="13"/>
  <c r="F676" i="12"/>
  <c r="N1432" i="13"/>
  <c r="P1112" i="13"/>
  <c r="P636" i="13"/>
  <c r="P992" i="13"/>
  <c r="P516" i="13"/>
  <c r="P1121" i="13"/>
  <c r="P645" i="13"/>
  <c r="P1028" i="13"/>
  <c r="P552" i="13"/>
  <c r="P1241" i="13"/>
  <c r="P765" i="13"/>
  <c r="P1201" i="13"/>
  <c r="P725" i="13"/>
  <c r="P1058" i="13"/>
  <c r="P582" i="13"/>
  <c r="P1212" i="13"/>
  <c r="P736" i="13"/>
  <c r="P1165" i="13"/>
  <c r="P689" i="13"/>
  <c r="P1167" i="13"/>
  <c r="P691" i="13"/>
  <c r="P993" i="13"/>
  <c r="P517" i="13"/>
  <c r="P1127" i="13"/>
  <c r="P651" i="13"/>
  <c r="P1245" i="13"/>
  <c r="P769" i="13"/>
  <c r="P999" i="13"/>
  <c r="P523" i="13"/>
  <c r="P1018" i="13"/>
  <c r="P542" i="13"/>
  <c r="P1119" i="13"/>
  <c r="P643" i="13"/>
  <c r="P989" i="13"/>
  <c r="P513" i="13"/>
  <c r="P510" i="13"/>
  <c r="P986" i="13"/>
  <c r="P1039" i="13"/>
  <c r="P563" i="13"/>
  <c r="P1008" i="13"/>
  <c r="P532" i="13"/>
  <c r="P1163" i="13"/>
  <c r="P687" i="13"/>
  <c r="P1093" i="13"/>
  <c r="P617" i="13"/>
  <c r="P1162" i="13"/>
  <c r="P686" i="13"/>
  <c r="P502" i="13"/>
  <c r="P978" i="13"/>
  <c r="P1200" i="13"/>
  <c r="P724" i="13"/>
  <c r="P991" i="13"/>
  <c r="P515" i="13"/>
  <c r="P987" i="13"/>
  <c r="P511" i="13"/>
  <c r="P1051" i="13"/>
  <c r="P575" i="13"/>
  <c r="Q1430" i="13"/>
  <c r="Q954" i="13"/>
  <c r="Q1349" i="13"/>
  <c r="Q873" i="13"/>
  <c r="Q1412" i="13"/>
  <c r="Q936" i="13"/>
  <c r="Q1410" i="13"/>
  <c r="Q934" i="13"/>
  <c r="Q1296" i="13"/>
  <c r="Q820" i="13"/>
  <c r="Q1425" i="13"/>
  <c r="Q949" i="13"/>
  <c r="Q1411" i="13"/>
  <c r="Q935" i="13"/>
  <c r="Q1381" i="13"/>
  <c r="Q905" i="13"/>
  <c r="Q1364" i="13"/>
  <c r="Q888" i="13"/>
  <c r="Q1398" i="13"/>
  <c r="Q922" i="13"/>
  <c r="Q1422" i="13"/>
  <c r="Q946" i="13"/>
  <c r="Q1371" i="13"/>
  <c r="Q895" i="13"/>
  <c r="Q1302" i="13"/>
  <c r="Q826" i="13"/>
  <c r="Q1305" i="13"/>
  <c r="Q829" i="13"/>
  <c r="R1381" i="13"/>
  <c r="R905" i="13"/>
  <c r="R1289" i="13"/>
  <c r="R813" i="13"/>
  <c r="R1396" i="13"/>
  <c r="R920" i="13"/>
  <c r="R1394" i="13"/>
  <c r="R918" i="13"/>
  <c r="R1421" i="13"/>
  <c r="R945" i="13"/>
  <c r="R1368" i="13"/>
  <c r="R892" i="13"/>
  <c r="R1327" i="13"/>
  <c r="R851" i="13"/>
  <c r="R1290" i="13"/>
  <c r="R814" i="13"/>
  <c r="R1364" i="13"/>
  <c r="R888" i="13"/>
  <c r="R1353" i="13"/>
  <c r="R877" i="13"/>
  <c r="R1395" i="13"/>
  <c r="R919" i="13"/>
  <c r="R1389" i="13"/>
  <c r="R913" i="13"/>
  <c r="R1305" i="13"/>
  <c r="R829" i="13"/>
  <c r="F531" i="12"/>
  <c r="F565" i="12" s="1"/>
  <c r="P1038" i="13"/>
  <c r="P562" i="13"/>
  <c r="P1209" i="13"/>
  <c r="P733" i="13"/>
  <c r="P988" i="13"/>
  <c r="P512" i="13"/>
  <c r="P1139" i="13"/>
  <c r="P663" i="13"/>
  <c r="Q1414" i="13"/>
  <c r="Q938" i="13"/>
  <c r="Q1280" i="13"/>
  <c r="Q804" i="13"/>
  <c r="Q1027" i="13"/>
  <c r="Q551" i="13"/>
  <c r="R1372" i="13"/>
  <c r="R896" i="13"/>
  <c r="R1323" i="13"/>
  <c r="R847" i="13"/>
  <c r="R1371" i="13"/>
  <c r="R895" i="13"/>
  <c r="P1065" i="13"/>
  <c r="P589" i="13"/>
  <c r="P1077" i="13"/>
  <c r="P601" i="13"/>
  <c r="P1231" i="13"/>
  <c r="P755" i="13"/>
  <c r="P965" i="13"/>
  <c r="P489" i="13"/>
  <c r="Q1345" i="13"/>
  <c r="Q869" i="13"/>
  <c r="Q1413" i="13"/>
  <c r="Q937" i="13"/>
  <c r="R1348" i="13"/>
  <c r="R872" i="13"/>
  <c r="R1319" i="13"/>
  <c r="R843" i="13"/>
  <c r="R1344" i="13"/>
  <c r="R868" i="13"/>
  <c r="P968" i="13"/>
  <c r="P492" i="13"/>
  <c r="P996" i="13"/>
  <c r="P520" i="13"/>
  <c r="P1026" i="13"/>
  <c r="P550" i="13"/>
  <c r="P1171" i="13"/>
  <c r="P695" i="13"/>
  <c r="P1142" i="13"/>
  <c r="P666" i="13"/>
  <c r="Q1325" i="13"/>
  <c r="Q849" i="13"/>
  <c r="Q1382" i="13"/>
  <c r="Q906" i="13"/>
  <c r="Q1279" i="13"/>
  <c r="Q803" i="13"/>
  <c r="Q1393" i="13"/>
  <c r="Q917" i="13"/>
  <c r="Q1310" i="13"/>
  <c r="Q834" i="13"/>
  <c r="Q1370" i="13"/>
  <c r="Q894" i="13"/>
  <c r="R1406" i="13"/>
  <c r="R930" i="13"/>
  <c r="R1400" i="13"/>
  <c r="R924" i="13"/>
  <c r="R1380" i="13"/>
  <c r="R904" i="13"/>
  <c r="R1392" i="13"/>
  <c r="R916" i="13"/>
  <c r="R1307" i="13"/>
  <c r="R831" i="13"/>
  <c r="R1370" i="13"/>
  <c r="R894" i="13"/>
  <c r="R1331" i="13"/>
  <c r="R855" i="13"/>
  <c r="P1157" i="13"/>
  <c r="P681" i="13"/>
  <c r="P1177" i="13"/>
  <c r="P701" i="13"/>
  <c r="P1224" i="13"/>
  <c r="P748" i="13"/>
  <c r="P1087" i="13"/>
  <c r="P611" i="13"/>
  <c r="P1222" i="13"/>
  <c r="P746" i="13"/>
  <c r="P1215" i="13"/>
  <c r="P739" i="13"/>
  <c r="P1184" i="13"/>
  <c r="P708" i="13"/>
  <c r="P1129" i="13"/>
  <c r="P653" i="13"/>
  <c r="P1097" i="13"/>
  <c r="P621" i="13"/>
  <c r="P1059" i="13"/>
  <c r="P583" i="13"/>
  <c r="P1156" i="13"/>
  <c r="P680" i="13"/>
  <c r="P1094" i="13"/>
  <c r="P618" i="13"/>
  <c r="P1001" i="13"/>
  <c r="P525" i="13"/>
  <c r="P1141" i="13"/>
  <c r="P665" i="13"/>
  <c r="P1164" i="13"/>
  <c r="P688" i="13"/>
  <c r="P1007" i="13"/>
  <c r="P531" i="13"/>
  <c r="P1210" i="13"/>
  <c r="P734" i="13"/>
  <c r="P1089" i="13"/>
  <c r="P613" i="13"/>
  <c r="P1182" i="13"/>
  <c r="P706" i="13"/>
  <c r="P1257" i="13"/>
  <c r="P781" i="13"/>
  <c r="P1242" i="13"/>
  <c r="P766" i="13"/>
  <c r="P1076" i="13"/>
  <c r="P600" i="13"/>
  <c r="P1047" i="13"/>
  <c r="P571" i="13"/>
  <c r="P1273" i="13"/>
  <c r="P797" i="13"/>
  <c r="P1082" i="13"/>
  <c r="P606" i="13"/>
  <c r="Q1295" i="13"/>
  <c r="Q819" i="13"/>
  <c r="Q1343" i="13"/>
  <c r="Q867" i="13"/>
  <c r="Q1350" i="13"/>
  <c r="Q874" i="13"/>
  <c r="Q1238" i="13"/>
  <c r="Q762" i="13"/>
  <c r="Q1407" i="13"/>
  <c r="Q931" i="13"/>
  <c r="Q1420" i="13"/>
  <c r="Q944" i="13"/>
  <c r="Q1424" i="13"/>
  <c r="Q948" i="13"/>
  <c r="Q1363" i="13"/>
  <c r="Q887" i="13"/>
  <c r="Q1314" i="13"/>
  <c r="Q838" i="13"/>
  <c r="Q1399" i="13"/>
  <c r="Q923" i="13"/>
  <c r="Q1405" i="13"/>
  <c r="Q929" i="13"/>
  <c r="Q1316" i="13"/>
  <c r="Q840" i="13"/>
  <c r="Q1286" i="13"/>
  <c r="Q810" i="13"/>
  <c r="R1313" i="13"/>
  <c r="R837" i="13"/>
  <c r="R1295" i="13"/>
  <c r="R819" i="13"/>
  <c r="R1341" i="13"/>
  <c r="R865" i="13"/>
  <c r="R1418" i="13"/>
  <c r="R942" i="13"/>
  <c r="R1277" i="13"/>
  <c r="R801" i="13"/>
  <c r="R1320" i="13"/>
  <c r="R844" i="13"/>
  <c r="R1240" i="13"/>
  <c r="R764" i="13"/>
  <c r="R1275" i="13"/>
  <c r="R799" i="13"/>
  <c r="R1280" i="13"/>
  <c r="R804" i="13"/>
  <c r="R1281" i="13"/>
  <c r="R805" i="13"/>
  <c r="R1407" i="13"/>
  <c r="R931" i="13"/>
  <c r="R1283" i="13"/>
  <c r="R807" i="13"/>
  <c r="R1286" i="13"/>
  <c r="R810" i="13"/>
  <c r="R1354" i="13"/>
  <c r="R878" i="13"/>
  <c r="P1268" i="13"/>
  <c r="P792" i="13"/>
  <c r="P1256" i="13"/>
  <c r="P780" i="13"/>
  <c r="Q1312" i="13"/>
  <c r="Q836" i="13"/>
  <c r="O1432" i="13"/>
  <c r="P1190" i="13"/>
  <c r="P714" i="13"/>
  <c r="P1009" i="13"/>
  <c r="P533" i="13"/>
  <c r="Q1298" i="13"/>
  <c r="Q822" i="13"/>
  <c r="P1118" i="13"/>
  <c r="P642" i="13"/>
  <c r="P1147" i="13"/>
  <c r="P671" i="13"/>
  <c r="R1324" i="13"/>
  <c r="R848" i="13"/>
  <c r="P1264" i="13"/>
  <c r="P788" i="13"/>
  <c r="P1248" i="13"/>
  <c r="P772" i="13"/>
  <c r="P1175" i="13"/>
  <c r="P699" i="13"/>
  <c r="P1074" i="13"/>
  <c r="P598" i="13"/>
  <c r="P1194" i="13"/>
  <c r="P718" i="13"/>
  <c r="P1193" i="13"/>
  <c r="P717" i="13"/>
  <c r="P1088" i="13"/>
  <c r="P612" i="13"/>
  <c r="P1045" i="13"/>
  <c r="P569" i="13"/>
  <c r="P1120" i="13"/>
  <c r="P644" i="13"/>
  <c r="P1034" i="13"/>
  <c r="P558" i="13"/>
  <c r="P1132" i="13"/>
  <c r="P656" i="13"/>
  <c r="P1010" i="13"/>
  <c r="P534" i="13"/>
  <c r="P1063" i="13"/>
  <c r="P587" i="13"/>
  <c r="P1057" i="13"/>
  <c r="P581" i="13"/>
  <c r="P1187" i="13"/>
  <c r="P711" i="13"/>
  <c r="P1114" i="13"/>
  <c r="P638" i="13"/>
  <c r="P1172" i="13"/>
  <c r="P696" i="13"/>
  <c r="P1037" i="13"/>
  <c r="P561" i="13"/>
  <c r="P1131" i="13"/>
  <c r="P655" i="13"/>
  <c r="P1233" i="13"/>
  <c r="P757" i="13"/>
  <c r="P1011" i="13"/>
  <c r="P535" i="13"/>
  <c r="P1013" i="13"/>
  <c r="P537" i="13"/>
  <c r="P1069" i="13"/>
  <c r="P593" i="13"/>
  <c r="P1176" i="13"/>
  <c r="P700" i="13"/>
  <c r="P998" i="13"/>
  <c r="P522" i="13"/>
  <c r="Q1289" i="13"/>
  <c r="Q813" i="13"/>
  <c r="Q1406" i="13"/>
  <c r="Q930" i="13"/>
  <c r="Q1372" i="13"/>
  <c r="Q896" i="13"/>
  <c r="Q1330" i="13"/>
  <c r="Q854" i="13"/>
  <c r="Q1300" i="13"/>
  <c r="Q824" i="13"/>
  <c r="Q1324" i="13"/>
  <c r="Q848" i="13"/>
  <c r="Q1276" i="13"/>
  <c r="Q800" i="13"/>
  <c r="Q1374" i="13"/>
  <c r="Q898" i="13"/>
  <c r="Q1377" i="13"/>
  <c r="Q901" i="13"/>
  <c r="Q1338" i="13"/>
  <c r="Q862" i="13"/>
  <c r="Q1318" i="13"/>
  <c r="Q842" i="13"/>
  <c r="Q1368" i="13"/>
  <c r="Q892" i="13"/>
  <c r="Q1428" i="13"/>
  <c r="Q952" i="13"/>
  <c r="R1408" i="13"/>
  <c r="R932" i="13"/>
  <c r="R1326" i="13"/>
  <c r="R850" i="13"/>
  <c r="R1325" i="13"/>
  <c r="R849" i="13"/>
  <c r="R1346" i="13"/>
  <c r="R870" i="13"/>
  <c r="R1027" i="13"/>
  <c r="R551" i="13"/>
  <c r="R1415" i="13"/>
  <c r="R939" i="13"/>
  <c r="R1397" i="13"/>
  <c r="R921" i="13"/>
  <c r="R1382" i="13"/>
  <c r="R906" i="13"/>
  <c r="R1423" i="13"/>
  <c r="R947" i="13"/>
  <c r="R1357" i="13"/>
  <c r="R881" i="13"/>
  <c r="R1284" i="13"/>
  <c r="R808" i="13"/>
  <c r="R1378" i="13"/>
  <c r="R902" i="13"/>
  <c r="R1405" i="13"/>
  <c r="R929" i="13"/>
  <c r="R1411" i="13"/>
  <c r="R935" i="13"/>
  <c r="P1265" i="13"/>
  <c r="P789" i="13"/>
  <c r="P1110" i="13"/>
  <c r="P634" i="13"/>
  <c r="Q1301" i="13"/>
  <c r="Q825" i="13"/>
  <c r="P1080" i="13"/>
  <c r="P604" i="13"/>
  <c r="P1261" i="13"/>
  <c r="P785" i="13"/>
  <c r="Q1299" i="13"/>
  <c r="Q823" i="13"/>
  <c r="P972" i="13"/>
  <c r="P496" i="13"/>
  <c r="R1366" i="13"/>
  <c r="R890" i="13"/>
  <c r="P1205" i="13"/>
  <c r="P729" i="13"/>
  <c r="P1191" i="13"/>
  <c r="P715" i="13"/>
  <c r="P1188" i="13"/>
  <c r="P712" i="13"/>
  <c r="P667" i="13"/>
  <c r="P1143" i="13"/>
  <c r="P1251" i="13"/>
  <c r="P775" i="13"/>
  <c r="P1023" i="13"/>
  <c r="P547" i="13"/>
  <c r="P961" i="13"/>
  <c r="P485" i="13"/>
  <c r="P1229" i="13"/>
  <c r="P753" i="13"/>
  <c r="P1104" i="13"/>
  <c r="P628" i="13"/>
  <c r="P1096" i="13"/>
  <c r="P620" i="13"/>
  <c r="P1149" i="13"/>
  <c r="P673" i="13"/>
  <c r="P1012" i="13"/>
  <c r="P536" i="13"/>
  <c r="P1161" i="13"/>
  <c r="P685" i="13"/>
  <c r="P1134" i="13"/>
  <c r="P658" i="13"/>
  <c r="P1091" i="13"/>
  <c r="P615" i="13"/>
  <c r="P1196" i="13"/>
  <c r="P720" i="13"/>
  <c r="P970" i="13"/>
  <c r="P494" i="13"/>
  <c r="P1266" i="13"/>
  <c r="P790" i="13"/>
  <c r="P1100" i="13"/>
  <c r="P624" i="13"/>
  <c r="P1071" i="13"/>
  <c r="P595" i="13"/>
  <c r="P1015" i="13"/>
  <c r="P539" i="13"/>
  <c r="P1166" i="13"/>
  <c r="P690" i="13"/>
  <c r="P1075" i="13"/>
  <c r="P599" i="13"/>
  <c r="P1103" i="13"/>
  <c r="P627" i="13"/>
  <c r="P1199" i="13"/>
  <c r="P723" i="13"/>
  <c r="P1044" i="13"/>
  <c r="P568" i="13"/>
  <c r="Q1240" i="13"/>
  <c r="Q764" i="13"/>
  <c r="Q1341" i="13"/>
  <c r="Q865" i="13"/>
  <c r="Q1348" i="13"/>
  <c r="Q872" i="13"/>
  <c r="Q1327" i="13"/>
  <c r="Q851" i="13"/>
  <c r="Q1421" i="13"/>
  <c r="Q945" i="13"/>
  <c r="Q1337" i="13"/>
  <c r="Q861" i="13"/>
  <c r="Q1322" i="13"/>
  <c r="Q846" i="13"/>
  <c r="Q1290" i="13"/>
  <c r="Q814" i="13"/>
  <c r="Q1358" i="13"/>
  <c r="Q882" i="13"/>
  <c r="Q1353" i="13"/>
  <c r="Q877" i="13"/>
  <c r="Q1375" i="13"/>
  <c r="Q899" i="13"/>
  <c r="Q1284" i="13"/>
  <c r="Q808" i="13"/>
  <c r="Q1391" i="13"/>
  <c r="Q915" i="13"/>
  <c r="R1384" i="13"/>
  <c r="R908" i="13"/>
  <c r="R1383" i="13"/>
  <c r="R907" i="13"/>
  <c r="R1300" i="13"/>
  <c r="R824" i="13"/>
  <c r="R1429" i="13"/>
  <c r="R953" i="13"/>
  <c r="R1361" i="13"/>
  <c r="R885" i="13"/>
  <c r="R1386" i="13"/>
  <c r="R910" i="13"/>
  <c r="R1430" i="13"/>
  <c r="R954" i="13"/>
  <c r="R1393" i="13"/>
  <c r="R917" i="13"/>
  <c r="R1279" i="13"/>
  <c r="R803" i="13"/>
  <c r="R1332" i="13"/>
  <c r="R856" i="13"/>
  <c r="R1413" i="13"/>
  <c r="R937" i="13"/>
  <c r="R1282" i="13"/>
  <c r="R806" i="13"/>
  <c r="R1428" i="13"/>
  <c r="R952" i="13"/>
  <c r="R1362" i="13"/>
  <c r="R886" i="13"/>
  <c r="F538" i="12"/>
  <c r="F572" i="12" s="1"/>
  <c r="P1259" i="13"/>
  <c r="P783" i="13"/>
  <c r="P1117" i="13"/>
  <c r="P641" i="13"/>
  <c r="Q1409" i="13"/>
  <c r="Q933" i="13"/>
  <c r="Q133" i="13"/>
  <c r="Q169" i="13"/>
  <c r="Q146" i="13"/>
  <c r="Q99" i="13"/>
  <c r="Q62" i="13"/>
  <c r="Q41" i="13"/>
  <c r="Q42" i="13"/>
  <c r="Q234" i="13"/>
  <c r="Q55" i="13"/>
  <c r="Q91" i="13"/>
  <c r="Q98" i="13"/>
  <c r="Q20" i="13"/>
  <c r="Q153" i="13"/>
  <c r="Q51" i="13"/>
  <c r="Q114" i="13"/>
  <c r="Q46" i="13"/>
  <c r="Q132" i="13"/>
  <c r="Q211" i="13"/>
  <c r="Q308" i="13"/>
  <c r="Q238" i="13"/>
  <c r="Q251" i="13"/>
  <c r="Q25" i="13"/>
  <c r="Q100" i="13"/>
  <c r="Q125" i="13"/>
  <c r="Q158" i="13"/>
  <c r="Q31" i="13"/>
  <c r="Q175" i="13"/>
  <c r="Q128" i="13"/>
  <c r="Q33" i="13"/>
  <c r="Q93" i="13"/>
  <c r="Q94" i="13"/>
  <c r="Q154" i="13"/>
  <c r="Q11" i="13"/>
  <c r="Q47" i="13"/>
  <c r="Q131" i="13"/>
  <c r="Q191" i="13"/>
  <c r="Q14" i="13"/>
  <c r="Q12" i="13"/>
  <c r="Q36" i="13"/>
  <c r="Q267" i="13"/>
  <c r="Q256" i="13"/>
  <c r="Q257" i="13"/>
  <c r="Q235" i="13"/>
  <c r="Q164" i="13"/>
  <c r="Q248" i="13"/>
  <c r="Q189" i="13"/>
  <c r="Q225" i="13"/>
  <c r="Q322" i="13"/>
  <c r="Q229" i="13"/>
  <c r="Q49" i="13"/>
  <c r="Q157" i="13"/>
  <c r="Q193" i="13"/>
  <c r="Q135" i="13"/>
  <c r="Q40" i="13"/>
  <c r="Q111" i="13"/>
  <c r="Q65" i="13"/>
  <c r="Q222" i="13"/>
  <c r="Q270" i="13"/>
  <c r="Q115" i="13"/>
  <c r="Q199" i="13"/>
  <c r="Q152" i="13"/>
  <c r="Q237" i="13"/>
  <c r="Q156" i="13"/>
  <c r="Q204" i="13"/>
  <c r="Q207" i="13"/>
  <c r="Q172" i="13"/>
  <c r="Q259" i="13"/>
  <c r="Q188" i="13"/>
  <c r="Q97" i="13"/>
  <c r="Q195" i="13"/>
  <c r="Q124" i="13"/>
  <c r="Q206" i="13"/>
  <c r="Q149" i="13"/>
  <c r="Q173" i="13"/>
  <c r="Q54" i="13"/>
  <c r="Q27" i="13"/>
  <c r="Q117" i="13"/>
  <c r="Q178" i="13"/>
  <c r="Q202" i="13"/>
  <c r="Q71" i="13"/>
  <c r="Q155" i="13"/>
  <c r="Q215" i="13"/>
  <c r="Q60" i="13"/>
  <c r="Q96" i="13"/>
  <c r="Q291" i="13"/>
  <c r="Q196" i="13"/>
  <c r="Q280" i="13"/>
  <c r="Q281" i="13"/>
  <c r="Q272" i="13"/>
  <c r="Q73" i="13"/>
  <c r="Q217" i="13"/>
  <c r="Q38" i="13"/>
  <c r="Q159" i="13"/>
  <c r="Q64" i="13"/>
  <c r="Q89" i="13"/>
  <c r="Q282" i="13"/>
  <c r="Q306" i="13"/>
  <c r="Q139" i="13"/>
  <c r="Q163" i="13"/>
  <c r="Q32" i="13"/>
  <c r="Q92" i="13"/>
  <c r="Q34" i="13"/>
  <c r="Q118" i="13"/>
  <c r="Q110" i="13"/>
  <c r="Q95" i="13"/>
  <c r="Q63" i="13"/>
  <c r="Q150" i="13"/>
  <c r="Q180" i="13"/>
  <c r="Q228" i="13"/>
  <c r="Q231" i="13"/>
  <c r="Q220" i="13"/>
  <c r="Q304" i="13"/>
  <c r="Q305" i="13"/>
  <c r="Q283" i="13"/>
  <c r="Q212" i="13"/>
  <c r="Q121" i="13"/>
  <c r="Q28" i="13"/>
  <c r="Q148" i="13"/>
  <c r="Q86" i="13"/>
  <c r="Q138" i="13"/>
  <c r="Q50" i="13"/>
  <c r="Q43" i="13"/>
  <c r="Q79" i="13"/>
  <c r="Q80" i="13"/>
  <c r="Q162" i="13"/>
  <c r="Q57" i="13"/>
  <c r="Q141" i="13"/>
  <c r="Q18" i="13"/>
  <c r="Q142" i="13"/>
  <c r="Q22" i="13"/>
  <c r="Q179" i="13"/>
  <c r="Q120" i="13"/>
  <c r="Q315" i="13"/>
  <c r="Q221" i="13"/>
  <c r="Q307" i="13"/>
  <c r="Q296" i="13"/>
  <c r="Q297" i="13"/>
  <c r="Q226" i="13"/>
  <c r="Q239" i="13"/>
  <c r="Q323" i="13"/>
  <c r="Q13" i="13"/>
  <c r="Q181" i="13"/>
  <c r="Q88" i="13"/>
  <c r="Q29" i="13"/>
  <c r="Q113" i="13"/>
  <c r="Q197" i="13"/>
  <c r="Q186" i="13"/>
  <c r="Q19" i="13"/>
  <c r="Q56" i="13"/>
  <c r="Q116" i="13"/>
  <c r="Q21" i="13"/>
  <c r="Q81" i="13"/>
  <c r="Q30" i="13"/>
  <c r="Q35" i="13"/>
  <c r="Q119" i="13"/>
  <c r="Q255" i="13"/>
  <c r="Q184" i="13"/>
  <c r="Q244" i="13"/>
  <c r="Q245" i="13"/>
  <c r="Q176" i="13"/>
  <c r="Q236" i="13"/>
  <c r="Q213" i="13"/>
  <c r="Q321" i="13"/>
  <c r="Q37" i="13"/>
  <c r="Q145" i="13"/>
  <c r="Q39" i="13"/>
  <c r="Q123" i="13"/>
  <c r="Q87" i="13"/>
  <c r="Q53" i="13"/>
  <c r="Q246" i="13"/>
  <c r="Q103" i="13"/>
  <c r="Q15" i="13"/>
  <c r="Q74" i="13"/>
  <c r="Q82" i="13"/>
  <c r="Q58" i="13"/>
  <c r="Q144" i="13"/>
  <c r="Q160" i="13"/>
  <c r="Q223" i="13"/>
  <c r="Q247" i="13"/>
  <c r="Q320" i="13"/>
  <c r="Q85" i="13"/>
  <c r="Q183" i="13"/>
  <c r="Q112" i="13"/>
  <c r="Q137" i="13"/>
  <c r="Q75" i="13"/>
  <c r="Q126" i="13"/>
  <c r="Q67" i="13"/>
  <c r="Q187" i="13"/>
  <c r="Q140" i="13"/>
  <c r="Q134" i="13"/>
  <c r="Q90" i="13"/>
  <c r="Q105" i="13"/>
  <c r="Q210" i="13"/>
  <c r="Q166" i="13"/>
  <c r="Q23" i="13"/>
  <c r="Q59" i="13"/>
  <c r="Q143" i="13"/>
  <c r="Q203" i="13"/>
  <c r="Q122" i="13"/>
  <c r="Q24" i="13"/>
  <c r="Q48" i="13"/>
  <c r="Q84" i="13"/>
  <c r="Q279" i="13"/>
  <c r="Q268" i="13"/>
  <c r="Q269" i="13"/>
  <c r="Q260" i="13"/>
  <c r="Q261" i="13"/>
  <c r="Q240" i="13"/>
  <c r="Q241" i="13"/>
  <c r="Q171" i="13"/>
  <c r="Q17" i="13"/>
  <c r="Q101" i="13"/>
  <c r="Q318" i="13"/>
  <c r="Q151" i="13"/>
  <c r="Q44" i="13"/>
  <c r="Q102" i="13"/>
  <c r="Q70" i="13"/>
  <c r="Q130" i="13"/>
  <c r="Q107" i="13"/>
  <c r="Q72" i="13"/>
  <c r="Q243" i="13"/>
  <c r="Q232" i="13"/>
  <c r="Q316" i="13"/>
  <c r="Q233" i="13"/>
  <c r="Q317" i="13"/>
  <c r="Q61" i="13"/>
  <c r="Q109" i="13"/>
  <c r="Q174" i="13"/>
  <c r="Q26" i="13"/>
  <c r="Q216" i="13"/>
  <c r="Q284" i="13"/>
  <c r="Q254" i="13"/>
  <c r="Q275" i="13"/>
  <c r="Q168" i="13"/>
  <c r="Q271" i="13"/>
  <c r="Q285" i="13"/>
  <c r="Q227" i="13"/>
  <c r="Q252" i="13"/>
  <c r="Q276" i="13"/>
  <c r="Q253" i="13"/>
  <c r="Q194" i="13"/>
  <c r="Q185" i="13"/>
  <c r="Q295" i="13"/>
  <c r="Q262" i="13"/>
  <c r="Q45" i="13"/>
  <c r="Q190" i="13"/>
  <c r="Q198" i="13"/>
  <c r="Q208" i="13"/>
  <c r="Q214" i="13"/>
  <c r="Q311" i="13"/>
  <c r="Q300" i="13"/>
  <c r="Q277" i="13"/>
  <c r="Q302" i="13"/>
  <c r="Q16" i="13"/>
  <c r="Q258" i="13"/>
  <c r="Q301" i="13"/>
  <c r="Q218" i="13"/>
  <c r="Q278" i="13"/>
  <c r="Q313" i="13"/>
  <c r="Q205" i="13"/>
  <c r="Q161" i="13"/>
  <c r="Q127" i="13"/>
  <c r="Q274" i="13"/>
  <c r="Q294" i="13"/>
  <c r="Q303" i="13"/>
  <c r="Q209" i="13"/>
  <c r="Q319" i="13"/>
  <c r="Q298" i="13"/>
  <c r="Q242" i="13"/>
  <c r="Q10" i="13"/>
  <c r="Q266" i="13"/>
  <c r="Q299" i="13"/>
  <c r="Q230" i="13"/>
  <c r="Q136" i="13"/>
  <c r="Q167" i="13"/>
  <c r="Q250" i="13"/>
  <c r="Q263" i="13"/>
  <c r="Q170" i="13"/>
  <c r="Q106" i="13"/>
  <c r="Q78" i="13"/>
  <c r="Q192" i="13"/>
  <c r="Q224" i="13"/>
  <c r="Q165" i="13"/>
  <c r="Q273" i="13"/>
  <c r="Q264" i="13"/>
  <c r="Q265" i="13"/>
  <c r="Q182" i="13"/>
  <c r="Q290" i="13"/>
  <c r="Q52" i="13"/>
  <c r="Q69" i="13"/>
  <c r="Q219" i="13"/>
  <c r="Q201" i="13"/>
  <c r="Q288" i="13"/>
  <c r="Q312" i="13"/>
  <c r="Q314" i="13"/>
  <c r="Q77" i="13"/>
  <c r="Q104" i="13"/>
  <c r="Q83" i="13"/>
  <c r="Q292" i="13"/>
  <c r="Q310" i="13"/>
  <c r="Q129" i="13"/>
  <c r="Q309" i="13"/>
  <c r="Q147" i="13"/>
  <c r="Q108" i="13"/>
  <c r="Q200" i="13"/>
  <c r="Q249" i="13"/>
  <c r="Q286" i="13"/>
  <c r="Q177" i="13"/>
  <c r="P1053" i="13"/>
  <c r="P577" i="13"/>
  <c r="P983" i="13"/>
  <c r="P507" i="13"/>
  <c r="N956" i="13"/>
  <c r="P1274" i="13"/>
  <c r="P798" i="13"/>
  <c r="P1090" i="13"/>
  <c r="P614" i="13"/>
  <c r="R1330" i="13"/>
  <c r="R854" i="13"/>
  <c r="F427" i="12"/>
  <c r="F461" i="12" s="1"/>
  <c r="P1263" i="13"/>
  <c r="P787" i="13"/>
  <c r="P1250" i="13"/>
  <c r="P774" i="13"/>
  <c r="P1152" i="13"/>
  <c r="P676" i="13"/>
  <c r="P1029" i="13"/>
  <c r="P553" i="13"/>
  <c r="P1249" i="13"/>
  <c r="P773" i="13"/>
  <c r="P1031" i="13"/>
  <c r="P555" i="13"/>
  <c r="P1253" i="13"/>
  <c r="P777" i="13"/>
  <c r="P1204" i="13"/>
  <c r="P728" i="13"/>
  <c r="P971" i="13"/>
  <c r="P495" i="13"/>
  <c r="P1036" i="13"/>
  <c r="P560" i="13"/>
  <c r="P981" i="13"/>
  <c r="P505" i="13"/>
  <c r="P1211" i="13"/>
  <c r="P735" i="13"/>
  <c r="P493" i="13"/>
  <c r="P969" i="13"/>
  <c r="P1048" i="13"/>
  <c r="P572" i="13"/>
  <c r="P966" i="13"/>
  <c r="P490" i="13"/>
  <c r="P1195" i="13"/>
  <c r="P719" i="13"/>
  <c r="P1137" i="13"/>
  <c r="P661" i="13"/>
  <c r="P1155" i="13"/>
  <c r="P679" i="13"/>
  <c r="P1062" i="13"/>
  <c r="P586" i="13"/>
  <c r="P1101" i="13"/>
  <c r="P625" i="13"/>
  <c r="P1168" i="13"/>
  <c r="P692" i="13"/>
  <c r="P1106" i="13"/>
  <c r="P630" i="13"/>
  <c r="P1146" i="13"/>
  <c r="P670" i="13"/>
  <c r="P1066" i="13"/>
  <c r="P590" i="13"/>
  <c r="P1246" i="13"/>
  <c r="P770" i="13"/>
  <c r="P1020" i="13"/>
  <c r="P544" i="13"/>
  <c r="Q1384" i="13"/>
  <c r="Q908" i="13"/>
  <c r="Q1431" i="13"/>
  <c r="Q955" i="13"/>
  <c r="Q1313" i="13"/>
  <c r="Q837" i="13"/>
  <c r="Q1328" i="13"/>
  <c r="Q852" i="13"/>
  <c r="Q1396" i="13"/>
  <c r="Q920" i="13"/>
  <c r="Q1311" i="13"/>
  <c r="Q835" i="13"/>
  <c r="Q1369" i="13"/>
  <c r="Q893" i="13"/>
  <c r="Q1285" i="13"/>
  <c r="Q809" i="13"/>
  <c r="Q1317" i="13"/>
  <c r="Q841" i="13"/>
  <c r="Q1416" i="13"/>
  <c r="Q940" i="13"/>
  <c r="Q1376" i="13"/>
  <c r="Q900" i="13"/>
  <c r="Q1362" i="13"/>
  <c r="Q886" i="13"/>
  <c r="Q1307" i="13"/>
  <c r="Q831" i="13"/>
  <c r="Q1351" i="13"/>
  <c r="Q875" i="13"/>
  <c r="R1360" i="13"/>
  <c r="R884" i="13"/>
  <c r="R1349" i="13"/>
  <c r="R873" i="13"/>
  <c r="R1369" i="13"/>
  <c r="R893" i="13"/>
  <c r="R1333" i="13"/>
  <c r="R857" i="13"/>
  <c r="R1276" i="13"/>
  <c r="R800" i="13"/>
  <c r="R1288" i="13"/>
  <c r="R812" i="13"/>
  <c r="R1417" i="13"/>
  <c r="R941" i="13"/>
  <c r="R1296" i="13"/>
  <c r="R820" i="13"/>
  <c r="R1350" i="13"/>
  <c r="R874" i="13"/>
  <c r="R1343" i="13"/>
  <c r="R867" i="13"/>
  <c r="R1367" i="13"/>
  <c r="R891" i="13"/>
  <c r="R1292" i="13"/>
  <c r="R816" i="13"/>
  <c r="R1391" i="13"/>
  <c r="R915" i="13"/>
  <c r="R1302" i="13"/>
  <c r="R826" i="13"/>
  <c r="F545" i="12"/>
  <c r="F579" i="12" s="1"/>
  <c r="P1227" i="13"/>
  <c r="P751" i="13"/>
  <c r="P985" i="13"/>
  <c r="P509" i="13"/>
  <c r="Q1354" i="13"/>
  <c r="Q878" i="13"/>
  <c r="P1192" i="13"/>
  <c r="P716" i="13"/>
  <c r="P1108" i="13"/>
  <c r="P632" i="13"/>
  <c r="Q1352" i="13"/>
  <c r="Q876" i="13"/>
  <c r="P1217" i="13"/>
  <c r="P741" i="13"/>
  <c r="R1314" i="13"/>
  <c r="R838" i="13"/>
  <c r="P1235" i="13"/>
  <c r="P759" i="13"/>
  <c r="P1198" i="13"/>
  <c r="P722" i="13"/>
  <c r="P1105" i="13"/>
  <c r="P629" i="13"/>
  <c r="P1239" i="13"/>
  <c r="P763" i="13"/>
  <c r="P1247" i="13"/>
  <c r="P771" i="13"/>
  <c r="P1072" i="13"/>
  <c r="P596" i="13"/>
  <c r="P1228" i="13"/>
  <c r="P752" i="13"/>
  <c r="P1180" i="13"/>
  <c r="P704" i="13"/>
  <c r="P1079" i="13"/>
  <c r="P603" i="13"/>
  <c r="P1225" i="13"/>
  <c r="P749" i="13"/>
  <c r="P977" i="13"/>
  <c r="P501" i="13"/>
  <c r="P1270" i="13"/>
  <c r="P794" i="13"/>
  <c r="P1056" i="13"/>
  <c r="P580" i="13"/>
  <c r="P1271" i="13"/>
  <c r="P795" i="13"/>
  <c r="P1054" i="13"/>
  <c r="P578" i="13"/>
  <c r="P1135" i="13"/>
  <c r="P659" i="13"/>
  <c r="P1148" i="13"/>
  <c r="P672" i="13"/>
  <c r="P1130" i="13"/>
  <c r="P654" i="13"/>
  <c r="P1099" i="13"/>
  <c r="P623" i="13"/>
  <c r="P1014" i="13"/>
  <c r="P538" i="13"/>
  <c r="P1084" i="13"/>
  <c r="P608" i="13"/>
  <c r="P1022" i="13"/>
  <c r="P546" i="13"/>
  <c r="P1050" i="13"/>
  <c r="P574" i="13"/>
  <c r="P1221" i="13"/>
  <c r="P745" i="13"/>
  <c r="P1208" i="13"/>
  <c r="P732" i="13"/>
  <c r="P984" i="13"/>
  <c r="P508" i="13"/>
  <c r="Q1340" i="13"/>
  <c r="Q864" i="13"/>
  <c r="Q1287" i="13"/>
  <c r="Q811" i="13"/>
  <c r="Q1360" i="13"/>
  <c r="Q884" i="13"/>
  <c r="Q1418" i="13"/>
  <c r="Q942" i="13"/>
  <c r="Q1361" i="13"/>
  <c r="Q885" i="13"/>
  <c r="Q1392" i="13"/>
  <c r="Q916" i="13"/>
  <c r="Q1400" i="13"/>
  <c r="Q924" i="13"/>
  <c r="Q1380" i="13"/>
  <c r="Q904" i="13"/>
  <c r="Q1304" i="13"/>
  <c r="Q828" i="13"/>
  <c r="Q1403" i="13"/>
  <c r="Q927" i="13"/>
  <c r="Q1427" i="13"/>
  <c r="Q951" i="13"/>
  <c r="Q541" i="13"/>
  <c r="Q1017" i="13"/>
  <c r="Q1378" i="13"/>
  <c r="Q902" i="13"/>
  <c r="Q1309" i="13"/>
  <c r="Q833" i="13"/>
  <c r="R1336" i="13"/>
  <c r="R860" i="13"/>
  <c r="R1285" i="13"/>
  <c r="R809" i="13"/>
  <c r="R1388" i="13"/>
  <c r="R912" i="13"/>
  <c r="R1427" i="13"/>
  <c r="R951" i="13"/>
  <c r="R1416" i="13"/>
  <c r="R940" i="13"/>
  <c r="R1301" i="13"/>
  <c r="R825" i="13"/>
  <c r="R1321" i="13"/>
  <c r="R845" i="13"/>
  <c r="R1379" i="13"/>
  <c r="R903" i="13"/>
  <c r="R1377" i="13"/>
  <c r="R901" i="13"/>
  <c r="R1342" i="13"/>
  <c r="R866" i="13"/>
  <c r="R1376" i="13"/>
  <c r="R900" i="13"/>
  <c r="R1291" i="13"/>
  <c r="R815" i="13"/>
  <c r="R1351" i="13"/>
  <c r="R875" i="13"/>
  <c r="R1335" i="13"/>
  <c r="R859" i="13"/>
  <c r="O956" i="13"/>
  <c r="P1216" i="13"/>
  <c r="P740" i="13"/>
  <c r="P1174" i="13"/>
  <c r="P698" i="13"/>
  <c r="P1035" i="13"/>
  <c r="P559" i="13"/>
  <c r="P1043" i="13"/>
  <c r="P567" i="13"/>
  <c r="P976" i="13"/>
  <c r="P500" i="13"/>
  <c r="Q1429" i="13"/>
  <c r="Q953" i="13"/>
  <c r="Q1281" i="13"/>
  <c r="Q805" i="13"/>
  <c r="Q1347" i="13"/>
  <c r="Q871" i="13"/>
  <c r="R1322" i="13"/>
  <c r="R846" i="13"/>
  <c r="R1317" i="13"/>
  <c r="R841" i="13"/>
  <c r="R1402" i="13"/>
  <c r="R926" i="13"/>
  <c r="P1203" i="13"/>
  <c r="P727" i="13"/>
  <c r="P1064" i="13"/>
  <c r="P588" i="13"/>
  <c r="P1150" i="13"/>
  <c r="P674" i="13"/>
  <c r="P1123" i="13"/>
  <c r="P647" i="13"/>
  <c r="Q1244" i="13"/>
  <c r="Q768" i="13"/>
  <c r="Q1379" i="13"/>
  <c r="Q903" i="13"/>
  <c r="Q1323" i="13"/>
  <c r="Q847" i="13"/>
  <c r="R1287" i="13"/>
  <c r="R811" i="13"/>
  <c r="R1298" i="13"/>
  <c r="R822" i="13"/>
  <c r="R1424" i="13"/>
  <c r="R948" i="13"/>
  <c r="R1328" i="13"/>
  <c r="R852" i="13"/>
  <c r="P1115" i="13"/>
  <c r="P639" i="13"/>
  <c r="P1098" i="13"/>
  <c r="P622" i="13"/>
  <c r="P1154" i="13"/>
  <c r="P678" i="13"/>
  <c r="P964" i="13"/>
  <c r="P488" i="13"/>
  <c r="P1158" i="13"/>
  <c r="P682" i="13"/>
  <c r="Q1308" i="13"/>
  <c r="Q832" i="13"/>
  <c r="Q1365" i="13"/>
  <c r="Q889" i="13"/>
  <c r="R1373" i="13"/>
  <c r="R897" i="13"/>
  <c r="F435" i="12"/>
  <c r="F469" i="12" s="1"/>
  <c r="P1021" i="13"/>
  <c r="P545" i="13"/>
  <c r="P1183" i="13"/>
  <c r="P707" i="13"/>
  <c r="P1025" i="13"/>
  <c r="P549" i="13"/>
  <c r="P1237" i="13"/>
  <c r="P761" i="13"/>
  <c r="P1160" i="13"/>
  <c r="P684" i="13"/>
  <c r="P1169" i="13"/>
  <c r="P693" i="13"/>
  <c r="P1262" i="13"/>
  <c r="P786" i="13"/>
  <c r="P1178" i="13"/>
  <c r="P702" i="13"/>
  <c r="P1049" i="13"/>
  <c r="P573" i="13"/>
  <c r="P1128" i="13"/>
  <c r="P652" i="13"/>
  <c r="P1081" i="13"/>
  <c r="P605" i="13"/>
  <c r="P1220" i="13"/>
  <c r="P744" i="13"/>
  <c r="P1041" i="13"/>
  <c r="P565" i="13"/>
  <c r="P1234" i="13"/>
  <c r="P758" i="13"/>
  <c r="P1197" i="13"/>
  <c r="P721" i="13"/>
  <c r="P1206" i="13"/>
  <c r="P730" i="13"/>
  <c r="P1124" i="13"/>
  <c r="P648" i="13"/>
  <c r="P973" i="13"/>
  <c r="P497" i="13"/>
  <c r="P979" i="13"/>
  <c r="P503" i="13"/>
  <c r="P1046" i="13"/>
  <c r="P570" i="13"/>
  <c r="P1024" i="13"/>
  <c r="P548" i="13"/>
  <c r="P1153" i="13"/>
  <c r="P677" i="13"/>
  <c r="P1060" i="13"/>
  <c r="P584" i="13"/>
  <c r="P1173" i="13"/>
  <c r="P697" i="13"/>
  <c r="P1207" i="13"/>
  <c r="P731" i="13"/>
  <c r="P1126" i="13"/>
  <c r="P650" i="13"/>
  <c r="Q1397" i="13"/>
  <c r="Q921" i="13"/>
  <c r="Q1404" i="13"/>
  <c r="Q928" i="13"/>
  <c r="Q1383" i="13"/>
  <c r="Q907" i="13"/>
  <c r="Q1346" i="13"/>
  <c r="Q870" i="13"/>
  <c r="Q1275" i="13"/>
  <c r="Q799" i="13"/>
  <c r="Q1320" i="13"/>
  <c r="Q844" i="13"/>
  <c r="Q1335" i="13"/>
  <c r="Q859" i="13"/>
  <c r="Q1390" i="13"/>
  <c r="Q914" i="13"/>
  <c r="Q1319" i="13"/>
  <c r="Q843" i="13"/>
  <c r="Q1333" i="13"/>
  <c r="Q857" i="13"/>
  <c r="Q1283" i="13"/>
  <c r="Q807" i="13"/>
  <c r="Q1329" i="13"/>
  <c r="Q853" i="13"/>
  <c r="Q1294" i="13"/>
  <c r="Q818" i="13"/>
  <c r="Q1386" i="13"/>
  <c r="Q910" i="13"/>
  <c r="R1312" i="13"/>
  <c r="R836" i="13"/>
  <c r="R1316" i="13"/>
  <c r="R840" i="13"/>
  <c r="R1404" i="13"/>
  <c r="R928" i="13"/>
  <c r="R1303" i="13"/>
  <c r="R827" i="13"/>
  <c r="R1390" i="13"/>
  <c r="R914" i="13"/>
  <c r="R1311" i="13"/>
  <c r="R835" i="13"/>
  <c r="R1414" i="13"/>
  <c r="R938" i="13"/>
  <c r="R1306" i="13"/>
  <c r="R830" i="13"/>
  <c r="R1403" i="13"/>
  <c r="R927" i="13"/>
  <c r="R1399" i="13"/>
  <c r="R923" i="13"/>
  <c r="R1318" i="13"/>
  <c r="R842" i="13"/>
  <c r="R1338" i="13"/>
  <c r="R862" i="13"/>
  <c r="R1422" i="13"/>
  <c r="R946" i="13"/>
  <c r="R1365" i="13"/>
  <c r="R889" i="13"/>
  <c r="F548" i="12"/>
  <c r="F582" i="12" s="1"/>
  <c r="P997" i="13"/>
  <c r="P521" i="13"/>
  <c r="P994" i="13"/>
  <c r="P518" i="13"/>
  <c r="P1232" i="13"/>
  <c r="P756" i="13"/>
  <c r="P963" i="13"/>
  <c r="P487" i="13"/>
  <c r="Q1401" i="13"/>
  <c r="Q925" i="13"/>
  <c r="Q1019" i="13"/>
  <c r="Q543" i="13"/>
  <c r="R1409" i="13"/>
  <c r="R933" i="13"/>
  <c r="R1387" i="13"/>
  <c r="R911" i="13"/>
  <c r="R541" i="13"/>
  <c r="R1017" i="13"/>
  <c r="P491" i="13"/>
  <c r="P967" i="13"/>
  <c r="P1073" i="13"/>
  <c r="P597" i="13"/>
  <c r="P1255" i="13"/>
  <c r="P779" i="13"/>
  <c r="P1144" i="13"/>
  <c r="P668" i="13"/>
  <c r="Q1373" i="13"/>
  <c r="Q897" i="13"/>
  <c r="Q1342" i="13"/>
  <c r="Q866" i="13"/>
  <c r="R1309" i="13"/>
  <c r="R833" i="13"/>
  <c r="R1352" i="13"/>
  <c r="R876" i="13"/>
  <c r="R1315" i="13"/>
  <c r="R839" i="13"/>
  <c r="F534" i="12"/>
  <c r="F568" i="12" s="1"/>
  <c r="P1181" i="13"/>
  <c r="P705" i="13"/>
  <c r="P1003" i="13"/>
  <c r="P527" i="13"/>
  <c r="P1030" i="13"/>
  <c r="P554" i="13"/>
  <c r="P1000" i="13"/>
  <c r="P524" i="13"/>
  <c r="Q1394" i="13"/>
  <c r="Q918" i="13"/>
  <c r="Q1306" i="13"/>
  <c r="Q830" i="13"/>
  <c r="Q1367" i="13"/>
  <c r="Q891" i="13"/>
  <c r="R1425" i="13"/>
  <c r="R949" i="13"/>
  <c r="F445" i="12"/>
  <c r="F479" i="12" s="1"/>
  <c r="F421" i="12"/>
  <c r="F455" i="12" s="1"/>
  <c r="M1432" i="13"/>
  <c r="P1102" i="13"/>
  <c r="P626" i="13"/>
  <c r="P974" i="13"/>
  <c r="P498" i="13"/>
  <c r="P995" i="13"/>
  <c r="P519" i="13"/>
  <c r="P1133" i="13"/>
  <c r="P657" i="13"/>
  <c r="P1267" i="13"/>
  <c r="P791" i="13"/>
  <c r="P1145" i="13"/>
  <c r="P669" i="13"/>
  <c r="P1202" i="13"/>
  <c r="P726" i="13"/>
  <c r="P1260" i="13"/>
  <c r="P784" i="13"/>
  <c r="P1042" i="13"/>
  <c r="P566" i="13"/>
  <c r="P1186" i="13"/>
  <c r="P710" i="13"/>
  <c r="P1125" i="13"/>
  <c r="P649" i="13"/>
  <c r="P1219" i="13"/>
  <c r="P743" i="13"/>
  <c r="P1085" i="13"/>
  <c r="P609" i="13"/>
  <c r="P1111" i="13"/>
  <c r="P635" i="13"/>
  <c r="P1004" i="13"/>
  <c r="P528" i="13"/>
  <c r="P619" i="13"/>
  <c r="P1095" i="13"/>
  <c r="P1040" i="13"/>
  <c r="P564" i="13"/>
  <c r="P1033" i="13"/>
  <c r="P557" i="13"/>
  <c r="P1086" i="13"/>
  <c r="P610" i="13"/>
  <c r="P486" i="13"/>
  <c r="P962" i="13"/>
  <c r="P1116" i="13"/>
  <c r="P640" i="13"/>
  <c r="P1068" i="13"/>
  <c r="P592" i="13"/>
  <c r="P1226" i="13"/>
  <c r="P750" i="13"/>
  <c r="P1136" i="13"/>
  <c r="P660" i="13"/>
  <c r="P1218" i="13"/>
  <c r="P742" i="13"/>
  <c r="P506" i="13"/>
  <c r="P982" i="13"/>
  <c r="Q1359" i="13"/>
  <c r="Q883" i="13"/>
  <c r="Q1332" i="13"/>
  <c r="Q856" i="13"/>
  <c r="Q1334" i="13"/>
  <c r="Q858" i="13"/>
  <c r="Q1331" i="13"/>
  <c r="Q855" i="13"/>
  <c r="Q1388" i="13"/>
  <c r="Q912" i="13"/>
  <c r="Q1415" i="13"/>
  <c r="Q939" i="13"/>
  <c r="Q1297" i="13"/>
  <c r="Q821" i="13"/>
  <c r="Q1321" i="13"/>
  <c r="Q845" i="13"/>
  <c r="Q1366" i="13"/>
  <c r="Q890" i="13"/>
  <c r="Q1426" i="13"/>
  <c r="Q950" i="13"/>
  <c r="Q1402" i="13"/>
  <c r="Q926" i="13"/>
  <c r="Q1419" i="13"/>
  <c r="Q943" i="13"/>
  <c r="Q1292" i="13"/>
  <c r="Q816" i="13"/>
  <c r="Q1278" i="13"/>
  <c r="Q802" i="13"/>
  <c r="R1358" i="13"/>
  <c r="R882" i="13"/>
  <c r="R1356" i="13"/>
  <c r="R880" i="13"/>
  <c r="R1385" i="13"/>
  <c r="R909" i="13"/>
  <c r="R1412" i="13"/>
  <c r="R936" i="13"/>
  <c r="R1401" i="13"/>
  <c r="R925" i="13"/>
  <c r="R1337" i="13"/>
  <c r="R861" i="13"/>
  <c r="R1294" i="13"/>
  <c r="R818" i="13"/>
  <c r="R1363" i="13"/>
  <c r="R887" i="13"/>
  <c r="R1304" i="13"/>
  <c r="R828" i="13"/>
  <c r="R1374" i="13"/>
  <c r="R898" i="13"/>
  <c r="R1375" i="13"/>
  <c r="R899" i="13"/>
  <c r="R1359" i="13"/>
  <c r="R883" i="13"/>
  <c r="R1278" i="13"/>
  <c r="R802" i="13"/>
  <c r="F552" i="12"/>
  <c r="F586" i="12" s="1"/>
  <c r="F528" i="12"/>
  <c r="P1159" i="13"/>
  <c r="P683" i="13"/>
  <c r="P975" i="13"/>
  <c r="P499" i="13"/>
  <c r="P1067" i="13"/>
  <c r="P591" i="13"/>
  <c r="P1122" i="13"/>
  <c r="P646" i="13"/>
  <c r="Q1326" i="13"/>
  <c r="Q850" i="13"/>
  <c r="Q1417" i="13"/>
  <c r="Q941" i="13"/>
  <c r="R1355" i="13"/>
  <c r="R879" i="13"/>
  <c r="R1340" i="13"/>
  <c r="R864" i="13"/>
  <c r="R1339" i="13"/>
  <c r="R863" i="13"/>
  <c r="R1345" i="13"/>
  <c r="R869" i="13"/>
  <c r="P1083" i="13"/>
  <c r="P607" i="13"/>
  <c r="P1243" i="13"/>
  <c r="P767" i="13"/>
  <c r="P1032" i="13"/>
  <c r="P556" i="13"/>
  <c r="P1006" i="13"/>
  <c r="P530" i="13"/>
  <c r="Q1356" i="13"/>
  <c r="Q880" i="13"/>
  <c r="Q1423" i="13"/>
  <c r="Q947" i="13"/>
  <c r="Q1389" i="13"/>
  <c r="Q913" i="13"/>
  <c r="R1238" i="13"/>
  <c r="R762" i="13"/>
  <c r="R1293" i="13"/>
  <c r="R817" i="13"/>
  <c r="R1329" i="13"/>
  <c r="R853" i="13"/>
  <c r="R147" i="13"/>
  <c r="R17" i="13"/>
  <c r="R161" i="13"/>
  <c r="R318" i="13"/>
  <c r="R151" i="13"/>
  <c r="R199" i="13"/>
  <c r="R44" i="13"/>
  <c r="R92" i="13"/>
  <c r="R102" i="13"/>
  <c r="R70" i="13"/>
  <c r="R94" i="13"/>
  <c r="R107" i="13"/>
  <c r="R72" i="13"/>
  <c r="R180" i="13"/>
  <c r="R243" i="13"/>
  <c r="R232" i="13"/>
  <c r="R316" i="13"/>
  <c r="R233" i="13"/>
  <c r="R317" i="13"/>
  <c r="R259" i="13"/>
  <c r="R224" i="13"/>
  <c r="R201" i="13"/>
  <c r="R309" i="13"/>
  <c r="R298" i="13"/>
  <c r="R311" i="13"/>
  <c r="R133" i="13"/>
  <c r="R169" i="13"/>
  <c r="R146" i="13"/>
  <c r="R41" i="13"/>
  <c r="R101" i="13"/>
  <c r="R42" i="13"/>
  <c r="R234" i="13"/>
  <c r="R55" i="13"/>
  <c r="R91" i="13"/>
  <c r="R98" i="13"/>
  <c r="R20" i="13"/>
  <c r="R153" i="13"/>
  <c r="R51" i="13"/>
  <c r="R114" i="13"/>
  <c r="R46" i="13"/>
  <c r="R156" i="13"/>
  <c r="R308" i="13"/>
  <c r="R238" i="13"/>
  <c r="R251" i="13"/>
  <c r="R312" i="13"/>
  <c r="R38" i="13"/>
  <c r="R171" i="13"/>
  <c r="R100" i="13"/>
  <c r="R185" i="13"/>
  <c r="R31" i="13"/>
  <c r="R175" i="13"/>
  <c r="R116" i="13"/>
  <c r="R33" i="13"/>
  <c r="R93" i="13"/>
  <c r="R118" i="13"/>
  <c r="R178" i="13"/>
  <c r="R11" i="13"/>
  <c r="R47" i="13"/>
  <c r="R131" i="13"/>
  <c r="R191" i="13"/>
  <c r="R14" i="13"/>
  <c r="R12" i="13"/>
  <c r="R36" i="13"/>
  <c r="R96" i="13"/>
  <c r="R267" i="13"/>
  <c r="R256" i="13"/>
  <c r="R257" i="13"/>
  <c r="R283" i="13"/>
  <c r="R164" i="13"/>
  <c r="R248" i="13"/>
  <c r="R49" i="13"/>
  <c r="R193" i="13"/>
  <c r="R99" i="13"/>
  <c r="R40" i="13"/>
  <c r="R65" i="13"/>
  <c r="R125" i="13"/>
  <c r="R222" i="13"/>
  <c r="R50" i="13"/>
  <c r="R270" i="13"/>
  <c r="R115" i="13"/>
  <c r="R57" i="13"/>
  <c r="R249" i="13"/>
  <c r="R18" i="13"/>
  <c r="R204" i="13"/>
  <c r="R207" i="13"/>
  <c r="R307" i="13"/>
  <c r="R188" i="13"/>
  <c r="R165" i="13"/>
  <c r="R13" i="13"/>
  <c r="R97" i="13"/>
  <c r="R181" i="13"/>
  <c r="R195" i="13"/>
  <c r="R124" i="13"/>
  <c r="R173" i="13"/>
  <c r="R54" i="13"/>
  <c r="R186" i="13"/>
  <c r="R140" i="13"/>
  <c r="R27" i="13"/>
  <c r="R117" i="13"/>
  <c r="R142" i="13"/>
  <c r="R202" i="13"/>
  <c r="R30" i="13"/>
  <c r="R71" i="13"/>
  <c r="R155" i="13"/>
  <c r="R215" i="13"/>
  <c r="R60" i="13"/>
  <c r="R120" i="13"/>
  <c r="R291" i="13"/>
  <c r="R160" i="13"/>
  <c r="R196" i="13"/>
  <c r="R281" i="13"/>
  <c r="R73" i="13"/>
  <c r="R217" i="13"/>
  <c r="R135" i="13"/>
  <c r="R64" i="13"/>
  <c r="R111" i="13"/>
  <c r="R149" i="13"/>
  <c r="R282" i="13"/>
  <c r="R306" i="13"/>
  <c r="R139" i="13"/>
  <c r="R32" i="13"/>
  <c r="R34" i="13"/>
  <c r="R82" i="13"/>
  <c r="R110" i="13"/>
  <c r="R95" i="13"/>
  <c r="R63" i="13"/>
  <c r="R150" i="13"/>
  <c r="R228" i="13"/>
  <c r="R231" i="13"/>
  <c r="R220" i="13"/>
  <c r="R304" i="13"/>
  <c r="R305" i="13"/>
  <c r="R223" i="13"/>
  <c r="R247" i="13"/>
  <c r="R212" i="13"/>
  <c r="R286" i="13"/>
  <c r="R299" i="13"/>
  <c r="R121" i="13"/>
  <c r="R157" i="13"/>
  <c r="R159" i="13"/>
  <c r="R28" i="13"/>
  <c r="R148" i="13"/>
  <c r="R89" i="13"/>
  <c r="R86" i="13"/>
  <c r="R138" i="13"/>
  <c r="R43" i="13"/>
  <c r="R79" i="13"/>
  <c r="R163" i="13"/>
  <c r="R80" i="13"/>
  <c r="R162" i="13"/>
  <c r="R141" i="13"/>
  <c r="R166" i="13"/>
  <c r="R22" i="13"/>
  <c r="R179" i="13"/>
  <c r="R144" i="13"/>
  <c r="R315" i="13"/>
  <c r="R221" i="13"/>
  <c r="R296" i="13"/>
  <c r="R297" i="13"/>
  <c r="R88" i="13"/>
  <c r="R29" i="13"/>
  <c r="R113" i="13"/>
  <c r="R197" i="13"/>
  <c r="R19" i="13"/>
  <c r="R56" i="13"/>
  <c r="R104" i="13"/>
  <c r="R21" i="13"/>
  <c r="R81" i="13"/>
  <c r="R106" i="13"/>
  <c r="R35" i="13"/>
  <c r="R119" i="13"/>
  <c r="R84" i="13"/>
  <c r="R168" i="13"/>
  <c r="R192" i="13"/>
  <c r="R255" i="13"/>
  <c r="R184" i="13"/>
  <c r="R244" i="13"/>
  <c r="R245" i="13"/>
  <c r="R271" i="13"/>
  <c r="R176" i="13"/>
  <c r="R236" i="13"/>
  <c r="R213" i="13"/>
  <c r="R37" i="13"/>
  <c r="R145" i="13"/>
  <c r="R39" i="13"/>
  <c r="R123" i="13"/>
  <c r="R53" i="13"/>
  <c r="R246" i="13"/>
  <c r="R103" i="13"/>
  <c r="R15" i="13"/>
  <c r="R45" i="13"/>
  <c r="R69" i="13"/>
  <c r="R74" i="13"/>
  <c r="R58" i="13"/>
  <c r="R320" i="13"/>
  <c r="R237" i="13"/>
  <c r="R250" i="13"/>
  <c r="R263" i="13"/>
  <c r="R301" i="13"/>
  <c r="R25" i="13"/>
  <c r="R109" i="13"/>
  <c r="R16" i="13"/>
  <c r="R136" i="13"/>
  <c r="R77" i="13"/>
  <c r="R158" i="13"/>
  <c r="R152" i="13"/>
  <c r="R129" i="13"/>
  <c r="R154" i="13"/>
  <c r="R167" i="13"/>
  <c r="R78" i="13"/>
  <c r="R132" i="13"/>
  <c r="R303" i="13"/>
  <c r="R209" i="13"/>
  <c r="R112" i="13"/>
  <c r="R130" i="13"/>
  <c r="R122" i="13"/>
  <c r="R211" i="13"/>
  <c r="R200" i="13"/>
  <c r="R302" i="13"/>
  <c r="R75" i="13"/>
  <c r="R83" i="13"/>
  <c r="R292" i="13"/>
  <c r="R61" i="13"/>
  <c r="R174" i="13"/>
  <c r="R26" i="13"/>
  <c r="R216" i="13"/>
  <c r="R284" i="13"/>
  <c r="R229" i="13"/>
  <c r="R218" i="13"/>
  <c r="R67" i="13"/>
  <c r="R128" i="13"/>
  <c r="R203" i="13"/>
  <c r="R189" i="13"/>
  <c r="R285" i="13"/>
  <c r="R322" i="13"/>
  <c r="R227" i="13"/>
  <c r="R252" i="13"/>
  <c r="R276" i="13"/>
  <c r="R253" i="13"/>
  <c r="R254" i="13"/>
  <c r="R87" i="13"/>
  <c r="R126" i="13"/>
  <c r="R190" i="13"/>
  <c r="R198" i="13"/>
  <c r="R24" i="13"/>
  <c r="R319" i="13"/>
  <c r="R261" i="13"/>
  <c r="R214" i="13"/>
  <c r="R300" i="13"/>
  <c r="R277" i="13"/>
  <c r="R242" i="13"/>
  <c r="R258" i="13"/>
  <c r="R105" i="13"/>
  <c r="R210" i="13"/>
  <c r="R59" i="13"/>
  <c r="R268" i="13"/>
  <c r="R225" i="13"/>
  <c r="R208" i="13"/>
  <c r="R127" i="13"/>
  <c r="R235" i="13"/>
  <c r="R260" i="13"/>
  <c r="R321" i="13"/>
  <c r="R274" i="13"/>
  <c r="R266" i="13"/>
  <c r="R290" i="13"/>
  <c r="R288" i="13"/>
  <c r="R108" i="13"/>
  <c r="R313" i="13"/>
  <c r="R85" i="13"/>
  <c r="R294" i="13"/>
  <c r="R134" i="13"/>
  <c r="R172" i="13"/>
  <c r="R269" i="13"/>
  <c r="R280" i="13"/>
  <c r="R187" i="13"/>
  <c r="R23" i="13"/>
  <c r="R323" i="13"/>
  <c r="R240" i="13"/>
  <c r="R241" i="13"/>
  <c r="R206" i="13"/>
  <c r="R183" i="13"/>
  <c r="R48" i="13"/>
  <c r="R295" i="13"/>
  <c r="R272" i="13"/>
  <c r="R273" i="13"/>
  <c r="R226" i="13"/>
  <c r="R239" i="13"/>
  <c r="R264" i="13"/>
  <c r="R265" i="13"/>
  <c r="R182" i="13"/>
  <c r="R230" i="13"/>
  <c r="R219" i="13"/>
  <c r="R314" i="13"/>
  <c r="R310" i="13"/>
  <c r="R205" i="13"/>
  <c r="R52" i="13"/>
  <c r="R62" i="13"/>
  <c r="R137" i="13"/>
  <c r="R90" i="13"/>
  <c r="R143" i="13"/>
  <c r="R279" i="13"/>
  <c r="R177" i="13"/>
  <c r="R262" i="13"/>
  <c r="R275" i="13"/>
  <c r="R170" i="13"/>
  <c r="R194" i="13"/>
  <c r="R278" i="13"/>
  <c r="R10" i="13"/>
  <c r="P1258" i="13"/>
  <c r="P782" i="13"/>
  <c r="P1002" i="13"/>
  <c r="P526" i="13"/>
  <c r="P1170" i="13"/>
  <c r="P694" i="13"/>
  <c r="P1272" i="13"/>
  <c r="P796" i="13"/>
  <c r="P1005" i="13"/>
  <c r="P529" i="13"/>
  <c r="Q1336" i="13"/>
  <c r="Q860" i="13"/>
  <c r="Q1385" i="13"/>
  <c r="Q909" i="13"/>
  <c r="R1431" i="13"/>
  <c r="R955" i="13"/>
  <c r="F441" i="12"/>
  <c r="F475" i="12" s="1"/>
  <c r="F424" i="12"/>
  <c r="F458" i="12" s="1"/>
  <c r="F431" i="12"/>
  <c r="F465" i="12" s="1"/>
  <c r="F438" i="12"/>
  <c r="F472" i="12" s="1"/>
  <c r="P1269" i="13"/>
  <c r="P793" i="13"/>
  <c r="P1055" i="13"/>
  <c r="P579" i="13"/>
  <c r="P1109" i="13"/>
  <c r="P633" i="13"/>
  <c r="P1214" i="13"/>
  <c r="P738" i="13"/>
  <c r="P1254" i="13"/>
  <c r="P778" i="13"/>
  <c r="P1252" i="13"/>
  <c r="P776" i="13"/>
  <c r="P1189" i="13"/>
  <c r="P713" i="13"/>
  <c r="P1236" i="13"/>
  <c r="P760" i="13"/>
  <c r="P1185" i="13"/>
  <c r="P709" i="13"/>
  <c r="P1151" i="13"/>
  <c r="P675" i="13"/>
  <c r="P1078" i="13"/>
  <c r="P602" i="13"/>
  <c r="P1230" i="13"/>
  <c r="P754" i="13"/>
  <c r="P1138" i="13"/>
  <c r="P662" i="13"/>
  <c r="P1179" i="13"/>
  <c r="P703" i="13"/>
  <c r="P990" i="13"/>
  <c r="P514" i="13"/>
  <c r="P1070" i="13"/>
  <c r="P594" i="13"/>
  <c r="P980" i="13"/>
  <c r="P504" i="13"/>
  <c r="P1092" i="13"/>
  <c r="P616" i="13"/>
  <c r="P1140" i="13"/>
  <c r="P664" i="13"/>
  <c r="P1061" i="13"/>
  <c r="P585" i="13"/>
  <c r="P1223" i="13"/>
  <c r="P747" i="13"/>
  <c r="P1113" i="13"/>
  <c r="P637" i="13"/>
  <c r="P1213" i="13"/>
  <c r="P737" i="13"/>
  <c r="P1016" i="13"/>
  <c r="P540" i="13"/>
  <c r="P1107" i="13"/>
  <c r="P631" i="13"/>
  <c r="P1052" i="13"/>
  <c r="P576" i="13"/>
  <c r="Q1357" i="13"/>
  <c r="Q881" i="13"/>
  <c r="Q1355" i="13"/>
  <c r="Q879" i="13"/>
  <c r="Q1288" i="13"/>
  <c r="Q812" i="13"/>
  <c r="Q1408" i="13"/>
  <c r="Q932" i="13"/>
  <c r="Q1344" i="13"/>
  <c r="Q868" i="13"/>
  <c r="Q1293" i="13"/>
  <c r="Q817" i="13"/>
  <c r="Q1387" i="13"/>
  <c r="Q911" i="13"/>
  <c r="Q1303" i="13"/>
  <c r="Q827" i="13"/>
  <c r="Q1282" i="13"/>
  <c r="Q806" i="13"/>
  <c r="Q1339" i="13"/>
  <c r="Q863" i="13"/>
  <c r="Q1315" i="13"/>
  <c r="Q839" i="13"/>
  <c r="Q1395" i="13"/>
  <c r="Q919" i="13"/>
  <c r="Q1291" i="13"/>
  <c r="Q815" i="13"/>
  <c r="Q1277" i="13"/>
  <c r="Q801" i="13"/>
  <c r="R1334" i="13"/>
  <c r="R858" i="13"/>
  <c r="R1308" i="13"/>
  <c r="R832" i="13"/>
  <c r="R1420" i="13"/>
  <c r="R944" i="13"/>
  <c r="R1299" i="13"/>
  <c r="R823" i="13"/>
  <c r="R1310" i="13"/>
  <c r="R834" i="13"/>
  <c r="R1297" i="13"/>
  <c r="R821" i="13"/>
  <c r="R1244" i="13"/>
  <c r="R768" i="13"/>
  <c r="R1410" i="13"/>
  <c r="R934" i="13"/>
  <c r="R1426" i="13"/>
  <c r="R950" i="13"/>
  <c r="R1419" i="13"/>
  <c r="R943" i="13"/>
  <c r="R1398" i="13"/>
  <c r="R922" i="13"/>
  <c r="R1019" i="13"/>
  <c r="R543" i="13"/>
  <c r="R1347" i="13"/>
  <c r="R871" i="13"/>
  <c r="F542" i="12"/>
  <c r="F576" i="12" s="1"/>
  <c r="Q2" i="13"/>
  <c r="F554" i="12" l="1"/>
  <c r="F447" i="12"/>
  <c r="F481" i="12"/>
  <c r="F484" i="12" s="1"/>
  <c r="F695" i="12" s="1"/>
  <c r="F562" i="12"/>
  <c r="F588" i="12" s="1"/>
  <c r="F626" i="12"/>
  <c r="F689" i="12" s="1"/>
  <c r="H689" i="12" s="1"/>
  <c r="K690" i="12"/>
  <c r="K21" i="14" s="1"/>
  <c r="H690" i="12"/>
  <c r="H21" i="14" s="1"/>
  <c r="I690" i="12"/>
  <c r="I21" i="14" s="1"/>
  <c r="J690" i="12"/>
  <c r="J21" i="14" s="1"/>
  <c r="I703" i="12"/>
  <c r="I42" i="14" s="1"/>
  <c r="J703" i="12"/>
  <c r="J42" i="14" s="1"/>
  <c r="K703" i="12"/>
  <c r="K42" i="14" s="1"/>
  <c r="H42" i="14"/>
  <c r="F664" i="12"/>
  <c r="K702" i="12"/>
  <c r="K41" i="14" s="1"/>
  <c r="L702" i="12"/>
  <c r="L41" i="14" s="1"/>
  <c r="J702" i="12"/>
  <c r="J41" i="14" s="1"/>
  <c r="M702" i="12"/>
  <c r="M41" i="14" s="1"/>
  <c r="H702" i="12"/>
  <c r="H41" i="14" s="1"/>
  <c r="N702" i="12"/>
  <c r="N41" i="14" s="1"/>
  <c r="F722" i="12"/>
  <c r="M722" i="12" s="1"/>
  <c r="M48" i="14" s="1"/>
  <c r="F719" i="12"/>
  <c r="N719" i="12" s="1"/>
  <c r="N28" i="14" s="1"/>
  <c r="J24" i="7"/>
  <c r="J21" i="8" s="1"/>
  <c r="R1148" i="13"/>
  <c r="R672" i="13"/>
  <c r="Q1038" i="13"/>
  <c r="Q562" i="13"/>
  <c r="R1086" i="13"/>
  <c r="R610" i="13"/>
  <c r="Q1118" i="13"/>
  <c r="Q642" i="13"/>
  <c r="R1176" i="13"/>
  <c r="R700" i="13"/>
  <c r="R961" i="13"/>
  <c r="R485" i="13"/>
  <c r="R1003" i="13"/>
  <c r="R527" i="13"/>
  <c r="R1223" i="13"/>
  <c r="R747" i="13"/>
  <c r="R1123" i="13"/>
  <c r="R647" i="13"/>
  <c r="R1186" i="13"/>
  <c r="R710" i="13"/>
  <c r="R1165" i="13"/>
  <c r="R689" i="13"/>
  <c r="R1178" i="13"/>
  <c r="R702" i="13"/>
  <c r="R1125" i="13"/>
  <c r="R649" i="13"/>
  <c r="R1254" i="13"/>
  <c r="R778" i="13"/>
  <c r="R976" i="13"/>
  <c r="R500" i="13"/>
  <c r="R1197" i="13"/>
  <c r="R721" i="13"/>
  <c r="R1135" i="13"/>
  <c r="R659" i="13"/>
  <c r="R970" i="13"/>
  <c r="R494" i="13"/>
  <c r="R1117" i="13"/>
  <c r="R641" i="13"/>
  <c r="R1110" i="13"/>
  <c r="R634" i="13"/>
  <c r="R1179" i="13"/>
  <c r="R703" i="13"/>
  <c r="R1062" i="13"/>
  <c r="R586" i="13"/>
  <c r="R1106" i="13"/>
  <c r="R630" i="13"/>
  <c r="R1146" i="13"/>
  <c r="R670" i="13"/>
  <c r="R1066" i="13"/>
  <c r="R590" i="13"/>
  <c r="R1234" i="13"/>
  <c r="R758" i="13"/>
  <c r="R1129" i="13"/>
  <c r="R653" i="13"/>
  <c r="R1202" i="13"/>
  <c r="R726" i="13"/>
  <c r="R1185" i="13"/>
  <c r="R709" i="13"/>
  <c r="R1210" i="13"/>
  <c r="R734" i="13"/>
  <c r="R1043" i="13"/>
  <c r="R567" i="13"/>
  <c r="Q1080" i="13"/>
  <c r="Q604" i="13"/>
  <c r="Q1003" i="13"/>
  <c r="Q527" i="13"/>
  <c r="Q1214" i="13"/>
  <c r="Q738" i="13"/>
  <c r="Q1254" i="13"/>
  <c r="Q778" i="13"/>
  <c r="Q1253" i="13"/>
  <c r="Q777" i="13"/>
  <c r="Q1145" i="13"/>
  <c r="Q669" i="13"/>
  <c r="Q977" i="13"/>
  <c r="Q501" i="13"/>
  <c r="Q1021" i="13"/>
  <c r="Q545" i="13"/>
  <c r="Q1220" i="13"/>
  <c r="Q744" i="13"/>
  <c r="Q1161" i="13"/>
  <c r="Q685" i="13"/>
  <c r="Q1036" i="13"/>
  <c r="Q560" i="13"/>
  <c r="Q1004" i="13"/>
  <c r="Q528" i="13"/>
  <c r="Q1135" i="13"/>
  <c r="Q659" i="13"/>
  <c r="Q1064" i="13"/>
  <c r="Q588" i="13"/>
  <c r="Q1266" i="13"/>
  <c r="Q790" i="13"/>
  <c r="Q1001" i="13"/>
  <c r="Q525" i="13"/>
  <c r="Q1179" i="13"/>
  <c r="Q703" i="13"/>
  <c r="Q1257" i="13"/>
  <c r="Q781" i="13"/>
  <c r="Q1242" i="13"/>
  <c r="Q766" i="13"/>
  <c r="Q1100" i="13"/>
  <c r="Q624" i="13"/>
  <c r="Q1103" i="13"/>
  <c r="Q627" i="13"/>
  <c r="Q1180" i="13"/>
  <c r="Q704" i="13"/>
  <c r="Q965" i="13"/>
  <c r="Q489" i="13"/>
  <c r="Q633" i="13"/>
  <c r="Q1109" i="13"/>
  <c r="Q1104" i="13"/>
  <c r="Q628" i="13"/>
  <c r="Q1084" i="13"/>
  <c r="Q608" i="13"/>
  <c r="R1273" i="13"/>
  <c r="R797" i="13"/>
  <c r="R1206" i="13"/>
  <c r="R730" i="13"/>
  <c r="R1015" i="13"/>
  <c r="R539" i="13"/>
  <c r="R1208" i="13"/>
  <c r="R732" i="13"/>
  <c r="R1189" i="13"/>
  <c r="R713" i="13"/>
  <c r="Q1261" i="13"/>
  <c r="Q785" i="13"/>
  <c r="Q1228" i="13"/>
  <c r="Q752" i="13"/>
  <c r="Q1056" i="13"/>
  <c r="Q580" i="13"/>
  <c r="Q1233" i="13"/>
  <c r="Q757" i="13"/>
  <c r="Q1150" i="13"/>
  <c r="Q674" i="13"/>
  <c r="Q971" i="13"/>
  <c r="Q495" i="13"/>
  <c r="R1261" i="13"/>
  <c r="R785" i="13"/>
  <c r="R1270" i="13"/>
  <c r="R794" i="13"/>
  <c r="R1064" i="13"/>
  <c r="R588" i="13"/>
  <c r="R1048" i="13"/>
  <c r="R572" i="13"/>
  <c r="R1044" i="13"/>
  <c r="R568" i="13"/>
  <c r="R1184" i="13"/>
  <c r="R708" i="13"/>
  <c r="Q1225" i="13"/>
  <c r="Q749" i="13"/>
  <c r="Q995" i="13"/>
  <c r="Q519" i="13"/>
  <c r="Q1037" i="13"/>
  <c r="Q561" i="13"/>
  <c r="Q1066" i="13"/>
  <c r="Q590" i="13"/>
  <c r="Q1051" i="13"/>
  <c r="Q575" i="13"/>
  <c r="R1121" i="13"/>
  <c r="R645" i="13"/>
  <c r="R975" i="13"/>
  <c r="R499" i="13"/>
  <c r="R1201" i="13"/>
  <c r="R725" i="13"/>
  <c r="R1153" i="13"/>
  <c r="R677" i="13"/>
  <c r="R984" i="13"/>
  <c r="R508" i="13"/>
  <c r="R1102" i="13"/>
  <c r="R626" i="13"/>
  <c r="Q1034" i="13"/>
  <c r="Q558" i="13"/>
  <c r="Q1035" i="13"/>
  <c r="Q559" i="13"/>
  <c r="Q986" i="13"/>
  <c r="Q510" i="13"/>
  <c r="Q1014" i="13"/>
  <c r="Q538" i="13"/>
  <c r="Q1221" i="13"/>
  <c r="Q745" i="13"/>
  <c r="Q1042" i="13"/>
  <c r="Q566" i="13"/>
  <c r="R1226" i="13"/>
  <c r="R750" i="13"/>
  <c r="R1170" i="13"/>
  <c r="R694" i="13"/>
  <c r="R1157" i="13"/>
  <c r="R681" i="13"/>
  <c r="R1264" i="13"/>
  <c r="R788" i="13"/>
  <c r="R1219" i="13"/>
  <c r="R743" i="13"/>
  <c r="R1149" i="13"/>
  <c r="R673" i="13"/>
  <c r="R1154" i="13"/>
  <c r="R678" i="13"/>
  <c r="R1026" i="13"/>
  <c r="R550" i="13"/>
  <c r="R1105" i="13"/>
  <c r="R629" i="13"/>
  <c r="R1188" i="13"/>
  <c r="R712" i="13"/>
  <c r="R1096" i="13"/>
  <c r="R620" i="13"/>
  <c r="R1035" i="13"/>
  <c r="R559" i="13"/>
  <c r="R1039" i="13"/>
  <c r="R563" i="13"/>
  <c r="R1114" i="13"/>
  <c r="R638" i="13"/>
  <c r="R1237" i="13"/>
  <c r="R761" i="13"/>
  <c r="R1061" i="13"/>
  <c r="R585" i="13"/>
  <c r="R548" i="13"/>
  <c r="R1024" i="13"/>
  <c r="R1093" i="13"/>
  <c r="R617" i="13"/>
  <c r="R1116" i="13"/>
  <c r="R640" i="13"/>
  <c r="R1076" i="13"/>
  <c r="R600" i="13"/>
  <c r="R1047" i="13"/>
  <c r="R571" i="13"/>
  <c r="R1067" i="13"/>
  <c r="R591" i="13"/>
  <c r="R521" i="13"/>
  <c r="R997" i="13"/>
  <c r="R1097" i="13"/>
  <c r="R621" i="13"/>
  <c r="R1183" i="13"/>
  <c r="R707" i="13"/>
  <c r="R1269" i="13"/>
  <c r="R793" i="13"/>
  <c r="Q1055" i="13"/>
  <c r="Q579" i="13"/>
  <c r="Q1215" i="13"/>
  <c r="Q739" i="13"/>
  <c r="Q1181" i="13"/>
  <c r="Q705" i="13"/>
  <c r="Q1112" i="13"/>
  <c r="Q636" i="13"/>
  <c r="Q1165" i="13"/>
  <c r="Q689" i="13"/>
  <c r="Q1178" i="13"/>
  <c r="Q702" i="13"/>
  <c r="Q1268" i="13"/>
  <c r="Q792" i="13"/>
  <c r="Q1269" i="13"/>
  <c r="Q793" i="13"/>
  <c r="Q999" i="13"/>
  <c r="Q523" i="13"/>
  <c r="Q1091" i="13"/>
  <c r="Q615" i="13"/>
  <c r="Q1111" i="13"/>
  <c r="Q635" i="13"/>
  <c r="Q1096" i="13"/>
  <c r="Q620" i="13"/>
  <c r="Q981" i="13"/>
  <c r="Q505" i="13"/>
  <c r="Q964" i="13"/>
  <c r="Q488" i="13"/>
  <c r="Q1093" i="13"/>
  <c r="Q617" i="13"/>
  <c r="Q979" i="13"/>
  <c r="Q503" i="13"/>
  <c r="Q1046" i="13"/>
  <c r="Q570" i="13"/>
  <c r="Q1110" i="13"/>
  <c r="Q634" i="13"/>
  <c r="Q1106" i="13"/>
  <c r="Q630" i="13"/>
  <c r="Q1048" i="13"/>
  <c r="Q572" i="13"/>
  <c r="Q1173" i="13"/>
  <c r="Q697" i="13"/>
  <c r="Q1199" i="13"/>
  <c r="Q723" i="13"/>
  <c r="Q486" i="13"/>
  <c r="Q962" i="13"/>
  <c r="Q1202" i="13"/>
  <c r="Q726" i="13"/>
  <c r="Q1006" i="13"/>
  <c r="Q530" i="13"/>
  <c r="R1083" i="13"/>
  <c r="R607" i="13"/>
  <c r="Q1089" i="13"/>
  <c r="Q613" i="13"/>
  <c r="R1072" i="13"/>
  <c r="R596" i="13"/>
  <c r="Q1130" i="13"/>
  <c r="Q654" i="13"/>
  <c r="R1168" i="13"/>
  <c r="R692" i="13"/>
  <c r="Q1012" i="13"/>
  <c r="Q536" i="13"/>
  <c r="R1192" i="13"/>
  <c r="R716" i="13"/>
  <c r="R1059" i="13"/>
  <c r="R583" i="13"/>
  <c r="R1010" i="13"/>
  <c r="R534" i="13"/>
  <c r="R1141" i="13"/>
  <c r="R665" i="13"/>
  <c r="R1079" i="13"/>
  <c r="R603" i="13"/>
  <c r="R1253" i="13"/>
  <c r="R777" i="13"/>
  <c r="R1080" i="13"/>
  <c r="R604" i="13"/>
  <c r="R1271" i="13"/>
  <c r="R795" i="13"/>
  <c r="R988" i="13"/>
  <c r="R512" i="13"/>
  <c r="R1070" i="13"/>
  <c r="R594" i="13"/>
  <c r="R1248" i="13"/>
  <c r="R772" i="13"/>
  <c r="R1030" i="13"/>
  <c r="R554" i="13"/>
  <c r="R1163" i="13"/>
  <c r="R687" i="13"/>
  <c r="R1033" i="13"/>
  <c r="R557" i="13"/>
  <c r="R1232" i="13"/>
  <c r="R756" i="13"/>
  <c r="R1068" i="13"/>
  <c r="R592" i="13"/>
  <c r="R1139" i="13"/>
  <c r="R663" i="13"/>
  <c r="R1016" i="13"/>
  <c r="R540" i="13"/>
  <c r="R987" i="13"/>
  <c r="R511" i="13"/>
  <c r="R1126" i="13"/>
  <c r="R650" i="13"/>
  <c r="R1065" i="13"/>
  <c r="R589" i="13"/>
  <c r="R1120" i="13"/>
  <c r="R644" i="13"/>
  <c r="R1194" i="13"/>
  <c r="R718" i="13"/>
  <c r="R1112" i="13"/>
  <c r="R636" i="13"/>
  <c r="Q1128" i="13"/>
  <c r="Q652" i="13"/>
  <c r="Q1028" i="13"/>
  <c r="Q552" i="13"/>
  <c r="Q1224" i="13"/>
  <c r="Q748" i="13"/>
  <c r="Q1250" i="13"/>
  <c r="Q774" i="13"/>
  <c r="Q1156" i="13"/>
  <c r="Q680" i="13"/>
  <c r="Q1159" i="13"/>
  <c r="Q683" i="13"/>
  <c r="Q1236" i="13"/>
  <c r="Q760" i="13"/>
  <c r="Q1184" i="13"/>
  <c r="Q708" i="13"/>
  <c r="Q1052" i="13"/>
  <c r="Q576" i="13"/>
  <c r="Q975" i="13"/>
  <c r="Q499" i="13"/>
  <c r="Q1138" i="13"/>
  <c r="Q662" i="13"/>
  <c r="Q1095" i="13"/>
  <c r="Q619" i="13"/>
  <c r="Q988" i="13"/>
  <c r="Q512" i="13"/>
  <c r="Q1032" i="13"/>
  <c r="Q556" i="13"/>
  <c r="Q1274" i="13"/>
  <c r="Q798" i="13"/>
  <c r="Q969" i="13"/>
  <c r="Q493" i="13"/>
  <c r="Q1072" i="13"/>
  <c r="Q596" i="13"/>
  <c r="Q1061" i="13"/>
  <c r="Q585" i="13"/>
  <c r="Q989" i="13"/>
  <c r="Q513" i="13"/>
  <c r="Q1022" i="13"/>
  <c r="Q546" i="13"/>
  <c r="Q1139" i="13"/>
  <c r="Q663" i="13"/>
  <c r="Q1016" i="13"/>
  <c r="Q540" i="13"/>
  <c r="Q1115" i="13"/>
  <c r="Q639" i="13"/>
  <c r="Q1105" i="13"/>
  <c r="Q629" i="13"/>
  <c r="Q1189" i="13"/>
  <c r="Q713" i="13"/>
  <c r="Q1185" i="13"/>
  <c r="Q709" i="13"/>
  <c r="R1246" i="13"/>
  <c r="R770" i="13"/>
  <c r="Q980" i="13"/>
  <c r="Q504" i="13"/>
  <c r="R1143" i="13"/>
  <c r="R667" i="13"/>
  <c r="Q1074" i="13"/>
  <c r="Q598" i="13"/>
  <c r="R1119" i="13"/>
  <c r="R643" i="13"/>
  <c r="Q1216" i="13"/>
  <c r="Q740" i="13"/>
  <c r="R1128" i="13"/>
  <c r="R652" i="13"/>
  <c r="R1018" i="13"/>
  <c r="R542" i="13"/>
  <c r="R1151" i="13"/>
  <c r="R675" i="13"/>
  <c r="R1103" i="13"/>
  <c r="R627" i="13"/>
  <c r="R533" i="13"/>
  <c r="R1009" i="13"/>
  <c r="R1164" i="13"/>
  <c r="R688" i="13"/>
  <c r="R986" i="13"/>
  <c r="R510" i="13"/>
  <c r="R1247" i="13"/>
  <c r="R771" i="13"/>
  <c r="R994" i="13"/>
  <c r="R518" i="13"/>
  <c r="R1198" i="13"/>
  <c r="R722" i="13"/>
  <c r="R985" i="13"/>
  <c r="R509" i="13"/>
  <c r="R1147" i="13"/>
  <c r="R671" i="13"/>
  <c r="R978" i="13"/>
  <c r="R502" i="13"/>
  <c r="R1258" i="13"/>
  <c r="R782" i="13"/>
  <c r="R991" i="13"/>
  <c r="R515" i="13"/>
  <c r="R963" i="13"/>
  <c r="R487" i="13"/>
  <c r="R982" i="13"/>
  <c r="R506" i="13"/>
  <c r="R1002" i="13"/>
  <c r="R526" i="13"/>
  <c r="R1084" i="13"/>
  <c r="R608" i="13"/>
  <c r="R1131" i="13"/>
  <c r="R655" i="13"/>
  <c r="R968" i="13"/>
  <c r="R492" i="13"/>
  <c r="Q1237" i="13"/>
  <c r="Q761" i="13"/>
  <c r="Q1265" i="13"/>
  <c r="Q789" i="13"/>
  <c r="Q1116" i="13"/>
  <c r="Q640" i="13"/>
  <c r="Q1217" i="13"/>
  <c r="Q741" i="13"/>
  <c r="Q1264" i="13"/>
  <c r="Q788" i="13"/>
  <c r="Q1149" i="13"/>
  <c r="Q673" i="13"/>
  <c r="Q1222" i="13"/>
  <c r="Q746" i="13"/>
  <c r="Q1267" i="13"/>
  <c r="Q791" i="13"/>
  <c r="Q968" i="13"/>
  <c r="Q492" i="13"/>
  <c r="Q1073" i="13"/>
  <c r="Q597" i="13"/>
  <c r="Q1018" i="13"/>
  <c r="Q542" i="13"/>
  <c r="Q1009" i="13"/>
  <c r="Q533" i="13"/>
  <c r="Q1272" i="13"/>
  <c r="Q796" i="13"/>
  <c r="Q972" i="13"/>
  <c r="Q496" i="13"/>
  <c r="Q1190" i="13"/>
  <c r="Q714" i="13"/>
  <c r="Q1092" i="13"/>
  <c r="Q616" i="13"/>
  <c r="Q1163" i="13"/>
  <c r="Q687" i="13"/>
  <c r="Q1069" i="13"/>
  <c r="Q593" i="13"/>
  <c r="Q1168" i="13"/>
  <c r="Q692" i="13"/>
  <c r="Q1153" i="13"/>
  <c r="Q677" i="13"/>
  <c r="Q1210" i="13"/>
  <c r="Q734" i="13"/>
  <c r="Q1062" i="13"/>
  <c r="Q586" i="13"/>
  <c r="Q1186" i="13"/>
  <c r="Q710" i="13"/>
  <c r="Q1045" i="13"/>
  <c r="Q569" i="13"/>
  <c r="Q1259" i="13"/>
  <c r="Q783" i="13"/>
  <c r="Q993" i="13"/>
  <c r="Q517" i="13"/>
  <c r="R1212" i="13"/>
  <c r="R736" i="13"/>
  <c r="Q1271" i="13"/>
  <c r="Q795" i="13"/>
  <c r="R1214" i="13"/>
  <c r="R738" i="13"/>
  <c r="Q1070" i="13"/>
  <c r="Q594" i="13"/>
  <c r="R1250" i="13"/>
  <c r="R774" i="13"/>
  <c r="Q1078" i="13"/>
  <c r="Q602" i="13"/>
  <c r="R1133" i="13"/>
  <c r="R657" i="13"/>
  <c r="R1274" i="13"/>
  <c r="R798" i="13"/>
  <c r="R1109" i="13"/>
  <c r="R633" i="13"/>
  <c r="R1172" i="13"/>
  <c r="R696" i="13"/>
  <c r="R983" i="13"/>
  <c r="R507" i="13"/>
  <c r="R1050" i="13"/>
  <c r="R574" i="13"/>
  <c r="R965" i="13"/>
  <c r="R489" i="13"/>
  <c r="R1136" i="13"/>
  <c r="R660" i="13"/>
  <c r="R1104" i="13"/>
  <c r="R628" i="13"/>
  <c r="R1262" i="13"/>
  <c r="R786" i="13"/>
  <c r="R1023" i="13"/>
  <c r="R547" i="13"/>
  <c r="R1098" i="13"/>
  <c r="R622" i="13"/>
  <c r="Q1200" i="13"/>
  <c r="Q724" i="13"/>
  <c r="Q1263" i="13"/>
  <c r="Q787" i="13"/>
  <c r="Q1175" i="13"/>
  <c r="Q699" i="13"/>
  <c r="Q961" i="13"/>
  <c r="Q485" i="13"/>
  <c r="Q1229" i="13"/>
  <c r="Q753" i="13"/>
  <c r="Q1141" i="13"/>
  <c r="Q665" i="13"/>
  <c r="Q1119" i="13"/>
  <c r="Q643" i="13"/>
  <c r="Q1183" i="13"/>
  <c r="Q707" i="13"/>
  <c r="Q1122" i="13"/>
  <c r="Q646" i="13"/>
  <c r="Q1154" i="13"/>
  <c r="Q678" i="13"/>
  <c r="Q1077" i="13"/>
  <c r="Q601" i="13"/>
  <c r="Q1033" i="13"/>
  <c r="Q557" i="13"/>
  <c r="Q1164" i="13"/>
  <c r="Q688" i="13"/>
  <c r="Q1067" i="13"/>
  <c r="Q591" i="13"/>
  <c r="Q1177" i="13"/>
  <c r="Q701" i="13"/>
  <c r="Q1008" i="13"/>
  <c r="Q532" i="13"/>
  <c r="Q1234" i="13"/>
  <c r="Q758" i="13"/>
  <c r="Q985" i="13"/>
  <c r="Q509" i="13"/>
  <c r="Q548" i="13"/>
  <c r="Q1024" i="13"/>
  <c r="Q1129" i="13"/>
  <c r="Q653" i="13"/>
  <c r="Q1123" i="13"/>
  <c r="Q647" i="13"/>
  <c r="Q991" i="13"/>
  <c r="Q515" i="13"/>
  <c r="Q1208" i="13"/>
  <c r="Q732" i="13"/>
  <c r="Q1044" i="13"/>
  <c r="Q568" i="13"/>
  <c r="Q1162" i="13"/>
  <c r="Q686" i="13"/>
  <c r="Q992" i="13"/>
  <c r="Q516" i="13"/>
  <c r="R1078" i="13"/>
  <c r="R602" i="13"/>
  <c r="Q1219" i="13"/>
  <c r="Q743" i="13"/>
  <c r="R1243" i="13"/>
  <c r="R767" i="13"/>
  <c r="Q1198" i="13"/>
  <c r="Q722" i="13"/>
  <c r="R1031" i="13"/>
  <c r="R555" i="13"/>
  <c r="Q1203" i="13"/>
  <c r="Q727" i="13"/>
  <c r="R1239" i="13"/>
  <c r="R763" i="13"/>
  <c r="R1056" i="13"/>
  <c r="R580" i="13"/>
  <c r="R1174" i="13"/>
  <c r="R698" i="13"/>
  <c r="R1217" i="13"/>
  <c r="R741" i="13"/>
  <c r="R1180" i="13"/>
  <c r="R704" i="13"/>
  <c r="R1020" i="13"/>
  <c r="R544" i="13"/>
  <c r="R1266" i="13"/>
  <c r="R790" i="13"/>
  <c r="R1090" i="13"/>
  <c r="R614" i="13"/>
  <c r="R1137" i="13"/>
  <c r="R661" i="13"/>
  <c r="R1142" i="13"/>
  <c r="R666" i="13"/>
  <c r="R1249" i="13"/>
  <c r="R773" i="13"/>
  <c r="Q1151" i="13"/>
  <c r="Q675" i="13"/>
  <c r="Q1239" i="13"/>
  <c r="Q763" i="13"/>
  <c r="Q1143" i="13"/>
  <c r="Q667" i="13"/>
  <c r="Q1193" i="13"/>
  <c r="Q717" i="13"/>
  <c r="Q1169" i="13"/>
  <c r="Q693" i="13"/>
  <c r="Q996" i="13"/>
  <c r="Q520" i="13"/>
  <c r="Q1226" i="13"/>
  <c r="Q750" i="13"/>
  <c r="Q1194" i="13"/>
  <c r="Q718" i="13"/>
  <c r="Q1192" i="13"/>
  <c r="Q716" i="13"/>
  <c r="Q1094" i="13"/>
  <c r="Q618" i="13"/>
  <c r="Q1026" i="13"/>
  <c r="Q550" i="13"/>
  <c r="Q1025" i="13"/>
  <c r="Q549" i="13"/>
  <c r="Q1187" i="13"/>
  <c r="Q711" i="13"/>
  <c r="Q1007" i="13"/>
  <c r="Q531" i="13"/>
  <c r="Q1248" i="13"/>
  <c r="Q772" i="13"/>
  <c r="Q1113" i="13"/>
  <c r="Q637" i="13"/>
  <c r="Q1256" i="13"/>
  <c r="Q780" i="13"/>
  <c r="Q1043" i="13"/>
  <c r="Q567" i="13"/>
  <c r="Q1223" i="13"/>
  <c r="Q747" i="13"/>
  <c r="Q1068" i="13"/>
  <c r="Q592" i="13"/>
  <c r="Q1158" i="13"/>
  <c r="Q682" i="13"/>
  <c r="Q1086" i="13"/>
  <c r="Q610" i="13"/>
  <c r="Q1207" i="13"/>
  <c r="Q731" i="13"/>
  <c r="Q984" i="13"/>
  <c r="Q508" i="13"/>
  <c r="Q1083" i="13"/>
  <c r="Q607" i="13"/>
  <c r="Q1013" i="13"/>
  <c r="Q537" i="13"/>
  <c r="R1085" i="13"/>
  <c r="R609" i="13"/>
  <c r="R1004" i="13"/>
  <c r="R528" i="13"/>
  <c r="R1108" i="13"/>
  <c r="R632" i="13"/>
  <c r="R1022" i="13"/>
  <c r="R546" i="13"/>
  <c r="R1069" i="13"/>
  <c r="R593" i="13"/>
  <c r="R995" i="13"/>
  <c r="R519" i="13"/>
  <c r="Q1245" i="13"/>
  <c r="Q769" i="13"/>
  <c r="Q1053" i="13"/>
  <c r="Q577" i="13"/>
  <c r="Q1131" i="13"/>
  <c r="Q655" i="13"/>
  <c r="Q1273" i="13"/>
  <c r="Q797" i="13"/>
  <c r="R1245" i="13"/>
  <c r="R769" i="13"/>
  <c r="R1029" i="13"/>
  <c r="R553" i="13"/>
  <c r="R1014" i="13"/>
  <c r="R538" i="13"/>
  <c r="R1207" i="13"/>
  <c r="R731" i="13"/>
  <c r="R1052" i="13"/>
  <c r="R576" i="13"/>
  <c r="Q1243" i="13"/>
  <c r="Q767" i="13"/>
  <c r="Q1227" i="13"/>
  <c r="Q751" i="13"/>
  <c r="Q1041" i="13"/>
  <c r="Q565" i="13"/>
  <c r="Q1040" i="13"/>
  <c r="Q564" i="13"/>
  <c r="Q1176" i="13"/>
  <c r="Q700" i="13"/>
  <c r="R1265" i="13"/>
  <c r="R789" i="13"/>
  <c r="R1140" i="13"/>
  <c r="R664" i="13"/>
  <c r="R990" i="13"/>
  <c r="R514" i="13"/>
  <c r="R964" i="13"/>
  <c r="R488" i="13"/>
  <c r="R1218" i="13"/>
  <c r="R742" i="13"/>
  <c r="R992" i="13"/>
  <c r="R516" i="13"/>
  <c r="Q1102" i="13"/>
  <c r="Q626" i="13"/>
  <c r="Q990" i="13"/>
  <c r="Q514" i="13"/>
  <c r="Q973" i="13"/>
  <c r="Q497" i="13"/>
  <c r="Q1166" i="13"/>
  <c r="Q690" i="13"/>
  <c r="Q1140" i="13"/>
  <c r="Q664" i="13"/>
  <c r="R1191" i="13"/>
  <c r="R715" i="13"/>
  <c r="R1216" i="13"/>
  <c r="R740" i="13"/>
  <c r="R1169" i="13"/>
  <c r="R693" i="13"/>
  <c r="R1025" i="13"/>
  <c r="R549" i="13"/>
  <c r="R1089" i="13"/>
  <c r="R613" i="13"/>
  <c r="R1091" i="13"/>
  <c r="R615" i="13"/>
  <c r="R1215" i="13"/>
  <c r="R739" i="13"/>
  <c r="R1209" i="13"/>
  <c r="R733" i="13"/>
  <c r="R1205" i="13"/>
  <c r="R729" i="13"/>
  <c r="R1073" i="13"/>
  <c r="R597" i="13"/>
  <c r="R1028" i="13"/>
  <c r="R552" i="13"/>
  <c r="R1127" i="13"/>
  <c r="R651" i="13"/>
  <c r="R1032" i="13"/>
  <c r="R556" i="13"/>
  <c r="R1037" i="13"/>
  <c r="R561" i="13"/>
  <c r="R1256" i="13"/>
  <c r="R780" i="13"/>
  <c r="R1242" i="13"/>
  <c r="R766" i="13"/>
  <c r="R1155" i="13"/>
  <c r="R679" i="13"/>
  <c r="R1144" i="13"/>
  <c r="R668" i="13"/>
  <c r="R1051" i="13"/>
  <c r="R575" i="13"/>
  <c r="R971" i="13"/>
  <c r="R495" i="13"/>
  <c r="R1058" i="13"/>
  <c r="R582" i="13"/>
  <c r="R1041" i="13"/>
  <c r="R565" i="13"/>
  <c r="R1190" i="13"/>
  <c r="R714" i="13"/>
  <c r="R1138" i="13"/>
  <c r="R662" i="13"/>
  <c r="R1225" i="13"/>
  <c r="R749" i="13"/>
  <c r="R1193" i="13"/>
  <c r="R717" i="13"/>
  <c r="R1204" i="13"/>
  <c r="R728" i="13"/>
  <c r="R1235" i="13"/>
  <c r="R759" i="13"/>
  <c r="R1081" i="13"/>
  <c r="R605" i="13"/>
  <c r="R1087" i="13"/>
  <c r="R611" i="13"/>
  <c r="R996" i="13"/>
  <c r="R520" i="13"/>
  <c r="R1222" i="13"/>
  <c r="R746" i="13"/>
  <c r="R972" i="13"/>
  <c r="R496" i="13"/>
  <c r="R1095" i="13"/>
  <c r="R619" i="13"/>
  <c r="R1040" i="13"/>
  <c r="R564" i="13"/>
  <c r="R1255" i="13"/>
  <c r="R779" i="13"/>
  <c r="R1257" i="13"/>
  <c r="R781" i="13"/>
  <c r="R1071" i="13"/>
  <c r="R595" i="13"/>
  <c r="R1005" i="13"/>
  <c r="R529" i="13"/>
  <c r="R969" i="13"/>
  <c r="R493" i="13"/>
  <c r="R1000" i="13"/>
  <c r="R524" i="13"/>
  <c r="R1082" i="13"/>
  <c r="R606" i="13"/>
  <c r="R1122" i="13"/>
  <c r="R646" i="13"/>
  <c r="R1049" i="13"/>
  <c r="R573" i="13"/>
  <c r="R1260" i="13"/>
  <c r="R784" i="13"/>
  <c r="R1045" i="13"/>
  <c r="R569" i="13"/>
  <c r="Q1059" i="13"/>
  <c r="Q583" i="13"/>
  <c r="Q1152" i="13"/>
  <c r="Q676" i="13"/>
  <c r="Q1029" i="13"/>
  <c r="Q553" i="13"/>
  <c r="Q1249" i="13"/>
  <c r="Q773" i="13"/>
  <c r="Q1252" i="13"/>
  <c r="Q776" i="13"/>
  <c r="Q1213" i="13"/>
  <c r="Q737" i="13"/>
  <c r="Q1205" i="13"/>
  <c r="Q729" i="13"/>
  <c r="Q1023" i="13"/>
  <c r="Q547" i="13"/>
  <c r="Q1191" i="13"/>
  <c r="Q715" i="13"/>
  <c r="Q1010" i="13"/>
  <c r="Q534" i="13"/>
  <c r="Q1088" i="13"/>
  <c r="Q612" i="13"/>
  <c r="Q966" i="13"/>
  <c r="Q490" i="13"/>
  <c r="Q1127" i="13"/>
  <c r="Q651" i="13"/>
  <c r="Q970" i="13"/>
  <c r="Q494" i="13"/>
  <c r="Q1247" i="13"/>
  <c r="Q771" i="13"/>
  <c r="Q1031" i="13"/>
  <c r="Q555" i="13"/>
  <c r="Q1255" i="13"/>
  <c r="Q779" i="13"/>
  <c r="Q983" i="13"/>
  <c r="Q507" i="13"/>
  <c r="Q1232" i="13"/>
  <c r="Q756" i="13"/>
  <c r="Q978" i="13"/>
  <c r="Q502" i="13"/>
  <c r="Q1155" i="13"/>
  <c r="Q679" i="13"/>
  <c r="Q1144" i="13"/>
  <c r="Q668" i="13"/>
  <c r="Q1218" i="13"/>
  <c r="Q742" i="13"/>
  <c r="Q1079" i="13"/>
  <c r="Q603" i="13"/>
  <c r="Q521" i="13"/>
  <c r="Q997" i="13"/>
  <c r="Q1050" i="13"/>
  <c r="Q574" i="13"/>
  <c r="R1229" i="13"/>
  <c r="R753" i="13"/>
  <c r="R1012" i="13"/>
  <c r="R536" i="13"/>
  <c r="R1092" i="13"/>
  <c r="R616" i="13"/>
  <c r="R1132" i="13"/>
  <c r="R656" i="13"/>
  <c r="R993" i="13"/>
  <c r="R517" i="13"/>
  <c r="Q1241" i="13"/>
  <c r="Q765" i="13"/>
  <c r="Q1204" i="13"/>
  <c r="Q728" i="13"/>
  <c r="Q1206" i="13"/>
  <c r="Q730" i="13"/>
  <c r="Q1047" i="13"/>
  <c r="Q571" i="13"/>
  <c r="Q1142" i="13"/>
  <c r="Q666" i="13"/>
  <c r="R999" i="13"/>
  <c r="R523" i="13"/>
  <c r="R1236" i="13"/>
  <c r="R760" i="13"/>
  <c r="R1113" i="13"/>
  <c r="R637" i="13"/>
  <c r="R1001" i="13"/>
  <c r="R525" i="13"/>
  <c r="R1150" i="13"/>
  <c r="R674" i="13"/>
  <c r="Q1251" i="13"/>
  <c r="Q775" i="13"/>
  <c r="Q1230" i="13"/>
  <c r="Q754" i="13"/>
  <c r="Q1101" i="13"/>
  <c r="Q625" i="13"/>
  <c r="Q1075" i="13"/>
  <c r="Q599" i="13"/>
  <c r="Q1049" i="13"/>
  <c r="Q573" i="13"/>
  <c r="R1134" i="13"/>
  <c r="R658" i="13"/>
  <c r="R1034" i="13"/>
  <c r="R558" i="13"/>
  <c r="R980" i="13"/>
  <c r="R504" i="13"/>
  <c r="R1173" i="13"/>
  <c r="R697" i="13"/>
  <c r="R1267" i="13"/>
  <c r="R791" i="13"/>
  <c r="Q1262" i="13"/>
  <c r="Q786" i="13"/>
  <c r="Q1174" i="13"/>
  <c r="Q698" i="13"/>
  <c r="Q1099" i="13"/>
  <c r="Q623" i="13"/>
  <c r="Q1146" i="13"/>
  <c r="Q670" i="13"/>
  <c r="Q976" i="13"/>
  <c r="Q500" i="13"/>
  <c r="R1181" i="13"/>
  <c r="R705" i="13"/>
  <c r="R1077" i="13"/>
  <c r="R601" i="13"/>
  <c r="R1230" i="13"/>
  <c r="R754" i="13"/>
  <c r="R1038" i="13"/>
  <c r="R562" i="13"/>
  <c r="R1187" i="13"/>
  <c r="R711" i="13"/>
  <c r="R1158" i="13"/>
  <c r="R682" i="13"/>
  <c r="R1094" i="13"/>
  <c r="R618" i="13"/>
  <c r="R1088" i="13"/>
  <c r="R612" i="13"/>
  <c r="R1177" i="13"/>
  <c r="R701" i="13"/>
  <c r="R1231" i="13"/>
  <c r="R755" i="13"/>
  <c r="R1272" i="13"/>
  <c r="R796" i="13"/>
  <c r="R1228" i="13"/>
  <c r="R752" i="13"/>
  <c r="R1227" i="13"/>
  <c r="R751" i="13"/>
  <c r="R1167" i="13"/>
  <c r="R691" i="13"/>
  <c r="R1063" i="13"/>
  <c r="R587" i="13"/>
  <c r="R967" i="13"/>
  <c r="R491" i="13"/>
  <c r="R966" i="13"/>
  <c r="R490" i="13"/>
  <c r="R1196" i="13"/>
  <c r="R720" i="13"/>
  <c r="R1055" i="13"/>
  <c r="R579" i="13"/>
  <c r="R1130" i="13"/>
  <c r="R654" i="13"/>
  <c r="R1099" i="13"/>
  <c r="R623" i="13"/>
  <c r="R1171" i="13"/>
  <c r="R695" i="13"/>
  <c r="R1233" i="13"/>
  <c r="R757" i="13"/>
  <c r="R1011" i="13"/>
  <c r="R535" i="13"/>
  <c r="R1124" i="13"/>
  <c r="R648" i="13"/>
  <c r="R1200" i="13"/>
  <c r="R724" i="13"/>
  <c r="R1199" i="13"/>
  <c r="R723" i="13"/>
  <c r="R998" i="13"/>
  <c r="R522" i="13"/>
  <c r="R989" i="13"/>
  <c r="R513" i="13"/>
  <c r="R1042" i="13"/>
  <c r="R566" i="13"/>
  <c r="R1152" i="13"/>
  <c r="R676" i="13"/>
  <c r="R1021" i="13"/>
  <c r="R545" i="13"/>
  <c r="Q1098" i="13"/>
  <c r="Q622" i="13"/>
  <c r="Q1170" i="13"/>
  <c r="Q694" i="13"/>
  <c r="Q1057" i="13"/>
  <c r="Q581" i="13"/>
  <c r="Q1270" i="13"/>
  <c r="Q794" i="13"/>
  <c r="Q1209" i="13"/>
  <c r="Q733" i="13"/>
  <c r="Q1246" i="13"/>
  <c r="Q770" i="13"/>
  <c r="Q1235" i="13"/>
  <c r="Q759" i="13"/>
  <c r="Q1058" i="13"/>
  <c r="Q582" i="13"/>
  <c r="Q1212" i="13"/>
  <c r="Q736" i="13"/>
  <c r="Q974" i="13"/>
  <c r="Q498" i="13"/>
  <c r="Q1063" i="13"/>
  <c r="Q587" i="13"/>
  <c r="Q1054" i="13"/>
  <c r="Q578" i="13"/>
  <c r="Q1196" i="13"/>
  <c r="Q720" i="13"/>
  <c r="Q1137" i="13"/>
  <c r="Q661" i="13"/>
  <c r="Q1258" i="13"/>
  <c r="Q782" i="13"/>
  <c r="Q1030" i="13"/>
  <c r="Q554" i="13"/>
  <c r="Q1171" i="13"/>
  <c r="Q695" i="13"/>
  <c r="Q1114" i="13"/>
  <c r="Q638" i="13"/>
  <c r="Q1231" i="13"/>
  <c r="Q755" i="13"/>
  <c r="Q1005" i="13"/>
  <c r="Q529" i="13"/>
  <c r="Q1107" i="13"/>
  <c r="Q631" i="13"/>
  <c r="Q1108" i="13"/>
  <c r="Q632" i="13"/>
  <c r="Q987" i="13"/>
  <c r="Q511" i="13"/>
  <c r="Q1126" i="13"/>
  <c r="Q650" i="13"/>
  <c r="Q1065" i="13"/>
  <c r="Q589" i="13"/>
  <c r="Q1097" i="13"/>
  <c r="Q621" i="13"/>
  <c r="R1156" i="13"/>
  <c r="R680" i="13"/>
  <c r="R1252" i="13"/>
  <c r="R776" i="13"/>
  <c r="R1101" i="13"/>
  <c r="R625" i="13"/>
  <c r="R1221" i="13"/>
  <c r="R745" i="13"/>
  <c r="R1268" i="13"/>
  <c r="R792" i="13"/>
  <c r="Q1201" i="13"/>
  <c r="Q725" i="13"/>
  <c r="Q1125" i="13"/>
  <c r="Q649" i="13"/>
  <c r="Q1071" i="13"/>
  <c r="Q595" i="13"/>
  <c r="Q1157" i="13"/>
  <c r="Q681" i="13"/>
  <c r="Q1076" i="13"/>
  <c r="Q600" i="13"/>
  <c r="P956" i="13"/>
  <c r="R1145" i="13"/>
  <c r="R669" i="13"/>
  <c r="R1159" i="13"/>
  <c r="R683" i="13"/>
  <c r="R1074" i="13"/>
  <c r="R598" i="13"/>
  <c r="R981" i="13"/>
  <c r="R505" i="13"/>
  <c r="R1259" i="13"/>
  <c r="R783" i="13"/>
  <c r="Q1133" i="13"/>
  <c r="Q657" i="13"/>
  <c r="Q1060" i="13"/>
  <c r="Q584" i="13"/>
  <c r="Q1039" i="13"/>
  <c r="Q563" i="13"/>
  <c r="Q1011" i="13"/>
  <c r="Q535" i="13"/>
  <c r="Q1082" i="13"/>
  <c r="Q606" i="13"/>
  <c r="P1432" i="13"/>
  <c r="R1036" i="13"/>
  <c r="R560" i="13"/>
  <c r="R1118" i="13"/>
  <c r="R642" i="13"/>
  <c r="R1046" i="13"/>
  <c r="R570" i="13"/>
  <c r="R1107" i="13"/>
  <c r="R631" i="13"/>
  <c r="Q1087" i="13"/>
  <c r="Q611" i="13"/>
  <c r="Q1085" i="13"/>
  <c r="Q609" i="13"/>
  <c r="Q1132" i="13"/>
  <c r="Q656" i="13"/>
  <c r="Q1015" i="13"/>
  <c r="Q539" i="13"/>
  <c r="Q998" i="13"/>
  <c r="Q522" i="13"/>
  <c r="R1213" i="13"/>
  <c r="R737" i="13"/>
  <c r="R1161" i="13"/>
  <c r="R685" i="13"/>
  <c r="R1241" i="13"/>
  <c r="R765" i="13"/>
  <c r="R1162" i="13"/>
  <c r="R686" i="13"/>
  <c r="R1057" i="13"/>
  <c r="R581" i="13"/>
  <c r="R1111" i="13"/>
  <c r="R635" i="13"/>
  <c r="R974" i="13"/>
  <c r="R498" i="13"/>
  <c r="R1013" i="13"/>
  <c r="R537" i="13"/>
  <c r="R1224" i="13"/>
  <c r="R748" i="13"/>
  <c r="R1220" i="13"/>
  <c r="R744" i="13"/>
  <c r="R1211" i="13"/>
  <c r="R735" i="13"/>
  <c r="R1251" i="13"/>
  <c r="R775" i="13"/>
  <c r="R1203" i="13"/>
  <c r="R727" i="13"/>
  <c r="R977" i="13"/>
  <c r="R501" i="13"/>
  <c r="R1160" i="13"/>
  <c r="R684" i="13"/>
  <c r="R1060" i="13"/>
  <c r="R584" i="13"/>
  <c r="R1054" i="13"/>
  <c r="R578" i="13"/>
  <c r="R1195" i="13"/>
  <c r="R719" i="13"/>
  <c r="R1007" i="13"/>
  <c r="R531" i="13"/>
  <c r="R973" i="13"/>
  <c r="R497" i="13"/>
  <c r="R979" i="13"/>
  <c r="R503" i="13"/>
  <c r="R1182" i="13"/>
  <c r="R706" i="13"/>
  <c r="R1100" i="13"/>
  <c r="R624" i="13"/>
  <c r="R1166" i="13"/>
  <c r="R690" i="13"/>
  <c r="R1075" i="13"/>
  <c r="R599" i="13"/>
  <c r="R1008" i="13"/>
  <c r="R532" i="13"/>
  <c r="R1115" i="13"/>
  <c r="R639" i="13"/>
  <c r="R962" i="13"/>
  <c r="R486" i="13"/>
  <c r="R1263" i="13"/>
  <c r="R787" i="13"/>
  <c r="R1006" i="13"/>
  <c r="R530" i="13"/>
  <c r="R1175" i="13"/>
  <c r="R699" i="13"/>
  <c r="R1053" i="13"/>
  <c r="R577" i="13"/>
  <c r="Q1260" i="13"/>
  <c r="Q784" i="13"/>
  <c r="Q544" i="13"/>
  <c r="Q1020" i="13"/>
  <c r="Q1121" i="13"/>
  <c r="Q645" i="13"/>
  <c r="Q1160" i="13"/>
  <c r="Q684" i="13"/>
  <c r="Q967" i="13"/>
  <c r="Q491" i="13"/>
  <c r="Q1136" i="13"/>
  <c r="Q660" i="13"/>
  <c r="Q1167" i="13"/>
  <c r="Q691" i="13"/>
  <c r="Q1081" i="13"/>
  <c r="Q605" i="13"/>
  <c r="Q1211" i="13"/>
  <c r="Q735" i="13"/>
  <c r="Q1117" i="13"/>
  <c r="Q641" i="13"/>
  <c r="Q1134" i="13"/>
  <c r="Q658" i="13"/>
  <c r="Q1197" i="13"/>
  <c r="Q721" i="13"/>
  <c r="Q1195" i="13"/>
  <c r="Q719" i="13"/>
  <c r="Q1148" i="13"/>
  <c r="Q672" i="13"/>
  <c r="Q1172" i="13"/>
  <c r="Q696" i="13"/>
  <c r="Q994" i="13"/>
  <c r="Q518" i="13"/>
  <c r="Q1182" i="13"/>
  <c r="Q706" i="13"/>
  <c r="Q1090" i="13"/>
  <c r="Q614" i="13"/>
  <c r="Q1147" i="13"/>
  <c r="Q671" i="13"/>
  <c r="Q1124" i="13"/>
  <c r="Q648" i="13"/>
  <c r="Q1188" i="13"/>
  <c r="Q712" i="13"/>
  <c r="Q1000" i="13"/>
  <c r="Q524" i="13"/>
  <c r="Q963" i="13"/>
  <c r="Q487" i="13"/>
  <c r="Q982" i="13"/>
  <c r="Q506" i="13"/>
  <c r="Q1002" i="13"/>
  <c r="Q526" i="13"/>
  <c r="Q1120" i="13"/>
  <c r="Q644" i="13"/>
  <c r="R2" i="13"/>
  <c r="F632" i="12" l="1"/>
  <c r="L689" i="12"/>
  <c r="L20" i="14" s="1"/>
  <c r="H20" i="14"/>
  <c r="I689" i="12"/>
  <c r="I20" i="14" s="1"/>
  <c r="J689" i="12"/>
  <c r="J20" i="14" s="1"/>
  <c r="M689" i="12"/>
  <c r="M20" i="14" s="1"/>
  <c r="K689" i="12"/>
  <c r="K20" i="14" s="1"/>
  <c r="N689" i="12"/>
  <c r="N20" i="14" s="1"/>
  <c r="N722" i="12"/>
  <c r="N48" i="14" s="1"/>
  <c r="K722" i="12"/>
  <c r="K48" i="14" s="1"/>
  <c r="L722" i="12"/>
  <c r="L48" i="14" s="1"/>
  <c r="H722" i="12"/>
  <c r="H48" i="14" s="1"/>
  <c r="I722" i="12"/>
  <c r="I48" i="14" s="1"/>
  <c r="J722" i="12"/>
  <c r="J48" i="14" s="1"/>
  <c r="H719" i="12"/>
  <c r="H28" i="14" s="1"/>
  <c r="I719" i="12"/>
  <c r="I28" i="14" s="1"/>
  <c r="J719" i="12"/>
  <c r="J28" i="14" s="1"/>
  <c r="K719" i="12"/>
  <c r="K28" i="14" s="1"/>
  <c r="M719" i="12"/>
  <c r="M28" i="14" s="1"/>
  <c r="L719" i="12"/>
  <c r="L28" i="14" s="1"/>
  <c r="L49" i="7"/>
  <c r="L40" i="8" s="1"/>
  <c r="I24" i="7"/>
  <c r="I21" i="8" s="1"/>
  <c r="L24" i="7"/>
  <c r="L21" i="8" s="1"/>
  <c r="K49" i="7"/>
  <c r="K40" i="8" s="1"/>
  <c r="K24" i="7"/>
  <c r="K21" i="8" s="1"/>
  <c r="I49" i="7"/>
  <c r="I40" i="8" s="1"/>
  <c r="F485" i="12"/>
  <c r="F696" i="12" s="1"/>
  <c r="F697" i="12" s="1"/>
  <c r="H697" i="12" s="1"/>
  <c r="Q956" i="13"/>
  <c r="Q1432" i="13"/>
  <c r="F592" i="12"/>
  <c r="F708" i="12" s="1"/>
  <c r="H708" i="12" s="1"/>
  <c r="F591" i="12"/>
  <c r="F707" i="12" s="1"/>
  <c r="H707" i="12" s="1"/>
  <c r="R956" i="13"/>
  <c r="R1432" i="13"/>
  <c r="N49" i="7" s="1"/>
  <c r="N40" i="8" s="1"/>
  <c r="F709" i="12" l="1"/>
  <c r="H709" i="12" s="1"/>
  <c r="M24" i="7"/>
  <c r="M21" i="8" s="1"/>
  <c r="N24" i="7"/>
  <c r="N21" i="8" s="1"/>
  <c r="J49" i="7"/>
  <c r="J40" i="8" s="1"/>
  <c r="M49" i="7"/>
  <c r="M40" i="8" s="1"/>
  <c r="L707" i="12"/>
  <c r="L46" i="14" s="1"/>
  <c r="K707" i="12"/>
  <c r="K46" i="14" s="1"/>
  <c r="J707" i="12"/>
  <c r="J46" i="14" s="1"/>
  <c r="I707" i="12"/>
  <c r="I46" i="14" s="1"/>
  <c r="N707" i="12"/>
  <c r="N46" i="14" s="1"/>
  <c r="M707" i="12"/>
  <c r="M46" i="14" s="1"/>
  <c r="H46" i="14"/>
  <c r="H51" i="14" s="1"/>
  <c r="N708" i="12"/>
  <c r="M708" i="12"/>
  <c r="K708" i="12"/>
  <c r="J708" i="12"/>
  <c r="I708" i="12"/>
  <c r="L708" i="12"/>
  <c r="H695" i="12"/>
  <c r="H26" i="14" s="1"/>
  <c r="H32" i="14" s="1"/>
  <c r="F93" i="14" s="1"/>
  <c r="N695" i="12"/>
  <c r="N26" i="14" s="1"/>
  <c r="M695" i="12"/>
  <c r="M26" i="14" s="1"/>
  <c r="L695" i="12"/>
  <c r="L26" i="14" s="1"/>
  <c r="K695" i="12"/>
  <c r="K26" i="14" s="1"/>
  <c r="J695" i="12"/>
  <c r="J26" i="14" s="1"/>
  <c r="I695" i="12"/>
  <c r="I26" i="14" s="1"/>
  <c r="L696" i="12"/>
  <c r="K696" i="12"/>
  <c r="J696" i="12"/>
  <c r="I696" i="12"/>
  <c r="N696" i="12"/>
  <c r="M696" i="12"/>
  <c r="H696" i="12"/>
  <c r="H23" i="8"/>
  <c r="H28" i="7" s="1"/>
  <c r="H42" i="8"/>
  <c r="H53" i="7" s="1"/>
  <c r="J47" i="14" l="1"/>
  <c r="J55" i="14" s="1"/>
  <c r="F144" i="14" s="1"/>
  <c r="N144" i="14" s="1"/>
  <c r="K47" i="14"/>
  <c r="K55" i="14" s="1"/>
  <c r="F145" i="14" s="1"/>
  <c r="K145" i="14" s="1"/>
  <c r="I47" i="14"/>
  <c r="I55" i="14" s="1"/>
  <c r="F143" i="14" s="1"/>
  <c r="L143" i="14" s="1"/>
  <c r="M47" i="14"/>
  <c r="M49" i="14" s="1"/>
  <c r="N47" i="14"/>
  <c r="N55" i="14" s="1"/>
  <c r="F148" i="14" s="1"/>
  <c r="H47" i="14"/>
  <c r="H55" i="14" s="1"/>
  <c r="F142" i="14" s="1"/>
  <c r="L47" i="14"/>
  <c r="L55" i="14" s="1"/>
  <c r="F146" i="14" s="1"/>
  <c r="M27" i="14"/>
  <c r="M36" i="14" s="1"/>
  <c r="F116" i="14" s="1"/>
  <c r="I27" i="14"/>
  <c r="I36" i="14" s="1"/>
  <c r="F112" i="14" s="1"/>
  <c r="J27" i="14"/>
  <c r="J29" i="14" s="1"/>
  <c r="N27" i="14"/>
  <c r="N36" i="14" s="1"/>
  <c r="F117" i="14" s="1"/>
  <c r="K27" i="14"/>
  <c r="K36" i="14" s="1"/>
  <c r="F114" i="14" s="1"/>
  <c r="N114" i="14" s="1"/>
  <c r="L27" i="14"/>
  <c r="L36" i="14" s="1"/>
  <c r="F115" i="14" s="1"/>
  <c r="L115" i="14" s="1"/>
  <c r="H27" i="14"/>
  <c r="H36" i="14" s="1"/>
  <c r="F111" i="14" s="1"/>
  <c r="F124" i="14"/>
  <c r="N709" i="12"/>
  <c r="M709" i="12"/>
  <c r="L709" i="12"/>
  <c r="K709" i="12"/>
  <c r="J709" i="12"/>
  <c r="I709" i="12"/>
  <c r="M51" i="14"/>
  <c r="F129" i="14" s="1"/>
  <c r="N51" i="14"/>
  <c r="F130" i="14" s="1"/>
  <c r="I51" i="14"/>
  <c r="F125" i="14" s="1"/>
  <c r="J51" i="14"/>
  <c r="F126" i="14" s="1"/>
  <c r="K51" i="14"/>
  <c r="F127" i="14" s="1"/>
  <c r="N32" i="14"/>
  <c r="N697" i="12"/>
  <c r="M697" i="12"/>
  <c r="K697" i="12"/>
  <c r="J697" i="12"/>
  <c r="I697" i="12"/>
  <c r="L697" i="12"/>
  <c r="I32" i="14"/>
  <c r="J32" i="14"/>
  <c r="L51" i="14"/>
  <c r="F128" i="14" s="1"/>
  <c r="K32" i="14"/>
  <c r="L32" i="14"/>
  <c r="M32" i="14"/>
  <c r="K49" i="14" l="1"/>
  <c r="K189" i="14" s="1"/>
  <c r="K58" i="7" s="1"/>
  <c r="L145" i="14"/>
  <c r="I145" i="14"/>
  <c r="I29" i="14"/>
  <c r="L29" i="14"/>
  <c r="L182" i="14" s="1"/>
  <c r="L33" i="7" s="1"/>
  <c r="J49" i="14"/>
  <c r="J169" i="14" s="1"/>
  <c r="M145" i="14"/>
  <c r="N145" i="14"/>
  <c r="J145" i="14"/>
  <c r="L49" i="14"/>
  <c r="L189" i="14" s="1"/>
  <c r="L58" i="7" s="1"/>
  <c r="K29" i="14"/>
  <c r="K159" i="14" s="1"/>
  <c r="I49" i="14"/>
  <c r="I169" i="14" s="1"/>
  <c r="H49" i="14"/>
  <c r="H169" i="14" s="1"/>
  <c r="N49" i="14"/>
  <c r="N189" i="14" s="1"/>
  <c r="N58" i="7" s="1"/>
  <c r="M112" i="14"/>
  <c r="K112" i="14"/>
  <c r="L112" i="14"/>
  <c r="L146" i="14"/>
  <c r="K146" i="14"/>
  <c r="J146" i="14"/>
  <c r="I146" i="14"/>
  <c r="N146" i="14"/>
  <c r="M146" i="14"/>
  <c r="M114" i="14"/>
  <c r="L114" i="14"/>
  <c r="K148" i="14"/>
  <c r="J148" i="14"/>
  <c r="L148" i="14"/>
  <c r="I148" i="14"/>
  <c r="N148" i="14"/>
  <c r="M148" i="14"/>
  <c r="M143" i="14"/>
  <c r="J36" i="14"/>
  <c r="F113" i="14" s="1"/>
  <c r="J113" i="14" s="1"/>
  <c r="I144" i="14"/>
  <c r="J144" i="14"/>
  <c r="M29" i="14"/>
  <c r="M182" i="14" s="1"/>
  <c r="M33" i="7" s="1"/>
  <c r="K144" i="14"/>
  <c r="N143" i="14"/>
  <c r="M144" i="14"/>
  <c r="J143" i="14"/>
  <c r="L144" i="14"/>
  <c r="I143" i="14"/>
  <c r="K143" i="14"/>
  <c r="I116" i="14"/>
  <c r="N116" i="14"/>
  <c r="J116" i="14"/>
  <c r="L116" i="14"/>
  <c r="M116" i="14"/>
  <c r="N142" i="14"/>
  <c r="M142" i="14"/>
  <c r="L142" i="14"/>
  <c r="K142" i="14"/>
  <c r="J142" i="14"/>
  <c r="I142" i="14"/>
  <c r="J112" i="14"/>
  <c r="K115" i="14"/>
  <c r="M55" i="14"/>
  <c r="F147" i="14" s="1"/>
  <c r="I115" i="14"/>
  <c r="I112" i="14"/>
  <c r="J114" i="14"/>
  <c r="N112" i="14"/>
  <c r="I114" i="14"/>
  <c r="J115" i="14"/>
  <c r="M115" i="14"/>
  <c r="L117" i="14"/>
  <c r="I117" i="14"/>
  <c r="M117" i="14"/>
  <c r="N117" i="14"/>
  <c r="J117" i="14"/>
  <c r="K117" i="14"/>
  <c r="I111" i="14"/>
  <c r="K111" i="14"/>
  <c r="L111" i="14"/>
  <c r="J111" i="14"/>
  <c r="M111" i="14"/>
  <c r="N111" i="14"/>
  <c r="N29" i="14"/>
  <c r="N182" i="14" s="1"/>
  <c r="N33" i="7" s="1"/>
  <c r="N115" i="14"/>
  <c r="K114" i="14"/>
  <c r="K116" i="14"/>
  <c r="H29" i="14"/>
  <c r="H159" i="14" s="1"/>
  <c r="J140" i="14"/>
  <c r="I140" i="14"/>
  <c r="K140" i="14"/>
  <c r="L140" i="14"/>
  <c r="M140" i="14"/>
  <c r="N140" i="14"/>
  <c r="F98" i="14"/>
  <c r="F96" i="14"/>
  <c r="M96" i="14" s="1"/>
  <c r="F94" i="14"/>
  <c r="M94" i="14" s="1"/>
  <c r="F99" i="14"/>
  <c r="N99" i="14" s="1"/>
  <c r="F97" i="14"/>
  <c r="N97" i="14" s="1"/>
  <c r="F95" i="14"/>
  <c r="J95" i="14" s="1"/>
  <c r="I159" i="14"/>
  <c r="I182" i="14"/>
  <c r="I33" i="7" s="1"/>
  <c r="N127" i="14"/>
  <c r="M127" i="14"/>
  <c r="L127" i="14"/>
  <c r="K127" i="14"/>
  <c r="J127" i="14"/>
  <c r="I127" i="14"/>
  <c r="J159" i="14"/>
  <c r="J182" i="14"/>
  <c r="J33" i="7" s="1"/>
  <c r="N93" i="14"/>
  <c r="M93" i="14"/>
  <c r="L93" i="14"/>
  <c r="K93" i="14"/>
  <c r="J93" i="14"/>
  <c r="I93" i="14"/>
  <c r="L128" i="14"/>
  <c r="K128" i="14"/>
  <c r="J128" i="14"/>
  <c r="I128" i="14"/>
  <c r="N128" i="14"/>
  <c r="M128" i="14"/>
  <c r="J130" i="14"/>
  <c r="I130" i="14"/>
  <c r="N130" i="14"/>
  <c r="M130" i="14"/>
  <c r="L130" i="14"/>
  <c r="K130" i="14"/>
  <c r="N126" i="14"/>
  <c r="M126" i="14"/>
  <c r="L126" i="14"/>
  <c r="K126" i="14"/>
  <c r="J126" i="14"/>
  <c r="I126" i="14"/>
  <c r="M189" i="14"/>
  <c r="M58" i="7" s="1"/>
  <c r="M169" i="14"/>
  <c r="I125" i="14"/>
  <c r="N125" i="14"/>
  <c r="M125" i="14"/>
  <c r="L125" i="14"/>
  <c r="K125" i="14"/>
  <c r="J125" i="14"/>
  <c r="N129" i="14"/>
  <c r="M129" i="14"/>
  <c r="L129" i="14"/>
  <c r="K129" i="14"/>
  <c r="J129" i="14"/>
  <c r="I129" i="14"/>
  <c r="N124" i="14"/>
  <c r="M124" i="14"/>
  <c r="L124" i="14"/>
  <c r="K124" i="14"/>
  <c r="J124" i="14"/>
  <c r="F131" i="14"/>
  <c r="I124" i="14"/>
  <c r="K169" i="14" l="1"/>
  <c r="K170" i="14" s="1"/>
  <c r="L159" i="14"/>
  <c r="L160" i="14" s="1"/>
  <c r="K182" i="14"/>
  <c r="K33" i="7" s="1"/>
  <c r="K13" i="8" s="1"/>
  <c r="K11" i="8" s="1"/>
  <c r="K26" i="7" s="1"/>
  <c r="N169" i="14"/>
  <c r="J189" i="14"/>
  <c r="J58" i="7" s="1"/>
  <c r="J32" i="8" s="1"/>
  <c r="J30" i="8" s="1"/>
  <c r="J51" i="7" s="1"/>
  <c r="L169" i="14"/>
  <c r="H188" i="14"/>
  <c r="H57" i="7" s="1"/>
  <c r="H32" i="8" s="1"/>
  <c r="H30" i="8" s="1"/>
  <c r="H33" i="8" s="1"/>
  <c r="I29" i="8" s="1"/>
  <c r="I189" i="14"/>
  <c r="I58" i="7" s="1"/>
  <c r="I32" i="8" s="1"/>
  <c r="I30" i="8" s="1"/>
  <c r="M159" i="14"/>
  <c r="H181" i="14"/>
  <c r="H32" i="7" s="1"/>
  <c r="H13" i="8" s="1"/>
  <c r="H11" i="8" s="1"/>
  <c r="H14" i="8" s="1"/>
  <c r="I10" i="8" s="1"/>
  <c r="F118" i="14"/>
  <c r="N113" i="14"/>
  <c r="N118" i="14" s="1"/>
  <c r="K113" i="14"/>
  <c r="K118" i="14" s="1"/>
  <c r="L113" i="14"/>
  <c r="L118" i="14" s="1"/>
  <c r="L95" i="14"/>
  <c r="N159" i="14"/>
  <c r="I113" i="14"/>
  <c r="I118" i="14" s="1"/>
  <c r="K95" i="14"/>
  <c r="M113" i="14"/>
  <c r="M118" i="14" s="1"/>
  <c r="L147" i="14"/>
  <c r="L149" i="14" s="1"/>
  <c r="K147" i="14"/>
  <c r="K149" i="14" s="1"/>
  <c r="J147" i="14"/>
  <c r="J149" i="14" s="1"/>
  <c r="M147" i="14"/>
  <c r="M149" i="14" s="1"/>
  <c r="I147" i="14"/>
  <c r="I149" i="14" s="1"/>
  <c r="N147" i="14"/>
  <c r="N149" i="14" s="1"/>
  <c r="J118" i="14"/>
  <c r="F149" i="14"/>
  <c r="M97" i="14"/>
  <c r="K98" i="14"/>
  <c r="M98" i="14"/>
  <c r="N98" i="14"/>
  <c r="N96" i="14"/>
  <c r="I98" i="14"/>
  <c r="J96" i="14"/>
  <c r="M95" i="14"/>
  <c r="I96" i="14"/>
  <c r="K96" i="14"/>
  <c r="J98" i="14"/>
  <c r="L98" i="14"/>
  <c r="N95" i="14"/>
  <c r="L97" i="14"/>
  <c r="I97" i="14"/>
  <c r="I95" i="14"/>
  <c r="K99" i="14"/>
  <c r="I99" i="14"/>
  <c r="K97" i="14"/>
  <c r="L99" i="14"/>
  <c r="L96" i="14"/>
  <c r="M99" i="14"/>
  <c r="J97" i="14"/>
  <c r="I94" i="14"/>
  <c r="J94" i="14"/>
  <c r="N94" i="14"/>
  <c r="K94" i="14"/>
  <c r="L94" i="14"/>
  <c r="J99" i="14"/>
  <c r="F100" i="14"/>
  <c r="N131" i="14"/>
  <c r="M32" i="8"/>
  <c r="M30" i="8" s="1"/>
  <c r="M51" i="7" s="1"/>
  <c r="M13" i="8"/>
  <c r="M11" i="8" s="1"/>
  <c r="M26" i="7" s="1"/>
  <c r="N13" i="8"/>
  <c r="N11" i="8" s="1"/>
  <c r="N26" i="7" s="1"/>
  <c r="L13" i="8"/>
  <c r="L11" i="8" s="1"/>
  <c r="L26" i="7" s="1"/>
  <c r="N32" i="8"/>
  <c r="N30" i="8" s="1"/>
  <c r="N51" i="7" s="1"/>
  <c r="J13" i="8"/>
  <c r="J11" i="8" s="1"/>
  <c r="J26" i="7" s="1"/>
  <c r="K32" i="8"/>
  <c r="K30" i="8" s="1"/>
  <c r="K51" i="7" s="1"/>
  <c r="I13" i="8"/>
  <c r="I11" i="8" s="1"/>
  <c r="I26" i="7" s="1"/>
  <c r="L32" i="8"/>
  <c r="L30" i="8" s="1"/>
  <c r="L51" i="7" s="1"/>
  <c r="K131" i="14"/>
  <c r="J170" i="14"/>
  <c r="H170" i="14"/>
  <c r="H175" i="14" s="1"/>
  <c r="H191" i="14" s="1"/>
  <c r="H59" i="7" s="1"/>
  <c r="I170" i="14"/>
  <c r="I131" i="14"/>
  <c r="J131" i="14"/>
  <c r="L131" i="14"/>
  <c r="K160" i="14"/>
  <c r="J160" i="14"/>
  <c r="I160" i="14"/>
  <c r="H160" i="14"/>
  <c r="H165" i="14" s="1"/>
  <c r="H184" i="14" s="1"/>
  <c r="H34" i="7" s="1"/>
  <c r="M131" i="14"/>
  <c r="M170" i="14" l="1"/>
  <c r="M160" i="14"/>
  <c r="H51" i="7"/>
  <c r="I151" i="14"/>
  <c r="I190" i="14" s="1"/>
  <c r="I33" i="8"/>
  <c r="J29" i="8" s="1"/>
  <c r="J33" i="8" s="1"/>
  <c r="K29" i="8" s="1"/>
  <c r="K33" i="8" s="1"/>
  <c r="L29" i="8" s="1"/>
  <c r="L33" i="8" s="1"/>
  <c r="M29" i="8" s="1"/>
  <c r="M33" i="8" s="1"/>
  <c r="N29" i="8" s="1"/>
  <c r="N33" i="8" s="1"/>
  <c r="H26" i="7"/>
  <c r="N160" i="14"/>
  <c r="H15" i="8"/>
  <c r="H27" i="7" s="1"/>
  <c r="H34" i="8"/>
  <c r="H52" i="7" s="1"/>
  <c r="N170" i="14"/>
  <c r="L170" i="14"/>
  <c r="M151" i="14"/>
  <c r="M172" i="14" s="1"/>
  <c r="N151" i="14"/>
  <c r="N190" i="14" s="1"/>
  <c r="N41" i="8" s="1"/>
  <c r="N42" i="8" s="1"/>
  <c r="N53" i="7" s="1"/>
  <c r="J151" i="14"/>
  <c r="J172" i="14" s="1"/>
  <c r="K151" i="14"/>
  <c r="K172" i="14" s="1"/>
  <c r="L151" i="14"/>
  <c r="L190" i="14" s="1"/>
  <c r="M100" i="14"/>
  <c r="M120" i="14" s="1"/>
  <c r="M183" i="14" s="1"/>
  <c r="K100" i="14"/>
  <c r="K120" i="14" s="1"/>
  <c r="K162" i="14" s="1"/>
  <c r="N100" i="14"/>
  <c r="N120" i="14" s="1"/>
  <c r="N183" i="14" s="1"/>
  <c r="L100" i="14"/>
  <c r="L120" i="14" s="1"/>
  <c r="L162" i="14" s="1"/>
  <c r="J100" i="14"/>
  <c r="J120" i="14" s="1"/>
  <c r="J183" i="14" s="1"/>
  <c r="I100" i="14"/>
  <c r="I120" i="14" s="1"/>
  <c r="I162" i="14" s="1"/>
  <c r="I51" i="7"/>
  <c r="I14" i="8"/>
  <c r="J10" i="8" s="1"/>
  <c r="J14" i="8" s="1"/>
  <c r="I34" i="8"/>
  <c r="I52" i="7" s="1"/>
  <c r="I15" i="8"/>
  <c r="I27" i="7" s="1"/>
  <c r="H30" i="7" l="1"/>
  <c r="H36" i="7" s="1"/>
  <c r="H55" i="7"/>
  <c r="H61" i="7" s="1"/>
  <c r="I172" i="14"/>
  <c r="K173" i="14" s="1"/>
  <c r="K175" i="14" s="1"/>
  <c r="K191" i="14" s="1"/>
  <c r="K59" i="7" s="1"/>
  <c r="M190" i="14"/>
  <c r="M41" i="8" s="1"/>
  <c r="M42" i="8" s="1"/>
  <c r="M53" i="7" s="1"/>
  <c r="K190" i="14"/>
  <c r="K41" i="8" s="1"/>
  <c r="K42" i="8" s="1"/>
  <c r="K53" i="7" s="1"/>
  <c r="J190" i="14"/>
  <c r="J41" i="8" s="1"/>
  <c r="J42" i="8" s="1"/>
  <c r="J53" i="7" s="1"/>
  <c r="L172" i="14"/>
  <c r="K183" i="14"/>
  <c r="K22" i="8" s="1"/>
  <c r="K23" i="8" s="1"/>
  <c r="K28" i="7" s="1"/>
  <c r="M162" i="14"/>
  <c r="N162" i="14"/>
  <c r="J162" i="14"/>
  <c r="J163" i="14" s="1"/>
  <c r="J165" i="14" s="1"/>
  <c r="J184" i="14" s="1"/>
  <c r="J34" i="7" s="1"/>
  <c r="L183" i="14"/>
  <c r="L22" i="8" s="1"/>
  <c r="L23" i="8" s="1"/>
  <c r="L28" i="7" s="1"/>
  <c r="I183" i="14"/>
  <c r="I22" i="8" s="1"/>
  <c r="I23" i="8" s="1"/>
  <c r="I28" i="7" s="1"/>
  <c r="I30" i="7" s="1"/>
  <c r="N172" i="14"/>
  <c r="I163" i="14"/>
  <c r="I165" i="14" s="1"/>
  <c r="I184" i="14" s="1"/>
  <c r="I34" i="7" s="1"/>
  <c r="I41" i="8"/>
  <c r="I42" i="8" s="1"/>
  <c r="I53" i="7" s="1"/>
  <c r="I55" i="7" s="1"/>
  <c r="M22" i="8"/>
  <c r="M23" i="8" s="1"/>
  <c r="M28" i="7" s="1"/>
  <c r="N22" i="8"/>
  <c r="N23" i="8" s="1"/>
  <c r="N28" i="7" s="1"/>
  <c r="J22" i="8"/>
  <c r="J23" i="8" s="1"/>
  <c r="J28" i="7" s="1"/>
  <c r="L41" i="8"/>
  <c r="L42" i="8" s="1"/>
  <c r="L53" i="7" s="1"/>
  <c r="J15" i="8"/>
  <c r="J27" i="7" s="1"/>
  <c r="K10" i="8"/>
  <c r="K14" i="8" s="1"/>
  <c r="J34" i="8"/>
  <c r="J52" i="7" s="1"/>
  <c r="I173" i="14" l="1"/>
  <c r="I175" i="14" s="1"/>
  <c r="I191" i="14" s="1"/>
  <c r="I59" i="7" s="1"/>
  <c r="I61" i="7" s="1"/>
  <c r="J173" i="14"/>
  <c r="J175" i="14" s="1"/>
  <c r="J191" i="14" s="1"/>
  <c r="J59" i="7" s="1"/>
  <c r="M173" i="14"/>
  <c r="M175" i="14" s="1"/>
  <c r="M191" i="14" s="1"/>
  <c r="M59" i="7" s="1"/>
  <c r="L173" i="14"/>
  <c r="L175" i="14" s="1"/>
  <c r="L191" i="14" s="1"/>
  <c r="L59" i="7" s="1"/>
  <c r="N173" i="14"/>
  <c r="N175" i="14" s="1"/>
  <c r="N191" i="14" s="1"/>
  <c r="N59" i="7" s="1"/>
  <c r="M163" i="14"/>
  <c r="M165" i="14" s="1"/>
  <c r="M184" i="14" s="1"/>
  <c r="M34" i="7" s="1"/>
  <c r="N163" i="14"/>
  <c r="N165" i="14" s="1"/>
  <c r="N184" i="14" s="1"/>
  <c r="N34" i="7" s="1"/>
  <c r="L163" i="14"/>
  <c r="L165" i="14" s="1"/>
  <c r="L184" i="14" s="1"/>
  <c r="L34" i="7" s="1"/>
  <c r="K163" i="14"/>
  <c r="K165" i="14" s="1"/>
  <c r="K184" i="14" s="1"/>
  <c r="K34" i="7" s="1"/>
  <c r="J55" i="7"/>
  <c r="J30" i="7"/>
  <c r="J36" i="7" s="1"/>
  <c r="I36" i="7"/>
  <c r="K34" i="8"/>
  <c r="K52" i="7" s="1"/>
  <c r="K55" i="7" s="1"/>
  <c r="K61" i="7" s="1"/>
  <c r="L10" i="8"/>
  <c r="L14" i="8" s="1"/>
  <c r="K15" i="8"/>
  <c r="K27" i="7" s="1"/>
  <c r="K30" i="7" s="1"/>
  <c r="J61" i="7" l="1"/>
  <c r="K36" i="7"/>
  <c r="L15" i="8"/>
  <c r="L27" i="7" s="1"/>
  <c r="L30" i="7" s="1"/>
  <c r="L36" i="7" s="1"/>
  <c r="M10" i="8"/>
  <c r="M14" i="8" s="1"/>
  <c r="L34" i="8"/>
  <c r="L52" i="7" s="1"/>
  <c r="L55" i="7" s="1"/>
  <c r="L61" i="7" s="1"/>
  <c r="M34" i="8" l="1"/>
  <c r="M52" i="7" s="1"/>
  <c r="M55" i="7" s="1"/>
  <c r="M61" i="7" s="1"/>
  <c r="M15" i="8"/>
  <c r="M27" i="7" s="1"/>
  <c r="M30" i="7" s="1"/>
  <c r="M36" i="7" s="1"/>
  <c r="N10" i="8"/>
  <c r="N14" i="8" s="1"/>
  <c r="N15" i="8" l="1"/>
  <c r="N27" i="7" s="1"/>
  <c r="N30" i="7" s="1"/>
  <c r="N36" i="7" s="1"/>
  <c r="F38" i="7" s="1"/>
  <c r="N34" i="8"/>
  <c r="N52" i="7" s="1"/>
  <c r="N55" i="7" s="1"/>
  <c r="N61" i="7" s="1"/>
  <c r="F63" i="7" s="1"/>
</calcChain>
</file>

<file path=xl/sharedStrings.xml><?xml version="1.0" encoding="utf-8"?>
<sst xmlns="http://schemas.openxmlformats.org/spreadsheetml/2006/main" count="12780" uniqueCount="525">
  <si>
    <t>Variable</t>
  </si>
  <si>
    <t>Unidad</t>
  </si>
  <si>
    <t>Fuente</t>
  </si>
  <si>
    <t>Valor fijo</t>
  </si>
  <si>
    <t>Pasajeros</t>
  </si>
  <si>
    <t>INT-INT</t>
  </si>
  <si>
    <t>DOM-DOM</t>
  </si>
  <si>
    <t>Total</t>
  </si>
  <si>
    <t>Doméstico</t>
  </si>
  <si>
    <t>Internacional</t>
  </si>
  <si>
    <t>DOM-INT</t>
  </si>
  <si>
    <t>Costos</t>
  </si>
  <si>
    <t>Retribución al Estado + Aporte regulatorio</t>
  </si>
  <si>
    <t>%</t>
  </si>
  <si>
    <t>LAP</t>
  </si>
  <si>
    <t>OPEX</t>
  </si>
  <si>
    <t>m2</t>
  </si>
  <si>
    <t>Inflación WEO (USA)</t>
  </si>
  <si>
    <t>Período inicio</t>
  </si>
  <si>
    <t>Período fin</t>
  </si>
  <si>
    <t>.</t>
  </si>
  <si>
    <t>#</t>
  </si>
  <si>
    <t>Cálc.</t>
  </si>
  <si>
    <t>n.a.</t>
  </si>
  <si>
    <t>LAP / Cálc.</t>
  </si>
  <si>
    <t>Flujo - P10 - Procesador</t>
  </si>
  <si>
    <t>Circulación 1 - P10 - Procesador</t>
  </si>
  <si>
    <t>Circulación 2 - P10 - Procesador</t>
  </si>
  <si>
    <t>Circulación 3 - P10 - Procesador</t>
  </si>
  <si>
    <t>Circulación 4 - P10 - Procesador</t>
  </si>
  <si>
    <t>Flujo - P10 - Dique Swing</t>
  </si>
  <si>
    <t>Sala de Embarque - P10 - Dique Swing</t>
  </si>
  <si>
    <t>Circulación 1 - P10 - Dique Swing</t>
  </si>
  <si>
    <t>Flujo - P20 - Procesador</t>
  </si>
  <si>
    <t>Circulación 1 - P20 - Procesador</t>
  </si>
  <si>
    <t>Circulación 2 - P20 - Procesador</t>
  </si>
  <si>
    <t>Flujo - P20 - Dique Internacional</t>
  </si>
  <si>
    <t>Circulación 1 - P20 - Dique Internacional</t>
  </si>
  <si>
    <t>Flujo - P30 - Procesador</t>
  </si>
  <si>
    <t>Circulación 1 - P30 - Procesador</t>
  </si>
  <si>
    <t>Circulación 2 - P30 - Procesador</t>
  </si>
  <si>
    <t>Circulación 3 - P30 - Procesador</t>
  </si>
  <si>
    <t>Flujo - P30 - Dique Doméstico</t>
  </si>
  <si>
    <t>Sala de Embarque - P30 - Dique Doméstico</t>
  </si>
  <si>
    <t>Circulación 1 - P30 - Dique Doméstico</t>
  </si>
  <si>
    <t>Flujo - P30 - Dique Internacional</t>
  </si>
  <si>
    <t>Sala de Embarque - P30  - Dique Internacional</t>
  </si>
  <si>
    <t>Circulación 1 - P30  - Dique Internacional</t>
  </si>
  <si>
    <t>Flujo - P30 - Dique Swing</t>
  </si>
  <si>
    <t>Sala de Embarque - P30 - Dique Swing</t>
  </si>
  <si>
    <t>Circulación 1 - P30 - Dique Swing</t>
  </si>
  <si>
    <t>Circulación 2 - P30 - Dique Swing</t>
  </si>
  <si>
    <t>Flujo - P40 - Dique Swing</t>
  </si>
  <si>
    <t>Circulación 1 - P40 - Dique Swing</t>
  </si>
  <si>
    <t>Totales</t>
  </si>
  <si>
    <t>m2​</t>
  </si>
  <si>
    <t>Cantidad</t>
  </si>
  <si>
    <t>Ratio</t>
  </si>
  <si>
    <t>Ratios de asignación INT-INT</t>
  </si>
  <si>
    <t>Inversión total</t>
  </si>
  <si>
    <t>Supuestos</t>
  </si>
  <si>
    <t>US$</t>
  </si>
  <si>
    <t>Datos de proyecciones de pasajeros</t>
  </si>
  <si>
    <t>INT Salidas (sin DOM-INT / INT-INT / Transito INT-INT)</t>
  </si>
  <si>
    <t>INT Llegadas (sin DOM-INT / INT-INT / Transito INT-INT)</t>
  </si>
  <si>
    <t>DOM Salidas (sin INT-DOM / DOM-DOM)</t>
  </si>
  <si>
    <t>DOM Llegadas (sin INT-DOM / DOM-DOM)</t>
  </si>
  <si>
    <t>INT-DOM</t>
  </si>
  <si>
    <t>Cálculo de ratios de asignación</t>
  </si>
  <si>
    <t>INT-INT/(INT Llegadas+INT-INT)</t>
  </si>
  <si>
    <t>INT-INT/(INT llegadas + INT-DOM + INT-INT)</t>
  </si>
  <si>
    <t>INT-INT/(DOM-INT + INT-DOM +INT Salidas+ DOM salidas + INT-INT+DOM-DOM)</t>
  </si>
  <si>
    <t>INT-INT/ (INT Salidas+ DOM-INT+INT-INT)</t>
  </si>
  <si>
    <t>INT-INT/ (DOM Llegadas+INT Salidas+DOM Salidas+INT-INT+DOM-DOM+DOM-INT+INT-DOM</t>
  </si>
  <si>
    <t>Ratios de asignación DOM-DOM</t>
  </si>
  <si>
    <t>DOM-DOM/(INT Salidas+DOM Salidas+INT-INT+DOM-INT+INT-DOM+DOM-DOM</t>
  </si>
  <si>
    <t>DOM-DOM/(DOM Salidas+INT-DOM+DOM-DOM)</t>
  </si>
  <si>
    <t>DOM-DOM/(DOM Llegadas+DOM Salidas+DOM-INT+INT-DOM+DOM-DOM)</t>
  </si>
  <si>
    <t>DOM-DOM/ (DOM Llegadas+INT Salidas+DOM Salidas+INT-INT+DOM-DOM+DOM-INT+INT-DOM</t>
  </si>
  <si>
    <t>Inversión total DOM-DOM</t>
  </si>
  <si>
    <t>Edificio Terminal</t>
  </si>
  <si>
    <t>Ascensores</t>
  </si>
  <si>
    <t>Escaleras Mecánicas</t>
  </si>
  <si>
    <t>Control de Tarjeta de embarque</t>
  </si>
  <si>
    <t>Equipamiento de Seguridad *(Costo Maquina C3  Acorde a precio opcional Rapiscan 920CT)</t>
  </si>
  <si>
    <t>Glb.</t>
  </si>
  <si>
    <t>Costo total</t>
  </si>
  <si>
    <t>US$ / m2</t>
  </si>
  <si>
    <t>Inversiones</t>
  </si>
  <si>
    <t>Recupero de inversión</t>
  </si>
  <si>
    <t>Depreciación</t>
  </si>
  <si>
    <t>WACC</t>
  </si>
  <si>
    <t>Tarifa (USD/PAX)</t>
  </si>
  <si>
    <t>Net IGV</t>
  </si>
  <si>
    <t>Pago de IGV</t>
  </si>
  <si>
    <t>Pago de IR</t>
  </si>
  <si>
    <t>FLUJO DE CAJA OPERATIVO</t>
  </si>
  <si>
    <t>Plan de Inversiones</t>
  </si>
  <si>
    <t>Recupero Inversión</t>
  </si>
  <si>
    <t>FLUJO DE CAJA ECONÓMICO</t>
  </si>
  <si>
    <t>Ingresos brutos</t>
  </si>
  <si>
    <t>Ingresos netos</t>
  </si>
  <si>
    <t>Pasajeros INT-INT</t>
  </si>
  <si>
    <t>Procesador</t>
  </si>
  <si>
    <t>Swing</t>
  </si>
  <si>
    <t xml:space="preserve">Área </t>
  </si>
  <si>
    <t>Sistema de obtención de agua cruda</t>
  </si>
  <si>
    <t xml:space="preserve">PTAR/ Planta de Tratamiento de Aguas Residuales </t>
  </si>
  <si>
    <t>Redes y sistemas de plomería (Agua, incendio) Landside</t>
  </si>
  <si>
    <t>Redes y sistemas eléctricos Landside</t>
  </si>
  <si>
    <t>Planta de generación eléctrica</t>
  </si>
  <si>
    <t>Planta de producción de agua helada</t>
  </si>
  <si>
    <t>Depósito de combustible</t>
  </si>
  <si>
    <t>Factor de incidencia</t>
  </si>
  <si>
    <t xml:space="preserve">Costo de inversión </t>
  </si>
  <si>
    <t xml:space="preserve">Zonas comunes </t>
  </si>
  <si>
    <t>Zonas exclusivas</t>
  </si>
  <si>
    <t>Inversión MOU Memorandum of Understanding</t>
  </si>
  <si>
    <t>Design</t>
  </si>
  <si>
    <t>Early Works</t>
  </si>
  <si>
    <t>Site Managment</t>
  </si>
  <si>
    <t>Monto de inversión MOU</t>
  </si>
  <si>
    <t>Total ponderado</t>
  </si>
  <si>
    <t>2211 SANITARY FACILITY  (Tratamiento de agua)</t>
  </si>
  <si>
    <t>2213 SANITARY BLOCK  (Edificio de residuos)</t>
  </si>
  <si>
    <t>2332 Rent a car edificación</t>
  </si>
  <si>
    <t xml:space="preserve">2234 Main S/E (substation) </t>
  </si>
  <si>
    <t>2391 Staging area authorized vehicles (Edificaciones)</t>
  </si>
  <si>
    <t xml:space="preserve">2511-2512-2513 CONTROL ACCESS POINTS </t>
  </si>
  <si>
    <t xml:space="preserve">OTROS EDIFICIOS AUXILIARES DE SOPORTE </t>
  </si>
  <si>
    <t>Data Center EXISTENTE (Racks adicionales)</t>
  </si>
  <si>
    <t>Desconexion y desmantelamiento de Subestacion Provisional Existente (8111)</t>
  </si>
  <si>
    <t>Ratio de consumo de agua</t>
  </si>
  <si>
    <t>Ratio demanda de energía eléctrica</t>
  </si>
  <si>
    <t>Modificaciones necesarias para operación del nuevo terminal</t>
  </si>
  <si>
    <t>Inversion en edificios auxiliares Landside</t>
  </si>
  <si>
    <t>PAX</t>
  </si>
  <si>
    <t>Miles de US$</t>
  </si>
  <si>
    <t>Cálculo</t>
  </si>
  <si>
    <t>Factores y ratios</t>
  </si>
  <si>
    <t>Resultados</t>
  </si>
  <si>
    <t>Valor</t>
  </si>
  <si>
    <t>TUUAs</t>
  </si>
  <si>
    <t>TUUA INT-INT</t>
  </si>
  <si>
    <t>TUUA DOM-DOM</t>
  </si>
  <si>
    <t>US$ / PAX</t>
  </si>
  <si>
    <t>Ratio para planta de producción de agua helada</t>
  </si>
  <si>
    <t>EE.FF. INT-INT - TUUA de transferencia (en miles de US$)</t>
  </si>
  <si>
    <t>Flujo de caja INT-INT - TUUA de transferencia (en miles de US$)</t>
  </si>
  <si>
    <t>Pago IGV</t>
  </si>
  <si>
    <t>P &amp; L</t>
  </si>
  <si>
    <t>Crédito Fiscal Inicial</t>
  </si>
  <si>
    <t xml:space="preserve">Net IGV </t>
  </si>
  <si>
    <t>IGV Ingresos</t>
  </si>
  <si>
    <t>IGV Egresos</t>
  </si>
  <si>
    <t>Crédito Fiscal Final</t>
  </si>
  <si>
    <t>Información de inversiones transversales</t>
  </si>
  <si>
    <t>Zonas comunes</t>
  </si>
  <si>
    <t>Costos de inversión asociados</t>
  </si>
  <si>
    <t>Ingresos Brutos</t>
  </si>
  <si>
    <t>Retribución al Estado</t>
  </si>
  <si>
    <t>Gastos Operativos</t>
  </si>
  <si>
    <t>Utilidad Neta</t>
  </si>
  <si>
    <t>Información para ratios generales (para zonas comunes y generales)</t>
  </si>
  <si>
    <t>Cálculo final de ratios</t>
  </si>
  <si>
    <t>VNP</t>
  </si>
  <si>
    <t>Sin incidencia</t>
  </si>
  <si>
    <t>Flujo de caja DOM-DOM - TUUA de transferencia (en miles de US$)</t>
  </si>
  <si>
    <t>EE.FF. DOM-DOM - TUUA de transferencia (en miles de US$)</t>
  </si>
  <si>
    <t>Pasajeros DOM-DOM</t>
  </si>
  <si>
    <t>Gastos de Personal</t>
  </si>
  <si>
    <t>Servicios prestados por terceros</t>
  </si>
  <si>
    <t xml:space="preserve">Outsourcing </t>
  </si>
  <si>
    <t>Mantenimiento de Activos</t>
  </si>
  <si>
    <t>Otros Costos</t>
  </si>
  <si>
    <t>Infraestructura</t>
  </si>
  <si>
    <t>Equipos</t>
  </si>
  <si>
    <t>Inversión total INT-INT</t>
  </si>
  <si>
    <t>Ratio o costo unitario</t>
  </si>
  <si>
    <t>Depreciación de infraestructura</t>
  </si>
  <si>
    <t>Depreciación de equipos</t>
  </si>
  <si>
    <t>Años</t>
  </si>
  <si>
    <t>Seguros</t>
  </si>
  <si>
    <t>Ratios de costo de inversión para CAPEX (US$/m2)</t>
  </si>
  <si>
    <t>Costo de inversión incidencia Landside - MOU</t>
  </si>
  <si>
    <t>Costo de inversión incidencia Landside - Design</t>
  </si>
  <si>
    <t>Costo de inversión incidencia Landside - Early Works</t>
  </si>
  <si>
    <t>Costo de inversión incidencia Landside - Site Management</t>
  </si>
  <si>
    <t>Monto de inversión Design</t>
  </si>
  <si>
    <t>Monto de inversión Early Works</t>
  </si>
  <si>
    <t>Monto de inversión Site Management</t>
  </si>
  <si>
    <t>Total CAPEX</t>
  </si>
  <si>
    <t>Nacional Llegadas</t>
  </si>
  <si>
    <t>Nacional Salidas</t>
  </si>
  <si>
    <t>Internacional Llegadas</t>
  </si>
  <si>
    <t>Internacional Salidas</t>
  </si>
  <si>
    <t>Tránsito (INT-INT)</t>
  </si>
  <si>
    <t>DOM-DOM/ (DOM Llegadas+DOM-DOM)</t>
  </si>
  <si>
    <t>DOM-DOM/ (DOM-DOM+DOM-INT)</t>
  </si>
  <si>
    <t>Inversión infraestructura - zonas comunes</t>
  </si>
  <si>
    <t>Inversión infraestructura - zonas exclusivas</t>
  </si>
  <si>
    <t>Airside</t>
  </si>
  <si>
    <t>Inversion en edificios auxiliares Landside ponderada</t>
  </si>
  <si>
    <t>Resumen de ratios de costo de inversión (US$ / m2)</t>
  </si>
  <si>
    <t>Porcentaje de avance de inversión</t>
  </si>
  <si>
    <t>Áreas comunes</t>
  </si>
  <si>
    <t>Áreas exclusivas</t>
  </si>
  <si>
    <t>Área</t>
  </si>
  <si>
    <t>Flujo de inversiones totales</t>
  </si>
  <si>
    <t>Costos indirectos LAP (15.6%)</t>
  </si>
  <si>
    <t>Costos indirectos</t>
  </si>
  <si>
    <t>Ratio de incidencia</t>
  </si>
  <si>
    <t>Total costos indirectos</t>
  </si>
  <si>
    <t>Inversiones infraestructura 2024</t>
  </si>
  <si>
    <t>Inversiones infraestructura 2025</t>
  </si>
  <si>
    <t>Inversiones infraestructura 2026</t>
  </si>
  <si>
    <t>Inversiones infraestructura 2027</t>
  </si>
  <si>
    <t>Inversiones infraestructura 2028</t>
  </si>
  <si>
    <t>Inversiones infraestructura 2029</t>
  </si>
  <si>
    <t>Inversiones infraestructura 2030</t>
  </si>
  <si>
    <t>Inversiones equipos 2024</t>
  </si>
  <si>
    <t>Inversiones equipos 2025</t>
  </si>
  <si>
    <t>Inversiones equipos 2026</t>
  </si>
  <si>
    <t>Inversiones equipos 2027</t>
  </si>
  <si>
    <t>Inversiones equipos 2028</t>
  </si>
  <si>
    <t>Inversiones equipos 2029</t>
  </si>
  <si>
    <t>Inversiones equipos 2030</t>
  </si>
  <si>
    <t>Años de vida útil</t>
  </si>
  <si>
    <t>Depreciación total - Infraestructura</t>
  </si>
  <si>
    <t>Depreciación total - Equipos</t>
  </si>
  <si>
    <t>Ratio de atribución de costos indirectos al terminal</t>
  </si>
  <si>
    <t>Dummy de apoyo</t>
  </si>
  <si>
    <t>Inversión anual</t>
  </si>
  <si>
    <t>Inversión acumulada</t>
  </si>
  <si>
    <t>Depreciación I&amp;E anual</t>
  </si>
  <si>
    <t>Depreciación I&amp;E acumulada</t>
  </si>
  <si>
    <t>Flujo de depreciaciones</t>
  </si>
  <si>
    <t>Resumen CAPEX</t>
  </si>
  <si>
    <t>INT-INT/Total de pasajeros</t>
  </si>
  <si>
    <t>DOM-DOM/Total de pasajeros</t>
  </si>
  <si>
    <t>Factores de OPEX</t>
  </si>
  <si>
    <t>Var OPEX / Var PAX</t>
  </si>
  <si>
    <t>Cálc</t>
  </si>
  <si>
    <t>Ratio de incidencia PAX sobre OPEX Directo+Indirecto</t>
  </si>
  <si>
    <t>*Estimación realizada sobre la serie histórica de la contabilidad regulatoria</t>
  </si>
  <si>
    <t>Variaciones acumuladas</t>
  </si>
  <si>
    <t>IPC 2025 =100</t>
  </si>
  <si>
    <t>PAX 2025 = 100</t>
  </si>
  <si>
    <t>Índice de precios (2025 = 100)</t>
  </si>
  <si>
    <t>Índice PAX totales (2025 = 100)</t>
  </si>
  <si>
    <t>Índices</t>
  </si>
  <si>
    <t>Var. Acumulada de precios (a nivel 2025)</t>
  </si>
  <si>
    <t>Var. Acumulada de PAX total (a nivel 2025)</t>
  </si>
  <si>
    <t>Sueldos del Personal</t>
  </si>
  <si>
    <t>Gratificación Ordinaria</t>
  </si>
  <si>
    <t>Vacaciones</t>
  </si>
  <si>
    <t>Horas Extras</t>
  </si>
  <si>
    <t>Otras Remuneraciones</t>
  </si>
  <si>
    <t>Indemnizaciones al Personal</t>
  </si>
  <si>
    <t>Contribución EPS</t>
  </si>
  <si>
    <t>Otros Gastos de Personal</t>
  </si>
  <si>
    <t>Aportación EPS</t>
  </si>
  <si>
    <t>Gastos de Alimentación</t>
  </si>
  <si>
    <t>Contribución SENATI</t>
  </si>
  <si>
    <t>Uniformes</t>
  </si>
  <si>
    <t>Capacitación</t>
  </si>
  <si>
    <t>Movilidad</t>
  </si>
  <si>
    <t>Prácticantes Profesionales</t>
  </si>
  <si>
    <t>Distribución Legal de la Renta</t>
  </si>
  <si>
    <t>Consumo de Materiales Diversos</t>
  </si>
  <si>
    <t>Publicidad</t>
  </si>
  <si>
    <t>Membresías</t>
  </si>
  <si>
    <t>Programas de Gestión Social</t>
  </si>
  <si>
    <t>Servicio de Limpieza</t>
  </si>
  <si>
    <t>Servicio de IATA</t>
  </si>
  <si>
    <t>Impuesto Predial</t>
  </si>
  <si>
    <t>Licenciamiento de Software</t>
  </si>
  <si>
    <t>Cuenta</t>
  </si>
  <si>
    <t>Rf</t>
  </si>
  <si>
    <t>Rm-Rf</t>
  </si>
  <si>
    <t>Descripción</t>
  </si>
  <si>
    <t>RP</t>
  </si>
  <si>
    <t>TBonds 10. Por el principio de consistencia, mismo horizonte que la Rm-Rf: 1928-2020 (Damodaran)</t>
  </si>
  <si>
    <t>B apalancada promedio de aeropuertos "privados" y "regulados bajo price caps" (elimina al rr)</t>
  </si>
  <si>
    <t>Diferencial entre tasa libre de riesgo y rendimiento del mercado, 1928-2020, (Damodaran)</t>
  </si>
  <si>
    <t>Promedio EMBI+ últimos 24 meses</t>
  </si>
  <si>
    <t>Kd</t>
  </si>
  <si>
    <t>D/E</t>
  </si>
  <si>
    <t>Estructura de capital objetivo</t>
  </si>
  <si>
    <t>t</t>
  </si>
  <si>
    <t>Tasa efectiva de impuestos de cada año (incluye IR y Participación trabajadores), tasa tributaria</t>
  </si>
  <si>
    <t>WACC (S/.)</t>
  </si>
  <si>
    <t>Ke</t>
  </si>
  <si>
    <t>Retorno de capital</t>
  </si>
  <si>
    <t>E/(E+D)</t>
  </si>
  <si>
    <t>% Capital propio [Tasa objetivo]</t>
  </si>
  <si>
    <t>Costo de deuda</t>
  </si>
  <si>
    <t>D/(E+D)</t>
  </si>
  <si>
    <t>% Deuda [Tasa objetivo]</t>
  </si>
  <si>
    <t>Flujo de OPEX</t>
  </si>
  <si>
    <t>CR</t>
  </si>
  <si>
    <t xml:space="preserve">Ce Co Directos </t>
  </si>
  <si>
    <t>Servicio de vigilacia 24 horas</t>
  </si>
  <si>
    <t>Serv.de Guias Aeroportuarios</t>
  </si>
  <si>
    <t>Acopio carros portaequipajes</t>
  </si>
  <si>
    <t>Servicio de Central Telefónica</t>
  </si>
  <si>
    <t>Personal oficina de hallazgo</t>
  </si>
  <si>
    <t>Anfitriones aeroportuarios</t>
  </si>
  <si>
    <t>Servicio mozos</t>
  </si>
  <si>
    <t>Servicio de Cetreria</t>
  </si>
  <si>
    <t xml:space="preserve">Servicio de Controladores de Tránsito </t>
  </si>
  <si>
    <t>Ofic.de Seguridad Aeropor. nivel 2</t>
  </si>
  <si>
    <t>Administracion playa de estac.</t>
  </si>
  <si>
    <t>Ofic.de Seguridad Aeropor. nivel 1</t>
  </si>
  <si>
    <t>Señaleros vía vehicular G8</t>
  </si>
  <si>
    <t xml:space="preserve">Guías caninos </t>
  </si>
  <si>
    <t>Convenio PNP</t>
  </si>
  <si>
    <t>Servicio Call Center</t>
  </si>
  <si>
    <t xml:space="preserve">Direccionam. de plataforma </t>
  </si>
  <si>
    <t>Guías de embarque peatonal</t>
  </si>
  <si>
    <t>Consumo de electricidad</t>
  </si>
  <si>
    <t>Servicio de buses</t>
  </si>
  <si>
    <t>Consumo de agua</t>
  </si>
  <si>
    <t>Servicio médico</t>
  </si>
  <si>
    <t>Asesoria y consultoría</t>
  </si>
  <si>
    <t>Fee del operador</t>
  </si>
  <si>
    <t>Servicios de terceros diversos</t>
  </si>
  <si>
    <t>Administración TUUA</t>
  </si>
  <si>
    <t>Gestion de energia electrica</t>
  </si>
  <si>
    <t>Mano de obra en manten.</t>
  </si>
  <si>
    <t>Administracion en la nube</t>
  </si>
  <si>
    <t>Consumo telefónico</t>
  </si>
  <si>
    <t>Servicio de traducción</t>
  </si>
  <si>
    <t>Servicio de Contratistas</t>
  </si>
  <si>
    <t>Alquiler de espac.para eventos</t>
  </si>
  <si>
    <t>alquiler de espacios para los equipos GEMS – monitoreo de ruido</t>
  </si>
  <si>
    <t>Alquiler de Vehiculos</t>
  </si>
  <si>
    <t>Alquiler de maquinaria y equipo</t>
  </si>
  <si>
    <t>Anuncios</t>
  </si>
  <si>
    <t>Gastos de Representación</t>
  </si>
  <si>
    <t>Servicios de Gerencia</t>
  </si>
  <si>
    <t>Servicio de verificacion de expedientes</t>
  </si>
  <si>
    <t>Consultoria operador</t>
  </si>
  <si>
    <t>Alquiler de eq. de computo</t>
  </si>
  <si>
    <t>Serv. Gerencia LAP Proyecto</t>
  </si>
  <si>
    <t>Servicios notariales</t>
  </si>
  <si>
    <t>Gastos de auditoría externa</t>
  </si>
  <si>
    <t>Mensajeria</t>
  </si>
  <si>
    <t>Serv.de marketing a recuperar</t>
  </si>
  <si>
    <t xml:space="preserve">MP planta tratamiento STP </t>
  </si>
  <si>
    <t>Sistema alarma perimetral</t>
  </si>
  <si>
    <t>MP blue water</t>
  </si>
  <si>
    <t>Servicio de transporte</t>
  </si>
  <si>
    <t>Gestion de residuos solidos</t>
  </si>
  <si>
    <t xml:space="preserve">Gestion de Res. Solidos de Sanidad Aérea </t>
  </si>
  <si>
    <t>Operación red gigabit</t>
  </si>
  <si>
    <t>Consumo de Repuestos</t>
  </si>
  <si>
    <t>Impuesto a las Transacciones Financieras (ITF)</t>
  </si>
  <si>
    <t>Con. Herramientas y Accesorios</t>
  </si>
  <si>
    <t>Consumo de Combustibles</t>
  </si>
  <si>
    <t>Eventos protocolares</t>
  </si>
  <si>
    <t>Impuesto General a las Ventas</t>
  </si>
  <si>
    <t>Arbitrios</t>
  </si>
  <si>
    <t>Com. mant. portes bancarios</t>
  </si>
  <si>
    <t>Suscripciones</t>
  </si>
  <si>
    <t>Consumoe de Utiles de oficina</t>
  </si>
  <si>
    <t>Dif. de Inv. Materiales Diversos</t>
  </si>
  <si>
    <t>Dif. de Utiles de Oficina</t>
  </si>
  <si>
    <t>Gastos diversos a recuperar</t>
  </si>
  <si>
    <t>Premios y obsequios</t>
  </si>
  <si>
    <t>Desv. de Combustible</t>
  </si>
  <si>
    <t>Gasto de viaje y conferencias</t>
  </si>
  <si>
    <t>Sanciones Administrativas</t>
  </si>
  <si>
    <t>Dif. de Inventario Herramientas y Accesorios</t>
  </si>
  <si>
    <t>Provisión Cuentas de Cobranza Dudosa</t>
  </si>
  <si>
    <t>Compras de Activos</t>
  </si>
  <si>
    <t>Desv. De Utiles de oficina</t>
  </si>
  <si>
    <t>Dif. de Inv.Combustible</t>
  </si>
  <si>
    <t>Comisión Garantia Corporativa</t>
  </si>
  <si>
    <t>Donaciones</t>
  </si>
  <si>
    <t>Fotostáticas e Impresiones</t>
  </si>
  <si>
    <t>Otras Sanciones y multas</t>
  </si>
  <si>
    <t>Licencias y derechos</t>
  </si>
  <si>
    <t>Desv.de Inv. Herramientas y Accesorios</t>
  </si>
  <si>
    <t>Compra de Bienes Menores</t>
  </si>
  <si>
    <t>Desv. de Repuestos</t>
  </si>
  <si>
    <t>Impuesto Vehicular</t>
  </si>
  <si>
    <t>Desv.  de Materiales Diversos</t>
  </si>
  <si>
    <t>Dif. de Inventario Repuestos</t>
  </si>
  <si>
    <t>MP de equipos y sistemas</t>
  </si>
  <si>
    <t>MP de máquinas rayos X</t>
  </si>
  <si>
    <t>MC de equipos y sistemas</t>
  </si>
  <si>
    <t xml:space="preserve">MP de infra. del terminal  </t>
  </si>
  <si>
    <t>MC de Infra. e Instalaciones</t>
  </si>
  <si>
    <t>Mant. de equip. informáticos</t>
  </si>
  <si>
    <t xml:space="preserve">MP de equipos PDM </t>
  </si>
  <si>
    <t>MP ascensores terminal</t>
  </si>
  <si>
    <t>MP ascensores edif. central</t>
  </si>
  <si>
    <t xml:space="preserve">MP de zonas periféricas </t>
  </si>
  <si>
    <t xml:space="preserve">Servicios de pintado </t>
  </si>
  <si>
    <t xml:space="preserve">MP mobiliario del terminal </t>
  </si>
  <si>
    <t>MC Ascensores</t>
  </si>
  <si>
    <t>Mant. de Control Calidad</t>
  </si>
  <si>
    <t>MC Iluminacion</t>
  </si>
  <si>
    <t xml:space="preserve">MP Aire Terminal </t>
  </si>
  <si>
    <t>MP de areas verdes</t>
  </si>
  <si>
    <t>MP zonas periféricas</t>
  </si>
  <si>
    <t xml:space="preserve">Remodelaciones menores </t>
  </si>
  <si>
    <t xml:space="preserve">MP terminal </t>
  </si>
  <si>
    <t xml:space="preserve">MP Pav Plataforma </t>
  </si>
  <si>
    <t>MP de vehículos</t>
  </si>
  <si>
    <t xml:space="preserve">MP Trampa de grasa </t>
  </si>
  <si>
    <t>MC de vehículos</t>
  </si>
  <si>
    <t xml:space="preserve">MP Aire Gran Techo </t>
  </si>
  <si>
    <t>MP Deodorizantes</t>
  </si>
  <si>
    <t>MC Aire acondicionado</t>
  </si>
  <si>
    <t>MP del alcantarillado</t>
  </si>
  <si>
    <t>MP Pav playa estacionam.</t>
  </si>
  <si>
    <t xml:space="preserve">MP dispositivos SDI </t>
  </si>
  <si>
    <t>MC de pavimentos</t>
  </si>
  <si>
    <t xml:space="preserve">MP Paneles SDI </t>
  </si>
  <si>
    <t>MP y MC muebles administr.</t>
  </si>
  <si>
    <t>MP Ilumi Playa Estacionam.</t>
  </si>
  <si>
    <t xml:space="preserve">MP Aire Edific Ctral </t>
  </si>
  <si>
    <t xml:space="preserve">MP dispositivos CCTV </t>
  </si>
  <si>
    <t>MP servidores CCTV</t>
  </si>
  <si>
    <t>Beneficio social de los trabajadores CTS</t>
  </si>
  <si>
    <t>Régimen de Prestaciones de Salud - Essalud</t>
  </si>
  <si>
    <t>Eventos y atenc. al personal</t>
  </si>
  <si>
    <t>Examenes medicos</t>
  </si>
  <si>
    <t>Seguros de vida Ley</t>
  </si>
  <si>
    <t>Seguros de vida empleados</t>
  </si>
  <si>
    <t>Seguro Complementario de Trabajo de Riesgo</t>
  </si>
  <si>
    <t>Otros Gastos de Personal Compras</t>
  </si>
  <si>
    <t>Ce Co Indirectos</t>
  </si>
  <si>
    <t>Ce Co No Imputables</t>
  </si>
  <si>
    <t>CR de LAP</t>
  </si>
  <si>
    <t>Beta</t>
  </si>
  <si>
    <t>Ratio Deuda / Patrimonio</t>
  </si>
  <si>
    <t>Deuda Financiera</t>
  </si>
  <si>
    <t>Patrimonio Total</t>
  </si>
  <si>
    <t>Deuda / Patrimonio</t>
  </si>
  <si>
    <t>TOTAL PAX</t>
  </si>
  <si>
    <t>Total INT-INT</t>
  </si>
  <si>
    <t>Deuda / Patrimonio (promedio)</t>
  </si>
  <si>
    <t>Total DOM-DOM</t>
  </si>
  <si>
    <t>Estimación</t>
  </si>
  <si>
    <t>Validación</t>
  </si>
  <si>
    <t>Porcentajes</t>
  </si>
  <si>
    <t>Flujo de PAX de Transferencia INT-INT (Áreas comunes) - Infraestructura</t>
  </si>
  <si>
    <t>Flujo de PAX de Transferencia INT-INT (Áreas comunes) - Equipos</t>
  </si>
  <si>
    <t>Desagregación I&amp;E</t>
  </si>
  <si>
    <t>Flujo de PAX de Transferencia DOM-DOM (Áreas comunes) - Infraestructura</t>
  </si>
  <si>
    <t>Flujo de PAX de Transferencia DOM-DOM (Áreas comunes) - Equipos</t>
  </si>
  <si>
    <t>Infraestructura INT-INT</t>
  </si>
  <si>
    <t>Equipos INT-INT</t>
  </si>
  <si>
    <t>Infraestructura DOM-DOM</t>
  </si>
  <si>
    <t>Incremento OPEX Terminal 2023-2025 (según presupuesto del OPEX)</t>
  </si>
  <si>
    <t>Estimación OPEX 2025</t>
  </si>
  <si>
    <t>Factores</t>
  </si>
  <si>
    <t>Ratios de asignación</t>
  </si>
  <si>
    <t>Ratio de asignación por m2</t>
  </si>
  <si>
    <t>Ratio de asignación por PAX</t>
  </si>
  <si>
    <t>Área terminal</t>
  </si>
  <si>
    <t>Ratio INT-INT</t>
  </si>
  <si>
    <t>Ratio DOM-DOM</t>
  </si>
  <si>
    <t>Ratios de asignación (M2 áreas exclusivas + comunes / Terminal)</t>
  </si>
  <si>
    <t>* Se incluye como parte del OPEX las áreas de los puentes de embarque</t>
  </si>
  <si>
    <t>* La estimación del OPEX 2025 no considera: a) valores negativos en la CR del año 2023, b) la Distribución Legal de la Renta ya que el flujo de caja está considerando la participación en trabajadores y se está utilizando un WACC que considera dicho efecto en su formulación, y c) costos operativos no atribuibles a los pasajeros de transferencia (carros portaequipaje).</t>
  </si>
  <si>
    <t>Budget</t>
  </si>
  <si>
    <t>Inflación</t>
  </si>
  <si>
    <t>M2</t>
  </si>
  <si>
    <t>PAX  DOM - DOM 2025 = 100</t>
  </si>
  <si>
    <t>PAX  INT - INT 2025 = 100</t>
  </si>
  <si>
    <t>Var. Acumulada de PAX DOM - DOM (a nivel 2025)</t>
  </si>
  <si>
    <t>Var. Acumulada de PAX INT - INT (a nivel 2025)</t>
  </si>
  <si>
    <t>Índice PAX DOM - DOM (2025 = 100)</t>
  </si>
  <si>
    <t>Índice PAX INT - INT (20125 = 100)</t>
  </si>
  <si>
    <t>Contribución</t>
  </si>
  <si>
    <t>% /// US$</t>
  </si>
  <si>
    <t>M2 fijo</t>
  </si>
  <si>
    <t>Driver asignación</t>
  </si>
  <si>
    <t>Driver OPEX 2025</t>
  </si>
  <si>
    <t>* La proyección de OPEX considera distintos drivers: M2, PAX y M2 fijoS</t>
  </si>
  <si>
    <t>Depreciación para FC (2030)</t>
  </si>
  <si>
    <t>Contribución de infraestructura asociada al terminal</t>
  </si>
  <si>
    <t>Ratio de costo de inversión</t>
  </si>
  <si>
    <t>Flujo de PAX de Transferencia INT-INT (Áreas exclusivas) - Infraestructura</t>
  </si>
  <si>
    <t>Flujo de PAX de Transferencia INT-INT (Áreas exclusivas) - Equipos</t>
  </si>
  <si>
    <t>Flujo de PAX de Transferencia DOM-DOM (Áreas exclusivas) - Infraestructura</t>
  </si>
  <si>
    <t>Flujo de PAX de Transferencia DOM-DOM (Áreas exclusivas) - Equipos</t>
  </si>
  <si>
    <t>EM</t>
  </si>
  <si>
    <t>Depreciación de equipos EM</t>
  </si>
  <si>
    <t>Equipos EM INT-INT</t>
  </si>
  <si>
    <t>Equipos EM</t>
  </si>
  <si>
    <t>Inversiones equipos EM 2024</t>
  </si>
  <si>
    <t>Inversiones equipos EM 2025</t>
  </si>
  <si>
    <t>Inversiones equipos EM 2026</t>
  </si>
  <si>
    <t>Inversiones equipos EM 2027</t>
  </si>
  <si>
    <t>Inversiones  equipos EM 2028</t>
  </si>
  <si>
    <t>Inversiones equipos EM 2029</t>
  </si>
  <si>
    <t>Inversiones equipos EM 2030</t>
  </si>
  <si>
    <t>Depreciación total - Equipos EM</t>
  </si>
  <si>
    <t>Inversión</t>
  </si>
  <si>
    <t>Señalética</t>
  </si>
  <si>
    <t>Equipos aeroportuarios</t>
  </si>
  <si>
    <t>Inversión asociada al terminal</t>
  </si>
  <si>
    <t>Passenger Airside Security Checkpoint System</t>
  </si>
  <si>
    <t>PBSS ( Passenger Baggage Screening )</t>
  </si>
  <si>
    <t>Ascensores - Dique doméstico</t>
  </si>
  <si>
    <t>Escaleras mecánicas - Dique doméstico</t>
  </si>
  <si>
    <t>Ascensores - Procesador</t>
  </si>
  <si>
    <t>Escaleras mecánicas - Procesador</t>
  </si>
  <si>
    <t>Ascensores - Swing</t>
  </si>
  <si>
    <t>Escaleras mecánicas - Swing</t>
  </si>
  <si>
    <t>m2 atribuibles INT-INT (áreas comunes)</t>
  </si>
  <si>
    <t>Inversión en landside</t>
  </si>
  <si>
    <t>Inversión en terminal asociada a PAX transferencia</t>
  </si>
  <si>
    <t>Inversión en áreas comunes - PAX transferencia</t>
  </si>
  <si>
    <t>Flujo - P20 - Dique Swing</t>
  </si>
  <si>
    <t>Circulación 1 - P20 - Dique Swing</t>
  </si>
  <si>
    <t>Costo de deuda estimado: all-in-cost</t>
  </si>
  <si>
    <t>Área del terminal</t>
  </si>
  <si>
    <t>Área puentes de embarque</t>
  </si>
  <si>
    <t xml:space="preserve">Área total CAPEX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</si>
</sst>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3" formatCode="_-* #,##0.00_-;\-* #,##0.00_-;_-* &quot;-&quot;??_-;_-@_-"/>
    <numFmt numFmtId="164" formatCode="0.0%"/>
    <numFmt numFmtId="165" formatCode="#,###;\(#,###\);\-"/>
    <numFmt numFmtId="166" formatCode="0.0%;\(0.0%\);\-"/>
    <numFmt numFmtId="167" formatCode="_(* #,##0.00_);_(* \(#,##0.00\);_(* &quot;-&quot;??_);_(@_)"/>
    <numFmt numFmtId="168" formatCode="#,###.00;\(#,###.00\);\-"/>
    <numFmt numFmtId="169" formatCode="0%;\(0%\);\-"/>
    <numFmt numFmtId="170" formatCode="#,##0\ ;\(#,##0\);\-\ "/>
    <numFmt numFmtId="171" formatCode="_ * #,##0.00_ ;_ * \-#,##0.00_ ;_ * &quot;-&quot;??_ ;_ @_ "/>
    <numFmt numFmtId="172" formatCode="_-* #,##0_-;\-* #,##0_-;_-* &quot;-&quot;??_-;_-@_-"/>
    <numFmt numFmtId="173" formatCode="_ * #,##0.000_ ;_ * \-#,##0.000_ ;_ * &quot;-&quot;??_ ;_ @_ "/>
    <numFmt numFmtId="174" formatCode="0.0"/>
  </numFmts>
  <fonts count="46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0"/>
      <name val="Arial"/>
      <family val="2"/>
    </font>
    <font>
      <b/>
      <sz val="10"/>
      <color rgb="FF0000FF"/>
      <name val="Arial"/>
      <family val="2"/>
    </font>
    <font>
      <sz val="10"/>
      <color rgb="FF0000FF"/>
      <name val="Arial"/>
      <family val="2"/>
    </font>
    <font>
      <sz val="10"/>
      <name val="Arial"/>
      <family val="2"/>
    </font>
    <font>
      <sz val="8"/>
      <name val="Arial"/>
      <family val="2"/>
      <scheme val="minor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color rgb="FFC00000"/>
      <name val="Arial"/>
      <family val="2"/>
    </font>
    <font>
      <sz val="10"/>
      <color theme="1"/>
      <name val="Arial"/>
      <family val="2"/>
      <scheme val="minor"/>
    </font>
    <font>
      <sz val="10"/>
      <color theme="0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b/>
      <sz val="10"/>
      <color theme="1"/>
      <name val="Arial"/>
      <family val="2"/>
      <scheme val="minor"/>
    </font>
    <font>
      <i/>
      <sz val="10"/>
      <color theme="0" tint="-0.249977111117893"/>
      <name val="Arial"/>
      <family val="2"/>
    </font>
    <font>
      <sz val="10"/>
      <color rgb="FF0000FF"/>
      <name val="Arial"/>
      <family val="2"/>
      <scheme val="minor"/>
    </font>
    <font>
      <b/>
      <sz val="10"/>
      <color theme="0"/>
      <name val="Arial"/>
      <family val="2"/>
      <scheme val="minor"/>
    </font>
    <font>
      <sz val="10"/>
      <color theme="0" tint="-0.34998626667073579"/>
      <name val="Arial"/>
      <family val="2"/>
    </font>
    <font>
      <i/>
      <sz val="10"/>
      <color theme="0" tint="-0.34998626667073579"/>
      <name val="Arial"/>
      <family val="2"/>
    </font>
    <font>
      <sz val="10"/>
      <color theme="1"/>
      <name val="Arial"/>
      <family val="2"/>
      <scheme val="major"/>
    </font>
    <font>
      <b/>
      <sz val="10"/>
      <color theme="1"/>
      <name val="Arial"/>
      <family val="2"/>
      <scheme val="major"/>
    </font>
    <font>
      <i/>
      <sz val="10"/>
      <color theme="0" tint="-0.249977111117893"/>
      <name val="Arial"/>
      <family val="2"/>
      <scheme val="major"/>
    </font>
    <font>
      <sz val="10"/>
      <color rgb="FF0000FF"/>
      <name val="Arial"/>
      <family val="2"/>
      <scheme val="major"/>
    </font>
    <font>
      <sz val="10"/>
      <color theme="0" tint="-0.14999847407452621"/>
      <name val="Arial"/>
      <family val="2"/>
      <scheme val="major"/>
    </font>
    <font>
      <sz val="10"/>
      <name val="Arial"/>
      <family val="2"/>
      <scheme val="major"/>
    </font>
    <font>
      <b/>
      <sz val="10"/>
      <color theme="0"/>
      <name val="Arial"/>
      <family val="2"/>
      <scheme val="major"/>
    </font>
    <font>
      <b/>
      <sz val="10"/>
      <color rgb="FFC00000"/>
      <name val="Arial"/>
      <family val="2"/>
      <scheme val="major"/>
    </font>
    <font>
      <b/>
      <sz val="10"/>
      <name val="Arial"/>
      <family val="2"/>
      <scheme val="major"/>
    </font>
    <font>
      <b/>
      <i/>
      <sz val="10"/>
      <color theme="0" tint="-0.249977111117893"/>
      <name val="Arial"/>
      <family val="2"/>
      <scheme val="major"/>
    </font>
    <font>
      <b/>
      <sz val="10"/>
      <color rgb="FF0000FF"/>
      <name val="Arial"/>
      <family val="2"/>
      <scheme val="major"/>
    </font>
    <font>
      <b/>
      <sz val="10"/>
      <color indexed="9"/>
      <name val="Arial"/>
      <family val="2"/>
      <scheme val="major"/>
    </font>
    <font>
      <b/>
      <u/>
      <sz val="10"/>
      <name val="Arial"/>
      <family val="2"/>
      <scheme val="major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rgb="FF0000FF"/>
      <name val="Arial"/>
      <family val="2"/>
    </font>
    <font>
      <b/>
      <sz val="10"/>
      <color theme="1"/>
      <name val="Arial"/>
      <family val="2"/>
    </font>
    <font>
      <sz val="10"/>
      <color rgb="FF000000"/>
      <name val="Arial"/>
      <family val="2"/>
    </font>
    <font>
      <sz val="8"/>
      <color theme="1"/>
      <name val="Calibri"/>
      <family val="2"/>
    </font>
    <font>
      <sz val="11"/>
      <name val="Arial"/>
      <family val="2"/>
      <scheme val="minor"/>
    </font>
    <font>
      <b/>
      <sz val="11"/>
      <color theme="0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0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1" fillId="0" borderId="0"/>
    <xf numFmtId="167" fontId="7" fillId="0" borderId="0" applyFont="0" applyFill="0" applyBorder="0" applyAlignment="0" applyProtection="0"/>
    <xf numFmtId="0" fontId="1" fillId="0" borderId="0"/>
    <xf numFmtId="171" fontId="1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" fillId="0" borderId="0" applyFont="0" applyFill="0" applyBorder="0" applyAlignment="0" applyProtection="0"/>
    <xf numFmtId="0" fontId="7" fillId="0" borderId="0"/>
    <xf numFmtId="171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7" fillId="0" borderId="0"/>
    <xf numFmtId="0" fontId="1" fillId="0" borderId="0"/>
  </cellStyleXfs>
  <cellXfs count="282">
    <xf numFmtId="0" fontId="0" fillId="0" borderId="0" xfId="0"/>
    <xf numFmtId="0" fontId="2" fillId="0" borderId="0" xfId="0" applyFont="1"/>
    <xf numFmtId="0" fontId="2" fillId="2" borderId="0" xfId="0" applyFont="1" applyFill="1"/>
    <xf numFmtId="0" fontId="3" fillId="0" borderId="0" xfId="0" applyFont="1"/>
    <xf numFmtId="0" fontId="4" fillId="3" borderId="0" xfId="0" applyFont="1" applyFill="1"/>
    <xf numFmtId="0" fontId="4" fillId="0" borderId="0" xfId="0" applyFont="1"/>
    <xf numFmtId="0" fontId="4" fillId="5" borderId="0" xfId="0" applyFont="1" applyFill="1"/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indent="1"/>
    </xf>
    <xf numFmtId="0" fontId="6" fillId="0" borderId="0" xfId="0" applyFont="1"/>
    <xf numFmtId="0" fontId="3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4" fillId="3" borderId="0" xfId="0" applyFont="1" applyFill="1" applyAlignment="1">
      <alignment horizontal="center"/>
    </xf>
    <xf numFmtId="43" fontId="6" fillId="6" borderId="0" xfId="1" applyFont="1" applyFill="1" applyBorder="1"/>
    <xf numFmtId="165" fontId="2" fillId="0" borderId="0" xfId="0" applyNumberFormat="1" applyFont="1"/>
    <xf numFmtId="165" fontId="6" fillId="0" borderId="0" xfId="0" applyNumberFormat="1" applyFont="1"/>
    <xf numFmtId="0" fontId="3" fillId="0" borderId="0" xfId="0" applyFont="1" applyAlignment="1">
      <alignment horizontal="left" indent="1"/>
    </xf>
    <xf numFmtId="165" fontId="7" fillId="0" borderId="0" xfId="0" applyNumberFormat="1" applyFont="1"/>
    <xf numFmtId="165" fontId="9" fillId="0" borderId="0" xfId="0" applyNumberFormat="1" applyFont="1"/>
    <xf numFmtId="0" fontId="2" fillId="6" borderId="0" xfId="0" applyFont="1" applyFill="1"/>
    <xf numFmtId="0" fontId="2" fillId="0" borderId="0" xfId="7" applyFont="1"/>
    <xf numFmtId="0" fontId="3" fillId="0" borderId="3" xfId="0" applyFont="1" applyBorder="1"/>
    <xf numFmtId="166" fontId="6" fillId="0" borderId="0" xfId="2" applyNumberFormat="1" applyFont="1" applyFill="1"/>
    <xf numFmtId="0" fontId="3" fillId="0" borderId="3" xfId="0" applyFont="1" applyBorder="1" applyAlignment="1">
      <alignment horizontal="center"/>
    </xf>
    <xf numFmtId="0" fontId="3" fillId="4" borderId="0" xfId="0" applyFont="1" applyFill="1"/>
    <xf numFmtId="0" fontId="2" fillId="4" borderId="0" xfId="0" applyFont="1" applyFill="1"/>
    <xf numFmtId="0" fontId="2" fillId="4" borderId="0" xfId="0" applyFont="1" applyFill="1" applyAlignment="1">
      <alignment horizontal="center"/>
    </xf>
    <xf numFmtId="166" fontId="2" fillId="0" borderId="0" xfId="2" applyNumberFormat="1" applyFont="1" applyFill="1"/>
    <xf numFmtId="0" fontId="4" fillId="0" borderId="0" xfId="0" applyFont="1" applyAlignment="1">
      <alignment horizontal="center"/>
    </xf>
    <xf numFmtId="3" fontId="6" fillId="0" borderId="0" xfId="0" applyNumberFormat="1" applyFont="1"/>
    <xf numFmtId="0" fontId="10" fillId="0" borderId="0" xfId="0" applyFont="1" applyAlignment="1">
      <alignment horizontal="left"/>
    </xf>
    <xf numFmtId="0" fontId="2" fillId="0" borderId="0" xfId="5" applyFont="1" applyAlignment="1">
      <alignment horizontal="left" indent="1"/>
    </xf>
    <xf numFmtId="165" fontId="9" fillId="0" borderId="3" xfId="0" applyNumberFormat="1" applyFont="1" applyBorder="1"/>
    <xf numFmtId="0" fontId="2" fillId="0" borderId="0" xfId="0" applyFont="1" applyAlignment="1">
      <alignment horizontal="left" vertical="center" wrapText="1"/>
    </xf>
    <xf numFmtId="165" fontId="3" fillId="0" borderId="3" xfId="0" applyNumberFormat="1" applyFont="1" applyBorder="1"/>
    <xf numFmtId="165" fontId="3" fillId="0" borderId="0" xfId="0" applyNumberFormat="1" applyFont="1"/>
    <xf numFmtId="3" fontId="7" fillId="9" borderId="0" xfId="4" applyNumberFormat="1" applyFill="1" applyAlignment="1">
      <alignment horizontal="left"/>
    </xf>
    <xf numFmtId="0" fontId="7" fillId="0" borderId="0" xfId="0" applyFont="1"/>
    <xf numFmtId="0" fontId="7" fillId="0" borderId="0" xfId="0" applyFont="1" applyAlignment="1">
      <alignment horizontal="center"/>
    </xf>
    <xf numFmtId="164" fontId="4" fillId="0" borderId="0" xfId="0" applyNumberFormat="1" applyFont="1"/>
    <xf numFmtId="164" fontId="2" fillId="0" borderId="0" xfId="0" applyNumberFormat="1" applyFont="1"/>
    <xf numFmtId="0" fontId="9" fillId="0" borderId="0" xfId="0" applyFont="1"/>
    <xf numFmtId="0" fontId="2" fillId="0" borderId="1" xfId="0" applyFont="1" applyBorder="1" applyAlignment="1">
      <alignment horizontal="center"/>
    </xf>
    <xf numFmtId="165" fontId="6" fillId="0" borderId="1" xfId="0" applyNumberFormat="1" applyFont="1" applyBorder="1"/>
    <xf numFmtId="9" fontId="6" fillId="0" borderId="0" xfId="2" applyFont="1"/>
    <xf numFmtId="165" fontId="6" fillId="0" borderId="0" xfId="2" applyNumberFormat="1" applyFont="1"/>
    <xf numFmtId="165" fontId="3" fillId="0" borderId="1" xfId="0" applyNumberFormat="1" applyFont="1" applyBorder="1"/>
    <xf numFmtId="0" fontId="2" fillId="0" borderId="1" xfId="0" applyFont="1" applyBorder="1" applyAlignment="1">
      <alignment horizontal="left" indent="1"/>
    </xf>
    <xf numFmtId="0" fontId="10" fillId="0" borderId="0" xfId="0" applyFont="1"/>
    <xf numFmtId="0" fontId="3" fillId="0" borderId="1" xfId="0" applyFont="1" applyBorder="1"/>
    <xf numFmtId="0" fontId="9" fillId="0" borderId="0" xfId="0" applyFont="1" applyAlignment="1">
      <alignment horizontal="center"/>
    </xf>
    <xf numFmtId="166" fontId="7" fillId="0" borderId="0" xfId="2" applyNumberFormat="1" applyFont="1" applyFill="1"/>
    <xf numFmtId="164" fontId="11" fillId="0" borderId="0" xfId="2" applyNumberFormat="1" applyFont="1" applyBorder="1"/>
    <xf numFmtId="164" fontId="11" fillId="0" borderId="0" xfId="0" applyNumberFormat="1" applyFont="1"/>
    <xf numFmtId="0" fontId="9" fillId="0" borderId="3" xfId="0" applyFont="1" applyBorder="1"/>
    <xf numFmtId="0" fontId="9" fillId="0" borderId="3" xfId="0" applyFont="1" applyBorder="1" applyAlignment="1">
      <alignment horizontal="center"/>
    </xf>
    <xf numFmtId="0" fontId="12" fillId="0" borderId="0" xfId="0" applyFont="1" applyAlignment="1">
      <alignment horizontal="left" vertical="center"/>
    </xf>
    <xf numFmtId="0" fontId="13" fillId="3" borderId="0" xfId="0" applyFont="1" applyFill="1"/>
    <xf numFmtId="0" fontId="13" fillId="3" borderId="0" xfId="0" applyFont="1" applyFill="1" applyAlignment="1">
      <alignment horizontal="center"/>
    </xf>
    <xf numFmtId="0" fontId="2" fillId="5" borderId="0" xfId="0" applyFont="1" applyFill="1"/>
    <xf numFmtId="0" fontId="2" fillId="5" borderId="0" xfId="0" applyFont="1" applyFill="1" applyAlignment="1">
      <alignment horizontal="center"/>
    </xf>
    <xf numFmtId="0" fontId="9" fillId="10" borderId="0" xfId="0" applyFont="1" applyFill="1"/>
    <xf numFmtId="0" fontId="7" fillId="10" borderId="0" xfId="0" applyFont="1" applyFill="1"/>
    <xf numFmtId="0" fontId="7" fillId="10" borderId="0" xfId="0" applyFont="1" applyFill="1" applyAlignment="1">
      <alignment horizontal="center"/>
    </xf>
    <xf numFmtId="0" fontId="9" fillId="4" borderId="0" xfId="0" applyFont="1" applyFill="1"/>
    <xf numFmtId="0" fontId="7" fillId="4" borderId="0" xfId="0" applyFont="1" applyFill="1"/>
    <xf numFmtId="0" fontId="7" fillId="4" borderId="0" xfId="0" applyFont="1" applyFill="1" applyAlignment="1">
      <alignment horizontal="center"/>
    </xf>
    <xf numFmtId="0" fontId="14" fillId="0" borderId="0" xfId="0" applyFont="1"/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37" fontId="9" fillId="9" borderId="0" xfId="0" applyNumberFormat="1" applyFont="1" applyFill="1" applyAlignment="1">
      <alignment horizontal="left"/>
    </xf>
    <xf numFmtId="37" fontId="7" fillId="9" borderId="0" xfId="0" applyNumberFormat="1" applyFont="1" applyFill="1" applyAlignment="1">
      <alignment horizontal="left" indent="2"/>
    </xf>
    <xf numFmtId="37" fontId="7" fillId="9" borderId="0" xfId="0" applyNumberFormat="1" applyFont="1" applyFill="1" applyAlignment="1">
      <alignment horizontal="left" indent="4"/>
    </xf>
    <xf numFmtId="9" fontId="6" fillId="6" borderId="0" xfId="0" applyNumberFormat="1" applyFont="1" applyFill="1"/>
    <xf numFmtId="37" fontId="9" fillId="9" borderId="3" xfId="0" applyNumberFormat="1" applyFont="1" applyFill="1" applyBorder="1"/>
    <xf numFmtId="0" fontId="9" fillId="7" borderId="0" xfId="0" applyFont="1" applyFill="1"/>
    <xf numFmtId="0" fontId="7" fillId="7" borderId="0" xfId="0" applyFont="1" applyFill="1"/>
    <xf numFmtId="0" fontId="7" fillId="7" borderId="0" xfId="0" applyFont="1" applyFill="1" applyAlignment="1">
      <alignment horizontal="center"/>
    </xf>
    <xf numFmtId="0" fontId="15" fillId="0" borderId="0" xfId="0" applyFont="1"/>
    <xf numFmtId="0" fontId="18" fillId="0" borderId="0" xfId="0" applyFont="1"/>
    <xf numFmtId="0" fontId="15" fillId="0" borderId="0" xfId="0" applyFont="1" applyAlignment="1">
      <alignment horizontal="center"/>
    </xf>
    <xf numFmtId="165" fontId="18" fillId="0" borderId="0" xfId="0" applyNumberFormat="1" applyFont="1"/>
    <xf numFmtId="0" fontId="16" fillId="7" borderId="0" xfId="0" applyFont="1" applyFill="1"/>
    <xf numFmtId="0" fontId="17" fillId="7" borderId="0" xfId="0" applyFont="1" applyFill="1"/>
    <xf numFmtId="0" fontId="17" fillId="7" borderId="0" xfId="0" applyFont="1" applyFill="1" applyAlignment="1">
      <alignment horizontal="center"/>
    </xf>
    <xf numFmtId="0" fontId="12" fillId="0" borderId="0" xfId="0" applyFont="1"/>
    <xf numFmtId="0" fontId="12" fillId="0" borderId="0" xfId="0" applyFont="1" applyAlignment="1">
      <alignment horizontal="center"/>
    </xf>
    <xf numFmtId="0" fontId="20" fillId="0" borderId="0" xfId="0" applyFont="1"/>
    <xf numFmtId="2" fontId="6" fillId="0" borderId="0" xfId="0" applyNumberFormat="1" applyFont="1"/>
    <xf numFmtId="1" fontId="6" fillId="0" borderId="0" xfId="0" applyNumberFormat="1" applyFont="1"/>
    <xf numFmtId="0" fontId="3" fillId="0" borderId="3" xfId="0" applyFont="1" applyBorder="1" applyAlignment="1">
      <alignment horizontal="left" indent="1"/>
    </xf>
    <xf numFmtId="0" fontId="2" fillId="0" borderId="3" xfId="0" applyFont="1" applyBorder="1" applyAlignment="1">
      <alignment horizontal="center"/>
    </xf>
    <xf numFmtId="0" fontId="23" fillId="0" borderId="0" xfId="0" applyFont="1"/>
    <xf numFmtId="9" fontId="2" fillId="0" borderId="0" xfId="0" applyNumberFormat="1" applyFont="1"/>
    <xf numFmtId="0" fontId="24" fillId="0" borderId="0" xfId="0" applyFont="1"/>
    <xf numFmtId="166" fontId="2" fillId="0" borderId="0" xfId="2" applyNumberFormat="1" applyFont="1"/>
    <xf numFmtId="0" fontId="3" fillId="11" borderId="9" xfId="0" applyFont="1" applyFill="1" applyBorder="1"/>
    <xf numFmtId="0" fontId="3" fillId="11" borderId="9" xfId="0" applyFont="1" applyFill="1" applyBorder="1" applyAlignment="1">
      <alignment horizontal="center"/>
    </xf>
    <xf numFmtId="10" fontId="7" fillId="0" borderId="0" xfId="2" applyNumberFormat="1" applyFont="1"/>
    <xf numFmtId="0" fontId="13" fillId="0" borderId="0" xfId="0" applyFont="1" applyAlignment="1">
      <alignment horizontal="center"/>
    </xf>
    <xf numFmtId="0" fontId="17" fillId="0" borderId="0" xfId="0" applyFont="1"/>
    <xf numFmtId="0" fontId="17" fillId="0" borderId="0" xfId="0" applyFont="1" applyAlignment="1">
      <alignment horizontal="center"/>
    </xf>
    <xf numFmtId="169" fontId="6" fillId="0" borderId="0" xfId="0" applyNumberFormat="1" applyFont="1"/>
    <xf numFmtId="9" fontId="6" fillId="0" borderId="0" xfId="0" applyNumberFormat="1" applyFont="1"/>
    <xf numFmtId="0" fontId="0" fillId="0" borderId="0" xfId="0" applyAlignment="1">
      <alignment vertical="center"/>
    </xf>
    <xf numFmtId="2" fontId="2" fillId="0" borderId="0" xfId="0" applyNumberFormat="1" applyFont="1"/>
    <xf numFmtId="10" fontId="2" fillId="0" borderId="0" xfId="0" applyNumberFormat="1" applyFont="1"/>
    <xf numFmtId="0" fontId="25" fillId="0" borderId="0" xfId="0" applyFont="1"/>
    <xf numFmtId="0" fontId="25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0" fontId="25" fillId="2" borderId="0" xfId="0" applyFont="1" applyFill="1"/>
    <xf numFmtId="0" fontId="25" fillId="2" borderId="0" xfId="0" applyFont="1" applyFill="1" applyAlignment="1">
      <alignment horizontal="center"/>
    </xf>
    <xf numFmtId="0" fontId="27" fillId="0" borderId="0" xfId="0" applyFont="1"/>
    <xf numFmtId="2" fontId="28" fillId="0" borderId="0" xfId="0" applyNumberFormat="1" applyFont="1"/>
    <xf numFmtId="1" fontId="28" fillId="0" borderId="0" xfId="0" applyNumberFormat="1" applyFont="1"/>
    <xf numFmtId="0" fontId="25" fillId="8" borderId="2" xfId="0" applyFont="1" applyFill="1" applyBorder="1"/>
    <xf numFmtId="0" fontId="25" fillId="8" borderId="3" xfId="0" applyFont="1" applyFill="1" applyBorder="1" applyAlignment="1">
      <alignment horizontal="center"/>
    </xf>
    <xf numFmtId="0" fontId="28" fillId="8" borderId="4" xfId="0" applyFont="1" applyFill="1" applyBorder="1"/>
    <xf numFmtId="0" fontId="29" fillId="0" borderId="0" xfId="0" applyFont="1"/>
    <xf numFmtId="0" fontId="25" fillId="8" borderId="5" xfId="0" applyFont="1" applyFill="1" applyBorder="1"/>
    <xf numFmtId="0" fontId="25" fillId="8" borderId="1" xfId="0" applyFont="1" applyFill="1" applyBorder="1" applyAlignment="1">
      <alignment horizontal="center"/>
    </xf>
    <xf numFmtId="0" fontId="31" fillId="3" borderId="0" xfId="0" applyFont="1" applyFill="1"/>
    <xf numFmtId="0" fontId="31" fillId="3" borderId="0" xfId="0" applyFont="1" applyFill="1" applyAlignment="1">
      <alignment horizontal="center"/>
    </xf>
    <xf numFmtId="0" fontId="31" fillId="0" borderId="0" xfId="0" applyFont="1"/>
    <xf numFmtId="0" fontId="31" fillId="0" borderId="0" xfId="0" applyFont="1" applyAlignment="1">
      <alignment horizontal="center"/>
    </xf>
    <xf numFmtId="0" fontId="32" fillId="0" borderId="0" xfId="0" applyFont="1" applyAlignment="1">
      <alignment horizontal="left"/>
    </xf>
    <xf numFmtId="0" fontId="26" fillId="0" borderId="0" xfId="0" applyFont="1"/>
    <xf numFmtId="3" fontId="30" fillId="9" borderId="0" xfId="4" applyNumberFormat="1" applyFont="1" applyFill="1" applyAlignment="1">
      <alignment horizontal="left"/>
    </xf>
    <xf numFmtId="165" fontId="25" fillId="0" borderId="0" xfId="0" applyNumberFormat="1" applyFont="1"/>
    <xf numFmtId="0" fontId="26" fillId="0" borderId="3" xfId="0" applyFont="1" applyBorder="1"/>
    <xf numFmtId="0" fontId="26" fillId="0" borderId="3" xfId="0" applyFont="1" applyBorder="1" applyAlignment="1">
      <alignment horizontal="center"/>
    </xf>
    <xf numFmtId="165" fontId="26" fillId="0" borderId="3" xfId="0" applyNumberFormat="1" applyFont="1" applyBorder="1"/>
    <xf numFmtId="165" fontId="26" fillId="0" borderId="0" xfId="0" applyNumberFormat="1" applyFont="1"/>
    <xf numFmtId="165" fontId="33" fillId="0" borderId="3" xfId="0" applyNumberFormat="1" applyFont="1" applyBorder="1"/>
    <xf numFmtId="0" fontId="26" fillId="4" borderId="0" xfId="0" applyFont="1" applyFill="1"/>
    <xf numFmtId="0" fontId="25" fillId="4" borderId="0" xfId="0" applyFont="1" applyFill="1"/>
    <xf numFmtId="0" fontId="25" fillId="4" borderId="0" xfId="0" applyFont="1" applyFill="1" applyAlignment="1">
      <alignment horizontal="center"/>
    </xf>
    <xf numFmtId="0" fontId="28" fillId="0" borderId="0" xfId="0" applyFont="1"/>
    <xf numFmtId="165" fontId="30" fillId="0" borderId="0" xfId="0" applyNumberFormat="1" applyFont="1"/>
    <xf numFmtId="0" fontId="34" fillId="0" borderId="0" xfId="0" applyFont="1"/>
    <xf numFmtId="165" fontId="33" fillId="0" borderId="0" xfId="0" applyNumberFormat="1" applyFont="1"/>
    <xf numFmtId="165" fontId="28" fillId="0" borderId="0" xfId="0" applyNumberFormat="1" applyFont="1"/>
    <xf numFmtId="0" fontId="25" fillId="0" borderId="0" xfId="0" applyFont="1" applyAlignment="1">
      <alignment horizontal="left" indent="1"/>
    </xf>
    <xf numFmtId="0" fontId="26" fillId="0" borderId="0" xfId="0" applyFont="1" applyAlignment="1">
      <alignment horizontal="left" indent="1"/>
    </xf>
    <xf numFmtId="0" fontId="30" fillId="0" borderId="0" xfId="0" applyFont="1"/>
    <xf numFmtId="0" fontId="26" fillId="0" borderId="0" xfId="0" applyFont="1" applyAlignment="1">
      <alignment horizontal="left"/>
    </xf>
    <xf numFmtId="0" fontId="33" fillId="0" borderId="0" xfId="0" applyFont="1"/>
    <xf numFmtId="0" fontId="30" fillId="0" borderId="0" xfId="0" applyFont="1" applyAlignment="1">
      <alignment horizontal="center"/>
    </xf>
    <xf numFmtId="0" fontId="25" fillId="0" borderId="0" xfId="0" applyFont="1" applyAlignment="1">
      <alignment horizontal="left" indent="2"/>
    </xf>
    <xf numFmtId="0" fontId="26" fillId="0" borderId="0" xfId="0" applyFont="1" applyAlignment="1">
      <alignment horizontal="left" indent="2"/>
    </xf>
    <xf numFmtId="0" fontId="25" fillId="0" borderId="0" xfId="0" applyFont="1" applyAlignment="1">
      <alignment horizontal="left"/>
    </xf>
    <xf numFmtId="0" fontId="25" fillId="0" borderId="0" xfId="0" applyFont="1" applyAlignment="1">
      <alignment horizontal="left" vertical="center"/>
    </xf>
    <xf numFmtId="0" fontId="33" fillId="0" borderId="0" xfId="0" applyFont="1" applyAlignment="1">
      <alignment horizontal="center"/>
    </xf>
    <xf numFmtId="0" fontId="32" fillId="0" borderId="0" xfId="0" applyFont="1"/>
    <xf numFmtId="0" fontId="25" fillId="0" borderId="0" xfId="7" applyFont="1"/>
    <xf numFmtId="170" fontId="28" fillId="0" borderId="0" xfId="0" applyNumberFormat="1" applyFont="1"/>
    <xf numFmtId="170" fontId="35" fillId="0" borderId="0" xfId="0" applyNumberFormat="1" applyFont="1"/>
    <xf numFmtId="0" fontId="25" fillId="0" borderId="0" xfId="5" applyFont="1" applyAlignment="1">
      <alignment horizontal="left" indent="1"/>
    </xf>
    <xf numFmtId="3" fontId="30" fillId="0" borderId="0" xfId="4" applyNumberFormat="1" applyFont="1" applyAlignment="1">
      <alignment horizontal="left"/>
    </xf>
    <xf numFmtId="0" fontId="25" fillId="0" borderId="0" xfId="0" applyFont="1" applyAlignment="1">
      <alignment horizontal="left" vertical="center" wrapText="1"/>
    </xf>
    <xf numFmtId="0" fontId="7" fillId="0" borderId="0" xfId="4"/>
    <xf numFmtId="0" fontId="30" fillId="0" borderId="0" xfId="4" applyFont="1"/>
    <xf numFmtId="0" fontId="30" fillId="0" borderId="0" xfId="4" applyFont="1" applyAlignment="1">
      <alignment horizontal="center"/>
    </xf>
    <xf numFmtId="0" fontId="30" fillId="0" borderId="0" xfId="4" applyFont="1" applyAlignment="1">
      <alignment horizontal="left"/>
    </xf>
    <xf numFmtId="10" fontId="30" fillId="0" borderId="0" xfId="4" applyNumberFormat="1" applyFont="1"/>
    <xf numFmtId="171" fontId="30" fillId="0" borderId="0" xfId="10" applyFont="1"/>
    <xf numFmtId="0" fontId="36" fillId="12" borderId="13" xfId="4" applyFont="1" applyFill="1" applyBorder="1" applyAlignment="1">
      <alignment horizontal="center"/>
    </xf>
    <xf numFmtId="0" fontId="30" fillId="12" borderId="14" xfId="4" applyFont="1" applyFill="1" applyBorder="1"/>
    <xf numFmtId="173" fontId="37" fillId="0" borderId="0" xfId="14" applyNumberFormat="1" applyFont="1" applyAlignment="1">
      <alignment horizontal="center"/>
    </xf>
    <xf numFmtId="0" fontId="30" fillId="0" borderId="0" xfId="4" applyFont="1" applyAlignment="1">
      <alignment horizontal="right"/>
    </xf>
    <xf numFmtId="10" fontId="30" fillId="0" borderId="0" xfId="2" applyNumberFormat="1" applyFont="1"/>
    <xf numFmtId="0" fontId="36" fillId="2" borderId="10" xfId="4" applyFont="1" applyFill="1" applyBorder="1" applyAlignment="1">
      <alignment horizontal="center"/>
    </xf>
    <xf numFmtId="0" fontId="36" fillId="2" borderId="11" xfId="4" applyFont="1" applyFill="1" applyBorder="1" applyAlignment="1">
      <alignment horizontal="center"/>
    </xf>
    <xf numFmtId="0" fontId="36" fillId="2" borderId="12" xfId="4" applyFont="1" applyFill="1" applyBorder="1" applyAlignment="1">
      <alignment horizontal="center"/>
    </xf>
    <xf numFmtId="0" fontId="9" fillId="0" borderId="0" xfId="4" applyFont="1"/>
    <xf numFmtId="10" fontId="9" fillId="0" borderId="0" xfId="4" applyNumberFormat="1" applyFont="1"/>
    <xf numFmtId="0" fontId="13" fillId="0" borderId="0" xfId="4" applyFont="1"/>
    <xf numFmtId="0" fontId="13" fillId="3" borderId="0" xfId="4" applyFont="1" applyFill="1"/>
    <xf numFmtId="0" fontId="22" fillId="3" borderId="15" xfId="16" applyFont="1" applyFill="1" applyBorder="1"/>
    <xf numFmtId="0" fontId="12" fillId="0" borderId="0" xfId="16" applyFont="1"/>
    <xf numFmtId="0" fontId="19" fillId="0" borderId="0" xfId="16" applyFont="1"/>
    <xf numFmtId="0" fontId="19" fillId="0" borderId="0" xfId="4" applyFont="1"/>
    <xf numFmtId="172" fontId="6" fillId="0" borderId="0" xfId="0" applyNumberFormat="1" applyFont="1"/>
    <xf numFmtId="172" fontId="2" fillId="7" borderId="0" xfId="0" applyNumberFormat="1" applyFont="1" applyFill="1"/>
    <xf numFmtId="172" fontId="2" fillId="0" borderId="0" xfId="0" applyNumberFormat="1" applyFont="1"/>
    <xf numFmtId="172" fontId="2" fillId="0" borderId="0" xfId="0" applyNumberFormat="1" applyFont="1" applyAlignment="1">
      <alignment horizontal="left" indent="1"/>
    </xf>
    <xf numFmtId="172" fontId="31" fillId="0" borderId="0" xfId="0" applyNumberFormat="1" applyFont="1"/>
    <xf numFmtId="172" fontId="4" fillId="0" borderId="0" xfId="0" applyNumberFormat="1" applyFont="1" applyAlignment="1">
      <alignment horizontal="center"/>
    </xf>
    <xf numFmtId="172" fontId="4" fillId="0" borderId="0" xfId="0" applyNumberFormat="1" applyFont="1"/>
    <xf numFmtId="172" fontId="3" fillId="0" borderId="3" xfId="0" applyNumberFormat="1" applyFont="1" applyBorder="1"/>
    <xf numFmtId="9" fontId="6" fillId="0" borderId="0" xfId="2" applyFont="1" applyAlignment="1">
      <alignment horizontal="right"/>
    </xf>
    <xf numFmtId="170" fontId="21" fillId="0" borderId="0" xfId="16" applyNumberFormat="1" applyFont="1" applyAlignment="1">
      <alignment horizontal="center"/>
    </xf>
    <xf numFmtId="0" fontId="19" fillId="0" borderId="0" xfId="16" applyFont="1" applyAlignment="1">
      <alignment horizontal="center"/>
    </xf>
    <xf numFmtId="169" fontId="9" fillId="0" borderId="0" xfId="2" applyNumberFormat="1" applyFont="1"/>
    <xf numFmtId="2" fontId="21" fillId="0" borderId="0" xfId="0" applyNumberFormat="1" applyFont="1"/>
    <xf numFmtId="10" fontId="7" fillId="0" borderId="0" xfId="0" applyNumberFormat="1" applyFont="1"/>
    <xf numFmtId="0" fontId="28" fillId="8" borderId="6" xfId="0" applyFont="1" applyFill="1" applyBorder="1"/>
    <xf numFmtId="10" fontId="28" fillId="0" borderId="0" xfId="15" applyNumberFormat="1" applyFont="1" applyFill="1" applyBorder="1" applyAlignment="1">
      <alignment horizontal="center"/>
    </xf>
    <xf numFmtId="2" fontId="30" fillId="0" borderId="0" xfId="15" applyNumberFormat="1" applyFont="1" applyFill="1" applyBorder="1" applyAlignment="1">
      <alignment horizontal="center"/>
    </xf>
    <xf numFmtId="10" fontId="30" fillId="0" borderId="0" xfId="15" applyNumberFormat="1" applyFont="1" applyFill="1" applyBorder="1" applyAlignment="1">
      <alignment horizontal="center"/>
    </xf>
    <xf numFmtId="0" fontId="36" fillId="0" borderId="0" xfId="4" applyFont="1" applyAlignment="1">
      <alignment horizontal="center"/>
    </xf>
    <xf numFmtId="10" fontId="36" fillId="12" borderId="14" xfId="15" applyNumberFormat="1" applyFont="1" applyFill="1" applyBorder="1" applyAlignment="1">
      <alignment horizontal="center"/>
    </xf>
    <xf numFmtId="0" fontId="33" fillId="11" borderId="8" xfId="4" applyFont="1" applyFill="1" applyBorder="1" applyAlignment="1">
      <alignment horizontal="center"/>
    </xf>
    <xf numFmtId="0" fontId="30" fillId="11" borderId="9" xfId="4" applyFont="1" applyFill="1" applyBorder="1"/>
    <xf numFmtId="10" fontId="33" fillId="11" borderId="7" xfId="15" applyNumberFormat="1" applyFont="1" applyFill="1" applyBorder="1" applyAlignment="1">
      <alignment horizontal="center"/>
    </xf>
    <xf numFmtId="0" fontId="33" fillId="0" borderId="0" xfId="4" applyFont="1" applyAlignment="1">
      <alignment horizontal="left"/>
    </xf>
    <xf numFmtId="0" fontId="33" fillId="0" borderId="0" xfId="4" applyFont="1"/>
    <xf numFmtId="172" fontId="2" fillId="11" borderId="0" xfId="0" applyNumberFormat="1" applyFont="1" applyFill="1"/>
    <xf numFmtId="168" fontId="25" fillId="0" borderId="0" xfId="0" applyNumberFormat="1" applyFont="1"/>
    <xf numFmtId="2" fontId="25" fillId="0" borderId="0" xfId="0" applyNumberFormat="1" applyFont="1"/>
    <xf numFmtId="172" fontId="7" fillId="0" borderId="0" xfId="0" applyNumberFormat="1" applyFont="1"/>
    <xf numFmtId="166" fontId="3" fillId="0" borderId="3" xfId="2" applyNumberFormat="1" applyFont="1" applyFill="1" applyBorder="1"/>
    <xf numFmtId="2" fontId="3" fillId="13" borderId="0" xfId="0" applyNumberFormat="1" applyFont="1" applyFill="1"/>
    <xf numFmtId="165" fontId="39" fillId="0" borderId="0" xfId="0" applyNumberFormat="1" applyFont="1"/>
    <xf numFmtId="165" fontId="25" fillId="0" borderId="0" xfId="0" applyNumberFormat="1" applyFont="1" applyAlignment="1">
      <alignment horizontal="right"/>
    </xf>
    <xf numFmtId="165" fontId="41" fillId="0" borderId="3" xfId="0" applyNumberFormat="1" applyFont="1" applyBorder="1"/>
    <xf numFmtId="10" fontId="5" fillId="11" borderId="9" xfId="2" applyNumberFormat="1" applyFont="1" applyFill="1" applyBorder="1"/>
    <xf numFmtId="10" fontId="40" fillId="11" borderId="9" xfId="2" applyNumberFormat="1" applyFont="1" applyFill="1" applyBorder="1"/>
    <xf numFmtId="0" fontId="23" fillId="14" borderId="0" xfId="0" applyFont="1" applyFill="1"/>
    <xf numFmtId="0" fontId="2" fillId="14" borderId="0" xfId="0" applyFont="1" applyFill="1" applyAlignment="1">
      <alignment horizontal="center"/>
    </xf>
    <xf numFmtId="0" fontId="24" fillId="0" borderId="0" xfId="0" applyFont="1" applyAlignment="1">
      <alignment horizontal="left"/>
    </xf>
    <xf numFmtId="0" fontId="2" fillId="14" borderId="0" xfId="0" applyFont="1" applyFill="1" applyAlignment="1">
      <alignment horizontal="left"/>
    </xf>
    <xf numFmtId="9" fontId="9" fillId="0" borderId="0" xfId="2" applyFont="1"/>
    <xf numFmtId="166" fontId="2" fillId="0" borderId="0" xfId="2" applyNumberFormat="1" applyFont="1" applyFill="1" applyAlignment="1">
      <alignment vertical="center"/>
    </xf>
    <xf numFmtId="9" fontId="2" fillId="0" borderId="0" xfId="2" applyFont="1" applyAlignment="1">
      <alignment vertical="center"/>
    </xf>
    <xf numFmtId="166" fontId="2" fillId="0" borderId="0" xfId="2" applyNumberFormat="1" applyFont="1" applyAlignment="1">
      <alignment vertical="center"/>
    </xf>
    <xf numFmtId="166" fontId="6" fillId="0" borderId="0" xfId="2" applyNumberFormat="1" applyFont="1"/>
    <xf numFmtId="166" fontId="7" fillId="0" borderId="0" xfId="2" applyNumberFormat="1" applyFont="1"/>
    <xf numFmtId="164" fontId="2" fillId="0" borderId="0" xfId="2" applyNumberFormat="1" applyFont="1" applyAlignment="1">
      <alignment horizontal="right"/>
    </xf>
    <xf numFmtId="169" fontId="6" fillId="0" borderId="0" xfId="2" applyNumberFormat="1" applyFont="1"/>
    <xf numFmtId="169" fontId="6" fillId="14" borderId="0" xfId="2" applyNumberFormat="1" applyFont="1" applyFill="1"/>
    <xf numFmtId="0" fontId="42" fillId="0" borderId="0" xfId="0" applyFont="1" applyAlignment="1">
      <alignment vertical="center"/>
    </xf>
    <xf numFmtId="0" fontId="42" fillId="0" borderId="0" xfId="0" applyFont="1" applyAlignment="1">
      <alignment horizontal="right" vertical="center"/>
    </xf>
    <xf numFmtId="0" fontId="43" fillId="0" borderId="0" xfId="0" applyFont="1" applyAlignment="1">
      <alignment vertical="center"/>
    </xf>
    <xf numFmtId="43" fontId="2" fillId="0" borderId="0" xfId="0" applyNumberFormat="1" applyFont="1"/>
    <xf numFmtId="174" fontId="2" fillId="0" borderId="0" xfId="0" applyNumberFormat="1" applyFont="1"/>
    <xf numFmtId="174" fontId="2" fillId="0" borderId="0" xfId="0" applyNumberFormat="1" applyFont="1" applyAlignment="1">
      <alignment horizontal="right"/>
    </xf>
    <xf numFmtId="9" fontId="2" fillId="0" borderId="0" xfId="2" applyFont="1"/>
    <xf numFmtId="169" fontId="2" fillId="0" borderId="0" xfId="2" applyNumberFormat="1" applyFont="1" applyFill="1" applyAlignment="1">
      <alignment vertical="center"/>
    </xf>
    <xf numFmtId="165" fontId="17" fillId="7" borderId="0" xfId="0" applyNumberFormat="1" applyFont="1" applyFill="1"/>
    <xf numFmtId="168" fontId="7" fillId="0" borderId="0" xfId="0" applyNumberFormat="1" applyFont="1"/>
    <xf numFmtId="0" fontId="2" fillId="0" borderId="0" xfId="5" applyFont="1" applyAlignment="1">
      <alignment horizontal="left"/>
    </xf>
    <xf numFmtId="0" fontId="12" fillId="0" borderId="3" xfId="0" applyFont="1" applyBorder="1"/>
    <xf numFmtId="3" fontId="7" fillId="0" borderId="0" xfId="4" applyNumberFormat="1" applyAlignment="1">
      <alignment horizontal="left"/>
    </xf>
    <xf numFmtId="0" fontId="44" fillId="0" borderId="0" xfId="5" applyFont="1" applyAlignment="1">
      <alignment horizontal="left" vertical="center"/>
    </xf>
    <xf numFmtId="0" fontId="4" fillId="3" borderId="2" xfId="0" applyFont="1" applyFill="1" applyBorder="1"/>
    <xf numFmtId="0" fontId="4" fillId="3" borderId="3" xfId="0" applyFont="1" applyFill="1" applyBorder="1"/>
    <xf numFmtId="0" fontId="4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2" fillId="0" borderId="16" xfId="0" applyFont="1" applyBorder="1"/>
    <xf numFmtId="0" fontId="2" fillId="0" borderId="17" xfId="0" applyFont="1" applyBorder="1"/>
    <xf numFmtId="168" fontId="2" fillId="0" borderId="0" xfId="0" applyNumberFormat="1" applyFont="1"/>
    <xf numFmtId="168" fontId="2" fillId="0" borderId="17" xfId="0" applyNumberFormat="1" applyFont="1" applyBorder="1"/>
    <xf numFmtId="0" fontId="7" fillId="0" borderId="16" xfId="0" applyFont="1" applyBorder="1"/>
    <xf numFmtId="165" fontId="2" fillId="0" borderId="17" xfId="0" applyNumberFormat="1" applyFont="1" applyBorder="1"/>
    <xf numFmtId="0" fontId="9" fillId="0" borderId="0" xfId="0" applyFont="1" applyAlignment="1">
      <alignment horizontal="left" vertical="center"/>
    </xf>
    <xf numFmtId="165" fontId="3" fillId="0" borderId="17" xfId="0" applyNumberFormat="1" applyFont="1" applyBorder="1"/>
    <xf numFmtId="0" fontId="7" fillId="0" borderId="17" xfId="0" applyFont="1" applyBorder="1"/>
    <xf numFmtId="165" fontId="9" fillId="0" borderId="17" xfId="0" applyNumberFormat="1" applyFont="1" applyBorder="1"/>
    <xf numFmtId="0" fontId="7" fillId="0" borderId="0" xfId="0" applyFont="1" applyAlignment="1">
      <alignment horizontal="left"/>
    </xf>
    <xf numFmtId="165" fontId="15" fillId="0" borderId="0" xfId="0" applyNumberFormat="1" applyFont="1"/>
    <xf numFmtId="165" fontId="15" fillId="0" borderId="17" xfId="0" applyNumberFormat="1" applyFont="1" applyBorder="1"/>
    <xf numFmtId="0" fontId="38" fillId="0" borderId="0" xfId="0" applyFont="1"/>
    <xf numFmtId="0" fontId="2" fillId="0" borderId="5" xfId="0" applyFont="1" applyBorder="1"/>
    <xf numFmtId="0" fontId="2" fillId="0" borderId="1" xfId="0" applyFont="1" applyBorder="1"/>
    <xf numFmtId="0" fontId="2" fillId="0" borderId="6" xfId="0" applyFont="1" applyBorder="1"/>
    <xf numFmtId="0" fontId="4" fillId="3" borderId="4" xfId="0" applyFont="1" applyFill="1" applyBorder="1"/>
    <xf numFmtId="165" fontId="7" fillId="0" borderId="17" xfId="0" applyNumberFormat="1" applyFont="1" applyBorder="1"/>
    <xf numFmtId="0" fontId="4" fillId="3" borderId="8" xfId="0" applyFont="1" applyFill="1" applyBorder="1" applyAlignment="1">
      <alignment horizontal="left" vertical="center"/>
    </xf>
    <xf numFmtId="0" fontId="4" fillId="3" borderId="9" xfId="0" applyFont="1" applyFill="1" applyBorder="1" applyAlignment="1">
      <alignment horizontal="center"/>
    </xf>
    <xf numFmtId="165" fontId="45" fillId="3" borderId="7" xfId="0" applyNumberFormat="1" applyFont="1" applyFill="1" applyBorder="1"/>
    <xf numFmtId="0" fontId="13" fillId="3" borderId="7" xfId="0" applyFont="1" applyFill="1" applyBorder="1"/>
    <xf numFmtId="165" fontId="4" fillId="3" borderId="8" xfId="0" applyNumberFormat="1" applyFont="1" applyFill="1" applyBorder="1"/>
    <xf numFmtId="165" fontId="4" fillId="3" borderId="9" xfId="0" applyNumberFormat="1" applyFont="1" applyFill="1" applyBorder="1"/>
    <xf numFmtId="165" fontId="4" fillId="3" borderId="7" xfId="0" applyNumberFormat="1" applyFont="1" applyFill="1" applyBorder="1"/>
    <xf numFmtId="0" fontId="4" fillId="3" borderId="8" xfId="0" applyFont="1" applyFill="1" applyBorder="1"/>
    <xf numFmtId="2" fontId="4" fillId="3" borderId="7" xfId="0" applyNumberFormat="1" applyFont="1" applyFill="1" applyBorder="1"/>
  </cellXfs>
  <cellStyles count="20">
    <cellStyle name="Comma 2" xfId="8" xr:uid="{68A1F6E9-A41C-4DDF-953B-A265F0314E42}"/>
    <cellStyle name="Comma 2 2" xfId="12" xr:uid="{7C3B245D-A241-418A-A224-3EDF70E64129}"/>
    <cellStyle name="Comma 3" xfId="3" xr:uid="{FF4BF626-FC47-4D97-84F0-72367AFC7765}"/>
    <cellStyle name="Comma 4" xfId="14" xr:uid="{47015C47-3E6F-4F4A-82B0-BBBC9E3A97D1}"/>
    <cellStyle name="Diseño" xfId="13" xr:uid="{9B634913-5A5A-4FC4-852C-DF3D4F76FC4A}"/>
    <cellStyle name="Diseño 2 2" xfId="18" xr:uid="{0F2DAFA4-0839-4B8A-A036-EFE1D93E254D}"/>
    <cellStyle name="Millares" xfId="1" builtinId="3"/>
    <cellStyle name="Millares 2" xfId="10" xr:uid="{5B8B8063-D323-4D9B-806F-FDD658A5CFD4}"/>
    <cellStyle name="Millares 3" xfId="11" xr:uid="{0600187F-EAB2-4D68-96CD-362E6F975268}"/>
    <cellStyle name="Normal" xfId="0" builtinId="0"/>
    <cellStyle name="Normal 10 11" xfId="4" xr:uid="{669191C7-A0CB-4B30-B0B4-460CA402A798}"/>
    <cellStyle name="Normal 2 2" xfId="5" xr:uid="{DA4559E8-041E-4EF0-AC23-5557C8629799}"/>
    <cellStyle name="Normal 2 2 2" xfId="6" xr:uid="{17877A81-E870-4E08-B918-6EB4EA989253}"/>
    <cellStyle name="Normal 2 3" xfId="19" xr:uid="{D10161EE-2496-4B23-AFFC-93EABB023D06}"/>
    <cellStyle name="Normal 4 2" xfId="9" xr:uid="{0E464151-DE62-4253-85BA-23FC2DDBBAE5}"/>
    <cellStyle name="Normal 60" xfId="7" xr:uid="{0BCF1F57-F66C-444B-B398-597964E31B0B}"/>
    <cellStyle name="Normal 9 2" xfId="16" xr:uid="{A45272FF-D20F-46FC-A236-83A2141EC5E5}"/>
    <cellStyle name="Percent" xfId="2" xr:uid="{47DDE7ED-0E32-4B83-ACE4-6C75F3A33AF4}"/>
    <cellStyle name="Percent 2" xfId="15" xr:uid="{F908536B-97E0-4826-9EB6-E31BA9D5C5EC}"/>
    <cellStyle name="Percent 5" xfId="17" xr:uid="{C43D45A2-B277-473A-8295-AB5C855EE467}"/>
  </cellStyles>
  <dxfs count="0"/>
  <tableStyles count="0" defaultTableStyle="TableStyleMedium2" defaultPivotStyle="PivotStyleLight16"/>
  <colors>
    <mruColors>
      <color rgb="FF0000FF"/>
      <color rgb="FFF2F5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apoyoconsultoria0.sharepoint.com/sites/fileserver/Economia%20Aplicada/5%20Proyectos/2019/2019-095-E%20LAP%20-%20Contribuci&#243;n%20econ&#243;mica/4.%20An&#225;lisis/APOYO%20-%20Modelo%20contribuci&#243;n%20AIJCH%2008-jun.xlsx" TargetMode="External"/><Relationship Id="rId1" Type="http://schemas.openxmlformats.org/officeDocument/2006/relationships/externalLinkPath" Target="https://apoyoconsultoria0.sharepoint.com/sites/fileserver/Economia%20Aplicada/5%20Proyectos/2019/2019-095-E%20LAP%20-%20Contribuci&#243;n%20econ&#243;mica/4.%20An&#225;lisis/APOYO%20-%20Modelo%20contribuci&#243;n%20AIJCH%2008-jun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poyoconsultoria0.sharepoint.com/sites/fileserver/Economia%20Aplicada/5%20Proyectos/2023/2023-081-E%20LAP%20-%20Contribuci&#243;n/APOYO%20-%20Modelo%20contribuci&#243;n%20AIJCH%2006-ju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Índice"/>
      <sheetName val="Análisis&gt;&gt;"/>
      <sheetName val="Análisis"/>
      <sheetName val="Gráficos"/>
      <sheetName val="Supuestos"/>
      <sheetName val="Cálculo de impactos&gt;&gt;"/>
      <sheetName val="Consolidado"/>
      <sheetName val="Impactos (i)"/>
      <sheetName val="Impactos (i+i)"/>
      <sheetName val="Proyecto expansión"/>
      <sheetName val="Airport City (i)"/>
      <sheetName val="Airport City (i+i)"/>
      <sheetName val="Insumos &gt;&gt;"/>
      <sheetName val="Proyecciones"/>
      <sheetName val="Información LAP"/>
      <sheetName val="Información secundaria"/>
      <sheetName val="Multiplicadores"/>
      <sheetName val="Listado de empresas"/>
      <sheetName val="Reporte información"/>
      <sheetName val="Insumo repor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Índice"/>
      <sheetName val="Análisis&gt;&gt;"/>
      <sheetName val="Análisis"/>
      <sheetName val="Gráficos"/>
      <sheetName val="Supuestos"/>
      <sheetName val="Cálculo de impactos&gt;&gt;"/>
      <sheetName val="Consolidado"/>
      <sheetName val="Impactos (i)"/>
      <sheetName val="Impactos (i+i)"/>
      <sheetName val="Proyecto expansión"/>
      <sheetName val="Airport City (i)"/>
      <sheetName val="Airport City (i+i)"/>
      <sheetName val="Insumos &gt;&gt;"/>
      <sheetName val="Proyecciones"/>
      <sheetName val="Información LAP"/>
      <sheetName val="Información secundaria"/>
      <sheetName val="Multiplicadores"/>
      <sheetName val="Listado de empresas"/>
      <sheetName val="Reporte información"/>
      <sheetName val="Insumo repor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APOYO">
  <a:themeElements>
    <a:clrScheme name="Apoyo">
      <a:dk1>
        <a:sysClr val="windowText" lastClr="000000"/>
      </a:dk1>
      <a:lt1>
        <a:sysClr val="window" lastClr="FFFFFF"/>
      </a:lt1>
      <a:dk2>
        <a:srgbClr val="8499A5"/>
      </a:dk2>
      <a:lt2>
        <a:srgbClr val="D62100"/>
      </a:lt2>
      <a:accent1>
        <a:srgbClr val="661426"/>
      </a:accent1>
      <a:accent2>
        <a:srgbClr val="A32932"/>
      </a:accent2>
      <a:accent3>
        <a:srgbClr val="EF503F"/>
      </a:accent3>
      <a:accent4>
        <a:srgbClr val="FFA697"/>
      </a:accent4>
      <a:accent5>
        <a:srgbClr val="00709E"/>
      </a:accent5>
      <a:accent6>
        <a:srgbClr val="FABA48"/>
      </a:accent6>
      <a:hlink>
        <a:srgbClr val="0000FF"/>
      </a:hlink>
      <a:folHlink>
        <a:srgbClr val="800080"/>
      </a:folHlink>
    </a:clrScheme>
    <a:fontScheme name="Estilo AC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chemeClr val="bg1">
            <a:lumMod val="75000"/>
          </a:schemeClr>
        </a:solidFill>
        <a:ln w="12700">
          <a:solidFill>
            <a:schemeClr val="tx1">
              <a:lumMod val="65000"/>
              <a:lumOff val="35000"/>
            </a:schemeClr>
          </a:solidFill>
        </a:ln>
      </a:spPr>
      <a:bodyPr lIns="72000" tIns="72000" rIns="72000" bIns="72000" rtlCol="0" anchor="ctr"/>
      <a:lstStyle>
        <a:defPPr>
          <a:spcAft>
            <a:spcPts val="1200"/>
          </a:spcAft>
          <a:buClr>
            <a:srgbClr val="C00000"/>
          </a:buClr>
          <a:defRPr sz="1100" dirty="0" err="1" smtClean="0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defRPr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  <a:lnDef>
      <a:spPr>
        <a:ln w="12700">
          <a:solidFill>
            <a:schemeClr val="tx1"/>
          </a:solidFill>
          <a:headEnd type="none" w="med" len="med"/>
          <a:tailEnd type="none" w="med" len="med"/>
        </a:ln>
      </a:spPr>
      <a:bodyPr/>
      <a:lstStyle/>
      <a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a:style>
    </a:lnDef>
    <a:txDef>
      <a:spPr>
        <a:noFill/>
      </a:spPr>
      <a:bodyPr wrap="square" lIns="72000" tIns="36000" rIns="72000" bIns="36000" rtlCol="0">
        <a:noAutofit/>
      </a:bodyPr>
      <a:lstStyle>
        <a:defPPr marL="171450" indent="-171450">
          <a:buClr>
            <a:srgbClr val="C00000"/>
          </a:buClr>
          <a:buFont typeface="Wingdings" panose="05000000000000000000" pitchFamily="2" charset="2"/>
          <a:buChar char="§"/>
          <a:defRPr sz="1100" dirty="0" err="1" smtClean="0"/>
        </a:defPPr>
      </a:lstStyle>
    </a:txDef>
  </a:objectDefaults>
  <a:extraClrSchemeLst/>
  <a:extLst>
    <a:ext uri="{05A4C25C-085E-4340-85A3-A5531E510DB2}">
      <thm15:themeFamily xmlns:thm15="http://schemas.microsoft.com/office/thememl/2012/main" name="Tema AC" id="{0FA316DB-E0BA-42AF-9131-068654883147}" vid="{0F770C3B-2D3F-46C9-AD57-362D1C41770D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16A474-7D1B-4566-8DEE-BA7AB7F077AA}">
  <sheetPr codeName="Hoja1">
    <tabColor rgb="FF002060"/>
  </sheetPr>
  <dimension ref="B1:H6"/>
  <sheetViews>
    <sheetView showGridLines="0" zoomScale="112" zoomScaleNormal="112"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F29" sqref="F29"/>
    </sheetView>
  </sheetViews>
  <sheetFormatPr baseColWidth="10" defaultColWidth="11.5" defaultRowHeight="14.25" x14ac:dyDescent="0.2"/>
  <cols>
    <col min="1" max="1" width="3" style="69" customWidth="1"/>
    <col min="2" max="2" width="3.625" style="69" customWidth="1"/>
    <col min="3" max="3" width="30.125" style="69" customWidth="1"/>
    <col min="4" max="4" width="14.5" style="69" customWidth="1"/>
    <col min="5" max="5" width="33.875" style="69" customWidth="1"/>
    <col min="6" max="6" width="12.75" style="69" customWidth="1"/>
    <col min="7" max="7" width="6.75" style="69" customWidth="1"/>
    <col min="8" max="8" width="23" style="69" bestFit="1" customWidth="1"/>
    <col min="9" max="16384" width="11.5" style="69"/>
  </cols>
  <sheetData>
    <row r="1" spans="2:8" x14ac:dyDescent="0.2">
      <c r="D1" s="70" t="s">
        <v>1</v>
      </c>
      <c r="E1" s="70" t="s">
        <v>2</v>
      </c>
      <c r="F1" s="70" t="s">
        <v>141</v>
      </c>
    </row>
    <row r="2" spans="2:8" s="1" customFormat="1" ht="12.75" x14ac:dyDescent="0.2">
      <c r="B2" s="4" t="s">
        <v>140</v>
      </c>
      <c r="C2" s="4"/>
      <c r="D2" s="14"/>
      <c r="E2" s="14"/>
      <c r="F2" s="4"/>
      <c r="G2" s="5"/>
    </row>
    <row r="3" spans="2:8" x14ac:dyDescent="0.2">
      <c r="G3" s="5"/>
    </row>
    <row r="4" spans="2:8" x14ac:dyDescent="0.2">
      <c r="B4" s="72" t="s">
        <v>142</v>
      </c>
      <c r="C4" s="71"/>
      <c r="D4" s="73"/>
      <c r="E4" s="73"/>
      <c r="F4" s="1"/>
      <c r="G4" s="1"/>
      <c r="H4" s="1"/>
    </row>
    <row r="5" spans="2:8" x14ac:dyDescent="0.2">
      <c r="B5" s="1"/>
      <c r="C5" s="1" t="s">
        <v>143</v>
      </c>
      <c r="D5" s="73" t="s">
        <v>145</v>
      </c>
      <c r="E5" s="13" t="s">
        <v>138</v>
      </c>
      <c r="F5" s="216">
        <f>Flujos!F17</f>
        <v>11.616167649541364</v>
      </c>
      <c r="G5" s="1"/>
      <c r="H5" s="1"/>
    </row>
    <row r="6" spans="2:8" x14ac:dyDescent="0.2">
      <c r="B6" s="1"/>
      <c r="C6" s="1" t="s">
        <v>144</v>
      </c>
      <c r="D6" s="73" t="s">
        <v>145</v>
      </c>
      <c r="E6" s="13" t="s">
        <v>138</v>
      </c>
      <c r="F6" s="216">
        <f>Flujos!F42</f>
        <v>6.9604520240854475</v>
      </c>
      <c r="G6" s="1"/>
      <c r="H6" s="1"/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1DAB6B-C0D6-4894-9773-275703AEBC7B}">
  <sheetPr codeName="Hoja8"/>
  <dimension ref="A2:R722"/>
  <sheetViews>
    <sheetView showGridLines="0" zoomScale="85" zoomScaleNormal="85" workbookViewId="0">
      <pane xSplit="3" ySplit="3" topLeftCell="D48" activePane="bottomRight" state="frozen"/>
      <selection pane="topRight" activeCell="D1" sqref="D1"/>
      <selection pane="bottomLeft" activeCell="A4" sqref="A4"/>
      <selection pane="bottomRight" activeCell="F62" sqref="F62"/>
    </sheetView>
  </sheetViews>
  <sheetFormatPr baseColWidth="10" defaultColWidth="11.5" defaultRowHeight="12.75" x14ac:dyDescent="0.2"/>
  <cols>
    <col min="1" max="1" width="5" style="1" customWidth="1"/>
    <col min="2" max="2" width="2.75" style="1" customWidth="1"/>
    <col min="3" max="3" width="70.75" style="1" customWidth="1"/>
    <col min="4" max="4" width="13.25" style="13" customWidth="1"/>
    <col min="5" max="5" width="14.5" style="13" customWidth="1"/>
    <col min="6" max="6" width="19.75" style="1" customWidth="1"/>
    <col min="7" max="7" width="6.625" style="1" customWidth="1"/>
    <col min="8" max="8" width="13.25" style="1" customWidth="1"/>
    <col min="9" max="9" width="13.625" style="1" customWidth="1"/>
    <col min="10" max="13" width="11.5" style="1"/>
    <col min="14" max="14" width="11.5" style="1" bestFit="1"/>
    <col min="15" max="16384" width="11.5" style="1"/>
  </cols>
  <sheetData>
    <row r="2" spans="2:14" s="11" customFormat="1" x14ac:dyDescent="0.2">
      <c r="C2" s="11" t="s">
        <v>0</v>
      </c>
      <c r="D2" s="11" t="s">
        <v>1</v>
      </c>
      <c r="E2" s="11" t="s">
        <v>2</v>
      </c>
      <c r="F2" s="11" t="s">
        <v>3</v>
      </c>
      <c r="H2" s="11">
        <v>2024</v>
      </c>
      <c r="I2" s="11">
        <v>2025</v>
      </c>
      <c r="J2" s="11">
        <v>2026</v>
      </c>
      <c r="K2" s="11">
        <v>2027</v>
      </c>
      <c r="L2" s="11">
        <v>2028</v>
      </c>
      <c r="M2" s="11">
        <v>2029</v>
      </c>
      <c r="N2" s="11">
        <v>2030</v>
      </c>
    </row>
    <row r="3" spans="2:14" x14ac:dyDescent="0.2">
      <c r="B3" s="2"/>
      <c r="C3" s="2"/>
      <c r="D3" s="12"/>
      <c r="E3" s="12"/>
      <c r="F3" s="2"/>
      <c r="H3" s="2"/>
      <c r="I3" s="2"/>
      <c r="J3" s="2"/>
      <c r="K3" s="2"/>
      <c r="L3" s="2"/>
      <c r="M3" s="2"/>
      <c r="N3" s="2"/>
    </row>
    <row r="5" spans="2:14" x14ac:dyDescent="0.2">
      <c r="B5" s="4" t="s">
        <v>60</v>
      </c>
      <c r="C5" s="4"/>
      <c r="D5" s="14"/>
      <c r="E5" s="14"/>
      <c r="F5" s="4"/>
      <c r="G5" s="5"/>
      <c r="H5" s="4"/>
      <c r="I5" s="4"/>
      <c r="J5" s="4"/>
      <c r="K5" s="4"/>
      <c r="L5" s="4"/>
      <c r="M5" s="4"/>
      <c r="N5" s="4"/>
    </row>
    <row r="6" spans="2:14" x14ac:dyDescent="0.2">
      <c r="B6" s="5"/>
      <c r="C6" s="5"/>
      <c r="D6" s="30"/>
      <c r="E6" s="30"/>
      <c r="F6" s="5"/>
      <c r="G6" s="5"/>
      <c r="H6" s="5"/>
      <c r="I6" s="5"/>
      <c r="J6" s="5"/>
      <c r="K6" s="5"/>
      <c r="L6" s="5"/>
      <c r="M6" s="5"/>
      <c r="N6" s="5"/>
    </row>
    <row r="7" spans="2:14" x14ac:dyDescent="0.2">
      <c r="C7" s="21" t="s">
        <v>17</v>
      </c>
      <c r="D7" s="13" t="s">
        <v>13</v>
      </c>
      <c r="E7" s="13" t="s">
        <v>14</v>
      </c>
      <c r="H7" s="15">
        <v>2.39</v>
      </c>
      <c r="I7" s="15">
        <v>1.964</v>
      </c>
      <c r="J7" s="15">
        <v>2.101</v>
      </c>
      <c r="K7" s="15">
        <v>2.371</v>
      </c>
      <c r="L7" s="15">
        <v>2.1349999999999998</v>
      </c>
      <c r="M7" s="15">
        <v>2.1520000000000001</v>
      </c>
      <c r="N7" s="15">
        <v>2.1520000000000001</v>
      </c>
    </row>
    <row r="9" spans="2:14" x14ac:dyDescent="0.2">
      <c r="B9" s="91" t="s">
        <v>175</v>
      </c>
      <c r="C9" s="1" t="s">
        <v>179</v>
      </c>
      <c r="D9" s="13" t="s">
        <v>181</v>
      </c>
      <c r="E9" s="13" t="s">
        <v>14</v>
      </c>
      <c r="F9" s="92">
        <v>16.083333333333332</v>
      </c>
    </row>
    <row r="10" spans="2:14" x14ac:dyDescent="0.2">
      <c r="B10" s="91"/>
      <c r="F10" s="92"/>
    </row>
    <row r="11" spans="2:14" x14ac:dyDescent="0.2">
      <c r="B11" s="91" t="s">
        <v>176</v>
      </c>
      <c r="C11" s="1" t="s">
        <v>180</v>
      </c>
      <c r="D11" s="13" t="s">
        <v>181</v>
      </c>
      <c r="E11" s="13" t="s">
        <v>14</v>
      </c>
      <c r="F11" s="93">
        <v>10</v>
      </c>
    </row>
    <row r="12" spans="2:14" x14ac:dyDescent="0.2">
      <c r="B12" s="91"/>
      <c r="F12" s="93"/>
    </row>
    <row r="13" spans="2:14" x14ac:dyDescent="0.2">
      <c r="B13" s="91" t="s">
        <v>491</v>
      </c>
      <c r="C13" s="1" t="s">
        <v>492</v>
      </c>
      <c r="D13" s="13" t="s">
        <v>181</v>
      </c>
      <c r="E13" s="13" t="s">
        <v>14</v>
      </c>
      <c r="F13" s="93">
        <v>15</v>
      </c>
    </row>
    <row r="14" spans="2:14" x14ac:dyDescent="0.2">
      <c r="B14" s="91"/>
    </row>
    <row r="15" spans="2:14" x14ac:dyDescent="0.2">
      <c r="B15" s="4" t="s">
        <v>4</v>
      </c>
      <c r="C15" s="4"/>
      <c r="D15" s="14"/>
      <c r="E15" s="14"/>
      <c r="F15" s="4"/>
      <c r="G15" s="5"/>
      <c r="H15" s="4"/>
      <c r="I15" s="4"/>
      <c r="J15" s="4"/>
      <c r="K15" s="4"/>
      <c r="L15" s="4"/>
      <c r="M15" s="4"/>
      <c r="N15" s="4"/>
    </row>
    <row r="16" spans="2:14" x14ac:dyDescent="0.2">
      <c r="I16" s="17"/>
    </row>
    <row r="17" spans="2:14" ht="14.25" x14ac:dyDescent="0.2">
      <c r="B17" t="s">
        <v>192</v>
      </c>
      <c r="D17" s="13" t="s">
        <v>4</v>
      </c>
      <c r="E17" s="13" t="s">
        <v>14</v>
      </c>
      <c r="H17" s="17">
        <v>7016049.5</v>
      </c>
      <c r="I17" s="17">
        <v>7326514</v>
      </c>
      <c r="J17" s="17">
        <v>7373911</v>
      </c>
      <c r="K17" s="17">
        <v>7464687.5</v>
      </c>
      <c r="L17" s="17">
        <v>7541971</v>
      </c>
      <c r="M17" s="17">
        <v>7775739.5</v>
      </c>
      <c r="N17" s="17">
        <v>7939221.5</v>
      </c>
    </row>
    <row r="18" spans="2:14" ht="14.25" x14ac:dyDescent="0.2">
      <c r="B18" t="s">
        <v>193</v>
      </c>
      <c r="C18" s="8"/>
      <c r="D18" s="13" t="s">
        <v>4</v>
      </c>
      <c r="E18" s="13" t="s">
        <v>14</v>
      </c>
      <c r="H18" s="17">
        <v>7016049.5</v>
      </c>
      <c r="I18" s="17">
        <v>7326514</v>
      </c>
      <c r="J18" s="17">
        <v>7373911</v>
      </c>
      <c r="K18" s="17">
        <v>7464687.5</v>
      </c>
      <c r="L18" s="17">
        <v>7541971</v>
      </c>
      <c r="M18" s="17">
        <v>7775739.5</v>
      </c>
      <c r="N18" s="17">
        <v>7939221.5</v>
      </c>
    </row>
    <row r="19" spans="2:14" ht="14.25" x14ac:dyDescent="0.2">
      <c r="B19" t="s">
        <v>194</v>
      </c>
      <c r="C19" s="8"/>
      <c r="D19" s="13" t="s">
        <v>4</v>
      </c>
      <c r="E19" s="13" t="s">
        <v>14</v>
      </c>
      <c r="H19" s="17">
        <v>2989318.5</v>
      </c>
      <c r="I19" s="17">
        <v>3297456.5</v>
      </c>
      <c r="J19" s="17">
        <v>3731793</v>
      </c>
      <c r="K19" s="17">
        <v>4019935.5</v>
      </c>
      <c r="L19" s="17">
        <v>4386963</v>
      </c>
      <c r="M19" s="17">
        <v>4717141.5</v>
      </c>
      <c r="N19" s="17">
        <v>5071014</v>
      </c>
    </row>
    <row r="20" spans="2:14" ht="14.25" x14ac:dyDescent="0.2">
      <c r="B20" t="s">
        <v>195</v>
      </c>
      <c r="D20" s="13" t="s">
        <v>4</v>
      </c>
      <c r="E20" s="13" t="s">
        <v>14</v>
      </c>
      <c r="H20" s="17">
        <v>2989318.5</v>
      </c>
      <c r="I20" s="17">
        <v>3297456.5</v>
      </c>
      <c r="J20" s="17">
        <v>3731793</v>
      </c>
      <c r="K20" s="17">
        <v>4019935.5</v>
      </c>
      <c r="L20" s="17">
        <v>4386963</v>
      </c>
      <c r="M20" s="17">
        <v>4717141.5</v>
      </c>
      <c r="N20" s="17">
        <v>5071014</v>
      </c>
    </row>
    <row r="21" spans="2:14" ht="14.25" x14ac:dyDescent="0.2">
      <c r="B21" t="s">
        <v>6</v>
      </c>
      <c r="C21" s="9"/>
      <c r="D21" s="13" t="s">
        <v>4</v>
      </c>
      <c r="E21" s="13" t="s">
        <v>14</v>
      </c>
      <c r="H21" s="17">
        <v>773344</v>
      </c>
      <c r="I21" s="17">
        <v>816893</v>
      </c>
      <c r="J21" s="17">
        <v>838355</v>
      </c>
      <c r="K21" s="17">
        <v>859397</v>
      </c>
      <c r="L21" s="17">
        <v>880439</v>
      </c>
      <c r="M21" s="17">
        <v>915332</v>
      </c>
      <c r="N21" s="17">
        <v>944420</v>
      </c>
    </row>
    <row r="22" spans="2:14" ht="14.25" x14ac:dyDescent="0.2">
      <c r="B22" t="s">
        <v>5</v>
      </c>
      <c r="C22" s="8"/>
      <c r="D22" s="13" t="s">
        <v>4</v>
      </c>
      <c r="E22" s="13" t="s">
        <v>14</v>
      </c>
      <c r="H22" s="17">
        <v>1272741</v>
      </c>
      <c r="I22" s="17">
        <v>1656254</v>
      </c>
      <c r="J22" s="17">
        <v>2024214</v>
      </c>
      <c r="K22" s="17">
        <v>2347254</v>
      </c>
      <c r="L22" s="17">
        <v>2564553</v>
      </c>
      <c r="M22" s="17">
        <v>2760803</v>
      </c>
      <c r="N22" s="17">
        <v>2971410</v>
      </c>
    </row>
    <row r="23" spans="2:14" ht="14.25" x14ac:dyDescent="0.2">
      <c r="B23" t="s">
        <v>10</v>
      </c>
      <c r="C23" s="9"/>
      <c r="D23" s="13" t="s">
        <v>4</v>
      </c>
      <c r="E23" s="13" t="s">
        <v>14</v>
      </c>
      <c r="H23" s="17">
        <v>2055156</v>
      </c>
      <c r="I23" s="17">
        <v>2340130</v>
      </c>
      <c r="J23" s="17">
        <v>2691786</v>
      </c>
      <c r="K23" s="17">
        <v>2947952</v>
      </c>
      <c r="L23" s="17">
        <v>3231104</v>
      </c>
      <c r="M23" s="17">
        <v>3489424</v>
      </c>
      <c r="N23" s="17">
        <v>3767558</v>
      </c>
    </row>
    <row r="24" spans="2:14" ht="14.25" x14ac:dyDescent="0.2">
      <c r="B24" t="s">
        <v>67</v>
      </c>
      <c r="C24" s="8"/>
      <c r="D24" s="13" t="s">
        <v>4</v>
      </c>
      <c r="E24" s="13" t="s">
        <v>14</v>
      </c>
      <c r="H24" s="17">
        <v>2055156</v>
      </c>
      <c r="I24" s="17">
        <v>2340130</v>
      </c>
      <c r="J24" s="17">
        <v>2691786</v>
      </c>
      <c r="K24" s="17">
        <v>2947952</v>
      </c>
      <c r="L24" s="17">
        <v>3231104</v>
      </c>
      <c r="M24" s="17">
        <v>3489424</v>
      </c>
      <c r="N24" s="17">
        <v>3767558</v>
      </c>
    </row>
    <row r="25" spans="2:14" ht="14.25" x14ac:dyDescent="0.2">
      <c r="B25" t="s">
        <v>196</v>
      </c>
      <c r="D25" s="13" t="s">
        <v>4</v>
      </c>
      <c r="E25" s="13" t="s">
        <v>14</v>
      </c>
      <c r="H25" s="17">
        <v>35086</v>
      </c>
      <c r="I25" s="17">
        <v>45658</v>
      </c>
      <c r="J25" s="17">
        <v>55802</v>
      </c>
      <c r="K25" s="17">
        <v>64708</v>
      </c>
      <c r="L25" s="17">
        <v>70698</v>
      </c>
      <c r="M25" s="17">
        <v>76108</v>
      </c>
      <c r="N25" s="17">
        <v>81914</v>
      </c>
    </row>
    <row r="26" spans="2:14" ht="14.25" x14ac:dyDescent="0.2">
      <c r="B26" t="s">
        <v>7</v>
      </c>
      <c r="C26" s="9"/>
      <c r="D26" s="13" t="s">
        <v>4</v>
      </c>
      <c r="E26" s="13" t="s">
        <v>14</v>
      </c>
      <c r="H26" s="17">
        <v>26202219</v>
      </c>
      <c r="I26" s="17">
        <v>28447006</v>
      </c>
      <c r="J26" s="17">
        <v>30513351</v>
      </c>
      <c r="K26" s="17">
        <v>32136509</v>
      </c>
      <c r="L26" s="17">
        <v>33835766</v>
      </c>
      <c r="M26" s="17">
        <v>35716853</v>
      </c>
      <c r="N26" s="17">
        <v>37553331</v>
      </c>
    </row>
    <row r="27" spans="2:14" x14ac:dyDescent="0.2">
      <c r="C27" s="9"/>
      <c r="D27" s="13" t="s">
        <v>4</v>
      </c>
      <c r="E27" s="13" t="s">
        <v>14</v>
      </c>
      <c r="H27" s="31"/>
      <c r="I27" s="31"/>
      <c r="J27" s="31"/>
      <c r="K27" s="31"/>
      <c r="L27" s="31"/>
      <c r="M27" s="31"/>
      <c r="N27" s="31"/>
    </row>
    <row r="28" spans="2:14" s="3" customFormat="1" x14ac:dyDescent="0.2">
      <c r="B28" s="3" t="s">
        <v>62</v>
      </c>
      <c r="D28" s="11"/>
      <c r="E28" s="11"/>
    </row>
    <row r="29" spans="2:14" s="3" customFormat="1" x14ac:dyDescent="0.2">
      <c r="D29" s="11"/>
      <c r="E29" s="11"/>
    </row>
    <row r="30" spans="2:14" x14ac:dyDescent="0.2">
      <c r="C30" s="9" t="s">
        <v>5</v>
      </c>
      <c r="D30" s="13" t="s">
        <v>4</v>
      </c>
      <c r="E30" s="13" t="s">
        <v>24</v>
      </c>
      <c r="F30" s="16">
        <f>+SUM(I22:N22)</f>
        <v>14324488</v>
      </c>
      <c r="H30" s="16">
        <f t="shared" ref="H30:N30" si="0">H22</f>
        <v>1272741</v>
      </c>
      <c r="I30" s="16">
        <f t="shared" si="0"/>
        <v>1656254</v>
      </c>
      <c r="J30" s="16">
        <f t="shared" si="0"/>
        <v>2024214</v>
      </c>
      <c r="K30" s="16">
        <f t="shared" si="0"/>
        <v>2347254</v>
      </c>
      <c r="L30" s="16">
        <f t="shared" si="0"/>
        <v>2564553</v>
      </c>
      <c r="M30" s="16">
        <f t="shared" si="0"/>
        <v>2760803</v>
      </c>
      <c r="N30" s="16">
        <f t="shared" si="0"/>
        <v>2971410</v>
      </c>
    </row>
    <row r="31" spans="2:14" x14ac:dyDescent="0.2">
      <c r="C31" s="9" t="s">
        <v>6</v>
      </c>
      <c r="D31" s="13" t="s">
        <v>4</v>
      </c>
      <c r="E31" s="13" t="s">
        <v>24</v>
      </c>
      <c r="F31" s="16">
        <f>+SUM(I21:N21)</f>
        <v>5254836</v>
      </c>
      <c r="H31" s="16">
        <f t="shared" ref="H31:N31" si="1">H21</f>
        <v>773344</v>
      </c>
      <c r="I31" s="16">
        <f t="shared" si="1"/>
        <v>816893</v>
      </c>
      <c r="J31" s="16">
        <f t="shared" si="1"/>
        <v>838355</v>
      </c>
      <c r="K31" s="16">
        <f t="shared" si="1"/>
        <v>859397</v>
      </c>
      <c r="L31" s="16">
        <f t="shared" si="1"/>
        <v>880439</v>
      </c>
      <c r="M31" s="16">
        <f t="shared" si="1"/>
        <v>915332</v>
      </c>
      <c r="N31" s="16">
        <f t="shared" si="1"/>
        <v>944420</v>
      </c>
    </row>
    <row r="32" spans="2:14" x14ac:dyDescent="0.2">
      <c r="C32" s="9" t="s">
        <v>67</v>
      </c>
      <c r="D32" s="13" t="s">
        <v>4</v>
      </c>
      <c r="E32" s="13" t="s">
        <v>24</v>
      </c>
      <c r="F32" s="16">
        <f>+SUM(I24:N24)/2</f>
        <v>9233977</v>
      </c>
      <c r="H32" s="16">
        <f t="shared" ref="H32:N32" si="2">H24/2</f>
        <v>1027578</v>
      </c>
      <c r="I32" s="16">
        <f t="shared" si="2"/>
        <v>1170065</v>
      </c>
      <c r="J32" s="16">
        <f t="shared" si="2"/>
        <v>1345893</v>
      </c>
      <c r="K32" s="16">
        <f t="shared" si="2"/>
        <v>1473976</v>
      </c>
      <c r="L32" s="16">
        <f t="shared" si="2"/>
        <v>1615552</v>
      </c>
      <c r="M32" s="16">
        <f t="shared" si="2"/>
        <v>1744712</v>
      </c>
      <c r="N32" s="16">
        <f t="shared" si="2"/>
        <v>1883779</v>
      </c>
    </row>
    <row r="33" spans="2:14" x14ac:dyDescent="0.2">
      <c r="C33" s="9" t="s">
        <v>10</v>
      </c>
      <c r="D33" s="13" t="s">
        <v>4</v>
      </c>
      <c r="E33" s="13" t="s">
        <v>24</v>
      </c>
      <c r="F33" s="16">
        <f>+SUM(I23:N23)/2</f>
        <v>9233977</v>
      </c>
      <c r="H33" s="16">
        <f t="shared" ref="H33:N33" si="3">H23/2</f>
        <v>1027578</v>
      </c>
      <c r="I33" s="16">
        <f t="shared" si="3"/>
        <v>1170065</v>
      </c>
      <c r="J33" s="16">
        <f t="shared" si="3"/>
        <v>1345893</v>
      </c>
      <c r="K33" s="16">
        <f t="shared" si="3"/>
        <v>1473976</v>
      </c>
      <c r="L33" s="16">
        <f t="shared" si="3"/>
        <v>1615552</v>
      </c>
      <c r="M33" s="16">
        <f t="shared" si="3"/>
        <v>1744712</v>
      </c>
      <c r="N33" s="16">
        <f t="shared" si="3"/>
        <v>1883779</v>
      </c>
    </row>
    <row r="34" spans="2:14" x14ac:dyDescent="0.2">
      <c r="C34" s="9" t="s">
        <v>63</v>
      </c>
      <c r="D34" s="13" t="s">
        <v>4</v>
      </c>
      <c r="E34" s="13" t="s">
        <v>24</v>
      </c>
      <c r="F34" s="16">
        <f>+SUM(I20:N20)</f>
        <v>25224303.5</v>
      </c>
      <c r="H34" s="16">
        <f t="shared" ref="H34:N34" si="4">H20</f>
        <v>2989318.5</v>
      </c>
      <c r="I34" s="16">
        <f t="shared" si="4"/>
        <v>3297456.5</v>
      </c>
      <c r="J34" s="16">
        <f t="shared" si="4"/>
        <v>3731793</v>
      </c>
      <c r="K34" s="16">
        <f t="shared" si="4"/>
        <v>4019935.5</v>
      </c>
      <c r="L34" s="16">
        <f t="shared" si="4"/>
        <v>4386963</v>
      </c>
      <c r="M34" s="16">
        <f t="shared" si="4"/>
        <v>4717141.5</v>
      </c>
      <c r="N34" s="16">
        <f t="shared" si="4"/>
        <v>5071014</v>
      </c>
    </row>
    <row r="35" spans="2:14" x14ac:dyDescent="0.2">
      <c r="C35" s="9" t="s">
        <v>64</v>
      </c>
      <c r="D35" s="13" t="s">
        <v>4</v>
      </c>
      <c r="E35" s="13" t="s">
        <v>24</v>
      </c>
      <c r="F35" s="16">
        <f>+SUM(I19:N19)</f>
        <v>25224303.5</v>
      </c>
      <c r="H35" s="16">
        <f t="shared" ref="H35:N35" si="5">H19</f>
        <v>2989318.5</v>
      </c>
      <c r="I35" s="16">
        <f t="shared" si="5"/>
        <v>3297456.5</v>
      </c>
      <c r="J35" s="16">
        <f t="shared" si="5"/>
        <v>3731793</v>
      </c>
      <c r="K35" s="16">
        <f t="shared" si="5"/>
        <v>4019935.5</v>
      </c>
      <c r="L35" s="16">
        <f t="shared" si="5"/>
        <v>4386963</v>
      </c>
      <c r="M35" s="16">
        <f t="shared" si="5"/>
        <v>4717141.5</v>
      </c>
      <c r="N35" s="16">
        <f t="shared" si="5"/>
        <v>5071014</v>
      </c>
    </row>
    <row r="36" spans="2:14" x14ac:dyDescent="0.2">
      <c r="C36" s="9" t="s">
        <v>65</v>
      </c>
      <c r="D36" s="13" t="s">
        <v>4</v>
      </c>
      <c r="E36" s="13" t="s">
        <v>24</v>
      </c>
      <c r="F36" s="16">
        <f>+SUM(I18:N18)</f>
        <v>45422044.5</v>
      </c>
      <c r="H36" s="16">
        <f t="shared" ref="H36:N36" si="6">H18</f>
        <v>7016049.5</v>
      </c>
      <c r="I36" s="16">
        <f t="shared" si="6"/>
        <v>7326514</v>
      </c>
      <c r="J36" s="16">
        <f t="shared" si="6"/>
        <v>7373911</v>
      </c>
      <c r="K36" s="16">
        <f t="shared" si="6"/>
        <v>7464687.5</v>
      </c>
      <c r="L36" s="16">
        <f t="shared" si="6"/>
        <v>7541971</v>
      </c>
      <c r="M36" s="16">
        <f t="shared" si="6"/>
        <v>7775739.5</v>
      </c>
      <c r="N36" s="16">
        <f t="shared" si="6"/>
        <v>7939221.5</v>
      </c>
    </row>
    <row r="37" spans="2:14" x14ac:dyDescent="0.2">
      <c r="C37" s="9" t="s">
        <v>66</v>
      </c>
      <c r="D37" s="13" t="s">
        <v>4</v>
      </c>
      <c r="E37" s="13" t="s">
        <v>24</v>
      </c>
      <c r="F37" s="16">
        <f>+SUM(I17:N17)</f>
        <v>45422044.5</v>
      </c>
      <c r="H37" s="16">
        <f t="shared" ref="H37:N37" si="7">H17</f>
        <v>7016049.5</v>
      </c>
      <c r="I37" s="16">
        <f t="shared" si="7"/>
        <v>7326514</v>
      </c>
      <c r="J37" s="16">
        <f t="shared" si="7"/>
        <v>7373911</v>
      </c>
      <c r="K37" s="16">
        <f t="shared" si="7"/>
        <v>7464687.5</v>
      </c>
      <c r="L37" s="16">
        <f t="shared" si="7"/>
        <v>7541971</v>
      </c>
      <c r="M37" s="16">
        <f t="shared" si="7"/>
        <v>7775739.5</v>
      </c>
      <c r="N37" s="16">
        <f t="shared" si="7"/>
        <v>7939221.5</v>
      </c>
    </row>
    <row r="39" spans="2:14" s="3" customFormat="1" x14ac:dyDescent="0.2">
      <c r="B39" s="3" t="s">
        <v>68</v>
      </c>
      <c r="D39" s="11"/>
      <c r="E39" s="11"/>
    </row>
    <row r="41" spans="2:14" x14ac:dyDescent="0.2">
      <c r="C41" s="3" t="s">
        <v>58</v>
      </c>
      <c r="F41" s="71"/>
      <c r="G41" s="71"/>
      <c r="H41" s="71"/>
      <c r="I41" s="71"/>
      <c r="J41" s="71"/>
    </row>
    <row r="42" spans="2:14" x14ac:dyDescent="0.2">
      <c r="C42" s="9" t="s">
        <v>69</v>
      </c>
      <c r="D42" s="13" t="s">
        <v>4</v>
      </c>
      <c r="E42" s="13" t="s">
        <v>24</v>
      </c>
      <c r="F42" s="242">
        <f>+F30/(F34+F30)</f>
        <v>0.36219786892856132</v>
      </c>
      <c r="G42" s="71"/>
      <c r="H42" s="229">
        <f t="shared" ref="H42:N42" si="8">+H30/(H35+H30)</f>
        <v>0.2986211243648757</v>
      </c>
      <c r="I42" s="227">
        <f t="shared" si="8"/>
        <v>0.33434614315874939</v>
      </c>
      <c r="J42" s="229">
        <f t="shared" si="8"/>
        <v>0.35166982944947772</v>
      </c>
      <c r="K42" s="229">
        <f t="shared" si="8"/>
        <v>0.36864836518529881</v>
      </c>
      <c r="L42" s="229">
        <f t="shared" si="8"/>
        <v>0.3689199593297347</v>
      </c>
      <c r="M42" s="229">
        <f t="shared" si="8"/>
        <v>0.36919276413458268</v>
      </c>
      <c r="N42" s="229">
        <f t="shared" si="8"/>
        <v>0.36946696667571866</v>
      </c>
    </row>
    <row r="43" spans="2:14" x14ac:dyDescent="0.2">
      <c r="C43" s="9" t="s">
        <v>70</v>
      </c>
      <c r="D43" s="13" t="s">
        <v>4</v>
      </c>
      <c r="E43" s="13" t="s">
        <v>24</v>
      </c>
      <c r="F43" s="242">
        <f>+F30/(F35+F32+F30)</f>
        <v>0.29363827516267349</v>
      </c>
      <c r="G43" s="228"/>
      <c r="H43" s="229">
        <f t="shared" ref="H43:N43" si="9">+H30/(H32+H35+H30)</f>
        <v>0.24061024975719036</v>
      </c>
      <c r="I43" s="227">
        <f t="shared" si="9"/>
        <v>0.27046288682529268</v>
      </c>
      <c r="J43" s="229">
        <f t="shared" si="9"/>
        <v>0.28502428927470114</v>
      </c>
      <c r="K43" s="229">
        <f t="shared" si="9"/>
        <v>0.29935014125132292</v>
      </c>
      <c r="L43" s="229">
        <f t="shared" si="9"/>
        <v>0.29935013939424782</v>
      </c>
      <c r="M43" s="229">
        <f t="shared" si="9"/>
        <v>0.29935008421922688</v>
      </c>
      <c r="N43" s="229">
        <f t="shared" si="9"/>
        <v>0.29935011403655559</v>
      </c>
    </row>
    <row r="44" spans="2:14" x14ac:dyDescent="0.2">
      <c r="C44" s="9" t="s">
        <v>71</v>
      </c>
      <c r="D44" s="13" t="s">
        <v>4</v>
      </c>
      <c r="E44" s="13" t="s">
        <v>24</v>
      </c>
      <c r="F44" s="242">
        <f>+F30/(F33+F32+F34+F36+F30+F31)</f>
        <v>0.1317877462290199</v>
      </c>
      <c r="G44" s="71"/>
      <c r="H44" s="229">
        <f t="shared" ref="H44:N44" si="10">+H30/(H33+H32+H34+H36+H30+H31)</f>
        <v>9.0223029503405106E-2</v>
      </c>
      <c r="I44" s="227">
        <f t="shared" si="10"/>
        <v>0.10728946335802415</v>
      </c>
      <c r="J44" s="229">
        <f t="shared" si="10"/>
        <v>0.12150101029053979</v>
      </c>
      <c r="K44" s="229">
        <f t="shared" si="10"/>
        <v>0.13307012450546299</v>
      </c>
      <c r="L44" s="229">
        <f t="shared" si="10"/>
        <v>0.13784191694396622</v>
      </c>
      <c r="M44" s="229">
        <f t="shared" si="10"/>
        <v>0.14043855972294852</v>
      </c>
      <c r="N44" s="229">
        <f t="shared" si="10"/>
        <v>0.14359060896222453</v>
      </c>
    </row>
    <row r="45" spans="2:14" x14ac:dyDescent="0.2">
      <c r="C45" s="9" t="s">
        <v>72</v>
      </c>
      <c r="D45" s="13" t="s">
        <v>4</v>
      </c>
      <c r="E45" s="13" t="s">
        <v>24</v>
      </c>
      <c r="F45" s="242">
        <f>+F30/(F34+F33+F30)</f>
        <v>0.29363827516267349</v>
      </c>
      <c r="G45" s="71"/>
      <c r="H45" s="229">
        <f t="shared" ref="H45:N45" si="11">+H30/(H33+H34+H30)</f>
        <v>0.24061024975719036</v>
      </c>
      <c r="I45" s="227">
        <f t="shared" si="11"/>
        <v>0.27046288682529268</v>
      </c>
      <c r="J45" s="229">
        <f t="shared" si="11"/>
        <v>0.28502428927470114</v>
      </c>
      <c r="K45" s="229">
        <f t="shared" si="11"/>
        <v>0.29935014125132292</v>
      </c>
      <c r="L45" s="229">
        <f t="shared" si="11"/>
        <v>0.29935013939424782</v>
      </c>
      <c r="M45" s="229">
        <f t="shared" si="11"/>
        <v>0.29935008421922688</v>
      </c>
      <c r="N45" s="229">
        <f t="shared" si="11"/>
        <v>0.29935011403655559</v>
      </c>
    </row>
    <row r="46" spans="2:14" x14ac:dyDescent="0.2">
      <c r="C46" s="9" t="s">
        <v>73</v>
      </c>
      <c r="D46" s="13" t="s">
        <v>4</v>
      </c>
      <c r="E46" s="13" t="s">
        <v>24</v>
      </c>
      <c r="F46" s="242">
        <f>+F30/(F37+F34+F36+F30+F31+F32+F33)</f>
        <v>9.2946343181889476E-2</v>
      </c>
      <c r="G46" s="71"/>
      <c r="H46" s="229">
        <f t="shared" ref="H46:N46" si="12">+H30/(H37+H34+H36+H30+H31+H32+H33)</f>
        <v>6.0254773327893363E-2</v>
      </c>
      <c r="I46" s="227">
        <f t="shared" si="12"/>
        <v>7.2758362013237571E-2</v>
      </c>
      <c r="J46" s="229">
        <f t="shared" si="12"/>
        <v>8.4223039306448325E-2</v>
      </c>
      <c r="K46" s="229">
        <f t="shared" si="12"/>
        <v>9.3501517203682202E-2</v>
      </c>
      <c r="L46" s="229">
        <f t="shared" si="12"/>
        <v>9.8082108919489472E-2</v>
      </c>
      <c r="M46" s="229">
        <f t="shared" si="12"/>
        <v>0.10063370038094269</v>
      </c>
      <c r="N46" s="229">
        <f t="shared" si="12"/>
        <v>0.10377627511342306</v>
      </c>
    </row>
    <row r="47" spans="2:14" x14ac:dyDescent="0.2">
      <c r="F47" s="242"/>
      <c r="G47" s="71"/>
      <c r="H47" s="71"/>
      <c r="I47" s="71"/>
      <c r="J47" s="71"/>
      <c r="K47" s="71"/>
      <c r="L47" s="71"/>
      <c r="M47" s="71"/>
      <c r="N47" s="71"/>
    </row>
    <row r="48" spans="2:14" x14ac:dyDescent="0.2">
      <c r="C48" s="3" t="s">
        <v>74</v>
      </c>
      <c r="F48" s="242"/>
      <c r="G48" s="71"/>
      <c r="H48" s="71"/>
      <c r="I48" s="71"/>
      <c r="J48" s="71"/>
      <c r="K48" s="71"/>
      <c r="L48" s="71"/>
      <c r="M48" s="71"/>
      <c r="N48" s="71"/>
    </row>
    <row r="49" spans="2:14" x14ac:dyDescent="0.2">
      <c r="C49" s="9" t="s">
        <v>75</v>
      </c>
      <c r="D49" s="13" t="s">
        <v>4</v>
      </c>
      <c r="E49" s="13" t="s">
        <v>24</v>
      </c>
      <c r="F49" s="242">
        <f>+F31/(F34+F36+F30+F32+F33+F31)</f>
        <v>4.8345392396790587E-2</v>
      </c>
      <c r="G49" s="71"/>
      <c r="H49" s="229">
        <f t="shared" ref="H49:N49" si="13">+H31/(H31+H30+H32+H33+H34+H36)</f>
        <v>5.4821396127162809E-2</v>
      </c>
      <c r="I49" s="227">
        <f t="shared" si="13"/>
        <v>5.2917011274192502E-2</v>
      </c>
      <c r="J49" s="229">
        <f t="shared" si="13"/>
        <v>5.032125036291888E-2</v>
      </c>
      <c r="K49" s="229">
        <f t="shared" si="13"/>
        <v>4.8720788542535823E-2</v>
      </c>
      <c r="L49" s="229">
        <f t="shared" si="13"/>
        <v>4.7322632642892812E-2</v>
      </c>
      <c r="M49" s="229">
        <f t="shared" si="13"/>
        <v>4.6561782114959274E-2</v>
      </c>
      <c r="N49" s="229">
        <f t="shared" si="13"/>
        <v>4.5638213143290252E-2</v>
      </c>
    </row>
    <row r="50" spans="2:14" x14ac:dyDescent="0.2">
      <c r="C50" s="9" t="s">
        <v>76</v>
      </c>
      <c r="D50" s="13" t="s">
        <v>4</v>
      </c>
      <c r="E50" s="13" t="s">
        <v>24</v>
      </c>
      <c r="F50" s="242">
        <f>+F31/(F36+F32+F31)</f>
        <v>8.7710912834121926E-2</v>
      </c>
      <c r="G50" s="71"/>
      <c r="H50" s="229">
        <f t="shared" ref="H50:N50" si="14">+H31/(H36+H32+H31)</f>
        <v>8.7710842662925698E-2</v>
      </c>
      <c r="I50" s="227">
        <f t="shared" si="14"/>
        <v>8.771089879263072E-2</v>
      </c>
      <c r="J50" s="229">
        <f t="shared" si="14"/>
        <v>8.7710928432975427E-2</v>
      </c>
      <c r="K50" s="229">
        <f t="shared" si="14"/>
        <v>8.7710930137653256E-2</v>
      </c>
      <c r="L50" s="229">
        <f t="shared" si="14"/>
        <v>8.7710931760849459E-2</v>
      </c>
      <c r="M50" s="229">
        <f t="shared" si="14"/>
        <v>8.7710903546437125E-2</v>
      </c>
      <c r="N50" s="229">
        <f t="shared" si="14"/>
        <v>8.7710886743951347E-2</v>
      </c>
    </row>
    <row r="51" spans="2:14" x14ac:dyDescent="0.2">
      <c r="C51" s="9" t="s">
        <v>77</v>
      </c>
      <c r="D51" s="13" t="s">
        <v>4</v>
      </c>
      <c r="E51" s="13" t="s">
        <v>24</v>
      </c>
      <c r="F51" s="242">
        <f>+F31/(F37+F36+F33+F32+F31)</f>
        <v>4.5866973473197258E-2</v>
      </c>
      <c r="G51" s="71"/>
      <c r="H51" s="229">
        <f t="shared" ref="H51:N51" si="15">+H31/(H37+H36+H33+H32+H31)</f>
        <v>4.58669350952478E-2</v>
      </c>
      <c r="I51" s="227">
        <f t="shared" si="15"/>
        <v>4.5866965793640906E-2</v>
      </c>
      <c r="J51" s="229">
        <f t="shared" si="15"/>
        <v>4.586698200450455E-2</v>
      </c>
      <c r="K51" s="229">
        <f t="shared" si="15"/>
        <v>4.5866982936825028E-2</v>
      </c>
      <c r="L51" s="229">
        <f t="shared" si="15"/>
        <v>4.5866983824581667E-2</v>
      </c>
      <c r="M51" s="229">
        <f t="shared" si="15"/>
        <v>4.5866968393587268E-2</v>
      </c>
      <c r="N51" s="229">
        <f t="shared" si="15"/>
        <v>4.5866959203991024E-2</v>
      </c>
    </row>
    <row r="52" spans="2:14" x14ac:dyDescent="0.2">
      <c r="C52" s="9" t="s">
        <v>78</v>
      </c>
      <c r="D52" s="13" t="s">
        <v>4</v>
      </c>
      <c r="E52" s="13" t="s">
        <v>24</v>
      </c>
      <c r="F52" s="242">
        <f>+F31/(F37+F34+F36+F30+F31+F33+F32)</f>
        <v>3.4096701412333015E-2</v>
      </c>
      <c r="G52" s="71"/>
      <c r="H52" s="229">
        <f t="shared" ref="H52:N52" si="16">+H31/(H37+H34+H36+H30+H31+H33+H32)</f>
        <v>3.6612058089184184E-2</v>
      </c>
      <c r="I52" s="227">
        <f t="shared" si="16"/>
        <v>3.5885677329733051E-2</v>
      </c>
      <c r="J52" s="229">
        <f t="shared" si="16"/>
        <v>3.4882085647939147E-2</v>
      </c>
      <c r="K52" s="229">
        <f t="shared" si="16"/>
        <v>3.4233586727423992E-2</v>
      </c>
      <c r="L52" s="229">
        <f t="shared" si="16"/>
        <v>3.3672657143356516E-2</v>
      </c>
      <c r="M52" s="229">
        <f t="shared" si="16"/>
        <v>3.3364657397535802E-2</v>
      </c>
      <c r="N52" s="229">
        <f t="shared" si="16"/>
        <v>3.2983798850585749E-2</v>
      </c>
    </row>
    <row r="53" spans="2:14" x14ac:dyDescent="0.2">
      <c r="C53" s="9" t="s">
        <v>197</v>
      </c>
      <c r="D53" s="13" t="s">
        <v>4</v>
      </c>
      <c r="E53" s="13" t="s">
        <v>24</v>
      </c>
      <c r="F53" s="242">
        <f>+F31/(F31+F37)</f>
        <v>0.10369296507901665</v>
      </c>
      <c r="G53" s="71"/>
      <c r="H53" s="229">
        <f t="shared" ref="H53:N53" si="17">+H31/(H31+H37)</f>
        <v>9.9281670646116413E-2</v>
      </c>
      <c r="I53" s="227">
        <f t="shared" si="17"/>
        <v>0.1003134191868342</v>
      </c>
      <c r="J53" s="229">
        <f t="shared" si="17"/>
        <v>0.10208570935232736</v>
      </c>
      <c r="K53" s="229">
        <f t="shared" si="17"/>
        <v>0.10324222441518945</v>
      </c>
      <c r="L53" s="229">
        <f t="shared" si="17"/>
        <v>0.10453528146931816</v>
      </c>
      <c r="M53" s="229">
        <f t="shared" si="17"/>
        <v>0.10531865950015484</v>
      </c>
      <c r="N53" s="229">
        <f t="shared" si="17"/>
        <v>0.10631000811998098</v>
      </c>
    </row>
    <row r="54" spans="2:14" x14ac:dyDescent="0.2">
      <c r="C54" s="9" t="s">
        <v>198</v>
      </c>
      <c r="D54" s="13" t="s">
        <v>4</v>
      </c>
      <c r="E54" s="13" t="s">
        <v>24</v>
      </c>
      <c r="F54" s="242">
        <f>+F31/(F31+F33)</f>
        <v>0.36268229840498323</v>
      </c>
      <c r="G54" s="71"/>
      <c r="H54" s="229">
        <f t="shared" ref="H54:N54" si="18">+H31/(H31+H33)</f>
        <v>0.42941559934300322</v>
      </c>
      <c r="I54" s="227">
        <f t="shared" si="18"/>
        <v>0.41112746218088153</v>
      </c>
      <c r="J54" s="229">
        <f t="shared" si="18"/>
        <v>0.38381859569059923</v>
      </c>
      <c r="K54" s="229">
        <f t="shared" si="18"/>
        <v>0.36830673878544062</v>
      </c>
      <c r="L54" s="229">
        <f t="shared" si="18"/>
        <v>0.35274125587792582</v>
      </c>
      <c r="M54" s="229">
        <f t="shared" si="18"/>
        <v>0.3441040824888611</v>
      </c>
      <c r="N54" s="229">
        <f t="shared" si="18"/>
        <v>0.33392982601295029</v>
      </c>
    </row>
    <row r="55" spans="2:14" x14ac:dyDescent="0.2">
      <c r="C55" s="9"/>
      <c r="F55" s="29"/>
    </row>
    <row r="56" spans="2:14" x14ac:dyDescent="0.2">
      <c r="B56" s="4" t="s">
        <v>139</v>
      </c>
      <c r="C56" s="59"/>
      <c r="D56" s="60"/>
      <c r="E56" s="60"/>
      <c r="F56" s="59"/>
      <c r="H56" s="59"/>
      <c r="I56" s="59"/>
      <c r="J56" s="59"/>
      <c r="K56" s="59"/>
      <c r="L56" s="59"/>
      <c r="M56" s="59"/>
      <c r="N56" s="59"/>
    </row>
    <row r="57" spans="2:14" x14ac:dyDescent="0.2">
      <c r="B57" s="3"/>
    </row>
    <row r="58" spans="2:14" x14ac:dyDescent="0.2">
      <c r="B58" s="6" t="s">
        <v>183</v>
      </c>
      <c r="C58" s="61"/>
      <c r="D58" s="62"/>
      <c r="E58" s="62"/>
      <c r="F58" s="61"/>
      <c r="H58" s="61"/>
      <c r="I58" s="61"/>
      <c r="J58" s="61"/>
      <c r="K58" s="61"/>
      <c r="L58" s="61"/>
      <c r="M58" s="61"/>
      <c r="N58" s="61"/>
    </row>
    <row r="59" spans="2:14" x14ac:dyDescent="0.2">
      <c r="B59" s="3"/>
    </row>
    <row r="60" spans="2:14" x14ac:dyDescent="0.2">
      <c r="B60" s="3" t="s">
        <v>105</v>
      </c>
      <c r="F60" s="16"/>
    </row>
    <row r="61" spans="2:14" x14ac:dyDescent="0.2">
      <c r="B61" s="3"/>
      <c r="C61" s="58"/>
      <c r="F61" s="17"/>
    </row>
    <row r="62" spans="2:14" x14ac:dyDescent="0.2">
      <c r="B62" s="3"/>
      <c r="C62" s="58" t="s">
        <v>522</v>
      </c>
      <c r="D62" s="13" t="s">
        <v>16</v>
      </c>
      <c r="E62" s="13" t="s">
        <v>14</v>
      </c>
      <c r="F62" s="17">
        <v>265000</v>
      </c>
    </row>
    <row r="63" spans="2:14" x14ac:dyDescent="0.2">
      <c r="B63" s="3"/>
      <c r="C63" s="58" t="s">
        <v>523</v>
      </c>
      <c r="D63" s="13" t="s">
        <v>16</v>
      </c>
      <c r="E63" s="13" t="s">
        <v>14</v>
      </c>
      <c r="F63" s="17">
        <v>8346.0100000000093</v>
      </c>
    </row>
    <row r="64" spans="2:14" x14ac:dyDescent="0.2">
      <c r="B64" s="3"/>
      <c r="C64" s="56" t="s">
        <v>524</v>
      </c>
      <c r="D64" s="57" t="s">
        <v>16</v>
      </c>
      <c r="E64" s="57" t="s">
        <v>14</v>
      </c>
      <c r="F64" s="34">
        <f>F62-F63</f>
        <v>256653.99</v>
      </c>
    </row>
    <row r="65" spans="1:14" x14ac:dyDescent="0.2">
      <c r="B65" s="3"/>
      <c r="C65" s="43"/>
      <c r="D65" s="52"/>
      <c r="E65" s="52"/>
      <c r="F65" s="20"/>
    </row>
    <row r="66" spans="1:14" x14ac:dyDescent="0.2">
      <c r="A66" s="82"/>
      <c r="B66" s="79" t="s">
        <v>516</v>
      </c>
      <c r="C66" s="87"/>
      <c r="D66" s="88"/>
      <c r="E66" s="88"/>
      <c r="F66" s="87"/>
      <c r="G66" s="82"/>
      <c r="H66" s="87"/>
      <c r="I66" s="87"/>
      <c r="J66" s="87"/>
      <c r="K66" s="87"/>
      <c r="L66" s="87"/>
      <c r="M66" s="87"/>
      <c r="N66" s="87"/>
    </row>
    <row r="67" spans="1:14" x14ac:dyDescent="0.2">
      <c r="A67" s="82"/>
      <c r="B67" s="43"/>
      <c r="C67" s="104"/>
      <c r="D67" s="105"/>
      <c r="E67" s="105"/>
      <c r="F67" s="104"/>
      <c r="G67" s="82"/>
      <c r="H67" s="104"/>
      <c r="I67" s="104"/>
      <c r="J67" s="104"/>
      <c r="K67" s="104"/>
      <c r="L67" s="104"/>
      <c r="M67" s="104"/>
      <c r="N67" s="104"/>
    </row>
    <row r="68" spans="1:14" x14ac:dyDescent="0.2">
      <c r="A68" s="82"/>
      <c r="B68" s="43" t="s">
        <v>88</v>
      </c>
      <c r="C68" s="104"/>
      <c r="D68" s="105"/>
      <c r="E68" s="105"/>
      <c r="F68" s="104"/>
      <c r="G68" s="82"/>
      <c r="H68" s="104"/>
      <c r="I68" s="104"/>
      <c r="J68" s="104"/>
      <c r="K68" s="104"/>
      <c r="L68" s="104"/>
      <c r="M68" s="104"/>
      <c r="N68" s="104"/>
    </row>
    <row r="69" spans="1:14" x14ac:dyDescent="0.2">
      <c r="A69" s="82"/>
      <c r="B69" s="43"/>
      <c r="C69" s="39" t="s">
        <v>175</v>
      </c>
      <c r="D69" s="40" t="s">
        <v>61</v>
      </c>
      <c r="E69" s="40" t="s">
        <v>14</v>
      </c>
      <c r="F69" s="17">
        <v>891483687.67999876</v>
      </c>
      <c r="G69" s="82"/>
      <c r="H69" s="104"/>
      <c r="I69" s="104"/>
      <c r="J69" s="104"/>
      <c r="K69" s="104"/>
      <c r="L69" s="104"/>
      <c r="M69" s="104"/>
      <c r="N69" s="104"/>
    </row>
    <row r="70" spans="1:14" x14ac:dyDescent="0.2">
      <c r="A70" s="82"/>
      <c r="B70" s="43"/>
      <c r="C70" s="39" t="s">
        <v>176</v>
      </c>
      <c r="D70" s="40" t="s">
        <v>61</v>
      </c>
      <c r="E70" s="40" t="s">
        <v>14</v>
      </c>
      <c r="F70" s="17">
        <v>194384196.67999998</v>
      </c>
      <c r="G70" s="82"/>
      <c r="H70" s="104"/>
      <c r="I70" s="104"/>
      <c r="J70" s="104"/>
      <c r="K70" s="104"/>
      <c r="L70" s="104"/>
      <c r="M70" s="104"/>
      <c r="N70" s="104"/>
    </row>
    <row r="71" spans="1:14" x14ac:dyDescent="0.2">
      <c r="B71" s="3"/>
      <c r="C71" s="56" t="s">
        <v>7</v>
      </c>
      <c r="D71" s="57" t="s">
        <v>61</v>
      </c>
      <c r="E71" s="57" t="s">
        <v>22</v>
      </c>
      <c r="F71" s="34">
        <f>+SUM(F69:F70)</f>
        <v>1085867884.3599987</v>
      </c>
    </row>
    <row r="72" spans="1:14" x14ac:dyDescent="0.2">
      <c r="B72" s="3"/>
      <c r="C72" s="43"/>
      <c r="D72" s="52"/>
      <c r="E72" s="52"/>
      <c r="F72" s="20"/>
    </row>
    <row r="73" spans="1:14" x14ac:dyDescent="0.2">
      <c r="B73" s="3" t="s">
        <v>448</v>
      </c>
      <c r="C73" s="43"/>
      <c r="D73" s="52"/>
      <c r="E73" s="52"/>
      <c r="F73" s="20"/>
    </row>
    <row r="74" spans="1:14" x14ac:dyDescent="0.2">
      <c r="B74" s="3"/>
      <c r="C74" s="39" t="s">
        <v>175</v>
      </c>
      <c r="D74" s="40" t="s">
        <v>13</v>
      </c>
      <c r="E74" s="40" t="s">
        <v>22</v>
      </c>
      <c r="F74" s="29">
        <f>+F69/F71</f>
        <v>0.82098724948056789</v>
      </c>
    </row>
    <row r="75" spans="1:14" x14ac:dyDescent="0.2">
      <c r="B75" s="3"/>
      <c r="C75" s="39" t="s">
        <v>176</v>
      </c>
      <c r="D75" s="40" t="s">
        <v>13</v>
      </c>
      <c r="E75" s="40" t="s">
        <v>22</v>
      </c>
      <c r="F75" s="29">
        <f>+F70/F71</f>
        <v>0.17901275051943208</v>
      </c>
    </row>
    <row r="76" spans="1:14" x14ac:dyDescent="0.2">
      <c r="B76" s="3"/>
      <c r="C76" s="56" t="s">
        <v>7</v>
      </c>
      <c r="D76" s="57" t="s">
        <v>13</v>
      </c>
      <c r="E76" s="57" t="s">
        <v>22</v>
      </c>
      <c r="F76" s="215">
        <f>+SUM(F74:F75)</f>
        <v>1</v>
      </c>
    </row>
    <row r="77" spans="1:14" x14ac:dyDescent="0.2">
      <c r="B77" s="3"/>
      <c r="C77" s="43"/>
      <c r="D77" s="52"/>
      <c r="E77" s="52"/>
      <c r="F77" s="20"/>
    </row>
    <row r="78" spans="1:14" x14ac:dyDescent="0.2">
      <c r="A78" s="82"/>
      <c r="B78" s="79" t="s">
        <v>506</v>
      </c>
      <c r="C78" s="87"/>
      <c r="D78" s="88"/>
      <c r="E78" s="88"/>
      <c r="F78" s="87"/>
      <c r="G78" s="82"/>
      <c r="H78" s="87"/>
      <c r="I78" s="87"/>
      <c r="J78" s="87"/>
      <c r="K78" s="87"/>
      <c r="L78" s="87"/>
      <c r="M78" s="87"/>
      <c r="N78" s="87"/>
    </row>
    <row r="79" spans="1:14" x14ac:dyDescent="0.2">
      <c r="B79" s="3"/>
      <c r="F79" s="16"/>
    </row>
    <row r="80" spans="1:14" x14ac:dyDescent="0.2">
      <c r="B80" s="3" t="s">
        <v>503</v>
      </c>
      <c r="F80" s="16"/>
    </row>
    <row r="81" spans="1:14" x14ac:dyDescent="0.2">
      <c r="B81" s="3"/>
      <c r="F81" s="16"/>
    </row>
    <row r="82" spans="1:14" x14ac:dyDescent="0.2">
      <c r="B82" s="3"/>
      <c r="C82" s="1" t="s">
        <v>103</v>
      </c>
      <c r="D82" s="13" t="s">
        <v>61</v>
      </c>
      <c r="E82" s="13" t="s">
        <v>14</v>
      </c>
      <c r="F82" s="17">
        <v>285232634.15206164</v>
      </c>
    </row>
    <row r="83" spans="1:14" x14ac:dyDescent="0.2">
      <c r="B83" s="3"/>
      <c r="C83" s="1" t="s">
        <v>104</v>
      </c>
      <c r="D83" s="13" t="s">
        <v>61</v>
      </c>
      <c r="E83" s="13" t="s">
        <v>14</v>
      </c>
      <c r="F83" s="17">
        <v>151168902.07981539</v>
      </c>
    </row>
    <row r="84" spans="1:14" x14ac:dyDescent="0.2">
      <c r="B84" s="3"/>
      <c r="C84" s="1" t="s">
        <v>8</v>
      </c>
      <c r="D84" s="13" t="s">
        <v>61</v>
      </c>
      <c r="E84" s="13" t="s">
        <v>14</v>
      </c>
      <c r="F84" s="17">
        <v>77109746.988864839</v>
      </c>
    </row>
    <row r="85" spans="1:14" x14ac:dyDescent="0.2">
      <c r="B85" s="3"/>
      <c r="C85" s="1" t="s">
        <v>9</v>
      </c>
      <c r="D85" s="13" t="s">
        <v>61</v>
      </c>
      <c r="E85" s="13" t="s">
        <v>14</v>
      </c>
      <c r="F85" s="17">
        <v>53653099.887594394</v>
      </c>
    </row>
    <row r="86" spans="1:14" x14ac:dyDescent="0.2">
      <c r="B86" s="3"/>
      <c r="C86" s="1" t="s">
        <v>504</v>
      </c>
      <c r="D86" s="13" t="s">
        <v>61</v>
      </c>
      <c r="E86" s="13" t="s">
        <v>14</v>
      </c>
      <c r="F86" s="17">
        <v>4362737.8723125961</v>
      </c>
    </row>
    <row r="87" spans="1:14" x14ac:dyDescent="0.2">
      <c r="B87" s="3"/>
      <c r="C87" s="1" t="s">
        <v>505</v>
      </c>
      <c r="D87" s="13" t="s">
        <v>61</v>
      </c>
      <c r="E87" s="13" t="s">
        <v>14</v>
      </c>
      <c r="F87" s="17">
        <v>70855617.10872975</v>
      </c>
    </row>
    <row r="88" spans="1:14" x14ac:dyDescent="0.2">
      <c r="B88" s="3"/>
      <c r="C88" s="23" t="s">
        <v>506</v>
      </c>
      <c r="D88" s="25" t="s">
        <v>61</v>
      </c>
      <c r="E88" s="25" t="s">
        <v>14</v>
      </c>
      <c r="F88" s="36">
        <f>+SUM(F82:F87)</f>
        <v>642382738.08937848</v>
      </c>
    </row>
    <row r="89" spans="1:14" x14ac:dyDescent="0.2">
      <c r="B89" s="3"/>
      <c r="F89" s="16"/>
    </row>
    <row r="90" spans="1:14" x14ac:dyDescent="0.2">
      <c r="A90" s="82"/>
      <c r="B90" s="79" t="s">
        <v>517</v>
      </c>
      <c r="C90" s="87"/>
      <c r="D90" s="88"/>
      <c r="E90" s="88"/>
      <c r="F90" s="87"/>
      <c r="G90" s="82"/>
      <c r="H90" s="87"/>
      <c r="I90" s="87"/>
      <c r="J90" s="87"/>
      <c r="K90" s="87"/>
      <c r="L90" s="87"/>
      <c r="M90" s="87"/>
      <c r="N90" s="87"/>
    </row>
    <row r="91" spans="1:14" x14ac:dyDescent="0.2">
      <c r="B91" s="3"/>
      <c r="F91" s="16"/>
    </row>
    <row r="92" spans="1:14" x14ac:dyDescent="0.2">
      <c r="B92" s="32" t="s">
        <v>5</v>
      </c>
      <c r="F92" s="16"/>
    </row>
    <row r="93" spans="1:14" x14ac:dyDescent="0.2">
      <c r="B93" s="3"/>
      <c r="F93" s="16"/>
    </row>
    <row r="94" spans="1:14" x14ac:dyDescent="0.2">
      <c r="B94" s="3" t="s">
        <v>157</v>
      </c>
      <c r="F94" s="16"/>
    </row>
    <row r="95" spans="1:14" x14ac:dyDescent="0.2">
      <c r="B95" s="3"/>
      <c r="F95" s="16"/>
    </row>
    <row r="96" spans="1:14" x14ac:dyDescent="0.2">
      <c r="B96" s="3"/>
      <c r="C96" s="1" t="s">
        <v>506</v>
      </c>
      <c r="D96" s="13" t="s">
        <v>61</v>
      </c>
      <c r="E96" s="13" t="s">
        <v>14</v>
      </c>
      <c r="F96" s="16">
        <f>+F88</f>
        <v>642382738.08937848</v>
      </c>
    </row>
    <row r="97" spans="2:6" x14ac:dyDescent="0.2">
      <c r="B97" s="3"/>
      <c r="C97" s="1" t="s">
        <v>507</v>
      </c>
      <c r="D97" s="13" t="s">
        <v>61</v>
      </c>
      <c r="E97" s="13" t="s">
        <v>14</v>
      </c>
      <c r="F97" s="17">
        <v>1247850.18815515</v>
      </c>
    </row>
    <row r="98" spans="2:6" x14ac:dyDescent="0.2">
      <c r="B98" s="3"/>
      <c r="C98" s="1" t="s">
        <v>507</v>
      </c>
      <c r="D98" s="13" t="s">
        <v>61</v>
      </c>
      <c r="E98" s="13" t="s">
        <v>14</v>
      </c>
      <c r="F98" s="17">
        <v>151250.52558199901</v>
      </c>
    </row>
    <row r="99" spans="2:6" x14ac:dyDescent="0.2">
      <c r="B99" s="3"/>
      <c r="C99" s="1" t="s">
        <v>508</v>
      </c>
      <c r="D99" s="13" t="s">
        <v>61</v>
      </c>
      <c r="E99" s="13" t="s">
        <v>14</v>
      </c>
      <c r="F99" s="17">
        <v>7714492.5686160699</v>
      </c>
    </row>
    <row r="100" spans="2:6" x14ac:dyDescent="0.2">
      <c r="C100" s="23" t="s">
        <v>199</v>
      </c>
      <c r="D100" s="25" t="s">
        <v>61</v>
      </c>
      <c r="E100" s="25" t="s">
        <v>14</v>
      </c>
      <c r="F100" s="36">
        <f>+F96-SUM(F97:F99)</f>
        <v>633269144.80702531</v>
      </c>
    </row>
    <row r="101" spans="2:6" x14ac:dyDescent="0.2">
      <c r="F101" s="17"/>
    </row>
    <row r="102" spans="2:6" x14ac:dyDescent="0.2">
      <c r="B102" s="3" t="s">
        <v>116</v>
      </c>
      <c r="F102" s="17"/>
    </row>
    <row r="103" spans="2:6" x14ac:dyDescent="0.2">
      <c r="F103" s="17"/>
    </row>
    <row r="104" spans="2:6" x14ac:dyDescent="0.2">
      <c r="C104" s="1" t="s">
        <v>506</v>
      </c>
      <c r="D104" s="13" t="s">
        <v>61</v>
      </c>
      <c r="E104" s="13" t="s">
        <v>14</v>
      </c>
      <c r="F104" s="16">
        <f>+F88</f>
        <v>642382738.08937848</v>
      </c>
    </row>
    <row r="105" spans="2:6" x14ac:dyDescent="0.2">
      <c r="C105" s="1" t="s">
        <v>507</v>
      </c>
      <c r="D105" s="13" t="s">
        <v>61</v>
      </c>
      <c r="E105" s="13" t="s">
        <v>14</v>
      </c>
      <c r="F105" s="17">
        <v>1247850.18815515</v>
      </c>
    </row>
    <row r="106" spans="2:6" x14ac:dyDescent="0.2">
      <c r="C106" s="1" t="s">
        <v>507</v>
      </c>
      <c r="D106" s="13" t="s">
        <v>61</v>
      </c>
      <c r="E106" s="13" t="s">
        <v>14</v>
      </c>
      <c r="F106" s="17">
        <v>151250.52558199901</v>
      </c>
    </row>
    <row r="107" spans="2:6" x14ac:dyDescent="0.2">
      <c r="C107" s="1" t="s">
        <v>508</v>
      </c>
      <c r="D107" s="13" t="s">
        <v>61</v>
      </c>
      <c r="E107" s="13" t="s">
        <v>14</v>
      </c>
      <c r="F107" s="17">
        <v>7714492.5686160699</v>
      </c>
    </row>
    <row r="108" spans="2:6" x14ac:dyDescent="0.2">
      <c r="C108" s="1" t="s">
        <v>511</v>
      </c>
      <c r="D108" s="13" t="s">
        <v>61</v>
      </c>
      <c r="E108" s="13" t="s">
        <v>14</v>
      </c>
      <c r="F108" s="17">
        <v>4264717.4901850503</v>
      </c>
    </row>
    <row r="109" spans="2:6" x14ac:dyDescent="0.2">
      <c r="C109" s="1" t="s">
        <v>512</v>
      </c>
      <c r="D109" s="13" t="s">
        <v>61</v>
      </c>
      <c r="E109" s="13" t="s">
        <v>14</v>
      </c>
      <c r="F109" s="17">
        <v>1550844.48602901</v>
      </c>
    </row>
    <row r="110" spans="2:6" x14ac:dyDescent="0.2">
      <c r="C110" s="1" t="s">
        <v>513</v>
      </c>
      <c r="D110" s="13" t="s">
        <v>61</v>
      </c>
      <c r="E110" s="13" t="s">
        <v>14</v>
      </c>
      <c r="F110" s="17">
        <v>1288897.3181757501</v>
      </c>
    </row>
    <row r="111" spans="2:6" ht="14.25" x14ac:dyDescent="0.2">
      <c r="C111" s="248" t="s">
        <v>514</v>
      </c>
      <c r="D111" s="13" t="s">
        <v>61</v>
      </c>
      <c r="E111" s="13" t="s">
        <v>14</v>
      </c>
      <c r="F111" s="17">
        <v>1407139.35424215</v>
      </c>
    </row>
    <row r="112" spans="2:6" x14ac:dyDescent="0.2">
      <c r="C112" s="1" t="s">
        <v>509</v>
      </c>
      <c r="D112" s="13" t="s">
        <v>61</v>
      </c>
      <c r="E112" s="13" t="s">
        <v>14</v>
      </c>
      <c r="F112" s="17">
        <v>321543.57918416598</v>
      </c>
    </row>
    <row r="113" spans="2:6" x14ac:dyDescent="0.2">
      <c r="C113" s="1" t="s">
        <v>510</v>
      </c>
      <c r="D113" s="13" t="s">
        <v>61</v>
      </c>
      <c r="E113" s="13" t="s">
        <v>14</v>
      </c>
      <c r="F113" s="17">
        <v>250763.83140281</v>
      </c>
    </row>
    <row r="114" spans="2:6" x14ac:dyDescent="0.2">
      <c r="C114" s="23" t="s">
        <v>200</v>
      </c>
      <c r="D114" s="25" t="s">
        <v>61</v>
      </c>
      <c r="E114" s="25" t="s">
        <v>14</v>
      </c>
      <c r="F114" s="36">
        <f>+F104-SUM(F105:F113)</f>
        <v>624185238.74780631</v>
      </c>
    </row>
    <row r="115" spans="2:6" x14ac:dyDescent="0.2">
      <c r="F115" s="17"/>
    </row>
    <row r="116" spans="2:6" x14ac:dyDescent="0.2">
      <c r="B116" s="32" t="s">
        <v>6</v>
      </c>
      <c r="F116" s="17"/>
    </row>
    <row r="117" spans="2:6" x14ac:dyDescent="0.2">
      <c r="B117" s="3"/>
      <c r="F117" s="17"/>
    </row>
    <row r="118" spans="2:6" x14ac:dyDescent="0.2">
      <c r="B118" s="3" t="s">
        <v>157</v>
      </c>
      <c r="F118" s="17"/>
    </row>
    <row r="119" spans="2:6" x14ac:dyDescent="0.2">
      <c r="B119" s="3"/>
      <c r="F119" s="17"/>
    </row>
    <row r="120" spans="2:6" x14ac:dyDescent="0.2">
      <c r="B120" s="3"/>
      <c r="C120" s="1" t="s">
        <v>506</v>
      </c>
      <c r="D120" s="13" t="s">
        <v>61</v>
      </c>
      <c r="E120" s="13" t="s">
        <v>14</v>
      </c>
      <c r="F120" s="16">
        <f>+F88</f>
        <v>642382738.08937848</v>
      </c>
    </row>
    <row r="121" spans="2:6" x14ac:dyDescent="0.2">
      <c r="B121" s="3"/>
      <c r="C121" s="1" t="s">
        <v>507</v>
      </c>
      <c r="D121" s="13" t="s">
        <v>61</v>
      </c>
      <c r="E121" s="13" t="s">
        <v>14</v>
      </c>
      <c r="F121" s="17">
        <v>1247850.18815515</v>
      </c>
    </row>
    <row r="122" spans="2:6" x14ac:dyDescent="0.2">
      <c r="B122" s="3"/>
      <c r="C122" s="1" t="s">
        <v>507</v>
      </c>
      <c r="D122" s="13" t="s">
        <v>61</v>
      </c>
      <c r="E122" s="13" t="s">
        <v>14</v>
      </c>
      <c r="F122" s="17">
        <v>151250.52558199901</v>
      </c>
    </row>
    <row r="123" spans="2:6" x14ac:dyDescent="0.2">
      <c r="C123" s="23" t="s">
        <v>199</v>
      </c>
      <c r="D123" s="25" t="s">
        <v>61</v>
      </c>
      <c r="E123" s="25" t="s">
        <v>14</v>
      </c>
      <c r="F123" s="36">
        <f>+F120-SUM(F121:F122)</f>
        <v>640983637.37564135</v>
      </c>
    </row>
    <row r="124" spans="2:6" x14ac:dyDescent="0.2">
      <c r="F124" s="17"/>
    </row>
    <row r="125" spans="2:6" x14ac:dyDescent="0.2">
      <c r="B125" s="3" t="s">
        <v>116</v>
      </c>
      <c r="F125" s="17"/>
    </row>
    <row r="126" spans="2:6" x14ac:dyDescent="0.2">
      <c r="F126" s="17"/>
    </row>
    <row r="127" spans="2:6" x14ac:dyDescent="0.2">
      <c r="C127" s="1" t="s">
        <v>506</v>
      </c>
      <c r="D127" s="13" t="s">
        <v>61</v>
      </c>
      <c r="E127" s="13" t="s">
        <v>14</v>
      </c>
      <c r="F127" s="16">
        <f>+F88</f>
        <v>642382738.08937848</v>
      </c>
    </row>
    <row r="128" spans="2:6" x14ac:dyDescent="0.2">
      <c r="C128" s="1" t="s">
        <v>507</v>
      </c>
      <c r="D128" s="13" t="s">
        <v>61</v>
      </c>
      <c r="E128" s="13" t="s">
        <v>14</v>
      </c>
      <c r="F128" s="17">
        <v>1247850.18815515</v>
      </c>
    </row>
    <row r="129" spans="1:14" x14ac:dyDescent="0.2">
      <c r="C129" s="1" t="s">
        <v>507</v>
      </c>
      <c r="D129" s="13" t="s">
        <v>61</v>
      </c>
      <c r="E129" s="13" t="s">
        <v>14</v>
      </c>
      <c r="F129" s="17">
        <v>151250.52558199901</v>
      </c>
    </row>
    <row r="130" spans="1:14" x14ac:dyDescent="0.2">
      <c r="C130" s="1" t="s">
        <v>511</v>
      </c>
      <c r="D130" s="13" t="s">
        <v>61</v>
      </c>
      <c r="E130" s="13" t="s">
        <v>14</v>
      </c>
      <c r="F130" s="17">
        <v>4264717.4901850503</v>
      </c>
    </row>
    <row r="131" spans="1:14" x14ac:dyDescent="0.2">
      <c r="C131" s="1" t="s">
        <v>512</v>
      </c>
      <c r="D131" s="13" t="s">
        <v>61</v>
      </c>
      <c r="E131" s="13" t="s">
        <v>14</v>
      </c>
      <c r="F131" s="17">
        <v>1550844.48602901</v>
      </c>
    </row>
    <row r="132" spans="1:14" x14ac:dyDescent="0.2">
      <c r="C132" s="1" t="s">
        <v>513</v>
      </c>
      <c r="D132" s="13" t="s">
        <v>61</v>
      </c>
      <c r="E132" s="13" t="s">
        <v>14</v>
      </c>
      <c r="F132" s="17">
        <v>1288897.3181757501</v>
      </c>
    </row>
    <row r="133" spans="1:14" ht="14.25" x14ac:dyDescent="0.2">
      <c r="C133" s="248" t="s">
        <v>514</v>
      </c>
      <c r="D133" s="13" t="s">
        <v>61</v>
      </c>
      <c r="E133" s="13" t="s">
        <v>14</v>
      </c>
      <c r="F133" s="17">
        <v>1407139.35424215</v>
      </c>
    </row>
    <row r="134" spans="1:14" x14ac:dyDescent="0.2">
      <c r="C134" s="1" t="s">
        <v>509</v>
      </c>
      <c r="D134" s="13" t="s">
        <v>61</v>
      </c>
      <c r="E134" s="13" t="s">
        <v>14</v>
      </c>
      <c r="F134" s="17">
        <v>321543.57918416598</v>
      </c>
    </row>
    <row r="135" spans="1:14" x14ac:dyDescent="0.2">
      <c r="C135" s="1" t="s">
        <v>510</v>
      </c>
      <c r="D135" s="13" t="s">
        <v>61</v>
      </c>
      <c r="E135" s="13" t="s">
        <v>14</v>
      </c>
      <c r="F135" s="17">
        <v>250763.83140281</v>
      </c>
    </row>
    <row r="136" spans="1:14" x14ac:dyDescent="0.2">
      <c r="C136" s="23" t="s">
        <v>200</v>
      </c>
      <c r="D136" s="25" t="s">
        <v>61</v>
      </c>
      <c r="E136" s="25" t="s">
        <v>14</v>
      </c>
      <c r="F136" s="36">
        <f>+F127-SUM(F128:F135)</f>
        <v>631899731.31642234</v>
      </c>
    </row>
    <row r="137" spans="1:14" x14ac:dyDescent="0.2">
      <c r="B137" s="3"/>
      <c r="F137" s="16"/>
    </row>
    <row r="138" spans="1:14" x14ac:dyDescent="0.2">
      <c r="A138" s="82"/>
      <c r="B138" s="79" t="s">
        <v>485</v>
      </c>
      <c r="C138" s="87"/>
      <c r="D138" s="88"/>
      <c r="E138" s="88"/>
      <c r="F138" s="87"/>
      <c r="G138" s="82"/>
      <c r="H138" s="87"/>
      <c r="I138" s="87"/>
      <c r="J138" s="87"/>
      <c r="K138" s="87"/>
      <c r="L138" s="87"/>
      <c r="M138" s="87"/>
      <c r="N138" s="87"/>
    </row>
    <row r="139" spans="1:14" x14ac:dyDescent="0.2">
      <c r="B139" s="3"/>
      <c r="F139" s="16"/>
    </row>
    <row r="140" spans="1:14" x14ac:dyDescent="0.2">
      <c r="B140" s="32" t="s">
        <v>5</v>
      </c>
      <c r="F140" s="16"/>
    </row>
    <row r="141" spans="1:14" x14ac:dyDescent="0.2">
      <c r="B141" s="3"/>
      <c r="F141" s="16"/>
    </row>
    <row r="142" spans="1:14" x14ac:dyDescent="0.2">
      <c r="C142" s="1" t="s">
        <v>199</v>
      </c>
      <c r="D142" s="13" t="s">
        <v>61</v>
      </c>
      <c r="E142" s="13" t="s">
        <v>14</v>
      </c>
      <c r="F142" s="19">
        <f>+ROUND(F100/$F$64,2)</f>
        <v>2467.4</v>
      </c>
    </row>
    <row r="143" spans="1:14" x14ac:dyDescent="0.2">
      <c r="F143" s="17"/>
    </row>
    <row r="144" spans="1:14" x14ac:dyDescent="0.2">
      <c r="C144" s="1" t="s">
        <v>200</v>
      </c>
      <c r="D144" s="13" t="s">
        <v>61</v>
      </c>
      <c r="E144" s="13" t="s">
        <v>14</v>
      </c>
      <c r="F144" s="19">
        <f>+ROUND(F114/$F$64,2)</f>
        <v>2432.0100000000002</v>
      </c>
    </row>
    <row r="145" spans="2:14" x14ac:dyDescent="0.2">
      <c r="F145" s="17"/>
    </row>
    <row r="146" spans="2:14" x14ac:dyDescent="0.2">
      <c r="B146" s="32" t="s">
        <v>6</v>
      </c>
      <c r="F146" s="17"/>
    </row>
    <row r="147" spans="2:14" x14ac:dyDescent="0.2">
      <c r="B147" s="3"/>
      <c r="F147" s="17"/>
    </row>
    <row r="148" spans="2:14" x14ac:dyDescent="0.2">
      <c r="C148" s="1" t="s">
        <v>199</v>
      </c>
      <c r="D148" s="13" t="s">
        <v>61</v>
      </c>
      <c r="E148" s="13" t="s">
        <v>14</v>
      </c>
      <c r="F148" s="19">
        <f>+ROUND(F123/$F$64,2)</f>
        <v>2497.46</v>
      </c>
    </row>
    <row r="149" spans="2:14" x14ac:dyDescent="0.2">
      <c r="F149" s="17"/>
    </row>
    <row r="150" spans="2:14" x14ac:dyDescent="0.2">
      <c r="C150" s="1" t="s">
        <v>200</v>
      </c>
      <c r="D150" s="13" t="s">
        <v>61</v>
      </c>
      <c r="E150" s="13" t="s">
        <v>14</v>
      </c>
      <c r="F150" s="19">
        <f>+ROUND(F136/$F$64,2)</f>
        <v>2462.0700000000002</v>
      </c>
    </row>
    <row r="151" spans="2:14" x14ac:dyDescent="0.2">
      <c r="F151" s="17"/>
    </row>
    <row r="152" spans="2:14" x14ac:dyDescent="0.2">
      <c r="B152" s="66" t="s">
        <v>163</v>
      </c>
      <c r="C152" s="67"/>
      <c r="D152" s="68"/>
      <c r="E152" s="68"/>
      <c r="F152" s="67"/>
      <c r="H152" s="67"/>
      <c r="I152" s="67"/>
      <c r="J152" s="67"/>
      <c r="K152" s="67"/>
      <c r="L152" s="67"/>
      <c r="M152" s="67"/>
      <c r="N152" s="67"/>
    </row>
    <row r="153" spans="2:14" x14ac:dyDescent="0.2">
      <c r="B153" s="3"/>
      <c r="F153" s="16"/>
    </row>
    <row r="154" spans="2:14" x14ac:dyDescent="0.2">
      <c r="B154" s="3" t="s">
        <v>113</v>
      </c>
      <c r="F154" s="37"/>
    </row>
    <row r="155" spans="2:14" x14ac:dyDescent="0.2">
      <c r="B155" s="3"/>
      <c r="F155" s="37"/>
    </row>
    <row r="156" spans="2:14" x14ac:dyDescent="0.2">
      <c r="B156" s="3"/>
      <c r="C156" s="9" t="s">
        <v>132</v>
      </c>
      <c r="D156" s="13" t="s">
        <v>13</v>
      </c>
      <c r="E156" s="13" t="s">
        <v>14</v>
      </c>
      <c r="F156" s="46">
        <v>0.94598317667470033</v>
      </c>
    </row>
    <row r="157" spans="2:14" x14ac:dyDescent="0.2">
      <c r="B157" s="3"/>
      <c r="C157" s="9" t="s">
        <v>133</v>
      </c>
      <c r="D157" s="13" t="s">
        <v>13</v>
      </c>
      <c r="E157" s="13" t="s">
        <v>14</v>
      </c>
      <c r="F157" s="46">
        <v>0.70980553459599194</v>
      </c>
    </row>
    <row r="158" spans="2:14" x14ac:dyDescent="0.2">
      <c r="B158" s="3"/>
      <c r="C158" s="9" t="s">
        <v>134</v>
      </c>
      <c r="D158" s="13" t="s">
        <v>13</v>
      </c>
      <c r="E158" s="13" t="s">
        <v>14</v>
      </c>
      <c r="F158" s="46">
        <v>1</v>
      </c>
    </row>
    <row r="159" spans="2:14" x14ac:dyDescent="0.2">
      <c r="B159" s="3"/>
      <c r="C159" s="9" t="s">
        <v>146</v>
      </c>
      <c r="D159" s="13" t="s">
        <v>13</v>
      </c>
      <c r="E159" s="13" t="s">
        <v>14</v>
      </c>
      <c r="F159" s="46">
        <v>0.94210000000000005</v>
      </c>
    </row>
    <row r="160" spans="2:14" x14ac:dyDescent="0.2">
      <c r="B160" s="3"/>
      <c r="C160" s="9" t="s">
        <v>201</v>
      </c>
      <c r="D160" s="13" t="s">
        <v>13</v>
      </c>
      <c r="E160" s="13" t="s">
        <v>14</v>
      </c>
      <c r="F160" s="46">
        <v>5.6500000000000002E-2</v>
      </c>
    </row>
    <row r="161" spans="2:6" x14ac:dyDescent="0.2">
      <c r="B161" s="3"/>
      <c r="C161" s="9" t="s">
        <v>166</v>
      </c>
      <c r="D161" s="13" t="s">
        <v>13</v>
      </c>
      <c r="E161" s="13" t="s">
        <v>14</v>
      </c>
      <c r="F161" s="46">
        <v>0</v>
      </c>
    </row>
    <row r="162" spans="2:6" x14ac:dyDescent="0.2">
      <c r="B162" s="3"/>
      <c r="F162" s="37"/>
    </row>
    <row r="163" spans="2:6" x14ac:dyDescent="0.2">
      <c r="B163" s="3" t="s">
        <v>158</v>
      </c>
      <c r="F163" s="37"/>
    </row>
    <row r="164" spans="2:6" x14ac:dyDescent="0.2">
      <c r="B164" s="3"/>
    </row>
    <row r="165" spans="2:6" x14ac:dyDescent="0.2">
      <c r="C165" s="18" t="s">
        <v>135</v>
      </c>
      <c r="D165" s="1"/>
      <c r="E165" s="1"/>
    </row>
    <row r="166" spans="2:6" x14ac:dyDescent="0.2">
      <c r="B166" s="3"/>
      <c r="C166" s="9" t="s">
        <v>123</v>
      </c>
      <c r="D166" s="13" t="s">
        <v>61</v>
      </c>
      <c r="E166" s="13" t="s">
        <v>14</v>
      </c>
      <c r="F166" s="17">
        <v>14938458.979007686</v>
      </c>
    </row>
    <row r="167" spans="2:6" x14ac:dyDescent="0.2">
      <c r="B167" s="3"/>
      <c r="C167" s="9" t="s">
        <v>124</v>
      </c>
      <c r="D167" s="13" t="s">
        <v>61</v>
      </c>
      <c r="E167" s="13" t="s">
        <v>14</v>
      </c>
      <c r="F167" s="17">
        <v>6595918.1606920399</v>
      </c>
    </row>
    <row r="168" spans="2:6" x14ac:dyDescent="0.2">
      <c r="B168" s="3"/>
      <c r="C168" s="9" t="s">
        <v>125</v>
      </c>
      <c r="D168" s="13" t="s">
        <v>61</v>
      </c>
      <c r="E168" s="13" t="s">
        <v>14</v>
      </c>
      <c r="F168" s="17">
        <v>336808.66084173066</v>
      </c>
    </row>
    <row r="169" spans="2:6" x14ac:dyDescent="0.2">
      <c r="B169" s="3"/>
      <c r="C169" s="9" t="s">
        <v>126</v>
      </c>
      <c r="D169" s="13" t="s">
        <v>61</v>
      </c>
      <c r="E169" s="13" t="s">
        <v>14</v>
      </c>
      <c r="F169" s="17">
        <v>16672808.586093264</v>
      </c>
    </row>
    <row r="170" spans="2:6" x14ac:dyDescent="0.2">
      <c r="B170" s="3"/>
      <c r="C170" s="9" t="s">
        <v>127</v>
      </c>
      <c r="D170" s="13" t="s">
        <v>61</v>
      </c>
      <c r="E170" s="13" t="s">
        <v>14</v>
      </c>
      <c r="F170" s="17">
        <v>464904.92620805895</v>
      </c>
    </row>
    <row r="171" spans="2:6" x14ac:dyDescent="0.2">
      <c r="B171" s="3"/>
      <c r="C171" s="9" t="s">
        <v>128</v>
      </c>
      <c r="D171" s="13" t="s">
        <v>61</v>
      </c>
      <c r="E171" s="13" t="s">
        <v>14</v>
      </c>
      <c r="F171" s="17">
        <v>9901663.150388319</v>
      </c>
    </row>
    <row r="172" spans="2:6" x14ac:dyDescent="0.2">
      <c r="B172" s="3"/>
      <c r="C172" s="9" t="s">
        <v>129</v>
      </c>
      <c r="D172" s="13" t="s">
        <v>61</v>
      </c>
      <c r="E172" s="13" t="s">
        <v>14</v>
      </c>
      <c r="F172" s="17">
        <v>2338407.3566089487</v>
      </c>
    </row>
    <row r="173" spans="2:6" x14ac:dyDescent="0.2">
      <c r="B173" s="3"/>
      <c r="C173" s="9" t="s">
        <v>130</v>
      </c>
      <c r="D173" s="13" t="s">
        <v>61</v>
      </c>
      <c r="E173" s="13" t="s">
        <v>14</v>
      </c>
      <c r="F173" s="17">
        <v>590672.41293103178</v>
      </c>
    </row>
    <row r="174" spans="2:6" x14ac:dyDescent="0.2">
      <c r="B174" s="3"/>
      <c r="C174" s="9" t="s">
        <v>131</v>
      </c>
      <c r="D174" s="13" t="s">
        <v>61</v>
      </c>
      <c r="E174" s="13" t="s">
        <v>14</v>
      </c>
      <c r="F174" s="17">
        <v>43876.600584343279</v>
      </c>
    </row>
    <row r="175" spans="2:6" x14ac:dyDescent="0.2">
      <c r="B175" s="3"/>
      <c r="C175" s="9" t="s">
        <v>201</v>
      </c>
      <c r="D175" s="13" t="s">
        <v>61</v>
      </c>
      <c r="E175" s="13" t="s">
        <v>14</v>
      </c>
      <c r="F175" s="17">
        <v>75172557.255083412</v>
      </c>
    </row>
    <row r="176" spans="2:6" s="3" customFormat="1" x14ac:dyDescent="0.2">
      <c r="C176" s="94" t="s">
        <v>7</v>
      </c>
      <c r="D176" s="25" t="s">
        <v>61</v>
      </c>
      <c r="E176" s="25" t="s">
        <v>14</v>
      </c>
      <c r="F176" s="34">
        <f>+SUM(F166:F175)</f>
        <v>127056076.08843884</v>
      </c>
    </row>
    <row r="177" spans="2:6" x14ac:dyDescent="0.2">
      <c r="B177" s="3"/>
      <c r="C177" s="9"/>
      <c r="F177" s="17"/>
    </row>
    <row r="178" spans="2:6" s="3" customFormat="1" x14ac:dyDescent="0.2">
      <c r="C178" s="18" t="s">
        <v>202</v>
      </c>
      <c r="D178" s="11"/>
      <c r="E178" s="11"/>
    </row>
    <row r="179" spans="2:6" x14ac:dyDescent="0.2">
      <c r="B179" s="3"/>
      <c r="C179" s="9" t="s">
        <v>123</v>
      </c>
      <c r="D179" s="13" t="s">
        <v>61</v>
      </c>
      <c r="E179" s="13" t="s">
        <v>14</v>
      </c>
      <c r="F179" s="19">
        <f>+F166*$F$156</f>
        <v>14131530.879586391</v>
      </c>
    </row>
    <row r="180" spans="2:6" x14ac:dyDescent="0.2">
      <c r="B180" s="3"/>
      <c r="C180" s="9" t="s">
        <v>124</v>
      </c>
      <c r="D180" s="13" t="s">
        <v>61</v>
      </c>
      <c r="E180" s="13" t="s">
        <v>14</v>
      </c>
      <c r="F180" s="19">
        <f>+$F$161*F167</f>
        <v>0</v>
      </c>
    </row>
    <row r="181" spans="2:6" x14ac:dyDescent="0.2">
      <c r="B181" s="3"/>
      <c r="C181" s="9" t="s">
        <v>125</v>
      </c>
      <c r="D181" s="13" t="s">
        <v>61</v>
      </c>
      <c r="E181" s="13" t="s">
        <v>14</v>
      </c>
      <c r="F181" s="19">
        <f>+F168*$F$161</f>
        <v>0</v>
      </c>
    </row>
    <row r="182" spans="2:6" x14ac:dyDescent="0.2">
      <c r="B182" s="3"/>
      <c r="C182" s="9" t="s">
        <v>126</v>
      </c>
      <c r="D182" s="13" t="s">
        <v>61</v>
      </c>
      <c r="E182" s="13" t="s">
        <v>14</v>
      </c>
      <c r="F182" s="19">
        <f>+$F$157*F169</f>
        <v>11834451.811668573</v>
      </c>
    </row>
    <row r="183" spans="2:6" x14ac:dyDescent="0.2">
      <c r="B183" s="3"/>
      <c r="C183" s="9" t="s">
        <v>127</v>
      </c>
      <c r="D183" s="13" t="s">
        <v>61</v>
      </c>
      <c r="E183" s="13" t="s">
        <v>14</v>
      </c>
      <c r="F183" s="19">
        <f>+F170*$F$161</f>
        <v>0</v>
      </c>
    </row>
    <row r="184" spans="2:6" x14ac:dyDescent="0.2">
      <c r="B184" s="3"/>
      <c r="C184" s="9" t="s">
        <v>128</v>
      </c>
      <c r="D184" s="13" t="s">
        <v>61</v>
      </c>
      <c r="E184" s="13" t="s">
        <v>14</v>
      </c>
      <c r="F184" s="19">
        <f>+F171*$F$161</f>
        <v>0</v>
      </c>
    </row>
    <row r="185" spans="2:6" x14ac:dyDescent="0.2">
      <c r="B185" s="3"/>
      <c r="C185" s="9" t="s">
        <v>129</v>
      </c>
      <c r="D185" s="13" t="s">
        <v>61</v>
      </c>
      <c r="E185" s="13" t="s">
        <v>14</v>
      </c>
      <c r="F185" s="19">
        <f>+F172*$F$161</f>
        <v>0</v>
      </c>
    </row>
    <row r="186" spans="2:6" x14ac:dyDescent="0.2">
      <c r="B186" s="3"/>
      <c r="C186" s="9" t="s">
        <v>130</v>
      </c>
      <c r="D186" s="13" t="s">
        <v>61</v>
      </c>
      <c r="E186" s="13" t="s">
        <v>14</v>
      </c>
      <c r="F186" s="19">
        <f>+F173*$F$158</f>
        <v>590672.41293103178</v>
      </c>
    </row>
    <row r="187" spans="2:6" x14ac:dyDescent="0.2">
      <c r="B187" s="3"/>
      <c r="C187" s="9" t="s">
        <v>131</v>
      </c>
      <c r="D187" s="13" t="s">
        <v>61</v>
      </c>
      <c r="E187" s="13" t="s">
        <v>14</v>
      </c>
      <c r="F187" s="19">
        <f>+$F$158*F174</f>
        <v>43876.600584343279</v>
      </c>
    </row>
    <row r="188" spans="2:6" x14ac:dyDescent="0.2">
      <c r="B188" s="3"/>
      <c r="C188" s="9" t="s">
        <v>201</v>
      </c>
      <c r="D188" s="13" t="s">
        <v>61</v>
      </c>
      <c r="E188" s="13" t="s">
        <v>14</v>
      </c>
      <c r="F188" s="19">
        <f>+F175*F160</f>
        <v>4247249.4849122129</v>
      </c>
    </row>
    <row r="189" spans="2:6" s="3" customFormat="1" x14ac:dyDescent="0.2">
      <c r="C189" s="94" t="s">
        <v>122</v>
      </c>
      <c r="D189" s="25" t="s">
        <v>61</v>
      </c>
      <c r="E189" s="25" t="s">
        <v>14</v>
      </c>
      <c r="F189" s="34">
        <f>+SUM(F179:F188)</f>
        <v>30847781.189682554</v>
      </c>
    </row>
    <row r="190" spans="2:6" x14ac:dyDescent="0.2">
      <c r="B190" s="3"/>
      <c r="C190" s="9"/>
      <c r="F190" s="17"/>
    </row>
    <row r="191" spans="2:6" x14ac:dyDescent="0.2">
      <c r="B191" s="3"/>
      <c r="C191" s="9"/>
      <c r="F191" s="17"/>
    </row>
    <row r="192" spans="2:6" x14ac:dyDescent="0.2">
      <c r="B192" s="3" t="s">
        <v>478</v>
      </c>
      <c r="C192" s="9"/>
      <c r="F192" s="17"/>
    </row>
    <row r="193" spans="2:6" x14ac:dyDescent="0.2">
      <c r="B193" s="3"/>
      <c r="C193" s="9"/>
      <c r="F193" s="17"/>
    </row>
    <row r="194" spans="2:6" x14ac:dyDescent="0.2">
      <c r="C194" s="1" t="s">
        <v>135</v>
      </c>
      <c r="D194" s="13" t="s">
        <v>87</v>
      </c>
      <c r="E194" s="13" t="s">
        <v>14</v>
      </c>
      <c r="F194" s="16">
        <f>+F195/F64</f>
        <v>120.19209672011161</v>
      </c>
    </row>
    <row r="195" spans="2:6" x14ac:dyDescent="0.2">
      <c r="B195" s="3"/>
      <c r="C195" s="9" t="s">
        <v>114</v>
      </c>
      <c r="D195" s="13" t="s">
        <v>61</v>
      </c>
      <c r="E195" s="13" t="s">
        <v>14</v>
      </c>
      <c r="F195" s="17">
        <v>30847781.189682554</v>
      </c>
    </row>
    <row r="196" spans="2:6" x14ac:dyDescent="0.2">
      <c r="B196" s="3"/>
      <c r="C196" s="9"/>
      <c r="F196" s="17"/>
    </row>
    <row r="197" spans="2:6" s="82" customFormat="1" x14ac:dyDescent="0.2">
      <c r="B197" s="83"/>
      <c r="C197" s="82" t="s">
        <v>106</v>
      </c>
      <c r="D197" s="84" t="s">
        <v>87</v>
      </c>
      <c r="E197" s="84" t="s">
        <v>14</v>
      </c>
      <c r="F197" s="16">
        <f>+F198*$F$156/$F$64</f>
        <v>11.799770393182504</v>
      </c>
    </row>
    <row r="198" spans="2:6" x14ac:dyDescent="0.2">
      <c r="B198" s="3"/>
      <c r="C198" s="9" t="s">
        <v>114</v>
      </c>
      <c r="D198" s="13" t="s">
        <v>61</v>
      </c>
      <c r="E198" s="13" t="s">
        <v>14</v>
      </c>
      <c r="F198" s="17">
        <v>3201386.9032425387</v>
      </c>
    </row>
    <row r="199" spans="2:6" x14ac:dyDescent="0.2">
      <c r="B199" s="3"/>
      <c r="C199" s="9"/>
      <c r="F199" s="46"/>
    </row>
    <row r="200" spans="2:6" s="82" customFormat="1" x14ac:dyDescent="0.2">
      <c r="B200" s="83"/>
      <c r="C200" s="82" t="s">
        <v>107</v>
      </c>
      <c r="D200" s="84" t="s">
        <v>87</v>
      </c>
      <c r="E200" s="84" t="s">
        <v>14</v>
      </c>
      <c r="F200" s="16">
        <f>+F201*$F$156/$F$64</f>
        <v>14.834125786111491</v>
      </c>
    </row>
    <row r="201" spans="2:6" x14ac:dyDescent="0.2">
      <c r="B201" s="3"/>
      <c r="C201" s="9" t="s">
        <v>114</v>
      </c>
      <c r="D201" s="13" t="s">
        <v>61</v>
      </c>
      <c r="E201" s="13" t="s">
        <v>14</v>
      </c>
      <c r="F201" s="47">
        <v>4024635.6013967604</v>
      </c>
    </row>
    <row r="202" spans="2:6" x14ac:dyDescent="0.2">
      <c r="B202" s="3"/>
      <c r="F202" s="37"/>
    </row>
    <row r="203" spans="2:6" s="82" customFormat="1" x14ac:dyDescent="0.2">
      <c r="B203" s="83"/>
      <c r="C203" s="82" t="s">
        <v>108</v>
      </c>
      <c r="D203" s="84" t="s">
        <v>87</v>
      </c>
      <c r="E203" s="84" t="s">
        <v>14</v>
      </c>
      <c r="F203" s="16">
        <f>+F204*$F$156/$F$64</f>
        <v>32.157253270190338</v>
      </c>
    </row>
    <row r="204" spans="2:6" x14ac:dyDescent="0.2">
      <c r="B204" s="3"/>
      <c r="C204" s="9" t="s">
        <v>114</v>
      </c>
      <c r="D204" s="13" t="s">
        <v>61</v>
      </c>
      <c r="E204" s="13" t="s">
        <v>14</v>
      </c>
      <c r="F204" s="17">
        <v>8724560.3967785928</v>
      </c>
    </row>
    <row r="205" spans="2:6" x14ac:dyDescent="0.2">
      <c r="B205" s="3"/>
      <c r="F205" s="16"/>
    </row>
    <row r="206" spans="2:6" s="82" customFormat="1" x14ac:dyDescent="0.2">
      <c r="B206" s="83"/>
      <c r="C206" s="82" t="s">
        <v>109</v>
      </c>
      <c r="D206" s="84" t="s">
        <v>87</v>
      </c>
      <c r="E206" s="84" t="s">
        <v>14</v>
      </c>
      <c r="F206" s="16">
        <f>+F207*$F$157/$F$64</f>
        <v>53.073778631888246</v>
      </c>
    </row>
    <row r="207" spans="2:6" x14ac:dyDescent="0.2">
      <c r="B207" s="3"/>
      <c r="C207" s="9" t="s">
        <v>114</v>
      </c>
      <c r="D207" s="13" t="s">
        <v>61</v>
      </c>
      <c r="E207" s="13" t="s">
        <v>14</v>
      </c>
      <c r="F207" s="17">
        <v>19190604.167385109</v>
      </c>
    </row>
    <row r="208" spans="2:6" x14ac:dyDescent="0.2">
      <c r="B208" s="3"/>
      <c r="F208" s="37"/>
    </row>
    <row r="209" spans="2:14" s="82" customFormat="1" x14ac:dyDescent="0.2">
      <c r="B209" s="83"/>
      <c r="C209" s="82" t="s">
        <v>110</v>
      </c>
      <c r="D209" s="84" t="s">
        <v>87</v>
      </c>
      <c r="E209" s="84" t="s">
        <v>14</v>
      </c>
      <c r="F209" s="16">
        <f>+F210*$F$157/$F$64</f>
        <v>54.578785557970811</v>
      </c>
    </row>
    <row r="210" spans="2:14" x14ac:dyDescent="0.2">
      <c r="B210" s="3"/>
      <c r="C210" s="9" t="s">
        <v>114</v>
      </c>
      <c r="D210" s="13" t="s">
        <v>61</v>
      </c>
      <c r="E210" s="13" t="s">
        <v>14</v>
      </c>
      <c r="F210" s="17">
        <v>19734789.882669199</v>
      </c>
    </row>
    <row r="211" spans="2:14" x14ac:dyDescent="0.2">
      <c r="B211" s="3"/>
      <c r="F211" s="37"/>
    </row>
    <row r="212" spans="2:14" s="82" customFormat="1" x14ac:dyDescent="0.2">
      <c r="B212" s="83"/>
      <c r="C212" s="82" t="s">
        <v>111</v>
      </c>
      <c r="D212" s="84" t="s">
        <v>87</v>
      </c>
      <c r="E212" s="84" t="s">
        <v>14</v>
      </c>
      <c r="F212" s="16">
        <f>+F213*$F$159/$F$64</f>
        <v>62.362961634067567</v>
      </c>
    </row>
    <row r="213" spans="2:14" x14ac:dyDescent="0.2">
      <c r="B213" s="3"/>
      <c r="C213" s="9" t="s">
        <v>114</v>
      </c>
      <c r="D213" s="13" t="s">
        <v>61</v>
      </c>
      <c r="E213" s="13" t="s">
        <v>14</v>
      </c>
      <c r="F213" s="17">
        <v>16989388.527332935</v>
      </c>
    </row>
    <row r="214" spans="2:14" x14ac:dyDescent="0.2">
      <c r="B214" s="3"/>
      <c r="F214" s="37"/>
    </row>
    <row r="215" spans="2:14" x14ac:dyDescent="0.2">
      <c r="B215" s="3"/>
      <c r="C215" s="1" t="s">
        <v>112</v>
      </c>
      <c r="D215" s="13" t="s">
        <v>87</v>
      </c>
      <c r="E215" s="13" t="s">
        <v>14</v>
      </c>
      <c r="F215" s="16">
        <f>+F216*$F$157/$F$64</f>
        <v>7.4537906640648135</v>
      </c>
    </row>
    <row r="216" spans="2:14" x14ac:dyDescent="0.2">
      <c r="B216" s="3"/>
      <c r="C216" s="49" t="s">
        <v>114</v>
      </c>
      <c r="D216" s="44" t="s">
        <v>61</v>
      </c>
      <c r="E216" s="44" t="s">
        <v>14</v>
      </c>
      <c r="F216" s="45">
        <v>2695167.9316587094</v>
      </c>
    </row>
    <row r="217" spans="2:14" x14ac:dyDescent="0.2">
      <c r="B217" s="3"/>
      <c r="C217" s="3" t="s">
        <v>7</v>
      </c>
      <c r="D217" s="11" t="s">
        <v>87</v>
      </c>
      <c r="E217" s="11" t="s">
        <v>14</v>
      </c>
      <c r="F217" s="37">
        <f>+SUM(F194,F197,F200,F203,F206,F209,F212,F215)</f>
        <v>356.45256265758735</v>
      </c>
    </row>
    <row r="218" spans="2:14" x14ac:dyDescent="0.2">
      <c r="B218" s="3"/>
      <c r="C218" s="3"/>
      <c r="F218" s="37"/>
    </row>
    <row r="219" spans="2:14" x14ac:dyDescent="0.2">
      <c r="B219" s="66" t="s">
        <v>156</v>
      </c>
      <c r="C219" s="67"/>
      <c r="D219" s="68"/>
      <c r="E219" s="68"/>
      <c r="F219" s="67"/>
      <c r="H219" s="67"/>
      <c r="I219" s="67"/>
      <c r="J219" s="67"/>
      <c r="K219" s="67"/>
      <c r="L219" s="67"/>
      <c r="M219" s="67"/>
      <c r="N219" s="67"/>
    </row>
    <row r="220" spans="2:14" x14ac:dyDescent="0.2">
      <c r="B220" s="3"/>
      <c r="C220" s="3"/>
      <c r="F220" s="37"/>
    </row>
    <row r="221" spans="2:14" x14ac:dyDescent="0.2">
      <c r="B221" s="79" t="s">
        <v>157</v>
      </c>
      <c r="C221" s="80"/>
      <c r="D221" s="81"/>
      <c r="E221" s="81"/>
      <c r="F221" s="80"/>
      <c r="H221" s="80"/>
      <c r="I221" s="80"/>
      <c r="J221" s="80"/>
      <c r="K221" s="80"/>
      <c r="L221" s="80"/>
      <c r="M221" s="80"/>
      <c r="N221" s="80"/>
    </row>
    <row r="222" spans="2:14" x14ac:dyDescent="0.2">
      <c r="B222" s="3"/>
      <c r="C222" s="3"/>
      <c r="F222" s="37"/>
    </row>
    <row r="223" spans="2:14" x14ac:dyDescent="0.2">
      <c r="B223" s="32" t="s">
        <v>5</v>
      </c>
      <c r="C223" s="9"/>
      <c r="F223" s="46"/>
    </row>
    <row r="224" spans="2:14" x14ac:dyDescent="0.2">
      <c r="B224" s="3"/>
      <c r="C224" s="9"/>
      <c r="F224" s="46"/>
    </row>
    <row r="225" spans="2:6" x14ac:dyDescent="0.2">
      <c r="B225" s="3" t="s">
        <v>113</v>
      </c>
      <c r="C225" s="9"/>
      <c r="F225" s="46"/>
    </row>
    <row r="226" spans="2:6" x14ac:dyDescent="0.2">
      <c r="B226" s="3"/>
      <c r="C226" s="9" t="s">
        <v>115</v>
      </c>
      <c r="D226" s="13" t="s">
        <v>13</v>
      </c>
      <c r="E226" s="13" t="s">
        <v>14</v>
      </c>
      <c r="F226" s="46">
        <v>0.61160000000000003</v>
      </c>
    </row>
    <row r="227" spans="2:6" x14ac:dyDescent="0.2">
      <c r="B227" s="3"/>
      <c r="C227" s="9" t="s">
        <v>116</v>
      </c>
      <c r="D227" s="13" t="s">
        <v>13</v>
      </c>
      <c r="E227" s="13" t="s">
        <v>14</v>
      </c>
      <c r="F227" s="46">
        <v>0.60319999999999996</v>
      </c>
    </row>
    <row r="228" spans="2:6" x14ac:dyDescent="0.2">
      <c r="B228" s="3"/>
      <c r="C228" s="9"/>
      <c r="F228" s="46"/>
    </row>
    <row r="229" spans="2:6" x14ac:dyDescent="0.2">
      <c r="B229" s="3" t="s">
        <v>478</v>
      </c>
      <c r="C229" s="9"/>
      <c r="F229" s="17"/>
    </row>
    <row r="230" spans="2:6" x14ac:dyDescent="0.2">
      <c r="B230" s="3"/>
      <c r="C230" s="1" t="s">
        <v>117</v>
      </c>
      <c r="D230" s="13" t="s">
        <v>87</v>
      </c>
      <c r="E230" s="13" t="s">
        <v>14</v>
      </c>
      <c r="F230" s="16">
        <f>+F232/F64</f>
        <v>7.2005499929301706</v>
      </c>
    </row>
    <row r="231" spans="2:6" x14ac:dyDescent="0.2">
      <c r="B231" s="3"/>
      <c r="C231" s="9" t="s">
        <v>184</v>
      </c>
      <c r="D231" s="13" t="s">
        <v>61</v>
      </c>
      <c r="E231" s="13" t="s">
        <v>14</v>
      </c>
      <c r="F231" s="17">
        <v>3021664.3</v>
      </c>
    </row>
    <row r="232" spans="2:6" x14ac:dyDescent="0.2">
      <c r="B232" s="3"/>
      <c r="C232" s="9" t="s">
        <v>121</v>
      </c>
      <c r="D232" s="13" t="s">
        <v>61</v>
      </c>
      <c r="E232" s="13" t="s">
        <v>14</v>
      </c>
      <c r="F232" s="16">
        <f>+F226*F231</f>
        <v>1848049.88588</v>
      </c>
    </row>
    <row r="233" spans="2:6" x14ac:dyDescent="0.2">
      <c r="B233" s="3"/>
      <c r="F233" s="16"/>
    </row>
    <row r="234" spans="2:6" x14ac:dyDescent="0.2">
      <c r="B234" s="3"/>
      <c r="C234" s="1" t="s">
        <v>118</v>
      </c>
      <c r="D234" s="13" t="s">
        <v>87</v>
      </c>
      <c r="E234" s="13" t="s">
        <v>14</v>
      </c>
      <c r="F234" s="16">
        <f>+F236/F64</f>
        <v>185.91372343173782</v>
      </c>
    </row>
    <row r="235" spans="2:6" x14ac:dyDescent="0.2">
      <c r="B235" s="3"/>
      <c r="C235" s="9" t="s">
        <v>185</v>
      </c>
      <c r="D235" s="13" t="s">
        <v>61</v>
      </c>
      <c r="E235" s="13" t="s">
        <v>14</v>
      </c>
      <c r="F235" s="17">
        <v>78017493.319999993</v>
      </c>
    </row>
    <row r="236" spans="2:6" x14ac:dyDescent="0.2">
      <c r="B236" s="3"/>
      <c r="C236" s="9" t="s">
        <v>188</v>
      </c>
      <c r="D236" s="13" t="s">
        <v>61</v>
      </c>
      <c r="E236" s="13" t="s">
        <v>14</v>
      </c>
      <c r="F236" s="16">
        <f>+F226*F235</f>
        <v>47715498.914512001</v>
      </c>
    </row>
    <row r="237" spans="2:6" x14ac:dyDescent="0.2">
      <c r="B237" s="3"/>
      <c r="F237" s="16"/>
    </row>
    <row r="238" spans="2:6" x14ac:dyDescent="0.2">
      <c r="B238" s="3"/>
      <c r="C238" s="1" t="s">
        <v>119</v>
      </c>
      <c r="D238" s="13" t="s">
        <v>87</v>
      </c>
      <c r="E238" s="13" t="s">
        <v>14</v>
      </c>
      <c r="F238" s="16">
        <f>+F240/F64</f>
        <v>71.314801940854309</v>
      </c>
    </row>
    <row r="239" spans="2:6" x14ac:dyDescent="0.2">
      <c r="B239" s="3"/>
      <c r="C239" s="9" t="s">
        <v>186</v>
      </c>
      <c r="D239" s="13" t="s">
        <v>61</v>
      </c>
      <c r="E239" s="13" t="s">
        <v>14</v>
      </c>
      <c r="F239" s="17">
        <v>29926796.050000001</v>
      </c>
    </row>
    <row r="240" spans="2:6" x14ac:dyDescent="0.2">
      <c r="B240" s="3"/>
      <c r="C240" s="9" t="s">
        <v>189</v>
      </c>
      <c r="D240" s="13" t="s">
        <v>61</v>
      </c>
      <c r="E240" s="13" t="s">
        <v>14</v>
      </c>
      <c r="F240" s="16">
        <f>+F226*F239</f>
        <v>18303228.46418</v>
      </c>
    </row>
    <row r="241" spans="2:6" x14ac:dyDescent="0.2">
      <c r="B241" s="3"/>
      <c r="F241" s="16"/>
    </row>
    <row r="242" spans="2:6" x14ac:dyDescent="0.2">
      <c r="B242" s="3"/>
      <c r="C242" s="1" t="s">
        <v>120</v>
      </c>
      <c r="D242" s="13" t="s">
        <v>87</v>
      </c>
      <c r="E242" s="13" t="s">
        <v>14</v>
      </c>
      <c r="F242" s="16">
        <f>+F244/F64</f>
        <v>27.960764526980473</v>
      </c>
    </row>
    <row r="243" spans="2:6" x14ac:dyDescent="0.2">
      <c r="B243" s="3"/>
      <c r="C243" s="9" t="s">
        <v>187</v>
      </c>
      <c r="D243" s="13" t="s">
        <v>61</v>
      </c>
      <c r="E243" s="13" t="s">
        <v>14</v>
      </c>
      <c r="F243" s="17">
        <v>11733554.25</v>
      </c>
    </row>
    <row r="244" spans="2:6" x14ac:dyDescent="0.2">
      <c r="B244" s="3"/>
      <c r="C244" s="9" t="s">
        <v>190</v>
      </c>
      <c r="D244" s="13" t="s">
        <v>61</v>
      </c>
      <c r="E244" s="13" t="s">
        <v>14</v>
      </c>
      <c r="F244" s="16">
        <f>+F226*F243</f>
        <v>7176241.7793000005</v>
      </c>
    </row>
    <row r="245" spans="2:6" x14ac:dyDescent="0.2">
      <c r="B245" s="3"/>
      <c r="C245" s="51"/>
      <c r="D245" s="44"/>
      <c r="E245" s="44"/>
      <c r="F245" s="48"/>
    </row>
    <row r="246" spans="2:6" x14ac:dyDescent="0.2">
      <c r="B246" s="3"/>
      <c r="C246" s="3" t="s">
        <v>7</v>
      </c>
      <c r="D246" s="11" t="s">
        <v>61</v>
      </c>
      <c r="E246" s="11" t="s">
        <v>14</v>
      </c>
      <c r="F246" s="37">
        <f>+SUM(F230,F234,F238,F242)</f>
        <v>292.38983989250278</v>
      </c>
    </row>
    <row r="247" spans="2:6" x14ac:dyDescent="0.2">
      <c r="B247" s="3"/>
      <c r="C247" s="3"/>
      <c r="F247" s="37"/>
    </row>
    <row r="248" spans="2:6" x14ac:dyDescent="0.2">
      <c r="B248" s="50" t="s">
        <v>6</v>
      </c>
      <c r="C248" s="9"/>
      <c r="F248" s="46"/>
    </row>
    <row r="249" spans="2:6" x14ac:dyDescent="0.2">
      <c r="B249" s="3"/>
      <c r="C249" s="9"/>
      <c r="F249" s="46"/>
    </row>
    <row r="250" spans="2:6" x14ac:dyDescent="0.2">
      <c r="B250" s="3" t="s">
        <v>113</v>
      </c>
      <c r="C250" s="9"/>
      <c r="F250" s="46"/>
    </row>
    <row r="251" spans="2:6" x14ac:dyDescent="0.2">
      <c r="B251" s="3"/>
      <c r="C251" s="9" t="s">
        <v>115</v>
      </c>
      <c r="D251" s="13" t="s">
        <v>13</v>
      </c>
      <c r="E251" s="13" t="s">
        <v>14</v>
      </c>
      <c r="F251" s="46">
        <v>0.621</v>
      </c>
    </row>
    <row r="252" spans="2:6" x14ac:dyDescent="0.2">
      <c r="B252" s="3"/>
      <c r="C252" s="9" t="s">
        <v>116</v>
      </c>
      <c r="D252" s="13" t="s">
        <v>13</v>
      </c>
      <c r="E252" s="13" t="s">
        <v>14</v>
      </c>
      <c r="F252" s="46">
        <v>0.61029999999999995</v>
      </c>
    </row>
    <row r="253" spans="2:6" x14ac:dyDescent="0.2">
      <c r="B253" s="3"/>
      <c r="C253" s="3"/>
      <c r="F253" s="37"/>
    </row>
    <row r="254" spans="2:6" x14ac:dyDescent="0.2">
      <c r="B254" s="3" t="s">
        <v>478</v>
      </c>
      <c r="C254" s="9"/>
      <c r="F254" s="17"/>
    </row>
    <row r="255" spans="2:6" x14ac:dyDescent="0.2">
      <c r="B255" s="3"/>
      <c r="C255" s="1" t="s">
        <v>117</v>
      </c>
      <c r="D255" s="13" t="s">
        <v>87</v>
      </c>
      <c r="E255" s="13" t="s">
        <v>14</v>
      </c>
      <c r="F255" s="16">
        <f>+F257/F64</f>
        <v>7.3112190085180444</v>
      </c>
    </row>
    <row r="256" spans="2:6" x14ac:dyDescent="0.2">
      <c r="B256" s="3"/>
      <c r="C256" s="9" t="s">
        <v>184</v>
      </c>
      <c r="D256" s="13" t="s">
        <v>61</v>
      </c>
      <c r="E256" s="13" t="s">
        <v>14</v>
      </c>
      <c r="F256" s="17">
        <v>3021664.3</v>
      </c>
    </row>
    <row r="257" spans="2:6" x14ac:dyDescent="0.2">
      <c r="B257" s="3"/>
      <c r="C257" s="9" t="s">
        <v>121</v>
      </c>
      <c r="D257" s="13" t="s">
        <v>61</v>
      </c>
      <c r="E257" s="13" t="s">
        <v>14</v>
      </c>
      <c r="F257" s="16">
        <f>+F251*F256</f>
        <v>1876453.5303</v>
      </c>
    </row>
    <row r="258" spans="2:6" x14ac:dyDescent="0.2">
      <c r="B258" s="3"/>
      <c r="F258" s="37"/>
    </row>
    <row r="259" spans="2:6" x14ac:dyDescent="0.2">
      <c r="B259" s="3"/>
      <c r="C259" s="1" t="s">
        <v>118</v>
      </c>
      <c r="D259" s="13" t="s">
        <v>87</v>
      </c>
      <c r="E259" s="13" t="s">
        <v>14</v>
      </c>
      <c r="F259" s="16">
        <f>+F261/F64</f>
        <v>188.77112859893586</v>
      </c>
    </row>
    <row r="260" spans="2:6" x14ac:dyDescent="0.2">
      <c r="B260" s="3"/>
      <c r="C260" s="9" t="s">
        <v>185</v>
      </c>
      <c r="D260" s="13" t="s">
        <v>61</v>
      </c>
      <c r="E260" s="13" t="s">
        <v>14</v>
      </c>
      <c r="F260" s="17">
        <v>78017493.319999993</v>
      </c>
    </row>
    <row r="261" spans="2:6" x14ac:dyDescent="0.2">
      <c r="B261" s="3"/>
      <c r="C261" s="9" t="s">
        <v>188</v>
      </c>
      <c r="D261" s="13" t="s">
        <v>61</v>
      </c>
      <c r="E261" s="13" t="s">
        <v>14</v>
      </c>
      <c r="F261" s="16">
        <f>+F251*F260</f>
        <v>48448863.351719998</v>
      </c>
    </row>
    <row r="262" spans="2:6" x14ac:dyDescent="0.2">
      <c r="B262" s="3"/>
      <c r="F262" s="16"/>
    </row>
    <row r="263" spans="2:6" x14ac:dyDescent="0.2">
      <c r="B263" s="3"/>
      <c r="C263" s="1" t="s">
        <v>119</v>
      </c>
      <c r="D263" s="13" t="s">
        <v>87</v>
      </c>
      <c r="E263" s="13" t="s">
        <v>14</v>
      </c>
      <c r="F263" s="16">
        <f>+F265/F64</f>
        <v>72.410876398414842</v>
      </c>
    </row>
    <row r="264" spans="2:6" x14ac:dyDescent="0.2">
      <c r="B264" s="3"/>
      <c r="C264" s="9" t="s">
        <v>186</v>
      </c>
      <c r="D264" s="13" t="s">
        <v>61</v>
      </c>
      <c r="E264" s="13" t="s">
        <v>14</v>
      </c>
      <c r="F264" s="17">
        <v>29926796.050000001</v>
      </c>
    </row>
    <row r="265" spans="2:6" x14ac:dyDescent="0.2">
      <c r="B265" s="3"/>
      <c r="C265" s="9" t="s">
        <v>189</v>
      </c>
      <c r="D265" s="13" t="s">
        <v>61</v>
      </c>
      <c r="E265" s="13" t="s">
        <v>14</v>
      </c>
      <c r="F265" s="16">
        <f>+F251*F264</f>
        <v>18584540.34705</v>
      </c>
    </row>
    <row r="266" spans="2:6" x14ac:dyDescent="0.2">
      <c r="B266" s="3"/>
      <c r="F266" s="16"/>
    </row>
    <row r="267" spans="2:6" x14ac:dyDescent="0.2">
      <c r="B267" s="3"/>
      <c r="C267" s="1" t="s">
        <v>120</v>
      </c>
      <c r="D267" s="13" t="s">
        <v>87</v>
      </c>
      <c r="E267" s="13" t="s">
        <v>14</v>
      </c>
      <c r="F267" s="16">
        <f>+F269/F64</f>
        <v>28.390508128278075</v>
      </c>
    </row>
    <row r="268" spans="2:6" x14ac:dyDescent="0.2">
      <c r="B268" s="3"/>
      <c r="C268" s="9" t="s">
        <v>187</v>
      </c>
      <c r="D268" s="13" t="s">
        <v>61</v>
      </c>
      <c r="E268" s="13" t="s">
        <v>14</v>
      </c>
      <c r="F268" s="17">
        <v>11733554.25</v>
      </c>
    </row>
    <row r="269" spans="2:6" x14ac:dyDescent="0.2">
      <c r="B269" s="3"/>
      <c r="C269" s="9" t="s">
        <v>190</v>
      </c>
      <c r="D269" s="13" t="s">
        <v>61</v>
      </c>
      <c r="E269" s="13" t="s">
        <v>14</v>
      </c>
      <c r="F269" s="16">
        <f>+F251*F268</f>
        <v>7286537.1892499998</v>
      </c>
    </row>
    <row r="270" spans="2:6" x14ac:dyDescent="0.2">
      <c r="B270" s="3"/>
      <c r="C270" s="51"/>
      <c r="D270" s="44"/>
      <c r="E270" s="44"/>
      <c r="F270" s="48"/>
    </row>
    <row r="271" spans="2:6" x14ac:dyDescent="0.2">
      <c r="B271" s="3"/>
      <c r="C271" s="3" t="s">
        <v>7</v>
      </c>
      <c r="D271" s="11" t="s">
        <v>61</v>
      </c>
      <c r="E271" s="11" t="s">
        <v>14</v>
      </c>
      <c r="F271" s="37">
        <f>+SUM(F255,F259,F263,F267)</f>
        <v>296.88373213414684</v>
      </c>
    </row>
    <row r="272" spans="2:6" x14ac:dyDescent="0.2">
      <c r="B272" s="3"/>
      <c r="C272" s="3"/>
      <c r="F272" s="37"/>
    </row>
    <row r="273" spans="2:14" x14ac:dyDescent="0.2">
      <c r="B273" s="79" t="s">
        <v>116</v>
      </c>
      <c r="C273" s="80"/>
      <c r="D273" s="81"/>
      <c r="E273" s="81"/>
      <c r="F273" s="80"/>
      <c r="G273" s="39"/>
      <c r="H273" s="80"/>
      <c r="I273" s="80"/>
      <c r="J273" s="80"/>
      <c r="K273" s="80"/>
      <c r="L273" s="80"/>
      <c r="M273" s="80"/>
      <c r="N273" s="80"/>
    </row>
    <row r="274" spans="2:14" x14ac:dyDescent="0.2">
      <c r="B274" s="3"/>
      <c r="C274" s="3"/>
      <c r="F274" s="37"/>
    </row>
    <row r="275" spans="2:14" x14ac:dyDescent="0.2">
      <c r="B275" s="32" t="s">
        <v>5</v>
      </c>
      <c r="C275" s="3"/>
      <c r="F275" s="37"/>
    </row>
    <row r="276" spans="2:14" x14ac:dyDescent="0.2">
      <c r="B276" s="32"/>
      <c r="C276" s="3"/>
      <c r="F276" s="37"/>
    </row>
    <row r="277" spans="2:14" x14ac:dyDescent="0.2">
      <c r="B277" s="3" t="s">
        <v>478</v>
      </c>
      <c r="C277" s="3"/>
      <c r="F277" s="37"/>
    </row>
    <row r="278" spans="2:14" x14ac:dyDescent="0.2">
      <c r="B278" s="3"/>
      <c r="C278" s="3"/>
      <c r="F278" s="37"/>
    </row>
    <row r="279" spans="2:14" x14ac:dyDescent="0.2">
      <c r="B279" s="3"/>
      <c r="C279" s="1" t="s">
        <v>117</v>
      </c>
      <c r="D279" s="13" t="s">
        <v>87</v>
      </c>
      <c r="E279" s="13" t="s">
        <v>14</v>
      </c>
      <c r="F279" s="16">
        <f>+F281/F64</f>
        <v>7.1016542768729209</v>
      </c>
    </row>
    <row r="280" spans="2:14" x14ac:dyDescent="0.2">
      <c r="B280" s="3"/>
      <c r="C280" s="9" t="s">
        <v>184</v>
      </c>
      <c r="D280" s="13" t="s">
        <v>61</v>
      </c>
      <c r="E280" s="13" t="s">
        <v>14</v>
      </c>
      <c r="F280" s="17">
        <v>3021664.3</v>
      </c>
    </row>
    <row r="281" spans="2:14" x14ac:dyDescent="0.2">
      <c r="B281" s="3"/>
      <c r="C281" s="9" t="s">
        <v>121</v>
      </c>
      <c r="D281" s="13" t="s">
        <v>61</v>
      </c>
      <c r="E281" s="13" t="s">
        <v>14</v>
      </c>
      <c r="F281" s="16">
        <f>+F280*F227</f>
        <v>1822667.9057599998</v>
      </c>
    </row>
    <row r="282" spans="2:14" x14ac:dyDescent="0.2">
      <c r="B282" s="3"/>
      <c r="F282" s="16"/>
    </row>
    <row r="283" spans="2:14" x14ac:dyDescent="0.2">
      <c r="B283" s="3"/>
      <c r="C283" s="1" t="s">
        <v>118</v>
      </c>
      <c r="D283" s="13" t="s">
        <v>87</v>
      </c>
      <c r="E283" s="13" t="s">
        <v>14</v>
      </c>
      <c r="F283" s="16">
        <f>+F285/F64</f>
        <v>183.36029753764589</v>
      </c>
    </row>
    <row r="284" spans="2:14" x14ac:dyDescent="0.2">
      <c r="B284" s="3"/>
      <c r="C284" s="9" t="s">
        <v>185</v>
      </c>
      <c r="D284" s="13" t="s">
        <v>61</v>
      </c>
      <c r="E284" s="13" t="s">
        <v>14</v>
      </c>
      <c r="F284" s="17">
        <v>78017493.319999993</v>
      </c>
    </row>
    <row r="285" spans="2:14" x14ac:dyDescent="0.2">
      <c r="B285" s="3"/>
      <c r="C285" s="9" t="s">
        <v>188</v>
      </c>
      <c r="D285" s="13" t="s">
        <v>61</v>
      </c>
      <c r="E285" s="13" t="s">
        <v>14</v>
      </c>
      <c r="F285" s="16">
        <f>+F284*F227</f>
        <v>47060151.970623992</v>
      </c>
    </row>
    <row r="286" spans="2:14" x14ac:dyDescent="0.2">
      <c r="B286" s="3"/>
      <c r="F286" s="16"/>
    </row>
    <row r="287" spans="2:14" x14ac:dyDescent="0.2">
      <c r="B287" s="3"/>
      <c r="C287" s="1" t="s">
        <v>119</v>
      </c>
      <c r="D287" s="13" t="s">
        <v>87</v>
      </c>
      <c r="E287" s="13" t="s">
        <v>14</v>
      </c>
      <c r="F287" s="16">
        <f>+F289/F64</f>
        <v>70.335331148991671</v>
      </c>
    </row>
    <row r="288" spans="2:14" x14ac:dyDescent="0.2">
      <c r="B288" s="3"/>
      <c r="C288" s="9" t="s">
        <v>186</v>
      </c>
      <c r="D288" s="13" t="s">
        <v>61</v>
      </c>
      <c r="E288" s="13" t="s">
        <v>14</v>
      </c>
      <c r="F288" s="17">
        <v>29926796.050000001</v>
      </c>
    </row>
    <row r="289" spans="2:6" x14ac:dyDescent="0.2">
      <c r="B289" s="3"/>
      <c r="C289" s="9" t="s">
        <v>189</v>
      </c>
      <c r="D289" s="13" t="s">
        <v>61</v>
      </c>
      <c r="E289" s="13" t="s">
        <v>14</v>
      </c>
      <c r="F289" s="16">
        <f>+F288*F227</f>
        <v>18051843.377359997</v>
      </c>
    </row>
    <row r="290" spans="2:6" x14ac:dyDescent="0.2">
      <c r="B290" s="3"/>
      <c r="F290" s="16"/>
    </row>
    <row r="291" spans="2:6" x14ac:dyDescent="0.2">
      <c r="B291" s="3"/>
      <c r="C291" s="1" t="s">
        <v>120</v>
      </c>
      <c r="D291" s="13" t="s">
        <v>87</v>
      </c>
      <c r="E291" s="13" t="s">
        <v>14</v>
      </c>
      <c r="F291" s="16">
        <f>+F293/F64</f>
        <v>27.576738330076225</v>
      </c>
    </row>
    <row r="292" spans="2:6" x14ac:dyDescent="0.2">
      <c r="B292" s="3"/>
      <c r="C292" s="9" t="s">
        <v>187</v>
      </c>
      <c r="D292" s="13" t="s">
        <v>61</v>
      </c>
      <c r="E292" s="13" t="s">
        <v>14</v>
      </c>
      <c r="F292" s="17">
        <v>11733554.25</v>
      </c>
    </row>
    <row r="293" spans="2:6" x14ac:dyDescent="0.2">
      <c r="B293" s="3"/>
      <c r="C293" s="9" t="s">
        <v>190</v>
      </c>
      <c r="D293" s="13" t="s">
        <v>61</v>
      </c>
      <c r="E293" s="13" t="s">
        <v>14</v>
      </c>
      <c r="F293" s="16">
        <f>+F292*F227</f>
        <v>7077679.9235999994</v>
      </c>
    </row>
    <row r="294" spans="2:6" x14ac:dyDescent="0.2">
      <c r="B294" s="3"/>
      <c r="C294" s="51"/>
      <c r="D294" s="44"/>
      <c r="E294" s="44"/>
      <c r="F294" s="48"/>
    </row>
    <row r="295" spans="2:6" x14ac:dyDescent="0.2">
      <c r="B295" s="3"/>
      <c r="C295" s="3" t="s">
        <v>7</v>
      </c>
      <c r="D295" s="11" t="s">
        <v>61</v>
      </c>
      <c r="E295" s="11" t="s">
        <v>14</v>
      </c>
      <c r="F295" s="37">
        <f>+SUM(F279,F283,F287,F291)</f>
        <v>288.37402129358674</v>
      </c>
    </row>
    <row r="296" spans="2:6" x14ac:dyDescent="0.2">
      <c r="B296" s="3"/>
      <c r="C296" s="3"/>
      <c r="F296" s="37"/>
    </row>
    <row r="297" spans="2:6" x14ac:dyDescent="0.2">
      <c r="B297" s="32" t="s">
        <v>6</v>
      </c>
      <c r="C297" s="3"/>
      <c r="F297" s="37"/>
    </row>
    <row r="298" spans="2:6" x14ac:dyDescent="0.2">
      <c r="B298" s="32"/>
      <c r="C298" s="3"/>
      <c r="F298" s="37"/>
    </row>
    <row r="299" spans="2:6" x14ac:dyDescent="0.2">
      <c r="B299" s="3" t="s">
        <v>478</v>
      </c>
      <c r="C299" s="3"/>
      <c r="F299" s="37"/>
    </row>
    <row r="300" spans="2:6" x14ac:dyDescent="0.2">
      <c r="B300" s="3"/>
      <c r="C300" s="3"/>
      <c r="F300" s="37"/>
    </row>
    <row r="301" spans="2:6" x14ac:dyDescent="0.2">
      <c r="B301" s="3"/>
      <c r="C301" s="1" t="s">
        <v>117</v>
      </c>
      <c r="D301" s="13" t="s">
        <v>87</v>
      </c>
      <c r="E301" s="13" t="s">
        <v>14</v>
      </c>
      <c r="F301" s="16">
        <f>+F303/F64</f>
        <v>7.1852447035403575</v>
      </c>
    </row>
    <row r="302" spans="2:6" x14ac:dyDescent="0.2">
      <c r="B302" s="3"/>
      <c r="C302" s="9" t="s">
        <v>184</v>
      </c>
      <c r="D302" s="13" t="s">
        <v>61</v>
      </c>
      <c r="E302" s="13" t="s">
        <v>14</v>
      </c>
      <c r="F302" s="17">
        <v>3021664.3</v>
      </c>
    </row>
    <row r="303" spans="2:6" x14ac:dyDescent="0.2">
      <c r="B303" s="3"/>
      <c r="C303" s="9" t="s">
        <v>121</v>
      </c>
      <c r="D303" s="13" t="s">
        <v>61</v>
      </c>
      <c r="E303" s="13" t="s">
        <v>14</v>
      </c>
      <c r="F303" s="16">
        <f>+F302*F252</f>
        <v>1844121.7222899997</v>
      </c>
    </row>
    <row r="304" spans="2:6" x14ac:dyDescent="0.2">
      <c r="B304" s="3"/>
      <c r="F304" s="37"/>
    </row>
    <row r="305" spans="2:14" x14ac:dyDescent="0.2">
      <c r="B305" s="3"/>
      <c r="C305" s="1" t="s">
        <v>118</v>
      </c>
      <c r="D305" s="13" t="s">
        <v>87</v>
      </c>
      <c r="E305" s="13" t="s">
        <v>14</v>
      </c>
      <c r="F305" s="16">
        <f>+F307/F64</f>
        <v>185.51855037669975</v>
      </c>
    </row>
    <row r="306" spans="2:14" x14ac:dyDescent="0.2">
      <c r="B306" s="3"/>
      <c r="C306" s="9" t="s">
        <v>185</v>
      </c>
      <c r="D306" s="13" t="s">
        <v>61</v>
      </c>
      <c r="E306" s="13" t="s">
        <v>14</v>
      </c>
      <c r="F306" s="17">
        <v>78017493.319999993</v>
      </c>
    </row>
    <row r="307" spans="2:14" x14ac:dyDescent="0.2">
      <c r="B307" s="3"/>
      <c r="C307" s="9" t="s">
        <v>188</v>
      </c>
      <c r="D307" s="13" t="s">
        <v>61</v>
      </c>
      <c r="E307" s="13" t="s">
        <v>14</v>
      </c>
      <c r="F307" s="16">
        <f>+F306*F252</f>
        <v>47614076.173195995</v>
      </c>
    </row>
    <row r="308" spans="2:14" x14ac:dyDescent="0.2">
      <c r="B308" s="3"/>
      <c r="F308" s="16"/>
    </row>
    <row r="309" spans="2:14" x14ac:dyDescent="0.2">
      <c r="B309" s="3"/>
      <c r="C309" s="1" t="s">
        <v>119</v>
      </c>
      <c r="D309" s="13" t="s">
        <v>87</v>
      </c>
      <c r="E309" s="13" t="s">
        <v>14</v>
      </c>
      <c r="F309" s="16">
        <f>+F311/F64</f>
        <v>71.163217175446988</v>
      </c>
    </row>
    <row r="310" spans="2:14" x14ac:dyDescent="0.2">
      <c r="B310" s="3"/>
      <c r="C310" s="9" t="s">
        <v>186</v>
      </c>
      <c r="D310" s="13" t="s">
        <v>61</v>
      </c>
      <c r="E310" s="13" t="s">
        <v>14</v>
      </c>
      <c r="F310" s="17">
        <v>29926796.050000001</v>
      </c>
    </row>
    <row r="311" spans="2:14" x14ac:dyDescent="0.2">
      <c r="B311" s="3"/>
      <c r="C311" s="9" t="s">
        <v>189</v>
      </c>
      <c r="D311" s="13" t="s">
        <v>61</v>
      </c>
      <c r="E311" s="13" t="s">
        <v>14</v>
      </c>
      <c r="F311" s="16">
        <f>+F310*F252</f>
        <v>18264323.629315</v>
      </c>
    </row>
    <row r="312" spans="2:14" x14ac:dyDescent="0.2">
      <c r="B312" s="3"/>
      <c r="F312" s="16"/>
    </row>
    <row r="313" spans="2:14" x14ac:dyDescent="0.2">
      <c r="B313" s="3"/>
      <c r="C313" s="1" t="s">
        <v>120</v>
      </c>
      <c r="D313" s="13" t="s">
        <v>87</v>
      </c>
      <c r="E313" s="13" t="s">
        <v>14</v>
      </c>
      <c r="F313" s="16">
        <f>+F315/F64</f>
        <v>27.901331901269099</v>
      </c>
    </row>
    <row r="314" spans="2:14" x14ac:dyDescent="0.2">
      <c r="B314" s="3"/>
      <c r="C314" s="9" t="s">
        <v>187</v>
      </c>
      <c r="D314" s="13" t="s">
        <v>61</v>
      </c>
      <c r="E314" s="13" t="s">
        <v>14</v>
      </c>
      <c r="F314" s="17">
        <v>11733554.25</v>
      </c>
    </row>
    <row r="315" spans="2:14" x14ac:dyDescent="0.2">
      <c r="B315" s="3"/>
      <c r="C315" s="9" t="s">
        <v>190</v>
      </c>
      <c r="D315" s="13" t="s">
        <v>61</v>
      </c>
      <c r="E315" s="13" t="s">
        <v>14</v>
      </c>
      <c r="F315" s="16">
        <f>+F314*F252</f>
        <v>7160988.1587749999</v>
      </c>
    </row>
    <row r="316" spans="2:14" x14ac:dyDescent="0.2">
      <c r="B316" s="3"/>
      <c r="C316" s="51"/>
      <c r="D316" s="44"/>
      <c r="E316" s="44"/>
      <c r="F316" s="48"/>
    </row>
    <row r="317" spans="2:14" x14ac:dyDescent="0.2">
      <c r="B317" s="3"/>
      <c r="C317" s="3" t="s">
        <v>7</v>
      </c>
      <c r="D317" s="11" t="s">
        <v>61</v>
      </c>
      <c r="E317" s="11" t="s">
        <v>14</v>
      </c>
      <c r="F317" s="37">
        <f>+SUM(F301,F305,F309,F313)</f>
        <v>291.76834415695618</v>
      </c>
    </row>
    <row r="318" spans="2:14" x14ac:dyDescent="0.2">
      <c r="B318" s="3"/>
    </row>
    <row r="319" spans="2:14" s="39" customFormat="1" x14ac:dyDescent="0.2">
      <c r="B319" s="63" t="s">
        <v>164</v>
      </c>
      <c r="C319" s="64"/>
      <c r="D319" s="65"/>
      <c r="E319" s="65"/>
      <c r="F319" s="64"/>
      <c r="H319" s="64"/>
      <c r="I319" s="64"/>
      <c r="J319" s="64"/>
      <c r="K319" s="64"/>
      <c r="L319" s="64"/>
      <c r="M319" s="64"/>
      <c r="N319" s="64"/>
    </row>
    <row r="320" spans="2:14" s="39" customFormat="1" x14ac:dyDescent="0.2">
      <c r="B320" s="43"/>
      <c r="D320" s="40"/>
      <c r="E320" s="40"/>
    </row>
    <row r="321" spans="1:14" x14ac:dyDescent="0.2">
      <c r="B321" s="66" t="s">
        <v>203</v>
      </c>
      <c r="C321" s="67"/>
      <c r="D321" s="68"/>
      <c r="E321" s="68"/>
      <c r="F321" s="67"/>
      <c r="H321" s="67"/>
      <c r="I321" s="67"/>
      <c r="J321" s="67"/>
      <c r="K321" s="67"/>
      <c r="L321" s="67"/>
      <c r="M321" s="67"/>
      <c r="N321" s="67"/>
    </row>
    <row r="322" spans="1:14" x14ac:dyDescent="0.2">
      <c r="B322" s="3"/>
      <c r="C322" s="3"/>
      <c r="F322" s="37"/>
    </row>
    <row r="323" spans="1:14" x14ac:dyDescent="0.2">
      <c r="A323" s="82"/>
      <c r="B323" s="86" t="s">
        <v>157</v>
      </c>
      <c r="C323" s="87"/>
      <c r="D323" s="88"/>
      <c r="E323" s="88"/>
      <c r="F323" s="87"/>
      <c r="G323" s="82"/>
      <c r="H323" s="87"/>
      <c r="I323" s="87"/>
      <c r="J323" s="87"/>
      <c r="K323" s="87"/>
      <c r="L323" s="87"/>
      <c r="M323" s="87"/>
      <c r="N323" s="87"/>
    </row>
    <row r="324" spans="1:14" x14ac:dyDescent="0.2">
      <c r="A324" s="82"/>
      <c r="B324" s="83"/>
      <c r="C324" s="83"/>
      <c r="D324" s="84"/>
      <c r="E324" s="84"/>
      <c r="F324" s="85"/>
      <c r="G324" s="82"/>
      <c r="H324" s="82"/>
      <c r="I324" s="82"/>
      <c r="J324" s="82"/>
      <c r="K324" s="82"/>
      <c r="L324" s="82"/>
      <c r="M324" s="82"/>
      <c r="N324" s="82"/>
    </row>
    <row r="325" spans="1:14" x14ac:dyDescent="0.2">
      <c r="B325" s="32" t="s">
        <v>5</v>
      </c>
    </row>
    <row r="326" spans="1:14" x14ac:dyDescent="0.2">
      <c r="B326" s="3"/>
    </row>
    <row r="327" spans="1:14" x14ac:dyDescent="0.2">
      <c r="C327" s="22" t="s">
        <v>486</v>
      </c>
      <c r="D327" s="13" t="s">
        <v>87</v>
      </c>
      <c r="E327" s="13" t="s">
        <v>14</v>
      </c>
      <c r="F327" s="19">
        <f>+ROUND(F142 + F217 + F246,2)</f>
        <v>3116.24</v>
      </c>
    </row>
    <row r="328" spans="1:14" x14ac:dyDescent="0.2">
      <c r="C328" s="22"/>
      <c r="F328" s="17"/>
    </row>
    <row r="329" spans="1:14" x14ac:dyDescent="0.2">
      <c r="B329" s="32" t="s">
        <v>6</v>
      </c>
      <c r="F329" s="16"/>
    </row>
    <row r="330" spans="1:14" x14ac:dyDescent="0.2">
      <c r="C330" s="22"/>
      <c r="F330" s="19"/>
    </row>
    <row r="331" spans="1:14" x14ac:dyDescent="0.2">
      <c r="C331" s="22" t="s">
        <v>486</v>
      </c>
      <c r="D331" s="13" t="s">
        <v>87</v>
      </c>
      <c r="E331" s="13" t="s">
        <v>14</v>
      </c>
      <c r="F331" s="19">
        <f>+ROUND(F148 + F217 + F271,2)</f>
        <v>3150.8</v>
      </c>
    </row>
    <row r="332" spans="1:14" x14ac:dyDescent="0.2">
      <c r="C332" s="22"/>
      <c r="F332" s="244"/>
    </row>
    <row r="333" spans="1:14" x14ac:dyDescent="0.2">
      <c r="A333" s="82"/>
      <c r="B333" s="86" t="s">
        <v>116</v>
      </c>
      <c r="C333" s="87"/>
      <c r="D333" s="88"/>
      <c r="E333" s="88"/>
      <c r="F333" s="243"/>
      <c r="G333" s="82"/>
      <c r="H333" s="87"/>
      <c r="I333" s="87"/>
      <c r="J333" s="87"/>
      <c r="K333" s="87"/>
      <c r="L333" s="87"/>
      <c r="M333" s="87"/>
      <c r="N333" s="87"/>
    </row>
    <row r="334" spans="1:14" x14ac:dyDescent="0.2">
      <c r="B334" s="3"/>
      <c r="F334" s="16"/>
    </row>
    <row r="335" spans="1:14" x14ac:dyDescent="0.2">
      <c r="B335" s="32" t="s">
        <v>5</v>
      </c>
      <c r="F335" s="16"/>
    </row>
    <row r="336" spans="1:14" x14ac:dyDescent="0.2">
      <c r="C336" s="9"/>
      <c r="F336" s="16"/>
    </row>
    <row r="337" spans="2:14" x14ac:dyDescent="0.2">
      <c r="C337" s="22" t="s">
        <v>486</v>
      </c>
      <c r="D337" s="13" t="s">
        <v>87</v>
      </c>
      <c r="E337" s="13" t="s">
        <v>14</v>
      </c>
      <c r="F337" s="19">
        <f>+ROUND(F144 + F217 + F295,2)</f>
        <v>3076.84</v>
      </c>
    </row>
    <row r="338" spans="2:14" x14ac:dyDescent="0.2">
      <c r="C338" s="22"/>
      <c r="F338" s="19"/>
    </row>
    <row r="339" spans="2:14" x14ac:dyDescent="0.2">
      <c r="B339" s="32" t="s">
        <v>6</v>
      </c>
      <c r="F339" s="16"/>
    </row>
    <row r="340" spans="2:14" x14ac:dyDescent="0.2">
      <c r="C340" s="22"/>
      <c r="F340" s="19"/>
    </row>
    <row r="341" spans="2:14" x14ac:dyDescent="0.2">
      <c r="C341" s="22" t="s">
        <v>486</v>
      </c>
      <c r="D341" s="13" t="s">
        <v>87</v>
      </c>
      <c r="E341" s="13" t="s">
        <v>14</v>
      </c>
      <c r="F341" s="19">
        <f>+ROUND(F150 + F217 + F317,2)</f>
        <v>3110.29</v>
      </c>
    </row>
    <row r="342" spans="2:14" x14ac:dyDescent="0.2">
      <c r="C342" s="22"/>
      <c r="F342" s="19"/>
    </row>
    <row r="344" spans="2:14" x14ac:dyDescent="0.2">
      <c r="B344" s="4" t="s">
        <v>518</v>
      </c>
      <c r="C344" s="4"/>
      <c r="D344" s="14"/>
      <c r="E344" s="14"/>
      <c r="F344" s="4"/>
      <c r="G344" s="5"/>
      <c r="H344" s="4"/>
      <c r="I344" s="4"/>
      <c r="J344" s="4"/>
      <c r="K344" s="4"/>
      <c r="L344" s="4"/>
      <c r="M344" s="4"/>
      <c r="N344" s="4"/>
    </row>
    <row r="345" spans="2:14" x14ac:dyDescent="0.2">
      <c r="B345" s="5"/>
      <c r="C345" s="5"/>
      <c r="D345" s="30"/>
      <c r="E345" s="30"/>
      <c r="F345" s="5"/>
      <c r="G345" s="5"/>
      <c r="H345" s="5"/>
      <c r="I345" s="5"/>
      <c r="J345" s="5"/>
      <c r="K345" s="5"/>
      <c r="L345" s="5"/>
      <c r="M345" s="5"/>
      <c r="N345" s="5"/>
    </row>
    <row r="346" spans="2:14" x14ac:dyDescent="0.2">
      <c r="B346" s="18" t="s">
        <v>56</v>
      </c>
      <c r="C346" s="18"/>
      <c r="F346" s="13"/>
      <c r="G346" s="13"/>
    </row>
    <row r="347" spans="2:14" s="3" customFormat="1" x14ac:dyDescent="0.2">
      <c r="B347" s="18"/>
      <c r="C347" s="18" t="s">
        <v>25</v>
      </c>
      <c r="D347" s="13"/>
      <c r="E347" s="13"/>
      <c r="F347" s="11"/>
      <c r="H347" s="1"/>
      <c r="I347" s="1"/>
      <c r="J347" s="1"/>
      <c r="K347" s="1"/>
      <c r="L347" s="1"/>
      <c r="M347" s="1"/>
      <c r="N347" s="1"/>
    </row>
    <row r="348" spans="2:14" x14ac:dyDescent="0.2">
      <c r="B348" s="9"/>
      <c r="C348" s="9" t="s">
        <v>26</v>
      </c>
      <c r="D348" s="13" t="s">
        <v>16</v>
      </c>
      <c r="E348" s="13" t="s">
        <v>14</v>
      </c>
      <c r="F348" s="17">
        <v>223</v>
      </c>
      <c r="H348" s="16">
        <f t="shared" ref="H348:N351" si="19">$F348</f>
        <v>223</v>
      </c>
      <c r="I348" s="16">
        <f t="shared" si="19"/>
        <v>223</v>
      </c>
      <c r="J348" s="16">
        <f t="shared" si="19"/>
        <v>223</v>
      </c>
      <c r="K348" s="16">
        <f t="shared" si="19"/>
        <v>223</v>
      </c>
      <c r="L348" s="16">
        <f t="shared" si="19"/>
        <v>223</v>
      </c>
      <c r="M348" s="16">
        <f t="shared" si="19"/>
        <v>223</v>
      </c>
      <c r="N348" s="16">
        <f t="shared" si="19"/>
        <v>223</v>
      </c>
    </row>
    <row r="349" spans="2:14" x14ac:dyDescent="0.2">
      <c r="B349" s="9"/>
      <c r="C349" s="9" t="s">
        <v>27</v>
      </c>
      <c r="D349" s="13" t="s">
        <v>16</v>
      </c>
      <c r="E349" s="13" t="s">
        <v>14</v>
      </c>
      <c r="F349" s="17">
        <v>223</v>
      </c>
      <c r="H349" s="16">
        <f t="shared" si="19"/>
        <v>223</v>
      </c>
      <c r="I349" s="16">
        <f t="shared" si="19"/>
        <v>223</v>
      </c>
      <c r="J349" s="16">
        <f t="shared" si="19"/>
        <v>223</v>
      </c>
      <c r="K349" s="16">
        <f t="shared" si="19"/>
        <v>223</v>
      </c>
      <c r="L349" s="16">
        <f t="shared" si="19"/>
        <v>223</v>
      </c>
      <c r="M349" s="16">
        <f t="shared" si="19"/>
        <v>223</v>
      </c>
      <c r="N349" s="16">
        <f t="shared" si="19"/>
        <v>223</v>
      </c>
    </row>
    <row r="350" spans="2:14" x14ac:dyDescent="0.2">
      <c r="B350" s="9"/>
      <c r="C350" s="9" t="s">
        <v>28</v>
      </c>
      <c r="D350" s="13" t="s">
        <v>16</v>
      </c>
      <c r="E350" s="13" t="s">
        <v>14</v>
      </c>
      <c r="F350" s="17">
        <v>273</v>
      </c>
      <c r="H350" s="16">
        <f t="shared" si="19"/>
        <v>273</v>
      </c>
      <c r="I350" s="16">
        <f t="shared" si="19"/>
        <v>273</v>
      </c>
      <c r="J350" s="16">
        <f t="shared" si="19"/>
        <v>273</v>
      </c>
      <c r="K350" s="16">
        <f t="shared" si="19"/>
        <v>273</v>
      </c>
      <c r="L350" s="16">
        <f t="shared" si="19"/>
        <v>273</v>
      </c>
      <c r="M350" s="16">
        <f t="shared" si="19"/>
        <v>273</v>
      </c>
      <c r="N350" s="16">
        <f t="shared" si="19"/>
        <v>273</v>
      </c>
    </row>
    <row r="351" spans="2:14" x14ac:dyDescent="0.2">
      <c r="B351" s="9"/>
      <c r="C351" s="9" t="s">
        <v>29</v>
      </c>
      <c r="D351" s="13" t="s">
        <v>16</v>
      </c>
      <c r="E351" s="13" t="s">
        <v>14</v>
      </c>
      <c r="F351" s="17">
        <v>400</v>
      </c>
      <c r="H351" s="16">
        <f t="shared" si="19"/>
        <v>400</v>
      </c>
      <c r="I351" s="16">
        <f t="shared" si="19"/>
        <v>400</v>
      </c>
      <c r="J351" s="16">
        <f t="shared" si="19"/>
        <v>400</v>
      </c>
      <c r="K351" s="16">
        <f t="shared" si="19"/>
        <v>400</v>
      </c>
      <c r="L351" s="16">
        <f t="shared" si="19"/>
        <v>400</v>
      </c>
      <c r="M351" s="16">
        <f t="shared" si="19"/>
        <v>400</v>
      </c>
      <c r="N351" s="16">
        <f t="shared" si="19"/>
        <v>400</v>
      </c>
    </row>
    <row r="352" spans="2:14" s="3" customFormat="1" x14ac:dyDescent="0.2">
      <c r="B352" s="18"/>
      <c r="C352" s="18" t="s">
        <v>30</v>
      </c>
      <c r="D352" s="13" t="s">
        <v>16</v>
      </c>
      <c r="E352" s="13" t="s">
        <v>14</v>
      </c>
      <c r="F352" s="17"/>
    </row>
    <row r="353" spans="2:15" x14ac:dyDescent="0.2">
      <c r="B353" s="9"/>
      <c r="C353" s="9" t="s">
        <v>31</v>
      </c>
      <c r="D353" s="13" t="s">
        <v>16</v>
      </c>
      <c r="E353" s="13" t="s">
        <v>14</v>
      </c>
      <c r="F353" s="17">
        <v>1999</v>
      </c>
      <c r="H353" s="16">
        <f t="shared" ref="H353:N354" si="20">$F353</f>
        <v>1999</v>
      </c>
      <c r="I353" s="16">
        <f t="shared" si="20"/>
        <v>1999</v>
      </c>
      <c r="J353" s="16">
        <f t="shared" si="20"/>
        <v>1999</v>
      </c>
      <c r="K353" s="16">
        <f t="shared" si="20"/>
        <v>1999</v>
      </c>
      <c r="L353" s="16">
        <f t="shared" si="20"/>
        <v>1999</v>
      </c>
      <c r="M353" s="16">
        <f t="shared" si="20"/>
        <v>1999</v>
      </c>
      <c r="N353" s="16">
        <f t="shared" si="20"/>
        <v>1999</v>
      </c>
    </row>
    <row r="354" spans="2:15" x14ac:dyDescent="0.2">
      <c r="B354" s="9"/>
      <c r="C354" s="9" t="s">
        <v>32</v>
      </c>
      <c r="D354" s="13" t="s">
        <v>16</v>
      </c>
      <c r="E354" s="13" t="s">
        <v>14</v>
      </c>
      <c r="F354" s="17">
        <v>1612</v>
      </c>
      <c r="H354" s="16">
        <f t="shared" si="20"/>
        <v>1612</v>
      </c>
      <c r="I354" s="16">
        <f t="shared" si="20"/>
        <v>1612</v>
      </c>
      <c r="J354" s="16">
        <f t="shared" si="20"/>
        <v>1612</v>
      </c>
      <c r="K354" s="16">
        <f t="shared" si="20"/>
        <v>1612</v>
      </c>
      <c r="L354" s="16">
        <f t="shared" si="20"/>
        <v>1612</v>
      </c>
      <c r="M354" s="16">
        <f t="shared" si="20"/>
        <v>1612</v>
      </c>
      <c r="N354" s="16">
        <f t="shared" si="20"/>
        <v>1612</v>
      </c>
    </row>
    <row r="355" spans="2:15" s="3" customFormat="1" x14ac:dyDescent="0.2">
      <c r="B355" s="18"/>
      <c r="C355" s="18" t="s">
        <v>33</v>
      </c>
      <c r="D355" s="13" t="s">
        <v>16</v>
      </c>
      <c r="E355" s="13" t="s">
        <v>14</v>
      </c>
      <c r="F355" s="17"/>
      <c r="G355" s="17"/>
      <c r="H355" s="17"/>
      <c r="I355" s="17"/>
      <c r="J355" s="17"/>
      <c r="K355" s="17"/>
      <c r="L355" s="17"/>
      <c r="M355" s="17"/>
      <c r="N355" s="17"/>
      <c r="O355" s="17"/>
    </row>
    <row r="356" spans="2:15" x14ac:dyDescent="0.2">
      <c r="B356" s="9"/>
      <c r="C356" s="9" t="s">
        <v>34</v>
      </c>
      <c r="D356" s="13" t="s">
        <v>16</v>
      </c>
      <c r="E356" s="13" t="s">
        <v>14</v>
      </c>
      <c r="F356" s="17">
        <v>1989</v>
      </c>
      <c r="H356" s="16">
        <f t="shared" ref="H356:N357" si="21">$F356</f>
        <v>1989</v>
      </c>
      <c r="I356" s="16">
        <f t="shared" si="21"/>
        <v>1989</v>
      </c>
      <c r="J356" s="16">
        <f t="shared" si="21"/>
        <v>1989</v>
      </c>
      <c r="K356" s="16">
        <f t="shared" si="21"/>
        <v>1989</v>
      </c>
      <c r="L356" s="16">
        <f t="shared" si="21"/>
        <v>1989</v>
      </c>
      <c r="M356" s="16">
        <f t="shared" si="21"/>
        <v>1989</v>
      </c>
      <c r="N356" s="16">
        <f t="shared" si="21"/>
        <v>1989</v>
      </c>
    </row>
    <row r="357" spans="2:15" x14ac:dyDescent="0.2">
      <c r="B357" s="9"/>
      <c r="C357" s="9" t="s">
        <v>35</v>
      </c>
      <c r="D357" s="13" t="s">
        <v>16</v>
      </c>
      <c r="E357" s="13" t="s">
        <v>14</v>
      </c>
      <c r="F357" s="17">
        <v>397</v>
      </c>
      <c r="H357" s="16">
        <f t="shared" si="21"/>
        <v>397</v>
      </c>
      <c r="I357" s="16">
        <f t="shared" si="21"/>
        <v>397</v>
      </c>
      <c r="J357" s="16">
        <f t="shared" si="21"/>
        <v>397</v>
      </c>
      <c r="K357" s="16">
        <f t="shared" si="21"/>
        <v>397</v>
      </c>
      <c r="L357" s="16">
        <f t="shared" si="21"/>
        <v>397</v>
      </c>
      <c r="M357" s="16">
        <f t="shared" si="21"/>
        <v>397</v>
      </c>
      <c r="N357" s="16">
        <f t="shared" si="21"/>
        <v>397</v>
      </c>
    </row>
    <row r="358" spans="2:15" s="3" customFormat="1" x14ac:dyDescent="0.2">
      <c r="B358" s="18"/>
      <c r="C358" s="18" t="s">
        <v>36</v>
      </c>
      <c r="D358" s="13" t="s">
        <v>16</v>
      </c>
      <c r="E358" s="13" t="s">
        <v>14</v>
      </c>
      <c r="F358" s="17"/>
    </row>
    <row r="359" spans="2:15" x14ac:dyDescent="0.2">
      <c r="B359" s="9"/>
      <c r="C359" s="9" t="s">
        <v>37</v>
      </c>
      <c r="D359" s="13" t="s">
        <v>16</v>
      </c>
      <c r="E359" s="13" t="s">
        <v>14</v>
      </c>
      <c r="F359" s="17">
        <v>3140</v>
      </c>
      <c r="H359" s="16">
        <f t="shared" ref="H359:N361" si="22">$F359</f>
        <v>3140</v>
      </c>
      <c r="I359" s="16">
        <f t="shared" si="22"/>
        <v>3140</v>
      </c>
      <c r="J359" s="16">
        <f t="shared" si="22"/>
        <v>3140</v>
      </c>
      <c r="K359" s="16">
        <f t="shared" si="22"/>
        <v>3140</v>
      </c>
      <c r="L359" s="16">
        <f t="shared" si="22"/>
        <v>3140</v>
      </c>
      <c r="M359" s="16">
        <f t="shared" si="22"/>
        <v>3140</v>
      </c>
      <c r="N359" s="16">
        <f t="shared" si="22"/>
        <v>3140</v>
      </c>
    </row>
    <row r="360" spans="2:15" s="3" customFormat="1" x14ac:dyDescent="0.2">
      <c r="B360" s="18"/>
      <c r="C360" s="18" t="s">
        <v>519</v>
      </c>
      <c r="D360" s="13" t="s">
        <v>16</v>
      </c>
      <c r="E360" s="13" t="s">
        <v>14</v>
      </c>
      <c r="F360" s="17"/>
    </row>
    <row r="361" spans="2:15" x14ac:dyDescent="0.2">
      <c r="B361" s="9"/>
      <c r="C361" s="9" t="s">
        <v>520</v>
      </c>
      <c r="D361" s="13" t="s">
        <v>16</v>
      </c>
      <c r="E361" s="13" t="s">
        <v>14</v>
      </c>
      <c r="F361" s="17">
        <v>4356</v>
      </c>
      <c r="H361" s="16">
        <f t="shared" si="22"/>
        <v>4356</v>
      </c>
      <c r="I361" s="16">
        <f t="shared" si="22"/>
        <v>4356</v>
      </c>
      <c r="J361" s="16">
        <f t="shared" si="22"/>
        <v>4356</v>
      </c>
      <c r="K361" s="16">
        <f t="shared" si="22"/>
        <v>4356</v>
      </c>
      <c r="L361" s="16">
        <f t="shared" si="22"/>
        <v>4356</v>
      </c>
      <c r="M361" s="16">
        <f t="shared" si="22"/>
        <v>4356</v>
      </c>
      <c r="N361" s="16">
        <f t="shared" si="22"/>
        <v>4356</v>
      </c>
    </row>
    <row r="362" spans="2:15" s="3" customFormat="1" x14ac:dyDescent="0.2">
      <c r="B362" s="18"/>
      <c r="C362" s="18" t="s">
        <v>38</v>
      </c>
      <c r="D362" s="13" t="s">
        <v>16</v>
      </c>
      <c r="E362" s="13" t="s">
        <v>14</v>
      </c>
      <c r="F362" s="17"/>
    </row>
    <row r="363" spans="2:15" x14ac:dyDescent="0.2">
      <c r="B363" s="9"/>
      <c r="C363" s="9" t="s">
        <v>39</v>
      </c>
      <c r="D363" s="13" t="s">
        <v>16</v>
      </c>
      <c r="E363" s="13" t="s">
        <v>14</v>
      </c>
      <c r="F363" s="17">
        <v>4197</v>
      </c>
      <c r="H363" s="16">
        <f t="shared" ref="H363:N365" si="23">$F363</f>
        <v>4197</v>
      </c>
      <c r="I363" s="16">
        <f t="shared" si="23"/>
        <v>4197</v>
      </c>
      <c r="J363" s="16">
        <f t="shared" si="23"/>
        <v>4197</v>
      </c>
      <c r="K363" s="16">
        <f t="shared" si="23"/>
        <v>4197</v>
      </c>
      <c r="L363" s="16">
        <f t="shared" si="23"/>
        <v>4197</v>
      </c>
      <c r="M363" s="16">
        <f t="shared" si="23"/>
        <v>4197</v>
      </c>
      <c r="N363" s="16">
        <f t="shared" si="23"/>
        <v>4197</v>
      </c>
    </row>
    <row r="364" spans="2:15" x14ac:dyDescent="0.2">
      <c r="B364" s="9"/>
      <c r="C364" s="9" t="s">
        <v>40</v>
      </c>
      <c r="D364" s="13" t="s">
        <v>16</v>
      </c>
      <c r="E364" s="13" t="s">
        <v>14</v>
      </c>
      <c r="F364" s="17">
        <v>395</v>
      </c>
      <c r="H364" s="16">
        <f t="shared" si="23"/>
        <v>395</v>
      </c>
      <c r="I364" s="16">
        <f t="shared" si="23"/>
        <v>395</v>
      </c>
      <c r="J364" s="16">
        <f t="shared" si="23"/>
        <v>395</v>
      </c>
      <c r="K364" s="16">
        <f t="shared" si="23"/>
        <v>395</v>
      </c>
      <c r="L364" s="16">
        <f t="shared" si="23"/>
        <v>395</v>
      </c>
      <c r="M364" s="16">
        <f t="shared" si="23"/>
        <v>395</v>
      </c>
      <c r="N364" s="16">
        <f t="shared" si="23"/>
        <v>395</v>
      </c>
    </row>
    <row r="365" spans="2:15" x14ac:dyDescent="0.2">
      <c r="B365" s="9"/>
      <c r="C365" s="9" t="s">
        <v>41</v>
      </c>
      <c r="D365" s="13" t="s">
        <v>16</v>
      </c>
      <c r="E365" s="13" t="s">
        <v>14</v>
      </c>
      <c r="F365" s="17">
        <v>671</v>
      </c>
      <c r="H365" s="16">
        <f t="shared" si="23"/>
        <v>671</v>
      </c>
      <c r="I365" s="16">
        <f t="shared" si="23"/>
        <v>671</v>
      </c>
      <c r="J365" s="16">
        <f t="shared" si="23"/>
        <v>671</v>
      </c>
      <c r="K365" s="16">
        <f t="shared" si="23"/>
        <v>671</v>
      </c>
      <c r="L365" s="16">
        <f t="shared" si="23"/>
        <v>671</v>
      </c>
      <c r="M365" s="16">
        <f t="shared" si="23"/>
        <v>671</v>
      </c>
      <c r="N365" s="16">
        <f t="shared" si="23"/>
        <v>671</v>
      </c>
    </row>
    <row r="366" spans="2:15" s="3" customFormat="1" x14ac:dyDescent="0.2">
      <c r="B366" s="18"/>
      <c r="C366" s="18" t="s">
        <v>42</v>
      </c>
      <c r="D366" s="13" t="s">
        <v>16</v>
      </c>
      <c r="E366" s="13" t="s">
        <v>14</v>
      </c>
      <c r="F366" s="17"/>
    </row>
    <row r="367" spans="2:15" x14ac:dyDescent="0.2">
      <c r="B367" s="9"/>
      <c r="C367" s="9" t="s">
        <v>43</v>
      </c>
      <c r="D367" s="13" t="s">
        <v>16</v>
      </c>
      <c r="E367" s="13" t="s">
        <v>14</v>
      </c>
      <c r="F367" s="17">
        <v>3353</v>
      </c>
      <c r="H367" s="16">
        <f t="shared" ref="H367:N368" si="24">$F367</f>
        <v>3353</v>
      </c>
      <c r="I367" s="16">
        <f t="shared" si="24"/>
        <v>3353</v>
      </c>
      <c r="J367" s="16">
        <f t="shared" si="24"/>
        <v>3353</v>
      </c>
      <c r="K367" s="16">
        <f t="shared" si="24"/>
        <v>3353</v>
      </c>
      <c r="L367" s="16">
        <f t="shared" si="24"/>
        <v>3353</v>
      </c>
      <c r="M367" s="16">
        <f t="shared" si="24"/>
        <v>3353</v>
      </c>
      <c r="N367" s="16">
        <f t="shared" si="24"/>
        <v>3353</v>
      </c>
    </row>
    <row r="368" spans="2:15" x14ac:dyDescent="0.2">
      <c r="B368" s="9"/>
      <c r="C368" s="9" t="s">
        <v>44</v>
      </c>
      <c r="D368" s="13" t="s">
        <v>16</v>
      </c>
      <c r="E368" s="13" t="s">
        <v>14</v>
      </c>
      <c r="F368" s="17">
        <v>5853</v>
      </c>
      <c r="H368" s="16">
        <f t="shared" si="24"/>
        <v>5853</v>
      </c>
      <c r="I368" s="16">
        <f t="shared" si="24"/>
        <v>5853</v>
      </c>
      <c r="J368" s="16">
        <f t="shared" si="24"/>
        <v>5853</v>
      </c>
      <c r="K368" s="16">
        <f t="shared" si="24"/>
        <v>5853</v>
      </c>
      <c r="L368" s="16">
        <f t="shared" si="24"/>
        <v>5853</v>
      </c>
      <c r="M368" s="16">
        <f t="shared" si="24"/>
        <v>5853</v>
      </c>
      <c r="N368" s="16">
        <f t="shared" si="24"/>
        <v>5853</v>
      </c>
    </row>
    <row r="369" spans="2:18" s="3" customFormat="1" x14ac:dyDescent="0.2">
      <c r="B369" s="18"/>
      <c r="C369" s="18" t="s">
        <v>45</v>
      </c>
      <c r="D369" s="13" t="s">
        <v>16</v>
      </c>
      <c r="E369" s="13" t="s">
        <v>14</v>
      </c>
      <c r="F369" s="17"/>
      <c r="G369" s="17"/>
      <c r="H369" s="17"/>
      <c r="I369" s="17"/>
      <c r="J369" s="17"/>
      <c r="K369" s="17"/>
      <c r="L369" s="17"/>
      <c r="M369" s="17"/>
      <c r="N369" s="17"/>
      <c r="O369" s="17"/>
    </row>
    <row r="370" spans="2:18" x14ac:dyDescent="0.2">
      <c r="B370" s="9"/>
      <c r="C370" s="9" t="s">
        <v>46</v>
      </c>
      <c r="D370" s="13" t="s">
        <v>16</v>
      </c>
      <c r="E370" s="13" t="s">
        <v>14</v>
      </c>
      <c r="F370" s="17">
        <v>3117</v>
      </c>
      <c r="H370" s="16">
        <f t="shared" ref="H370:N371" si="25">$F370</f>
        <v>3117</v>
      </c>
      <c r="I370" s="16">
        <f t="shared" si="25"/>
        <v>3117</v>
      </c>
      <c r="J370" s="16">
        <f t="shared" si="25"/>
        <v>3117</v>
      </c>
      <c r="K370" s="16">
        <f t="shared" si="25"/>
        <v>3117</v>
      </c>
      <c r="L370" s="16">
        <f t="shared" si="25"/>
        <v>3117</v>
      </c>
      <c r="M370" s="16">
        <f t="shared" si="25"/>
        <v>3117</v>
      </c>
      <c r="N370" s="16">
        <f t="shared" si="25"/>
        <v>3117</v>
      </c>
    </row>
    <row r="371" spans="2:18" x14ac:dyDescent="0.2">
      <c r="B371" s="9"/>
      <c r="C371" s="9" t="s">
        <v>47</v>
      </c>
      <c r="D371" s="13" t="s">
        <v>16</v>
      </c>
      <c r="E371" s="13" t="s">
        <v>14</v>
      </c>
      <c r="F371" s="17">
        <v>2183</v>
      </c>
      <c r="H371" s="16">
        <f t="shared" si="25"/>
        <v>2183</v>
      </c>
      <c r="I371" s="16">
        <f t="shared" si="25"/>
        <v>2183</v>
      </c>
      <c r="J371" s="16">
        <f t="shared" si="25"/>
        <v>2183</v>
      </c>
      <c r="K371" s="16">
        <f t="shared" si="25"/>
        <v>2183</v>
      </c>
      <c r="L371" s="16">
        <f t="shared" si="25"/>
        <v>2183</v>
      </c>
      <c r="M371" s="16">
        <f t="shared" si="25"/>
        <v>2183</v>
      </c>
      <c r="N371" s="16">
        <f t="shared" si="25"/>
        <v>2183</v>
      </c>
    </row>
    <row r="372" spans="2:18" s="3" customFormat="1" x14ac:dyDescent="0.2">
      <c r="B372" s="18"/>
      <c r="C372" s="18" t="s">
        <v>48</v>
      </c>
      <c r="D372" s="13" t="s">
        <v>16</v>
      </c>
      <c r="E372" s="13" t="s">
        <v>14</v>
      </c>
      <c r="F372" s="17"/>
      <c r="G372" s="17"/>
      <c r="H372" s="17"/>
      <c r="I372" s="17"/>
      <c r="J372" s="17"/>
      <c r="K372" s="17"/>
      <c r="L372" s="17"/>
      <c r="M372" s="17"/>
      <c r="N372" s="17"/>
      <c r="O372" s="17"/>
      <c r="P372" s="17"/>
      <c r="Q372" s="17"/>
      <c r="R372" s="17"/>
    </row>
    <row r="373" spans="2:18" x14ac:dyDescent="0.2">
      <c r="B373" s="9"/>
      <c r="C373" s="9" t="s">
        <v>49</v>
      </c>
      <c r="D373" s="13" t="s">
        <v>16</v>
      </c>
      <c r="E373" s="13" t="s">
        <v>14</v>
      </c>
      <c r="F373" s="17">
        <v>6114</v>
      </c>
      <c r="H373" s="16">
        <f t="shared" ref="H373:N375" si="26">$F373</f>
        <v>6114</v>
      </c>
      <c r="I373" s="16">
        <f t="shared" si="26"/>
        <v>6114</v>
      </c>
      <c r="J373" s="16">
        <f t="shared" si="26"/>
        <v>6114</v>
      </c>
      <c r="K373" s="16">
        <f t="shared" si="26"/>
        <v>6114</v>
      </c>
      <c r="L373" s="16">
        <f t="shared" si="26"/>
        <v>6114</v>
      </c>
      <c r="M373" s="16">
        <f t="shared" si="26"/>
        <v>6114</v>
      </c>
      <c r="N373" s="16">
        <f t="shared" si="26"/>
        <v>6114</v>
      </c>
    </row>
    <row r="374" spans="2:18" x14ac:dyDescent="0.2">
      <c r="B374" s="9"/>
      <c r="C374" s="9" t="s">
        <v>50</v>
      </c>
      <c r="D374" s="13" t="s">
        <v>16</v>
      </c>
      <c r="E374" s="13" t="s">
        <v>14</v>
      </c>
      <c r="F374" s="17">
        <v>7225</v>
      </c>
      <c r="H374" s="16">
        <f t="shared" si="26"/>
        <v>7225</v>
      </c>
      <c r="I374" s="16">
        <f t="shared" si="26"/>
        <v>7225</v>
      </c>
      <c r="J374" s="16">
        <f t="shared" si="26"/>
        <v>7225</v>
      </c>
      <c r="K374" s="16">
        <f t="shared" si="26"/>
        <v>7225</v>
      </c>
      <c r="L374" s="16">
        <f t="shared" si="26"/>
        <v>7225</v>
      </c>
      <c r="M374" s="16">
        <f t="shared" si="26"/>
        <v>7225</v>
      </c>
      <c r="N374" s="16">
        <f t="shared" si="26"/>
        <v>7225</v>
      </c>
    </row>
    <row r="375" spans="2:18" x14ac:dyDescent="0.2">
      <c r="B375" s="9"/>
      <c r="C375" s="9" t="s">
        <v>51</v>
      </c>
      <c r="D375" s="13" t="s">
        <v>16</v>
      </c>
      <c r="E375" s="13" t="s">
        <v>14</v>
      </c>
      <c r="F375" s="17">
        <v>3045</v>
      </c>
      <c r="H375" s="16">
        <f t="shared" si="26"/>
        <v>3045</v>
      </c>
      <c r="I375" s="16">
        <f t="shared" si="26"/>
        <v>3045</v>
      </c>
      <c r="J375" s="16">
        <f t="shared" si="26"/>
        <v>3045</v>
      </c>
      <c r="K375" s="16">
        <f t="shared" si="26"/>
        <v>3045</v>
      </c>
      <c r="L375" s="16">
        <f t="shared" si="26"/>
        <v>3045</v>
      </c>
      <c r="M375" s="16">
        <f t="shared" si="26"/>
        <v>3045</v>
      </c>
      <c r="N375" s="16">
        <f t="shared" si="26"/>
        <v>3045</v>
      </c>
    </row>
    <row r="376" spans="2:18" s="3" customFormat="1" x14ac:dyDescent="0.2">
      <c r="B376" s="18"/>
      <c r="C376" s="18" t="s">
        <v>52</v>
      </c>
      <c r="D376" s="13" t="s">
        <v>16</v>
      </c>
      <c r="E376" s="13" t="s">
        <v>14</v>
      </c>
      <c r="F376" s="17"/>
      <c r="G376" s="17"/>
      <c r="H376" s="17"/>
      <c r="I376" s="17"/>
      <c r="J376" s="17"/>
      <c r="K376" s="17"/>
      <c r="L376" s="17"/>
      <c r="M376" s="17"/>
      <c r="N376" s="17"/>
      <c r="O376" s="17"/>
    </row>
    <row r="377" spans="2:18" x14ac:dyDescent="0.2">
      <c r="B377" s="9"/>
      <c r="C377" s="9" t="s">
        <v>53</v>
      </c>
      <c r="D377" s="13" t="s">
        <v>16</v>
      </c>
      <c r="E377" s="13" t="s">
        <v>14</v>
      </c>
      <c r="F377" s="17">
        <v>7803</v>
      </c>
      <c r="H377" s="16">
        <f t="shared" ref="H377:N377" si="27">$F377</f>
        <v>7803</v>
      </c>
      <c r="I377" s="16">
        <f t="shared" si="27"/>
        <v>7803</v>
      </c>
      <c r="J377" s="16">
        <f t="shared" si="27"/>
        <v>7803</v>
      </c>
      <c r="K377" s="16">
        <f t="shared" si="27"/>
        <v>7803</v>
      </c>
      <c r="L377" s="16">
        <f t="shared" si="27"/>
        <v>7803</v>
      </c>
      <c r="M377" s="16">
        <f t="shared" si="27"/>
        <v>7803</v>
      </c>
      <c r="N377" s="16">
        <f t="shared" si="27"/>
        <v>7803</v>
      </c>
    </row>
    <row r="378" spans="2:18" s="3" customFormat="1" x14ac:dyDescent="0.2">
      <c r="B378" s="18"/>
      <c r="C378" s="94" t="s">
        <v>54</v>
      </c>
      <c r="D378" s="95" t="s">
        <v>16</v>
      </c>
      <c r="E378" s="95" t="s">
        <v>14</v>
      </c>
      <c r="F378" s="34">
        <f>+SUM(F348:F377)</f>
        <v>58568</v>
      </c>
      <c r="H378" s="34">
        <f t="shared" ref="H378:N378" si="28">+SUM(H348:H377)</f>
        <v>58568</v>
      </c>
      <c r="I378" s="34">
        <f t="shared" si="28"/>
        <v>58568</v>
      </c>
      <c r="J378" s="34">
        <f t="shared" si="28"/>
        <v>58568</v>
      </c>
      <c r="K378" s="34">
        <f t="shared" si="28"/>
        <v>58568</v>
      </c>
      <c r="L378" s="34">
        <f t="shared" si="28"/>
        <v>58568</v>
      </c>
      <c r="M378" s="34">
        <f t="shared" si="28"/>
        <v>58568</v>
      </c>
      <c r="N378" s="34">
        <f t="shared" si="28"/>
        <v>58568</v>
      </c>
    </row>
    <row r="379" spans="2:18" x14ac:dyDescent="0.2">
      <c r="B379" s="9"/>
      <c r="C379" s="9"/>
      <c r="F379" s="17"/>
    </row>
    <row r="380" spans="2:18" x14ac:dyDescent="0.2">
      <c r="B380" s="32" t="s">
        <v>5</v>
      </c>
      <c r="C380" s="9"/>
      <c r="F380" s="19"/>
    </row>
    <row r="381" spans="2:18" x14ac:dyDescent="0.2">
      <c r="B381" s="9"/>
      <c r="C381" s="9"/>
      <c r="F381" s="19"/>
    </row>
    <row r="382" spans="2:18" x14ac:dyDescent="0.2">
      <c r="B382" s="18" t="s">
        <v>58</v>
      </c>
      <c r="C382" s="18"/>
      <c r="F382" s="19"/>
    </row>
    <row r="383" spans="2:18" x14ac:dyDescent="0.2">
      <c r="B383" s="9"/>
      <c r="C383" s="18" t="s">
        <v>25</v>
      </c>
      <c r="D383" s="13" t="s">
        <v>13</v>
      </c>
      <c r="E383" s="13" t="s">
        <v>24</v>
      </c>
      <c r="F383" s="29"/>
      <c r="I383" s="29"/>
    </row>
    <row r="384" spans="2:18" x14ac:dyDescent="0.2">
      <c r="B384" s="9"/>
      <c r="C384" s="9" t="s">
        <v>26</v>
      </c>
      <c r="D384" s="13" t="s">
        <v>13</v>
      </c>
      <c r="E384" s="13" t="s">
        <v>24</v>
      </c>
      <c r="F384" s="29">
        <f>+F42</f>
        <v>0.36219786892856132</v>
      </c>
      <c r="H384" s="99">
        <f t="shared" ref="H384:N384" si="29">H$42</f>
        <v>0.2986211243648757</v>
      </c>
      <c r="I384" s="29">
        <f t="shared" si="29"/>
        <v>0.33434614315874939</v>
      </c>
      <c r="J384" s="99">
        <f t="shared" si="29"/>
        <v>0.35166982944947772</v>
      </c>
      <c r="K384" s="99">
        <f t="shared" si="29"/>
        <v>0.36864836518529881</v>
      </c>
      <c r="L384" s="99">
        <f t="shared" si="29"/>
        <v>0.3689199593297347</v>
      </c>
      <c r="M384" s="99">
        <f t="shared" si="29"/>
        <v>0.36919276413458268</v>
      </c>
      <c r="N384" s="99">
        <f t="shared" si="29"/>
        <v>0.36946696667571866</v>
      </c>
    </row>
    <row r="385" spans="2:14" x14ac:dyDescent="0.2">
      <c r="B385" s="9"/>
      <c r="C385" s="9" t="s">
        <v>27</v>
      </c>
      <c r="D385" s="13" t="s">
        <v>13</v>
      </c>
      <c r="E385" s="13" t="s">
        <v>24</v>
      </c>
      <c r="F385" s="29">
        <f>+F43</f>
        <v>0.29363827516267349</v>
      </c>
      <c r="H385" s="99">
        <f t="shared" ref="H385:N385" si="30">H$43</f>
        <v>0.24061024975719036</v>
      </c>
      <c r="I385" s="29">
        <f t="shared" si="30"/>
        <v>0.27046288682529268</v>
      </c>
      <c r="J385" s="99">
        <f t="shared" si="30"/>
        <v>0.28502428927470114</v>
      </c>
      <c r="K385" s="99">
        <f t="shared" si="30"/>
        <v>0.29935014125132292</v>
      </c>
      <c r="L385" s="99">
        <f t="shared" si="30"/>
        <v>0.29935013939424782</v>
      </c>
      <c r="M385" s="99">
        <f t="shared" si="30"/>
        <v>0.29935008421922688</v>
      </c>
      <c r="N385" s="99">
        <f t="shared" si="30"/>
        <v>0.29935011403655559</v>
      </c>
    </row>
    <row r="386" spans="2:14" x14ac:dyDescent="0.2">
      <c r="B386" s="9"/>
      <c r="C386" s="9" t="s">
        <v>28</v>
      </c>
      <c r="D386" s="13" t="s">
        <v>13</v>
      </c>
      <c r="E386" s="13" t="s">
        <v>24</v>
      </c>
      <c r="F386" s="24">
        <v>0</v>
      </c>
      <c r="H386" s="230">
        <v>0</v>
      </c>
      <c r="I386" s="24">
        <v>0</v>
      </c>
      <c r="J386" s="230">
        <v>0</v>
      </c>
      <c r="K386" s="230">
        <v>0</v>
      </c>
      <c r="L386" s="230">
        <v>0</v>
      </c>
      <c r="M386" s="230">
        <v>0</v>
      </c>
      <c r="N386" s="230">
        <v>0</v>
      </c>
    </row>
    <row r="387" spans="2:14" x14ac:dyDescent="0.2">
      <c r="B387" s="9"/>
      <c r="C387" s="9" t="s">
        <v>29</v>
      </c>
      <c r="D387" s="13" t="s">
        <v>13</v>
      </c>
      <c r="E387" s="13" t="s">
        <v>24</v>
      </c>
      <c r="F387" s="24">
        <v>0</v>
      </c>
      <c r="H387" s="230">
        <v>0</v>
      </c>
      <c r="I387" s="24">
        <v>0</v>
      </c>
      <c r="J387" s="230">
        <v>0</v>
      </c>
      <c r="K387" s="230">
        <v>0</v>
      </c>
      <c r="L387" s="230">
        <v>0</v>
      </c>
      <c r="M387" s="230">
        <v>0</v>
      </c>
      <c r="N387" s="230">
        <v>0</v>
      </c>
    </row>
    <row r="388" spans="2:14" x14ac:dyDescent="0.2">
      <c r="B388" s="9"/>
      <c r="C388" s="18" t="s">
        <v>30</v>
      </c>
      <c r="D388" s="13" t="s">
        <v>13</v>
      </c>
      <c r="E388" s="13" t="s">
        <v>24</v>
      </c>
      <c r="F388" s="29"/>
      <c r="H388" s="99"/>
      <c r="I388" s="29"/>
      <c r="J388" s="99"/>
      <c r="K388" s="99"/>
      <c r="L388" s="99"/>
      <c r="M388" s="99"/>
      <c r="N388" s="99"/>
    </row>
    <row r="389" spans="2:14" x14ac:dyDescent="0.2">
      <c r="B389" s="9"/>
      <c r="C389" s="9" t="s">
        <v>31</v>
      </c>
      <c r="D389" s="13" t="s">
        <v>13</v>
      </c>
      <c r="E389" s="13" t="s">
        <v>24</v>
      </c>
      <c r="F389" s="29">
        <f>+F44</f>
        <v>0.1317877462290199</v>
      </c>
      <c r="H389" s="99">
        <f t="shared" ref="H389:N390" si="31">H$44</f>
        <v>9.0223029503405106E-2</v>
      </c>
      <c r="I389" s="29">
        <f t="shared" si="31"/>
        <v>0.10728946335802415</v>
      </c>
      <c r="J389" s="99">
        <f t="shared" si="31"/>
        <v>0.12150101029053979</v>
      </c>
      <c r="K389" s="99">
        <f t="shared" si="31"/>
        <v>0.13307012450546299</v>
      </c>
      <c r="L389" s="99">
        <f t="shared" si="31"/>
        <v>0.13784191694396622</v>
      </c>
      <c r="M389" s="99">
        <f t="shared" si="31"/>
        <v>0.14043855972294852</v>
      </c>
      <c r="N389" s="99">
        <f t="shared" si="31"/>
        <v>0.14359060896222453</v>
      </c>
    </row>
    <row r="390" spans="2:14" x14ac:dyDescent="0.2">
      <c r="B390" s="9"/>
      <c r="C390" s="9" t="s">
        <v>32</v>
      </c>
      <c r="D390" s="13" t="s">
        <v>13</v>
      </c>
      <c r="E390" s="13" t="s">
        <v>24</v>
      </c>
      <c r="F390" s="29">
        <f>+F44</f>
        <v>0.1317877462290199</v>
      </c>
      <c r="H390" s="99">
        <f t="shared" si="31"/>
        <v>9.0223029503405106E-2</v>
      </c>
      <c r="I390" s="29">
        <f t="shared" si="31"/>
        <v>0.10728946335802415</v>
      </c>
      <c r="J390" s="99">
        <f t="shared" si="31"/>
        <v>0.12150101029053979</v>
      </c>
      <c r="K390" s="99">
        <f t="shared" si="31"/>
        <v>0.13307012450546299</v>
      </c>
      <c r="L390" s="99">
        <f t="shared" si="31"/>
        <v>0.13784191694396622</v>
      </c>
      <c r="M390" s="99">
        <f t="shared" si="31"/>
        <v>0.14043855972294852</v>
      </c>
      <c r="N390" s="99">
        <f t="shared" si="31"/>
        <v>0.14359060896222453</v>
      </c>
    </row>
    <row r="391" spans="2:14" x14ac:dyDescent="0.2">
      <c r="B391" s="9"/>
      <c r="C391" s="18" t="s">
        <v>33</v>
      </c>
      <c r="D391" s="13" t="s">
        <v>13</v>
      </c>
      <c r="E391" s="13" t="s">
        <v>24</v>
      </c>
      <c r="F391" s="29"/>
      <c r="H391" s="99"/>
      <c r="I391" s="29"/>
      <c r="J391" s="99"/>
      <c r="K391" s="99"/>
      <c r="L391" s="99"/>
      <c r="M391" s="99"/>
      <c r="N391" s="99"/>
    </row>
    <row r="392" spans="2:14" x14ac:dyDescent="0.2">
      <c r="B392" s="9"/>
      <c r="C392" s="9" t="s">
        <v>34</v>
      </c>
      <c r="D392" s="13" t="s">
        <v>13</v>
      </c>
      <c r="E392" s="13" t="s">
        <v>24</v>
      </c>
      <c r="F392" s="29">
        <f>+F43</f>
        <v>0.29363827516267349</v>
      </c>
      <c r="H392" s="99">
        <f t="shared" ref="H392:N392" si="32">H$43</f>
        <v>0.24061024975719036</v>
      </c>
      <c r="I392" s="29">
        <f t="shared" si="32"/>
        <v>0.27046288682529268</v>
      </c>
      <c r="J392" s="99">
        <f t="shared" si="32"/>
        <v>0.28502428927470114</v>
      </c>
      <c r="K392" s="99">
        <f t="shared" si="32"/>
        <v>0.29935014125132292</v>
      </c>
      <c r="L392" s="99">
        <f t="shared" si="32"/>
        <v>0.29935013939424782</v>
      </c>
      <c r="M392" s="99">
        <f t="shared" si="32"/>
        <v>0.29935008421922688</v>
      </c>
      <c r="N392" s="99">
        <f t="shared" si="32"/>
        <v>0.29935011403655559</v>
      </c>
    </row>
    <row r="393" spans="2:14" x14ac:dyDescent="0.2">
      <c r="B393" s="9"/>
      <c r="C393" s="9" t="s">
        <v>35</v>
      </c>
      <c r="D393" s="13" t="s">
        <v>13</v>
      </c>
      <c r="E393" s="13" t="s">
        <v>24</v>
      </c>
      <c r="F393" s="29">
        <v>0</v>
      </c>
      <c r="H393" s="230">
        <v>0</v>
      </c>
      <c r="I393" s="230">
        <v>0</v>
      </c>
      <c r="J393" s="230">
        <v>0</v>
      </c>
      <c r="K393" s="230">
        <v>0</v>
      </c>
      <c r="L393" s="230">
        <v>0</v>
      </c>
      <c r="M393" s="230">
        <v>0</v>
      </c>
      <c r="N393" s="230">
        <v>0</v>
      </c>
    </row>
    <row r="394" spans="2:14" x14ac:dyDescent="0.2">
      <c r="B394" s="9"/>
      <c r="C394" s="18" t="s">
        <v>36</v>
      </c>
      <c r="D394" s="13" t="s">
        <v>13</v>
      </c>
      <c r="E394" s="13" t="s">
        <v>24</v>
      </c>
      <c r="F394" s="29"/>
      <c r="H394" s="99"/>
      <c r="I394" s="29"/>
      <c r="J394" s="99"/>
      <c r="K394" s="99"/>
      <c r="L394" s="99"/>
      <c r="M394" s="99"/>
      <c r="N394" s="99"/>
    </row>
    <row r="395" spans="2:14" x14ac:dyDescent="0.2">
      <c r="B395" s="9"/>
      <c r="C395" s="9" t="s">
        <v>37</v>
      </c>
      <c r="D395" s="13" t="s">
        <v>13</v>
      </c>
      <c r="E395" s="13" t="s">
        <v>24</v>
      </c>
      <c r="F395" s="29">
        <f>+F43</f>
        <v>0.29363827516267349</v>
      </c>
      <c r="H395" s="99">
        <f t="shared" ref="H395:N397" si="33">H$43</f>
        <v>0.24061024975719036</v>
      </c>
      <c r="I395" s="29">
        <f t="shared" si="33"/>
        <v>0.27046288682529268</v>
      </c>
      <c r="J395" s="99">
        <f t="shared" si="33"/>
        <v>0.28502428927470114</v>
      </c>
      <c r="K395" s="99">
        <f t="shared" si="33"/>
        <v>0.29935014125132292</v>
      </c>
      <c r="L395" s="99">
        <f t="shared" si="33"/>
        <v>0.29935013939424782</v>
      </c>
      <c r="M395" s="99">
        <f t="shared" si="33"/>
        <v>0.29935008421922688</v>
      </c>
      <c r="N395" s="99">
        <f t="shared" si="33"/>
        <v>0.29935011403655559</v>
      </c>
    </row>
    <row r="396" spans="2:14" x14ac:dyDescent="0.2">
      <c r="B396" s="9"/>
      <c r="C396" s="18" t="s">
        <v>519</v>
      </c>
      <c r="D396" s="13" t="s">
        <v>13</v>
      </c>
      <c r="E396" s="13" t="s">
        <v>24</v>
      </c>
      <c r="F396" s="29"/>
      <c r="H396" s="99"/>
      <c r="I396" s="29"/>
      <c r="J396" s="99"/>
      <c r="K396" s="99"/>
      <c r="L396" s="99"/>
      <c r="M396" s="99"/>
      <c r="N396" s="99"/>
    </row>
    <row r="397" spans="2:14" x14ac:dyDescent="0.2">
      <c r="B397" s="9"/>
      <c r="C397" s="9" t="s">
        <v>520</v>
      </c>
      <c r="D397" s="13" t="s">
        <v>13</v>
      </c>
      <c r="E397" s="13" t="s">
        <v>24</v>
      </c>
      <c r="F397" s="29">
        <f>+F43</f>
        <v>0.29363827516267349</v>
      </c>
      <c r="H397" s="99">
        <f t="shared" si="33"/>
        <v>0.24061024975719036</v>
      </c>
      <c r="I397" s="29">
        <f t="shared" si="33"/>
        <v>0.27046288682529268</v>
      </c>
      <c r="J397" s="99">
        <f t="shared" si="33"/>
        <v>0.28502428927470114</v>
      </c>
      <c r="K397" s="99">
        <f t="shared" si="33"/>
        <v>0.29935014125132292</v>
      </c>
      <c r="L397" s="99">
        <f t="shared" si="33"/>
        <v>0.29935013939424782</v>
      </c>
      <c r="M397" s="99">
        <f t="shared" si="33"/>
        <v>0.29935008421922688</v>
      </c>
      <c r="N397" s="99">
        <f t="shared" si="33"/>
        <v>0.29935011403655559</v>
      </c>
    </row>
    <row r="398" spans="2:14" x14ac:dyDescent="0.2">
      <c r="B398" s="9"/>
      <c r="C398" s="18" t="s">
        <v>38</v>
      </c>
      <c r="D398" s="13" t="s">
        <v>13</v>
      </c>
      <c r="E398" s="13" t="s">
        <v>24</v>
      </c>
      <c r="F398" s="29"/>
      <c r="H398" s="99"/>
      <c r="I398" s="29"/>
      <c r="J398" s="99"/>
      <c r="K398" s="99"/>
      <c r="L398" s="99"/>
      <c r="M398" s="99"/>
      <c r="N398" s="99"/>
    </row>
    <row r="399" spans="2:14" x14ac:dyDescent="0.2">
      <c r="B399" s="9"/>
      <c r="C399" s="9" t="s">
        <v>39</v>
      </c>
      <c r="D399" s="13" t="s">
        <v>13</v>
      </c>
      <c r="E399" s="13" t="s">
        <v>24</v>
      </c>
      <c r="F399" s="29">
        <f>+F43</f>
        <v>0.29363827516267349</v>
      </c>
      <c r="H399" s="99">
        <f t="shared" ref="H399:N399" si="34">H$43</f>
        <v>0.24061024975719036</v>
      </c>
      <c r="I399" s="29">
        <f t="shared" si="34"/>
        <v>0.27046288682529268</v>
      </c>
      <c r="J399" s="99">
        <f t="shared" si="34"/>
        <v>0.28502428927470114</v>
      </c>
      <c r="K399" s="99">
        <f t="shared" si="34"/>
        <v>0.29935014125132292</v>
      </c>
      <c r="L399" s="99">
        <f t="shared" si="34"/>
        <v>0.29935013939424782</v>
      </c>
      <c r="M399" s="99">
        <f t="shared" si="34"/>
        <v>0.29935008421922688</v>
      </c>
      <c r="N399" s="99">
        <f t="shared" si="34"/>
        <v>0.29935011403655559</v>
      </c>
    </row>
    <row r="400" spans="2:14" x14ac:dyDescent="0.2">
      <c r="B400" s="9"/>
      <c r="C400" s="9" t="s">
        <v>40</v>
      </c>
      <c r="D400" s="13" t="s">
        <v>13</v>
      </c>
      <c r="E400" s="13" t="s">
        <v>24</v>
      </c>
      <c r="F400" s="24">
        <v>0</v>
      </c>
      <c r="H400" s="230">
        <v>0</v>
      </c>
      <c r="I400" s="24">
        <v>0</v>
      </c>
      <c r="J400" s="230">
        <v>0</v>
      </c>
      <c r="K400" s="230">
        <v>0</v>
      </c>
      <c r="L400" s="230">
        <v>0</v>
      </c>
      <c r="M400" s="230">
        <v>0</v>
      </c>
      <c r="N400" s="230">
        <v>0</v>
      </c>
    </row>
    <row r="401" spans="2:14" x14ac:dyDescent="0.2">
      <c r="B401" s="9"/>
      <c r="C401" s="9" t="s">
        <v>41</v>
      </c>
      <c r="D401" s="13" t="s">
        <v>13</v>
      </c>
      <c r="E401" s="13" t="s">
        <v>24</v>
      </c>
      <c r="F401" s="24">
        <v>0</v>
      </c>
      <c r="H401" s="230">
        <v>0</v>
      </c>
      <c r="I401" s="24">
        <v>0</v>
      </c>
      <c r="J401" s="230">
        <v>0</v>
      </c>
      <c r="K401" s="230">
        <v>0</v>
      </c>
      <c r="L401" s="230">
        <v>0</v>
      </c>
      <c r="M401" s="230">
        <v>0</v>
      </c>
      <c r="N401" s="230">
        <v>0</v>
      </c>
    </row>
    <row r="402" spans="2:14" x14ac:dyDescent="0.2">
      <c r="B402" s="9"/>
      <c r="C402" s="18" t="s">
        <v>42</v>
      </c>
      <c r="D402" s="13" t="s">
        <v>13</v>
      </c>
      <c r="E402" s="13" t="s">
        <v>24</v>
      </c>
      <c r="F402" s="29"/>
      <c r="H402" s="99"/>
      <c r="I402" s="29"/>
      <c r="J402" s="99"/>
      <c r="K402" s="99"/>
      <c r="L402" s="99"/>
      <c r="M402" s="99"/>
      <c r="N402" s="99"/>
    </row>
    <row r="403" spans="2:14" x14ac:dyDescent="0.2">
      <c r="B403" s="9"/>
      <c r="C403" s="9" t="s">
        <v>43</v>
      </c>
      <c r="D403" s="13" t="s">
        <v>13</v>
      </c>
      <c r="E403" s="13" t="s">
        <v>24</v>
      </c>
      <c r="F403" s="29">
        <v>0</v>
      </c>
      <c r="H403" s="99">
        <v>0</v>
      </c>
      <c r="I403" s="29">
        <v>0</v>
      </c>
      <c r="J403" s="99">
        <v>0</v>
      </c>
      <c r="K403" s="99">
        <v>0</v>
      </c>
      <c r="L403" s="99">
        <v>0</v>
      </c>
      <c r="M403" s="99">
        <v>0</v>
      </c>
      <c r="N403" s="99">
        <v>0</v>
      </c>
    </row>
    <row r="404" spans="2:14" x14ac:dyDescent="0.2">
      <c r="B404" s="9"/>
      <c r="C404" s="9" t="s">
        <v>44</v>
      </c>
      <c r="D404" s="13" t="s">
        <v>13</v>
      </c>
      <c r="E404" s="13" t="s">
        <v>24</v>
      </c>
      <c r="F404" s="29">
        <v>0</v>
      </c>
      <c r="H404" s="99">
        <v>0</v>
      </c>
      <c r="I404" s="29">
        <v>0</v>
      </c>
      <c r="J404" s="99">
        <v>0</v>
      </c>
      <c r="K404" s="99">
        <v>0</v>
      </c>
      <c r="L404" s="99">
        <v>0</v>
      </c>
      <c r="M404" s="99">
        <v>0</v>
      </c>
      <c r="N404" s="99">
        <v>0</v>
      </c>
    </row>
    <row r="405" spans="2:14" x14ac:dyDescent="0.2">
      <c r="B405" s="9"/>
      <c r="C405" s="18" t="s">
        <v>45</v>
      </c>
      <c r="D405" s="13" t="s">
        <v>13</v>
      </c>
      <c r="E405" s="13" t="s">
        <v>24</v>
      </c>
      <c r="F405" s="29"/>
      <c r="H405" s="99"/>
      <c r="I405" s="29"/>
      <c r="J405" s="99"/>
      <c r="K405" s="99"/>
      <c r="L405" s="99"/>
      <c r="M405" s="99"/>
      <c r="N405" s="99"/>
    </row>
    <row r="406" spans="2:14" x14ac:dyDescent="0.2">
      <c r="B406" s="9"/>
      <c r="C406" s="9" t="s">
        <v>46</v>
      </c>
      <c r="D406" s="13" t="s">
        <v>13</v>
      </c>
      <c r="E406" s="13" t="s">
        <v>24</v>
      </c>
      <c r="F406" s="29">
        <f>+F43</f>
        <v>0.29363827516267349</v>
      </c>
      <c r="H406" s="99">
        <f t="shared" ref="H406:N407" si="35">H$43</f>
        <v>0.24061024975719036</v>
      </c>
      <c r="I406" s="29">
        <f t="shared" si="35"/>
        <v>0.27046288682529268</v>
      </c>
      <c r="J406" s="99">
        <f t="shared" si="35"/>
        <v>0.28502428927470114</v>
      </c>
      <c r="K406" s="99">
        <f t="shared" si="35"/>
        <v>0.29935014125132292</v>
      </c>
      <c r="L406" s="99">
        <f t="shared" si="35"/>
        <v>0.29935013939424782</v>
      </c>
      <c r="M406" s="99">
        <f t="shared" si="35"/>
        <v>0.29935008421922688</v>
      </c>
      <c r="N406" s="99">
        <f t="shared" si="35"/>
        <v>0.29935011403655559</v>
      </c>
    </row>
    <row r="407" spans="2:14" x14ac:dyDescent="0.2">
      <c r="B407" s="9"/>
      <c r="C407" s="9" t="s">
        <v>47</v>
      </c>
      <c r="D407" s="13" t="s">
        <v>13</v>
      </c>
      <c r="E407" s="13" t="s">
        <v>24</v>
      </c>
      <c r="F407" s="29">
        <f>+F43</f>
        <v>0.29363827516267349</v>
      </c>
      <c r="H407" s="99">
        <f t="shared" si="35"/>
        <v>0.24061024975719036</v>
      </c>
      <c r="I407" s="29">
        <f t="shared" si="35"/>
        <v>0.27046288682529268</v>
      </c>
      <c r="J407" s="99">
        <f t="shared" si="35"/>
        <v>0.28502428927470114</v>
      </c>
      <c r="K407" s="99">
        <f>K$43</f>
        <v>0.29935014125132292</v>
      </c>
      <c r="L407" s="99">
        <f t="shared" si="35"/>
        <v>0.29935013939424782</v>
      </c>
      <c r="M407" s="99">
        <f t="shared" si="35"/>
        <v>0.29935008421922688</v>
      </c>
      <c r="N407" s="99">
        <f t="shared" si="35"/>
        <v>0.29935011403655559</v>
      </c>
    </row>
    <row r="408" spans="2:14" x14ac:dyDescent="0.2">
      <c r="B408" s="9"/>
      <c r="C408" s="18" t="s">
        <v>48</v>
      </c>
      <c r="D408" s="13" t="s">
        <v>13</v>
      </c>
      <c r="E408" s="13" t="s">
        <v>24</v>
      </c>
      <c r="F408" s="29"/>
      <c r="H408" s="99"/>
      <c r="I408" s="29"/>
      <c r="J408" s="99"/>
      <c r="K408" s="99"/>
      <c r="L408" s="99"/>
      <c r="M408" s="99"/>
      <c r="N408" s="99"/>
    </row>
    <row r="409" spans="2:14" x14ac:dyDescent="0.2">
      <c r="B409" s="9"/>
      <c r="C409" s="9" t="s">
        <v>49</v>
      </c>
      <c r="D409" s="13" t="s">
        <v>13</v>
      </c>
      <c r="E409" s="13" t="s">
        <v>24</v>
      </c>
      <c r="F409" s="29">
        <f>+F46</f>
        <v>9.2946343181889476E-2</v>
      </c>
      <c r="H409" s="99">
        <f t="shared" ref="H409:N409" si="36">H$46</f>
        <v>6.0254773327893363E-2</v>
      </c>
      <c r="I409" s="29">
        <f t="shared" si="36"/>
        <v>7.2758362013237571E-2</v>
      </c>
      <c r="J409" s="99">
        <f t="shared" si="36"/>
        <v>8.4223039306448325E-2</v>
      </c>
      <c r="K409" s="99">
        <f t="shared" si="36"/>
        <v>9.3501517203682202E-2</v>
      </c>
      <c r="L409" s="99">
        <f t="shared" si="36"/>
        <v>9.8082108919489472E-2</v>
      </c>
      <c r="M409" s="99">
        <f t="shared" si="36"/>
        <v>0.10063370038094269</v>
      </c>
      <c r="N409" s="99">
        <f t="shared" si="36"/>
        <v>0.10377627511342306</v>
      </c>
    </row>
    <row r="410" spans="2:14" x14ac:dyDescent="0.2">
      <c r="B410" s="9"/>
      <c r="C410" s="9" t="s">
        <v>50</v>
      </c>
      <c r="D410" s="13" t="s">
        <v>13</v>
      </c>
      <c r="E410" s="13" t="s">
        <v>24</v>
      </c>
      <c r="F410" s="29">
        <v>0</v>
      </c>
      <c r="H410" s="230">
        <v>0</v>
      </c>
      <c r="I410" s="230">
        <v>0</v>
      </c>
      <c r="J410" s="230">
        <v>0</v>
      </c>
      <c r="K410" s="230">
        <v>0</v>
      </c>
      <c r="L410" s="230">
        <v>0</v>
      </c>
      <c r="M410" s="230">
        <v>0</v>
      </c>
      <c r="N410" s="230">
        <v>0</v>
      </c>
    </row>
    <row r="411" spans="2:14" x14ac:dyDescent="0.2">
      <c r="B411" s="9"/>
      <c r="C411" s="9" t="s">
        <v>51</v>
      </c>
      <c r="D411" s="13" t="s">
        <v>13</v>
      </c>
      <c r="E411" s="13" t="s">
        <v>24</v>
      </c>
      <c r="F411" s="29">
        <f>+F43</f>
        <v>0.29363827516267349</v>
      </c>
      <c r="H411" s="99">
        <f t="shared" ref="H411:N411" si="37">H$43</f>
        <v>0.24061024975719036</v>
      </c>
      <c r="I411" s="29">
        <f t="shared" si="37"/>
        <v>0.27046288682529268</v>
      </c>
      <c r="J411" s="99">
        <f t="shared" si="37"/>
        <v>0.28502428927470114</v>
      </c>
      <c r="K411" s="99">
        <f t="shared" si="37"/>
        <v>0.29935014125132292</v>
      </c>
      <c r="L411" s="99">
        <f t="shared" si="37"/>
        <v>0.29935013939424782</v>
      </c>
      <c r="M411" s="99">
        <f t="shared" si="37"/>
        <v>0.29935008421922688</v>
      </c>
      <c r="N411" s="99">
        <f t="shared" si="37"/>
        <v>0.29935011403655559</v>
      </c>
    </row>
    <row r="412" spans="2:14" x14ac:dyDescent="0.2">
      <c r="B412" s="9"/>
      <c r="C412" s="18" t="s">
        <v>52</v>
      </c>
      <c r="D412" s="13" t="s">
        <v>13</v>
      </c>
      <c r="E412" s="13" t="s">
        <v>24</v>
      </c>
      <c r="F412" s="29"/>
      <c r="H412" s="99"/>
      <c r="I412" s="29"/>
      <c r="J412" s="99"/>
      <c r="K412" s="99"/>
      <c r="L412" s="99"/>
      <c r="M412" s="99"/>
      <c r="N412" s="99"/>
    </row>
    <row r="413" spans="2:14" x14ac:dyDescent="0.2">
      <c r="B413" s="9"/>
      <c r="C413" s="9" t="s">
        <v>53</v>
      </c>
      <c r="D413" s="13" t="s">
        <v>13</v>
      </c>
      <c r="E413" s="13" t="s">
        <v>24</v>
      </c>
      <c r="F413" s="29">
        <f>+F43</f>
        <v>0.29363827516267349</v>
      </c>
      <c r="H413" s="99">
        <f t="shared" ref="H413:N413" si="38">H$43</f>
        <v>0.24061024975719036</v>
      </c>
      <c r="I413" s="29">
        <f t="shared" si="38"/>
        <v>0.27046288682529268</v>
      </c>
      <c r="J413" s="99">
        <f t="shared" si="38"/>
        <v>0.28502428927470114</v>
      </c>
      <c r="K413" s="99">
        <f t="shared" si="38"/>
        <v>0.29935014125132292</v>
      </c>
      <c r="L413" s="99">
        <f t="shared" si="38"/>
        <v>0.29935013939424782</v>
      </c>
      <c r="M413" s="99">
        <f t="shared" si="38"/>
        <v>0.29935008421922688</v>
      </c>
      <c r="N413" s="99">
        <f t="shared" si="38"/>
        <v>0.29935011403655559</v>
      </c>
    </row>
    <row r="414" spans="2:14" x14ac:dyDescent="0.2">
      <c r="B414" s="9"/>
      <c r="C414" s="9"/>
      <c r="F414" s="19"/>
    </row>
    <row r="415" spans="2:14" x14ac:dyDescent="0.2">
      <c r="B415" s="18" t="s">
        <v>515</v>
      </c>
      <c r="C415" s="18"/>
      <c r="F415" s="17"/>
    </row>
    <row r="416" spans="2:14" x14ac:dyDescent="0.2">
      <c r="B416" s="9"/>
      <c r="C416" s="18" t="s">
        <v>25</v>
      </c>
      <c r="D416" s="13" t="s">
        <v>61</v>
      </c>
      <c r="E416" s="13" t="s">
        <v>24</v>
      </c>
      <c r="F416" s="37">
        <f>+SUM(F417:F420)</f>
        <v>146.25146013234536</v>
      </c>
    </row>
    <row r="417" spans="2:6" x14ac:dyDescent="0.2">
      <c r="B417" s="9"/>
      <c r="C417" s="9" t="s">
        <v>26</v>
      </c>
      <c r="D417" s="13" t="s">
        <v>61</v>
      </c>
      <c r="E417" s="13" t="s">
        <v>24</v>
      </c>
      <c r="F417" s="19">
        <f>+F348*F384</f>
        <v>80.770124771069177</v>
      </c>
    </row>
    <row r="418" spans="2:6" x14ac:dyDescent="0.2">
      <c r="B418" s="9"/>
      <c r="C418" s="9" t="s">
        <v>27</v>
      </c>
      <c r="D418" s="13" t="s">
        <v>61</v>
      </c>
      <c r="E418" s="13" t="s">
        <v>24</v>
      </c>
      <c r="F418" s="19">
        <f>+F349*F385</f>
        <v>65.481335361276194</v>
      </c>
    </row>
    <row r="419" spans="2:6" x14ac:dyDescent="0.2">
      <c r="B419" s="9"/>
      <c r="C419" s="9" t="s">
        <v>28</v>
      </c>
      <c r="D419" s="13" t="s">
        <v>61</v>
      </c>
      <c r="E419" s="13" t="s">
        <v>24</v>
      </c>
      <c r="F419" s="19">
        <f>+F350*F386</f>
        <v>0</v>
      </c>
    </row>
    <row r="420" spans="2:6" x14ac:dyDescent="0.2">
      <c r="B420" s="9"/>
      <c r="C420" s="9" t="s">
        <v>29</v>
      </c>
      <c r="D420" s="13" t="s">
        <v>61</v>
      </c>
      <c r="E420" s="13" t="s">
        <v>24</v>
      </c>
      <c r="F420" s="19">
        <f>+F351*F387</f>
        <v>0</v>
      </c>
    </row>
    <row r="421" spans="2:6" x14ac:dyDescent="0.2">
      <c r="B421" s="9"/>
      <c r="C421" s="18" t="s">
        <v>30</v>
      </c>
      <c r="D421" s="13" t="s">
        <v>61</v>
      </c>
      <c r="E421" s="13" t="s">
        <v>24</v>
      </c>
      <c r="F421" s="37">
        <f>+SUM(F422:F423)</f>
        <v>475.88555163299088</v>
      </c>
    </row>
    <row r="422" spans="2:6" x14ac:dyDescent="0.2">
      <c r="B422" s="9"/>
      <c r="C422" s="9" t="s">
        <v>31</v>
      </c>
      <c r="D422" s="13" t="s">
        <v>61</v>
      </c>
      <c r="E422" s="13" t="s">
        <v>24</v>
      </c>
      <c r="F422" s="19">
        <f>+F353*F389</f>
        <v>263.44370471181077</v>
      </c>
    </row>
    <row r="423" spans="2:6" x14ac:dyDescent="0.2">
      <c r="B423" s="9"/>
      <c r="C423" s="9" t="s">
        <v>32</v>
      </c>
      <c r="D423" s="13" t="s">
        <v>61</v>
      </c>
      <c r="E423" s="13" t="s">
        <v>24</v>
      </c>
      <c r="F423" s="19">
        <f>+F354*F390</f>
        <v>212.44184692118009</v>
      </c>
    </row>
    <row r="424" spans="2:6" x14ac:dyDescent="0.2">
      <c r="B424" s="9"/>
      <c r="C424" s="18" t="s">
        <v>33</v>
      </c>
      <c r="D424" s="13" t="s">
        <v>61</v>
      </c>
      <c r="E424" s="13" t="s">
        <v>24</v>
      </c>
      <c r="F424" s="37">
        <f>+SUM(F425:F426)</f>
        <v>584.04652929855752</v>
      </c>
    </row>
    <row r="425" spans="2:6" x14ac:dyDescent="0.2">
      <c r="B425" s="9"/>
      <c r="C425" s="9" t="s">
        <v>34</v>
      </c>
      <c r="D425" s="13" t="s">
        <v>61</v>
      </c>
      <c r="E425" s="13" t="s">
        <v>24</v>
      </c>
      <c r="F425" s="19">
        <f>+F356*F392</f>
        <v>584.04652929855752</v>
      </c>
    </row>
    <row r="426" spans="2:6" x14ac:dyDescent="0.2">
      <c r="B426" s="9"/>
      <c r="C426" s="9" t="s">
        <v>35</v>
      </c>
      <c r="D426" s="13" t="s">
        <v>61</v>
      </c>
      <c r="E426" s="13" t="s">
        <v>24</v>
      </c>
      <c r="F426" s="19">
        <f>+F357*F393</f>
        <v>0</v>
      </c>
    </row>
    <row r="427" spans="2:6" x14ac:dyDescent="0.2">
      <c r="B427" s="9"/>
      <c r="C427" s="18" t="s">
        <v>36</v>
      </c>
      <c r="D427" s="13" t="s">
        <v>61</v>
      </c>
      <c r="E427" s="13" t="s">
        <v>24</v>
      </c>
      <c r="F427" s="37">
        <f>+SUM(F428)</f>
        <v>922.02418401079478</v>
      </c>
    </row>
    <row r="428" spans="2:6" x14ac:dyDescent="0.2">
      <c r="B428" s="9"/>
      <c r="C428" s="9" t="s">
        <v>37</v>
      </c>
      <c r="D428" s="13" t="s">
        <v>61</v>
      </c>
      <c r="E428" s="13" t="s">
        <v>24</v>
      </c>
      <c r="F428" s="19">
        <f>+F359*F395</f>
        <v>922.02418401079478</v>
      </c>
    </row>
    <row r="429" spans="2:6" x14ac:dyDescent="0.2">
      <c r="B429" s="9"/>
      <c r="C429" s="18" t="s">
        <v>519</v>
      </c>
      <c r="D429" s="13" t="s">
        <v>61</v>
      </c>
      <c r="E429" s="13" t="s">
        <v>24</v>
      </c>
      <c r="F429" s="37">
        <f>+SUM(F430)</f>
        <v>1279.0883266086057</v>
      </c>
    </row>
    <row r="430" spans="2:6" x14ac:dyDescent="0.2">
      <c r="B430" s="9"/>
      <c r="C430" s="9" t="s">
        <v>520</v>
      </c>
      <c r="D430" s="13" t="s">
        <v>61</v>
      </c>
      <c r="E430" s="13" t="s">
        <v>24</v>
      </c>
      <c r="F430" s="19">
        <f>+F361*F397</f>
        <v>1279.0883266086057</v>
      </c>
    </row>
    <row r="431" spans="2:6" x14ac:dyDescent="0.2">
      <c r="B431" s="9"/>
      <c r="C431" s="18" t="s">
        <v>38</v>
      </c>
      <c r="D431" s="13" t="s">
        <v>61</v>
      </c>
      <c r="E431" s="13" t="s">
        <v>24</v>
      </c>
      <c r="F431" s="37">
        <f>+SUM(F432:F434)</f>
        <v>1232.3998408577406</v>
      </c>
    </row>
    <row r="432" spans="2:6" x14ac:dyDescent="0.2">
      <c r="B432" s="9"/>
      <c r="C432" s="9" t="s">
        <v>39</v>
      </c>
      <c r="D432" s="13" t="s">
        <v>61</v>
      </c>
      <c r="E432" s="13" t="s">
        <v>24</v>
      </c>
      <c r="F432" s="19">
        <f>+F363*F399</f>
        <v>1232.3998408577406</v>
      </c>
    </row>
    <row r="433" spans="2:14" x14ac:dyDescent="0.2">
      <c r="B433" s="9"/>
      <c r="C433" s="9" t="s">
        <v>40</v>
      </c>
      <c r="D433" s="13" t="s">
        <v>61</v>
      </c>
      <c r="E433" s="13" t="s">
        <v>24</v>
      </c>
      <c r="F433" s="19">
        <f>+F364*F400</f>
        <v>0</v>
      </c>
    </row>
    <row r="434" spans="2:14" x14ac:dyDescent="0.2">
      <c r="B434" s="9"/>
      <c r="C434" s="9" t="s">
        <v>41</v>
      </c>
      <c r="D434" s="13" t="s">
        <v>61</v>
      </c>
      <c r="E434" s="13" t="s">
        <v>24</v>
      </c>
      <c r="F434" s="19">
        <f>+F365*F401</f>
        <v>0</v>
      </c>
    </row>
    <row r="435" spans="2:14" x14ac:dyDescent="0.2">
      <c r="B435" s="9"/>
      <c r="C435" s="18" t="s">
        <v>42</v>
      </c>
      <c r="D435" s="13" t="s">
        <v>61</v>
      </c>
      <c r="E435" s="13" t="s">
        <v>24</v>
      </c>
      <c r="F435" s="37">
        <f>+SUM(F436:F437)</f>
        <v>0</v>
      </c>
    </row>
    <row r="436" spans="2:14" x14ac:dyDescent="0.2">
      <c r="B436" s="9"/>
      <c r="C436" s="9" t="s">
        <v>43</v>
      </c>
      <c r="D436" s="13" t="s">
        <v>61</v>
      </c>
      <c r="E436" s="13" t="s">
        <v>24</v>
      </c>
      <c r="F436" s="19">
        <f>+F367*F403</f>
        <v>0</v>
      </c>
    </row>
    <row r="437" spans="2:14" x14ac:dyDescent="0.2">
      <c r="B437" s="9"/>
      <c r="C437" s="9" t="s">
        <v>44</v>
      </c>
      <c r="D437" s="13" t="s">
        <v>61</v>
      </c>
      <c r="E437" s="13" t="s">
        <v>24</v>
      </c>
      <c r="F437" s="19">
        <f>+F368*F404</f>
        <v>0</v>
      </c>
    </row>
    <row r="438" spans="2:14" x14ac:dyDescent="0.2">
      <c r="B438" s="9"/>
      <c r="C438" s="18" t="s">
        <v>45</v>
      </c>
      <c r="D438" s="13" t="s">
        <v>61</v>
      </c>
      <c r="E438" s="13" t="s">
        <v>24</v>
      </c>
      <c r="F438" s="37">
        <f>+SUM(F439:F440)</f>
        <v>1556.2828583621695</v>
      </c>
    </row>
    <row r="439" spans="2:14" x14ac:dyDescent="0.2">
      <c r="B439" s="9"/>
      <c r="C439" s="9" t="s">
        <v>46</v>
      </c>
      <c r="D439" s="13" t="s">
        <v>61</v>
      </c>
      <c r="E439" s="13" t="s">
        <v>24</v>
      </c>
      <c r="F439" s="19">
        <f>+F370*F406</f>
        <v>915.27050368205323</v>
      </c>
    </row>
    <row r="440" spans="2:14" x14ac:dyDescent="0.2">
      <c r="B440" s="9"/>
      <c r="C440" s="9" t="s">
        <v>47</v>
      </c>
      <c r="D440" s="13" t="s">
        <v>61</v>
      </c>
      <c r="E440" s="13" t="s">
        <v>24</v>
      </c>
      <c r="F440" s="19">
        <f>+F371*F407</f>
        <v>641.01235468011623</v>
      </c>
    </row>
    <row r="441" spans="2:14" x14ac:dyDescent="0.2">
      <c r="B441" s="9"/>
      <c r="C441" s="18" t="s">
        <v>48</v>
      </c>
      <c r="D441" s="13" t="s">
        <v>61</v>
      </c>
      <c r="E441" s="13" t="s">
        <v>24</v>
      </c>
      <c r="F441" s="37">
        <f>+SUM(F442:F444)</f>
        <v>1462.4024900844129</v>
      </c>
    </row>
    <row r="442" spans="2:14" x14ac:dyDescent="0.2">
      <c r="B442" s="9"/>
      <c r="C442" s="9" t="s">
        <v>49</v>
      </c>
      <c r="D442" s="13" t="s">
        <v>61</v>
      </c>
      <c r="E442" s="13" t="s">
        <v>24</v>
      </c>
      <c r="F442" s="19">
        <f>+F373*F409</f>
        <v>568.27394221407224</v>
      </c>
    </row>
    <row r="443" spans="2:14" x14ac:dyDescent="0.2">
      <c r="B443" s="9"/>
      <c r="C443" s="9" t="s">
        <v>50</v>
      </c>
      <c r="D443" s="13" t="s">
        <v>61</v>
      </c>
      <c r="E443" s="13" t="s">
        <v>24</v>
      </c>
      <c r="F443" s="19">
        <f>+F374*F410</f>
        <v>0</v>
      </c>
    </row>
    <row r="444" spans="2:14" x14ac:dyDescent="0.2">
      <c r="B444" s="9"/>
      <c r="C444" s="9" t="s">
        <v>51</v>
      </c>
      <c r="D444" s="13" t="s">
        <v>61</v>
      </c>
      <c r="E444" s="13" t="s">
        <v>24</v>
      </c>
      <c r="F444" s="19">
        <f>+F375*F411</f>
        <v>894.12854787034075</v>
      </c>
    </row>
    <row r="445" spans="2:14" x14ac:dyDescent="0.2">
      <c r="B445" s="9"/>
      <c r="C445" s="18" t="s">
        <v>52</v>
      </c>
      <c r="D445" s="13" t="s">
        <v>61</v>
      </c>
      <c r="E445" s="13" t="s">
        <v>24</v>
      </c>
      <c r="F445" s="37">
        <f>+SUM(F446)</f>
        <v>2291.2594610943411</v>
      </c>
    </row>
    <row r="446" spans="2:14" x14ac:dyDescent="0.2">
      <c r="B446" s="9"/>
      <c r="C446" s="49" t="s">
        <v>53</v>
      </c>
      <c r="D446" s="44" t="s">
        <v>61</v>
      </c>
      <c r="E446" s="44" t="s">
        <v>24</v>
      </c>
      <c r="F446" s="19">
        <f>+F377*F413</f>
        <v>2291.2594610943411</v>
      </c>
    </row>
    <row r="447" spans="2:14" s="3" customFormat="1" x14ac:dyDescent="0.2">
      <c r="B447" s="18"/>
      <c r="C447" s="18" t="s">
        <v>54</v>
      </c>
      <c r="D447" s="13" t="s">
        <v>61</v>
      </c>
      <c r="E447" s="13" t="s">
        <v>24</v>
      </c>
      <c r="F447" s="36">
        <f>+SUM(F416,F421,F424,F427,F429,F431,F435,F438,F441,F445)</f>
        <v>9949.6407020819588</v>
      </c>
      <c r="G447" s="1"/>
      <c r="H447" s="1"/>
      <c r="I447" s="1"/>
      <c r="J447" s="1"/>
      <c r="K447" s="1"/>
      <c r="L447" s="1"/>
      <c r="M447" s="1"/>
      <c r="N447" s="1"/>
    </row>
    <row r="448" spans="2:14" x14ac:dyDescent="0.2">
      <c r="B448" s="9"/>
      <c r="C448" s="9"/>
      <c r="F448" s="19"/>
    </row>
    <row r="449" spans="2:6" x14ac:dyDescent="0.2">
      <c r="B449" s="18" t="s">
        <v>177</v>
      </c>
      <c r="C449" s="18"/>
      <c r="F449" s="17"/>
    </row>
    <row r="450" spans="2:6" s="3" customFormat="1" x14ac:dyDescent="0.2">
      <c r="B450" s="18"/>
      <c r="C450" s="18" t="s">
        <v>25</v>
      </c>
      <c r="D450" s="13" t="s">
        <v>61</v>
      </c>
      <c r="E450" s="13" t="s">
        <v>24</v>
      </c>
      <c r="F450" s="20">
        <f t="shared" ref="F450:F480" si="39">+F416*$F$327</f>
        <v>455754.65012281988</v>
      </c>
    </row>
    <row r="451" spans="2:6" x14ac:dyDescent="0.2">
      <c r="B451" s="9"/>
      <c r="C451" s="9" t="s">
        <v>26</v>
      </c>
      <c r="D451" s="13" t="s">
        <v>61</v>
      </c>
      <c r="E451" s="13" t="s">
        <v>24</v>
      </c>
      <c r="F451" s="19">
        <f t="shared" si="39"/>
        <v>251699.0936165966</v>
      </c>
    </row>
    <row r="452" spans="2:6" x14ac:dyDescent="0.2">
      <c r="B452" s="9"/>
      <c r="C452" s="9" t="s">
        <v>27</v>
      </c>
      <c r="D452" s="13" t="s">
        <v>61</v>
      </c>
      <c r="E452" s="13" t="s">
        <v>24</v>
      </c>
      <c r="F452" s="19">
        <f t="shared" si="39"/>
        <v>204055.55650622331</v>
      </c>
    </row>
    <row r="453" spans="2:6" x14ac:dyDescent="0.2">
      <c r="B453" s="9"/>
      <c r="C453" s="9" t="s">
        <v>28</v>
      </c>
      <c r="D453" s="13" t="s">
        <v>61</v>
      </c>
      <c r="E453" s="13" t="s">
        <v>24</v>
      </c>
      <c r="F453" s="19">
        <f t="shared" si="39"/>
        <v>0</v>
      </c>
    </row>
    <row r="454" spans="2:6" x14ac:dyDescent="0.2">
      <c r="B454" s="9"/>
      <c r="C454" s="9" t="s">
        <v>29</v>
      </c>
      <c r="D454" s="13" t="s">
        <v>61</v>
      </c>
      <c r="E454" s="13" t="s">
        <v>24</v>
      </c>
      <c r="F454" s="19">
        <f t="shared" si="39"/>
        <v>0</v>
      </c>
    </row>
    <row r="455" spans="2:6" s="3" customFormat="1" x14ac:dyDescent="0.2">
      <c r="B455" s="18"/>
      <c r="C455" s="18" t="s">
        <v>30</v>
      </c>
      <c r="D455" s="13" t="s">
        <v>61</v>
      </c>
      <c r="E455" s="13" t="s">
        <v>24</v>
      </c>
      <c r="F455" s="20">
        <f t="shared" si="39"/>
        <v>1482973.5914207913</v>
      </c>
    </row>
    <row r="456" spans="2:6" x14ac:dyDescent="0.2">
      <c r="B456" s="9"/>
      <c r="C456" s="9" t="s">
        <v>31</v>
      </c>
      <c r="D456" s="13" t="s">
        <v>61</v>
      </c>
      <c r="E456" s="13" t="s">
        <v>24</v>
      </c>
      <c r="F456" s="19">
        <f t="shared" si="39"/>
        <v>820953.81037113315</v>
      </c>
    </row>
    <row r="457" spans="2:6" x14ac:dyDescent="0.2">
      <c r="B457" s="9"/>
      <c r="C457" s="9" t="s">
        <v>32</v>
      </c>
      <c r="D457" s="13" t="s">
        <v>61</v>
      </c>
      <c r="E457" s="13" t="s">
        <v>24</v>
      </c>
      <c r="F457" s="19">
        <f t="shared" si="39"/>
        <v>662019.7810496582</v>
      </c>
    </row>
    <row r="458" spans="2:6" s="3" customFormat="1" x14ac:dyDescent="0.2">
      <c r="B458" s="18"/>
      <c r="C458" s="18" t="s">
        <v>33</v>
      </c>
      <c r="D458" s="13" t="s">
        <v>61</v>
      </c>
      <c r="E458" s="13" t="s">
        <v>24</v>
      </c>
      <c r="F458" s="20">
        <f t="shared" si="39"/>
        <v>1820029.1564613366</v>
      </c>
    </row>
    <row r="459" spans="2:6" x14ac:dyDescent="0.2">
      <c r="B459" s="9"/>
      <c r="C459" s="9" t="s">
        <v>34</v>
      </c>
      <c r="D459" s="13" t="s">
        <v>61</v>
      </c>
      <c r="E459" s="13" t="s">
        <v>24</v>
      </c>
      <c r="F459" s="19">
        <f t="shared" si="39"/>
        <v>1820029.1564613366</v>
      </c>
    </row>
    <row r="460" spans="2:6" x14ac:dyDescent="0.2">
      <c r="B460" s="9"/>
      <c r="C460" s="9" t="s">
        <v>35</v>
      </c>
      <c r="D460" s="13" t="s">
        <v>61</v>
      </c>
      <c r="E460" s="13" t="s">
        <v>24</v>
      </c>
      <c r="F460" s="19">
        <f t="shared" si="39"/>
        <v>0</v>
      </c>
    </row>
    <row r="461" spans="2:6" s="3" customFormat="1" x14ac:dyDescent="0.2">
      <c r="B461" s="18"/>
      <c r="C461" s="18" t="s">
        <v>36</v>
      </c>
      <c r="D461" s="13" t="s">
        <v>61</v>
      </c>
      <c r="E461" s="13" t="s">
        <v>24</v>
      </c>
      <c r="F461" s="20">
        <f t="shared" si="39"/>
        <v>2873248.643181799</v>
      </c>
    </row>
    <row r="462" spans="2:6" x14ac:dyDescent="0.2">
      <c r="B462" s="9"/>
      <c r="C462" s="9" t="s">
        <v>37</v>
      </c>
      <c r="D462" s="13" t="s">
        <v>61</v>
      </c>
      <c r="E462" s="13" t="s">
        <v>24</v>
      </c>
      <c r="F462" s="19">
        <f t="shared" si="39"/>
        <v>2873248.643181799</v>
      </c>
    </row>
    <row r="463" spans="2:6" x14ac:dyDescent="0.2">
      <c r="B463" s="9"/>
      <c r="C463" s="18" t="s">
        <v>519</v>
      </c>
      <c r="D463" s="13" t="s">
        <v>61</v>
      </c>
      <c r="E463" s="13" t="s">
        <v>24</v>
      </c>
      <c r="F463" s="20">
        <f t="shared" si="39"/>
        <v>3985946.2069108011</v>
      </c>
    </row>
    <row r="464" spans="2:6" x14ac:dyDescent="0.2">
      <c r="B464" s="9"/>
      <c r="C464" s="9" t="s">
        <v>520</v>
      </c>
      <c r="D464" s="13" t="s">
        <v>61</v>
      </c>
      <c r="E464" s="13" t="s">
        <v>24</v>
      </c>
      <c r="F464" s="19">
        <f t="shared" si="39"/>
        <v>3985946.2069108011</v>
      </c>
    </row>
    <row r="465" spans="2:8" s="3" customFormat="1" x14ac:dyDescent="0.2">
      <c r="B465" s="18"/>
      <c r="C465" s="18" t="s">
        <v>38</v>
      </c>
      <c r="D465" s="13" t="s">
        <v>61</v>
      </c>
      <c r="E465" s="13" t="s">
        <v>24</v>
      </c>
      <c r="F465" s="19">
        <f t="shared" si="39"/>
        <v>3840453.6800745255</v>
      </c>
    </row>
    <row r="466" spans="2:8" x14ac:dyDescent="0.2">
      <c r="B466" s="9"/>
      <c r="C466" s="9" t="s">
        <v>39</v>
      </c>
      <c r="D466" s="13" t="s">
        <v>61</v>
      </c>
      <c r="E466" s="13" t="s">
        <v>24</v>
      </c>
      <c r="F466" s="19">
        <f t="shared" si="39"/>
        <v>3840453.6800745255</v>
      </c>
    </row>
    <row r="467" spans="2:8" x14ac:dyDescent="0.2">
      <c r="B467" s="9"/>
      <c r="C467" s="9" t="s">
        <v>40</v>
      </c>
      <c r="D467" s="13" t="s">
        <v>61</v>
      </c>
      <c r="E467" s="13" t="s">
        <v>24</v>
      </c>
      <c r="F467" s="19">
        <f t="shared" si="39"/>
        <v>0</v>
      </c>
    </row>
    <row r="468" spans="2:8" x14ac:dyDescent="0.2">
      <c r="B468" s="9"/>
      <c r="C468" s="9" t="s">
        <v>41</v>
      </c>
      <c r="D468" s="13" t="s">
        <v>61</v>
      </c>
      <c r="E468" s="13" t="s">
        <v>24</v>
      </c>
      <c r="F468" s="19">
        <f t="shared" si="39"/>
        <v>0</v>
      </c>
    </row>
    <row r="469" spans="2:8" s="3" customFormat="1" x14ac:dyDescent="0.2">
      <c r="B469" s="18"/>
      <c r="C469" s="18" t="s">
        <v>42</v>
      </c>
      <c r="D469" s="13" t="s">
        <v>61</v>
      </c>
      <c r="E469" s="13" t="s">
        <v>24</v>
      </c>
      <c r="F469" s="20">
        <f t="shared" si="39"/>
        <v>0</v>
      </c>
    </row>
    <row r="470" spans="2:8" x14ac:dyDescent="0.2">
      <c r="B470" s="9"/>
      <c r="C470" s="9" t="s">
        <v>43</v>
      </c>
      <c r="D470" s="13" t="s">
        <v>61</v>
      </c>
      <c r="E470" s="13" t="s">
        <v>24</v>
      </c>
      <c r="F470" s="19">
        <f t="shared" si="39"/>
        <v>0</v>
      </c>
    </row>
    <row r="471" spans="2:8" x14ac:dyDescent="0.2">
      <c r="B471" s="9"/>
      <c r="C471" s="9" t="s">
        <v>44</v>
      </c>
      <c r="D471" s="13" t="s">
        <v>61</v>
      </c>
      <c r="E471" s="13" t="s">
        <v>24</v>
      </c>
      <c r="F471" s="19">
        <f t="shared" si="39"/>
        <v>0</v>
      </c>
    </row>
    <row r="472" spans="2:8" s="3" customFormat="1" x14ac:dyDescent="0.2">
      <c r="B472" s="18"/>
      <c r="C472" s="18" t="s">
        <v>45</v>
      </c>
      <c r="D472" s="13" t="s">
        <v>61</v>
      </c>
      <c r="E472" s="13" t="s">
        <v>24</v>
      </c>
      <c r="F472" s="20">
        <f t="shared" si="39"/>
        <v>4849750.8945425265</v>
      </c>
    </row>
    <row r="473" spans="2:8" x14ac:dyDescent="0.2">
      <c r="B473" s="9"/>
      <c r="C473" s="9" t="s">
        <v>46</v>
      </c>
      <c r="D473" s="13" t="s">
        <v>61</v>
      </c>
      <c r="E473" s="13" t="s">
        <v>24</v>
      </c>
      <c r="F473" s="19">
        <f t="shared" si="39"/>
        <v>2852202.5543941613</v>
      </c>
    </row>
    <row r="474" spans="2:8" x14ac:dyDescent="0.2">
      <c r="B474" s="9"/>
      <c r="C474" s="9" t="s">
        <v>47</v>
      </c>
      <c r="D474" s="13" t="s">
        <v>61</v>
      </c>
      <c r="E474" s="13" t="s">
        <v>24</v>
      </c>
      <c r="F474" s="19">
        <f t="shared" si="39"/>
        <v>1997548.3401483654</v>
      </c>
    </row>
    <row r="475" spans="2:8" s="3" customFormat="1" x14ac:dyDescent="0.2">
      <c r="B475" s="18"/>
      <c r="C475" s="18" t="s">
        <v>48</v>
      </c>
      <c r="D475" s="13" t="s">
        <v>61</v>
      </c>
      <c r="E475" s="13" t="s">
        <v>24</v>
      </c>
      <c r="F475" s="20">
        <f t="shared" si="39"/>
        <v>4557197.1357006505</v>
      </c>
    </row>
    <row r="476" spans="2:8" x14ac:dyDescent="0.2">
      <c r="B476" s="9"/>
      <c r="C476" s="9" t="s">
        <v>49</v>
      </c>
      <c r="D476" s="13" t="s">
        <v>61</v>
      </c>
      <c r="E476" s="13" t="s">
        <v>24</v>
      </c>
      <c r="F476" s="19">
        <f t="shared" si="39"/>
        <v>1770877.9896851804</v>
      </c>
    </row>
    <row r="477" spans="2:8" x14ac:dyDescent="0.2">
      <c r="B477" s="9"/>
      <c r="C477" s="9" t="s">
        <v>50</v>
      </c>
      <c r="D477" s="13" t="s">
        <v>61</v>
      </c>
      <c r="E477" s="13" t="s">
        <v>24</v>
      </c>
      <c r="F477" s="19">
        <f t="shared" si="39"/>
        <v>0</v>
      </c>
    </row>
    <row r="478" spans="2:8" x14ac:dyDescent="0.2">
      <c r="B478" s="9"/>
      <c r="C478" s="9" t="s">
        <v>51</v>
      </c>
      <c r="D478" s="13" t="s">
        <v>61</v>
      </c>
      <c r="E478" s="13" t="s">
        <v>24</v>
      </c>
      <c r="F478" s="19">
        <f t="shared" si="39"/>
        <v>2786319.1460154704</v>
      </c>
    </row>
    <row r="479" spans="2:8" s="3" customFormat="1" x14ac:dyDescent="0.2">
      <c r="B479" s="18"/>
      <c r="C479" s="18" t="s">
        <v>52</v>
      </c>
      <c r="D479" s="13" t="s">
        <v>61</v>
      </c>
      <c r="E479" s="13" t="s">
        <v>24</v>
      </c>
      <c r="F479" s="20">
        <f t="shared" si="39"/>
        <v>7140114.3830406293</v>
      </c>
      <c r="H479" s="1"/>
    </row>
    <row r="480" spans="2:8" x14ac:dyDescent="0.2">
      <c r="B480" s="9"/>
      <c r="C480" s="49" t="s">
        <v>53</v>
      </c>
      <c r="D480" s="44" t="s">
        <v>61</v>
      </c>
      <c r="E480" s="44" t="s">
        <v>24</v>
      </c>
      <c r="F480" s="19">
        <f t="shared" si="39"/>
        <v>7140114.3830406293</v>
      </c>
    </row>
    <row r="481" spans="2:14" s="3" customFormat="1" x14ac:dyDescent="0.2">
      <c r="B481" s="18"/>
      <c r="C481" s="18" t="s">
        <v>54</v>
      </c>
      <c r="D481" s="11" t="s">
        <v>61</v>
      </c>
      <c r="E481" s="11" t="s">
        <v>24</v>
      </c>
      <c r="F481" s="36">
        <f>+SUM(F450,F455,F458,F461,F463,F465,F469,F472,F475,F479)</f>
        <v>31005468.341455881</v>
      </c>
      <c r="H481" s="1"/>
      <c r="I481" s="1"/>
      <c r="J481" s="1"/>
      <c r="K481" s="1"/>
      <c r="L481" s="1"/>
      <c r="M481" s="1"/>
      <c r="N481" s="1"/>
    </row>
    <row r="482" spans="2:14" s="3" customFormat="1" x14ac:dyDescent="0.2">
      <c r="B482" s="18"/>
      <c r="C482" s="18"/>
      <c r="D482" s="11"/>
      <c r="E482" s="11"/>
      <c r="F482" s="37"/>
      <c r="H482" s="1"/>
      <c r="I482" s="1"/>
      <c r="J482" s="1"/>
      <c r="K482" s="1"/>
      <c r="L482" s="1"/>
      <c r="M482" s="1"/>
      <c r="N482" s="1"/>
    </row>
    <row r="483" spans="2:14" s="3" customFormat="1" x14ac:dyDescent="0.2">
      <c r="B483" s="7" t="s">
        <v>451</v>
      </c>
      <c r="C483" s="18"/>
      <c r="D483" s="11"/>
      <c r="E483" s="11"/>
      <c r="F483" s="37"/>
      <c r="H483" s="1"/>
      <c r="I483" s="1"/>
      <c r="J483" s="1"/>
      <c r="K483" s="1"/>
      <c r="L483" s="1"/>
      <c r="M483" s="1"/>
      <c r="N483" s="1"/>
    </row>
    <row r="484" spans="2:14" s="3" customFormat="1" x14ac:dyDescent="0.2">
      <c r="B484" s="18"/>
      <c r="C484" s="8" t="s">
        <v>449</v>
      </c>
      <c r="D484" s="13" t="s">
        <v>61</v>
      </c>
      <c r="E484" s="13" t="s">
        <v>24</v>
      </c>
      <c r="F484" s="16">
        <f>+$F$481*F$74</f>
        <v>25455094.172508687</v>
      </c>
      <c r="H484" s="1"/>
      <c r="I484" s="1"/>
      <c r="J484" s="1"/>
      <c r="K484" s="1"/>
      <c r="L484" s="1"/>
      <c r="M484" s="1"/>
      <c r="N484" s="1"/>
    </row>
    <row r="485" spans="2:14" s="3" customFormat="1" x14ac:dyDescent="0.2">
      <c r="B485" s="18"/>
      <c r="C485" s="8" t="s">
        <v>450</v>
      </c>
      <c r="D485" s="13" t="s">
        <v>61</v>
      </c>
      <c r="E485" s="13" t="s">
        <v>24</v>
      </c>
      <c r="F485" s="16">
        <f>+$F$481*F$75</f>
        <v>5550374.168947191</v>
      </c>
      <c r="H485" s="1"/>
      <c r="I485" s="1"/>
      <c r="J485" s="1"/>
      <c r="K485" s="1"/>
      <c r="L485" s="1"/>
      <c r="M485" s="1"/>
      <c r="N485" s="1"/>
    </row>
    <row r="486" spans="2:14" x14ac:dyDescent="0.2">
      <c r="C486" s="9"/>
    </row>
    <row r="487" spans="2:14" x14ac:dyDescent="0.2">
      <c r="B487" s="32" t="s">
        <v>6</v>
      </c>
      <c r="C487" s="9"/>
      <c r="F487" s="19"/>
    </row>
    <row r="488" spans="2:14" x14ac:dyDescent="0.2">
      <c r="B488" s="32"/>
      <c r="C488" s="9"/>
      <c r="F488" s="19"/>
    </row>
    <row r="489" spans="2:14" x14ac:dyDescent="0.2">
      <c r="B489" s="18" t="s">
        <v>74</v>
      </c>
      <c r="C489" s="18"/>
      <c r="F489" s="29"/>
    </row>
    <row r="490" spans="2:14" x14ac:dyDescent="0.2">
      <c r="B490" s="9"/>
      <c r="C490" s="18" t="s">
        <v>25</v>
      </c>
      <c r="D490" s="13" t="s">
        <v>13</v>
      </c>
      <c r="E490" s="13" t="s">
        <v>24</v>
      </c>
      <c r="F490" s="29"/>
      <c r="I490" s="29"/>
    </row>
    <row r="491" spans="2:14" x14ac:dyDescent="0.2">
      <c r="B491" s="9"/>
      <c r="C491" s="9" t="s">
        <v>26</v>
      </c>
      <c r="D491" s="13" t="s">
        <v>13</v>
      </c>
      <c r="E491" s="13" t="s">
        <v>24</v>
      </c>
      <c r="F491" s="24">
        <v>0</v>
      </c>
      <c r="H491" s="230">
        <v>0</v>
      </c>
      <c r="I491" s="24">
        <v>0</v>
      </c>
      <c r="J491" s="230">
        <v>0</v>
      </c>
      <c r="K491" s="230">
        <v>0</v>
      </c>
      <c r="L491" s="230">
        <v>0</v>
      </c>
      <c r="M491" s="230">
        <v>0</v>
      </c>
      <c r="N491" s="230">
        <v>0</v>
      </c>
    </row>
    <row r="492" spans="2:14" x14ac:dyDescent="0.2">
      <c r="B492" s="9"/>
      <c r="C492" s="9" t="s">
        <v>27</v>
      </c>
      <c r="D492" s="13" t="s">
        <v>13</v>
      </c>
      <c r="E492" s="13" t="s">
        <v>24</v>
      </c>
      <c r="F492" s="24">
        <v>0</v>
      </c>
      <c r="H492" s="230">
        <v>0</v>
      </c>
      <c r="I492" s="24">
        <v>0</v>
      </c>
      <c r="J492" s="230">
        <v>0</v>
      </c>
      <c r="K492" s="230">
        <v>0</v>
      </c>
      <c r="L492" s="230">
        <v>0</v>
      </c>
      <c r="M492" s="230">
        <v>0</v>
      </c>
      <c r="N492" s="230">
        <v>0</v>
      </c>
    </row>
    <row r="493" spans="2:14" x14ac:dyDescent="0.2">
      <c r="B493" s="9"/>
      <c r="C493" s="9" t="s">
        <v>28</v>
      </c>
      <c r="D493" s="13" t="s">
        <v>13</v>
      </c>
      <c r="E493" s="13" t="s">
        <v>24</v>
      </c>
      <c r="F493" s="24">
        <v>1</v>
      </c>
      <c r="H493" s="230">
        <v>1</v>
      </c>
      <c r="I493" s="24">
        <v>1</v>
      </c>
      <c r="J493" s="230">
        <v>1</v>
      </c>
      <c r="K493" s="230">
        <v>1</v>
      </c>
      <c r="L493" s="230">
        <v>1</v>
      </c>
      <c r="M493" s="230">
        <v>1</v>
      </c>
      <c r="N493" s="230">
        <v>1</v>
      </c>
    </row>
    <row r="494" spans="2:14" x14ac:dyDescent="0.2">
      <c r="B494" s="9"/>
      <c r="C494" s="9" t="s">
        <v>29</v>
      </c>
      <c r="D494" s="13" t="s">
        <v>13</v>
      </c>
      <c r="E494" s="13" t="s">
        <v>24</v>
      </c>
      <c r="F494" s="53">
        <f>+F53</f>
        <v>0.10369296507901665</v>
      </c>
      <c r="H494" s="231">
        <f t="shared" ref="H494:N494" si="40">H53</f>
        <v>9.9281670646116413E-2</v>
      </c>
      <c r="I494" s="53">
        <f t="shared" si="40"/>
        <v>0.1003134191868342</v>
      </c>
      <c r="J494" s="231">
        <f t="shared" si="40"/>
        <v>0.10208570935232736</v>
      </c>
      <c r="K494" s="231">
        <f t="shared" si="40"/>
        <v>0.10324222441518945</v>
      </c>
      <c r="L494" s="231">
        <f t="shared" si="40"/>
        <v>0.10453528146931816</v>
      </c>
      <c r="M494" s="231">
        <f t="shared" si="40"/>
        <v>0.10531865950015484</v>
      </c>
      <c r="N494" s="231">
        <f t="shared" si="40"/>
        <v>0.10631000811998098</v>
      </c>
    </row>
    <row r="495" spans="2:14" x14ac:dyDescent="0.2">
      <c r="B495" s="9"/>
      <c r="C495" s="18" t="s">
        <v>30</v>
      </c>
      <c r="D495" s="13" t="s">
        <v>13</v>
      </c>
      <c r="E495" s="13" t="s">
        <v>24</v>
      </c>
      <c r="F495" s="29"/>
      <c r="H495" s="99"/>
      <c r="I495" s="29"/>
      <c r="J495" s="99"/>
      <c r="K495" s="99"/>
      <c r="L495" s="99"/>
      <c r="M495" s="99"/>
      <c r="N495" s="99"/>
    </row>
    <row r="496" spans="2:14" x14ac:dyDescent="0.2">
      <c r="B496" s="9"/>
      <c r="C496" s="9" t="s">
        <v>31</v>
      </c>
      <c r="D496" s="13" t="s">
        <v>13</v>
      </c>
      <c r="E496" s="13" t="s">
        <v>24</v>
      </c>
      <c r="F496" s="29">
        <f>+F49</f>
        <v>4.8345392396790587E-2</v>
      </c>
      <c r="H496" s="99">
        <f t="shared" ref="H496:N496" si="41">H49</f>
        <v>5.4821396127162809E-2</v>
      </c>
      <c r="I496" s="29">
        <f t="shared" si="41"/>
        <v>5.2917011274192502E-2</v>
      </c>
      <c r="J496" s="99">
        <f t="shared" si="41"/>
        <v>5.032125036291888E-2</v>
      </c>
      <c r="K496" s="99">
        <f t="shared" si="41"/>
        <v>4.8720788542535823E-2</v>
      </c>
      <c r="L496" s="99">
        <f t="shared" si="41"/>
        <v>4.7322632642892812E-2</v>
      </c>
      <c r="M496" s="99">
        <f t="shared" si="41"/>
        <v>4.6561782114959274E-2</v>
      </c>
      <c r="N496" s="99">
        <f t="shared" si="41"/>
        <v>4.5638213143290252E-2</v>
      </c>
    </row>
    <row r="497" spans="2:14" x14ac:dyDescent="0.2">
      <c r="B497" s="9"/>
      <c r="C497" s="9" t="s">
        <v>32</v>
      </c>
      <c r="D497" s="13" t="s">
        <v>13</v>
      </c>
      <c r="E497" s="13" t="s">
        <v>24</v>
      </c>
      <c r="F497" s="29">
        <f>+F49</f>
        <v>4.8345392396790587E-2</v>
      </c>
      <c r="H497" s="99">
        <f t="shared" ref="H497:N497" si="42">H49</f>
        <v>5.4821396127162809E-2</v>
      </c>
      <c r="I497" s="29">
        <f t="shared" si="42"/>
        <v>5.2917011274192502E-2</v>
      </c>
      <c r="J497" s="99">
        <f t="shared" si="42"/>
        <v>5.032125036291888E-2</v>
      </c>
      <c r="K497" s="99">
        <f t="shared" si="42"/>
        <v>4.8720788542535823E-2</v>
      </c>
      <c r="L497" s="99">
        <f t="shared" si="42"/>
        <v>4.7322632642892812E-2</v>
      </c>
      <c r="M497" s="99">
        <f t="shared" si="42"/>
        <v>4.6561782114959274E-2</v>
      </c>
      <c r="N497" s="99">
        <f t="shared" si="42"/>
        <v>4.5638213143290252E-2</v>
      </c>
    </row>
    <row r="498" spans="2:14" x14ac:dyDescent="0.2">
      <c r="B498" s="9"/>
      <c r="C498" s="18" t="s">
        <v>33</v>
      </c>
      <c r="D498" s="13" t="s">
        <v>13</v>
      </c>
      <c r="E498" s="13" t="s">
        <v>24</v>
      </c>
      <c r="F498" s="53"/>
      <c r="H498" s="231"/>
      <c r="I498" s="53"/>
      <c r="J498" s="231"/>
      <c r="K498" s="231"/>
      <c r="L498" s="231"/>
      <c r="M498" s="231"/>
      <c r="N498" s="231"/>
    </row>
    <row r="499" spans="2:14" x14ac:dyDescent="0.2">
      <c r="B499" s="9"/>
      <c r="C499" s="9" t="s">
        <v>34</v>
      </c>
      <c r="D499" s="13" t="s">
        <v>13</v>
      </c>
      <c r="E499" s="13" t="s">
        <v>24</v>
      </c>
      <c r="F499" s="53">
        <v>0</v>
      </c>
      <c r="H499" s="230">
        <v>0</v>
      </c>
      <c r="I499" s="230">
        <v>0</v>
      </c>
      <c r="J499" s="230">
        <v>0</v>
      </c>
      <c r="K499" s="230">
        <v>0</v>
      </c>
      <c r="L499" s="230">
        <v>0</v>
      </c>
      <c r="M499" s="230">
        <v>0</v>
      </c>
      <c r="N499" s="230">
        <v>0</v>
      </c>
    </row>
    <row r="500" spans="2:14" x14ac:dyDescent="0.2">
      <c r="B500" s="9"/>
      <c r="C500" s="9" t="s">
        <v>35</v>
      </c>
      <c r="D500" s="13" t="s">
        <v>13</v>
      </c>
      <c r="E500" s="13" t="s">
        <v>24</v>
      </c>
      <c r="F500" s="53">
        <f>+F54</f>
        <v>0.36268229840498323</v>
      </c>
      <c r="H500" s="231">
        <f t="shared" ref="H500:N500" si="43">H54</f>
        <v>0.42941559934300322</v>
      </c>
      <c r="I500" s="53">
        <f t="shared" si="43"/>
        <v>0.41112746218088153</v>
      </c>
      <c r="J500" s="231">
        <f t="shared" si="43"/>
        <v>0.38381859569059923</v>
      </c>
      <c r="K500" s="231">
        <f t="shared" si="43"/>
        <v>0.36830673878544062</v>
      </c>
      <c r="L500" s="231">
        <f t="shared" si="43"/>
        <v>0.35274125587792582</v>
      </c>
      <c r="M500" s="231">
        <f t="shared" si="43"/>
        <v>0.3441040824888611</v>
      </c>
      <c r="N500" s="231">
        <f t="shared" si="43"/>
        <v>0.33392982601295029</v>
      </c>
    </row>
    <row r="501" spans="2:14" x14ac:dyDescent="0.2">
      <c r="B501" s="9"/>
      <c r="C501" s="18" t="s">
        <v>36</v>
      </c>
      <c r="D501" s="13" t="s">
        <v>13</v>
      </c>
      <c r="E501" s="13" t="s">
        <v>24</v>
      </c>
      <c r="F501" s="53"/>
      <c r="H501" s="231"/>
      <c r="I501" s="53"/>
      <c r="J501" s="231"/>
      <c r="K501" s="231"/>
      <c r="L501" s="231"/>
      <c r="M501" s="231"/>
      <c r="N501" s="231"/>
    </row>
    <row r="502" spans="2:14" x14ac:dyDescent="0.2">
      <c r="B502" s="9"/>
      <c r="C502" s="9" t="s">
        <v>37</v>
      </c>
      <c r="D502" s="13" t="s">
        <v>13</v>
      </c>
      <c r="E502" s="13" t="s">
        <v>24</v>
      </c>
      <c r="F502" s="53">
        <v>0</v>
      </c>
      <c r="H502" s="231">
        <v>0</v>
      </c>
      <c r="I502" s="53">
        <v>0</v>
      </c>
      <c r="J502" s="231">
        <v>0</v>
      </c>
      <c r="K502" s="231">
        <v>0</v>
      </c>
      <c r="L502" s="231">
        <v>0</v>
      </c>
      <c r="M502" s="231">
        <v>0</v>
      </c>
      <c r="N502" s="231">
        <v>0</v>
      </c>
    </row>
    <row r="503" spans="2:14" x14ac:dyDescent="0.2">
      <c r="B503" s="9"/>
      <c r="C503" s="18" t="s">
        <v>519</v>
      </c>
      <c r="D503" s="13" t="s">
        <v>13</v>
      </c>
      <c r="E503" s="13" t="s">
        <v>24</v>
      </c>
      <c r="F503" s="53"/>
      <c r="H503" s="231"/>
      <c r="I503" s="53"/>
      <c r="J503" s="231"/>
      <c r="K503" s="231"/>
      <c r="L503" s="231"/>
      <c r="M503" s="231"/>
      <c r="N503" s="231"/>
    </row>
    <row r="504" spans="2:14" x14ac:dyDescent="0.2">
      <c r="B504" s="9"/>
      <c r="C504" s="9" t="s">
        <v>520</v>
      </c>
      <c r="D504" s="13" t="s">
        <v>13</v>
      </c>
      <c r="E504" s="13" t="s">
        <v>24</v>
      </c>
      <c r="F504" s="53">
        <v>0</v>
      </c>
      <c r="H504" s="231">
        <v>0</v>
      </c>
      <c r="I504" s="53">
        <v>0</v>
      </c>
      <c r="J504" s="231">
        <v>0</v>
      </c>
      <c r="K504" s="231">
        <v>0</v>
      </c>
      <c r="L504" s="231">
        <v>0</v>
      </c>
      <c r="M504" s="231">
        <v>0</v>
      </c>
      <c r="N504" s="231">
        <v>0</v>
      </c>
    </row>
    <row r="505" spans="2:14" x14ac:dyDescent="0.2">
      <c r="B505" s="9"/>
      <c r="C505" s="18" t="s">
        <v>38</v>
      </c>
      <c r="D505" s="13" t="s">
        <v>13</v>
      </c>
      <c r="E505" s="13" t="s">
        <v>24</v>
      </c>
      <c r="F505" s="53"/>
      <c r="H505" s="231"/>
      <c r="I505" s="53"/>
      <c r="J505" s="231"/>
      <c r="K505" s="231"/>
      <c r="L505" s="231"/>
      <c r="M505" s="231"/>
      <c r="N505" s="231"/>
    </row>
    <row r="506" spans="2:14" x14ac:dyDescent="0.2">
      <c r="B506" s="9"/>
      <c r="C506" s="9" t="s">
        <v>39</v>
      </c>
      <c r="D506" s="13" t="s">
        <v>13</v>
      </c>
      <c r="E506" s="13" t="s">
        <v>24</v>
      </c>
      <c r="F506" s="53">
        <v>0</v>
      </c>
      <c r="H506" s="231">
        <v>0</v>
      </c>
      <c r="I506" s="53">
        <v>0</v>
      </c>
      <c r="J506" s="231">
        <v>0</v>
      </c>
      <c r="K506" s="231">
        <v>0</v>
      </c>
      <c r="L506" s="231">
        <v>0</v>
      </c>
      <c r="M506" s="231">
        <v>0</v>
      </c>
      <c r="N506" s="231">
        <v>0</v>
      </c>
    </row>
    <row r="507" spans="2:14" x14ac:dyDescent="0.2">
      <c r="B507" s="9"/>
      <c r="C507" s="9" t="s">
        <v>40</v>
      </c>
      <c r="D507" s="13" t="s">
        <v>13</v>
      </c>
      <c r="E507" s="13" t="s">
        <v>24</v>
      </c>
      <c r="F507" s="53">
        <v>0</v>
      </c>
      <c r="H507" s="231">
        <v>0</v>
      </c>
      <c r="I507" s="53">
        <v>0</v>
      </c>
      <c r="J507" s="231">
        <v>0</v>
      </c>
      <c r="K507" s="231">
        <v>0</v>
      </c>
      <c r="L507" s="231">
        <v>0</v>
      </c>
      <c r="M507" s="231">
        <v>0</v>
      </c>
      <c r="N507" s="231">
        <v>0</v>
      </c>
    </row>
    <row r="508" spans="2:14" x14ac:dyDescent="0.2">
      <c r="B508" s="9"/>
      <c r="C508" s="9" t="s">
        <v>41</v>
      </c>
      <c r="D508" s="13" t="s">
        <v>13</v>
      </c>
      <c r="E508" s="13" t="s">
        <v>24</v>
      </c>
      <c r="F508" s="53">
        <f>+F50</f>
        <v>8.7710912834121926E-2</v>
      </c>
      <c r="H508" s="231">
        <f t="shared" ref="H508:N508" si="44">H50</f>
        <v>8.7710842662925698E-2</v>
      </c>
      <c r="I508" s="53">
        <f t="shared" si="44"/>
        <v>8.771089879263072E-2</v>
      </c>
      <c r="J508" s="231">
        <f t="shared" si="44"/>
        <v>8.7710928432975427E-2</v>
      </c>
      <c r="K508" s="231">
        <f t="shared" si="44"/>
        <v>8.7710930137653256E-2</v>
      </c>
      <c r="L508" s="231">
        <f t="shared" si="44"/>
        <v>8.7710931760849459E-2</v>
      </c>
      <c r="M508" s="231">
        <f t="shared" si="44"/>
        <v>8.7710903546437125E-2</v>
      </c>
      <c r="N508" s="231">
        <f t="shared" si="44"/>
        <v>8.7710886743951347E-2</v>
      </c>
    </row>
    <row r="509" spans="2:14" x14ac:dyDescent="0.2">
      <c r="B509" s="9"/>
      <c r="C509" s="18" t="s">
        <v>42</v>
      </c>
      <c r="D509" s="13" t="s">
        <v>13</v>
      </c>
      <c r="E509" s="13" t="s">
        <v>24</v>
      </c>
      <c r="F509" s="53"/>
      <c r="H509" s="231"/>
      <c r="I509" s="53"/>
      <c r="J509" s="231"/>
      <c r="K509" s="231"/>
      <c r="L509" s="231"/>
      <c r="M509" s="231"/>
      <c r="N509" s="231"/>
    </row>
    <row r="510" spans="2:14" x14ac:dyDescent="0.2">
      <c r="B510" s="9"/>
      <c r="C510" s="9" t="s">
        <v>43</v>
      </c>
      <c r="D510" s="13" t="s">
        <v>13</v>
      </c>
      <c r="E510" s="13" t="s">
        <v>24</v>
      </c>
      <c r="F510" s="53">
        <f>+F51</f>
        <v>4.5866973473197258E-2</v>
      </c>
      <c r="H510" s="231">
        <f t="shared" ref="H510:N510" si="45">H51</f>
        <v>4.58669350952478E-2</v>
      </c>
      <c r="I510" s="53">
        <f t="shared" si="45"/>
        <v>4.5866965793640906E-2</v>
      </c>
      <c r="J510" s="231">
        <f t="shared" si="45"/>
        <v>4.586698200450455E-2</v>
      </c>
      <c r="K510" s="231">
        <f t="shared" si="45"/>
        <v>4.5866982936825028E-2</v>
      </c>
      <c r="L510" s="231">
        <f t="shared" si="45"/>
        <v>4.5866983824581667E-2</v>
      </c>
      <c r="M510" s="231">
        <f t="shared" si="45"/>
        <v>4.5866968393587268E-2</v>
      </c>
      <c r="N510" s="231">
        <f t="shared" si="45"/>
        <v>4.5866959203991024E-2</v>
      </c>
    </row>
    <row r="511" spans="2:14" x14ac:dyDescent="0.2">
      <c r="B511" s="9"/>
      <c r="C511" s="9" t="s">
        <v>44</v>
      </c>
      <c r="D511" s="13" t="s">
        <v>13</v>
      </c>
      <c r="E511" s="13" t="s">
        <v>24</v>
      </c>
      <c r="F511" s="53">
        <f>+F51</f>
        <v>4.5866973473197258E-2</v>
      </c>
      <c r="H511" s="231">
        <f t="shared" ref="H511:N511" si="46">H51</f>
        <v>4.58669350952478E-2</v>
      </c>
      <c r="I511" s="53">
        <f t="shared" si="46"/>
        <v>4.5866965793640906E-2</v>
      </c>
      <c r="J511" s="231">
        <f t="shared" si="46"/>
        <v>4.586698200450455E-2</v>
      </c>
      <c r="K511" s="231">
        <f t="shared" si="46"/>
        <v>4.5866982936825028E-2</v>
      </c>
      <c r="L511" s="231">
        <f t="shared" si="46"/>
        <v>4.5866983824581667E-2</v>
      </c>
      <c r="M511" s="231">
        <f t="shared" si="46"/>
        <v>4.5866968393587268E-2</v>
      </c>
      <c r="N511" s="231">
        <f t="shared" si="46"/>
        <v>4.5866959203991024E-2</v>
      </c>
    </row>
    <row r="512" spans="2:14" x14ac:dyDescent="0.2">
      <c r="B512" s="9"/>
      <c r="C512" s="18" t="s">
        <v>45</v>
      </c>
      <c r="D512" s="13" t="s">
        <v>13</v>
      </c>
      <c r="E512" s="13" t="s">
        <v>24</v>
      </c>
      <c r="F512" s="53"/>
      <c r="H512" s="231"/>
      <c r="I512" s="53"/>
      <c r="J512" s="231"/>
      <c r="K512" s="231"/>
      <c r="L512" s="231"/>
      <c r="M512" s="231"/>
      <c r="N512" s="231"/>
    </row>
    <row r="513" spans="2:14" x14ac:dyDescent="0.2">
      <c r="B513" s="9"/>
      <c r="C513" s="9" t="s">
        <v>46</v>
      </c>
      <c r="D513" s="13" t="s">
        <v>13</v>
      </c>
      <c r="E513" s="13" t="s">
        <v>24</v>
      </c>
      <c r="F513" s="53">
        <v>0</v>
      </c>
      <c r="H513" s="231">
        <v>0</v>
      </c>
      <c r="I513" s="53">
        <v>0</v>
      </c>
      <c r="J513" s="231">
        <v>0</v>
      </c>
      <c r="K513" s="231">
        <v>0</v>
      </c>
      <c r="L513" s="231">
        <v>0</v>
      </c>
      <c r="M513" s="231">
        <v>0</v>
      </c>
      <c r="N513" s="231">
        <v>0</v>
      </c>
    </row>
    <row r="514" spans="2:14" x14ac:dyDescent="0.2">
      <c r="B514" s="9"/>
      <c r="C514" s="9" t="s">
        <v>47</v>
      </c>
      <c r="D514" s="13" t="s">
        <v>13</v>
      </c>
      <c r="E514" s="13" t="s">
        <v>24</v>
      </c>
      <c r="F514" s="53">
        <v>0</v>
      </c>
      <c r="H514" s="231">
        <v>0</v>
      </c>
      <c r="I514" s="53">
        <v>0</v>
      </c>
      <c r="J514" s="231">
        <v>0</v>
      </c>
      <c r="K514" s="231">
        <v>0</v>
      </c>
      <c r="L514" s="231">
        <v>0</v>
      </c>
      <c r="M514" s="231">
        <v>0</v>
      </c>
      <c r="N514" s="231">
        <v>0</v>
      </c>
    </row>
    <row r="515" spans="2:14" x14ac:dyDescent="0.2">
      <c r="B515" s="9"/>
      <c r="C515" s="18" t="s">
        <v>48</v>
      </c>
      <c r="D515" s="13" t="s">
        <v>13</v>
      </c>
      <c r="E515" s="13" t="s">
        <v>24</v>
      </c>
      <c r="F515" s="53"/>
      <c r="H515" s="231"/>
      <c r="I515" s="53"/>
      <c r="J515" s="231"/>
      <c r="K515" s="231"/>
      <c r="L515" s="231"/>
      <c r="M515" s="231"/>
      <c r="N515" s="231"/>
    </row>
    <row r="516" spans="2:14" x14ac:dyDescent="0.2">
      <c r="B516" s="9"/>
      <c r="C516" s="9" t="s">
        <v>49</v>
      </c>
      <c r="D516" s="13" t="s">
        <v>13</v>
      </c>
      <c r="E516" s="13" t="s">
        <v>24</v>
      </c>
      <c r="F516" s="53">
        <f>+F52</f>
        <v>3.4096701412333015E-2</v>
      </c>
      <c r="H516" s="231">
        <f t="shared" ref="H516:N516" si="47">H52</f>
        <v>3.6612058089184184E-2</v>
      </c>
      <c r="I516" s="53">
        <f t="shared" si="47"/>
        <v>3.5885677329733051E-2</v>
      </c>
      <c r="J516" s="231">
        <f t="shared" si="47"/>
        <v>3.4882085647939147E-2</v>
      </c>
      <c r="K516" s="231">
        <f t="shared" si="47"/>
        <v>3.4233586727423992E-2</v>
      </c>
      <c r="L516" s="231">
        <f t="shared" si="47"/>
        <v>3.3672657143356516E-2</v>
      </c>
      <c r="M516" s="231">
        <f t="shared" si="47"/>
        <v>3.3364657397535802E-2</v>
      </c>
      <c r="N516" s="231">
        <f t="shared" si="47"/>
        <v>3.2983798850585749E-2</v>
      </c>
    </row>
    <row r="517" spans="2:14" x14ac:dyDescent="0.2">
      <c r="B517" s="9"/>
      <c r="C517" s="9" t="s">
        <v>50</v>
      </c>
      <c r="D517" s="13" t="s">
        <v>13</v>
      </c>
      <c r="E517" s="13" t="s">
        <v>24</v>
      </c>
      <c r="F517" s="53">
        <f>+F51</f>
        <v>4.5866973473197258E-2</v>
      </c>
      <c r="H517" s="231">
        <f t="shared" ref="H517:N517" si="48">H51</f>
        <v>4.58669350952478E-2</v>
      </c>
      <c r="I517" s="53">
        <f t="shared" si="48"/>
        <v>4.5866965793640906E-2</v>
      </c>
      <c r="J517" s="231">
        <f t="shared" si="48"/>
        <v>4.586698200450455E-2</v>
      </c>
      <c r="K517" s="231">
        <f t="shared" si="48"/>
        <v>4.5866982936825028E-2</v>
      </c>
      <c r="L517" s="231">
        <f t="shared" si="48"/>
        <v>4.5866983824581667E-2</v>
      </c>
      <c r="M517" s="231">
        <f t="shared" si="48"/>
        <v>4.5866968393587268E-2</v>
      </c>
      <c r="N517" s="231">
        <f t="shared" si="48"/>
        <v>4.5866959203991024E-2</v>
      </c>
    </row>
    <row r="518" spans="2:14" x14ac:dyDescent="0.2">
      <c r="B518" s="9"/>
      <c r="C518" s="9" t="s">
        <v>51</v>
      </c>
      <c r="D518" s="13" t="s">
        <v>13</v>
      </c>
      <c r="E518" s="13" t="s">
        <v>24</v>
      </c>
      <c r="F518" s="53">
        <v>0</v>
      </c>
      <c r="H518" s="231">
        <v>0</v>
      </c>
      <c r="I518" s="53">
        <v>0</v>
      </c>
      <c r="J518" s="231">
        <v>0</v>
      </c>
      <c r="K518" s="231">
        <v>0</v>
      </c>
      <c r="L518" s="231">
        <v>0</v>
      </c>
      <c r="M518" s="231">
        <v>0</v>
      </c>
      <c r="N518" s="231">
        <v>0</v>
      </c>
    </row>
    <row r="519" spans="2:14" x14ac:dyDescent="0.2">
      <c r="B519" s="9"/>
      <c r="C519" s="18" t="s">
        <v>52</v>
      </c>
      <c r="D519" s="13" t="s">
        <v>13</v>
      </c>
      <c r="E519" s="13" t="s">
        <v>24</v>
      </c>
      <c r="F519" s="53"/>
      <c r="H519" s="231"/>
      <c r="I519" s="53"/>
      <c r="J519" s="231"/>
      <c r="K519" s="231"/>
      <c r="L519" s="231"/>
      <c r="M519" s="231"/>
      <c r="N519" s="231"/>
    </row>
    <row r="520" spans="2:14" x14ac:dyDescent="0.2">
      <c r="B520" s="9"/>
      <c r="C520" s="9" t="s">
        <v>53</v>
      </c>
      <c r="D520" s="13" t="s">
        <v>13</v>
      </c>
      <c r="E520" s="13" t="s">
        <v>24</v>
      </c>
      <c r="F520" s="24">
        <v>0</v>
      </c>
      <c r="H520" s="230">
        <v>0</v>
      </c>
      <c r="I520" s="24">
        <v>0</v>
      </c>
      <c r="J520" s="230">
        <v>0</v>
      </c>
      <c r="K520" s="230">
        <v>0</v>
      </c>
      <c r="L520" s="230">
        <v>0</v>
      </c>
      <c r="M520" s="230">
        <v>0</v>
      </c>
      <c r="N520" s="230">
        <v>0</v>
      </c>
    </row>
    <row r="521" spans="2:14" x14ac:dyDescent="0.2">
      <c r="B521" s="9"/>
      <c r="C521" s="9"/>
      <c r="F521" s="24"/>
      <c r="H521" s="230"/>
      <c r="I521" s="24"/>
      <c r="J521" s="230"/>
      <c r="K521" s="230"/>
      <c r="L521" s="230"/>
      <c r="M521" s="230"/>
      <c r="N521" s="230"/>
    </row>
    <row r="522" spans="2:14" x14ac:dyDescent="0.2">
      <c r="B522" s="18" t="s">
        <v>59</v>
      </c>
      <c r="C522" s="18"/>
      <c r="F522" s="17"/>
    </row>
    <row r="523" spans="2:14" x14ac:dyDescent="0.2">
      <c r="B523" s="9"/>
      <c r="C523" s="18" t="s">
        <v>25</v>
      </c>
      <c r="D523" s="13" t="s">
        <v>61</v>
      </c>
      <c r="E523" s="13" t="s">
        <v>24</v>
      </c>
      <c r="F523" s="20">
        <f>+SUM(F524:F527)</f>
        <v>314.47718603160666</v>
      </c>
    </row>
    <row r="524" spans="2:14" x14ac:dyDescent="0.2">
      <c r="B524" s="9"/>
      <c r="C524" s="9" t="s">
        <v>26</v>
      </c>
      <c r="D524" s="13" t="s">
        <v>61</v>
      </c>
      <c r="E524" s="13" t="s">
        <v>24</v>
      </c>
      <c r="F524" s="19">
        <f>+F348*F491</f>
        <v>0</v>
      </c>
    </row>
    <row r="525" spans="2:14" x14ac:dyDescent="0.2">
      <c r="B525" s="9"/>
      <c r="C525" s="9" t="s">
        <v>27</v>
      </c>
      <c r="D525" s="13" t="s">
        <v>61</v>
      </c>
      <c r="E525" s="13" t="s">
        <v>24</v>
      </c>
      <c r="F525" s="19">
        <f>+F349*F492</f>
        <v>0</v>
      </c>
    </row>
    <row r="526" spans="2:14" x14ac:dyDescent="0.2">
      <c r="B526" s="9"/>
      <c r="C526" s="9" t="s">
        <v>28</v>
      </c>
      <c r="D526" s="13" t="s">
        <v>61</v>
      </c>
      <c r="E526" s="13" t="s">
        <v>24</v>
      </c>
      <c r="F526" s="19">
        <f>+F350*F493</f>
        <v>273</v>
      </c>
    </row>
    <row r="527" spans="2:14" x14ac:dyDescent="0.2">
      <c r="B527" s="9"/>
      <c r="C527" s="9" t="s">
        <v>29</v>
      </c>
      <c r="D527" s="13" t="s">
        <v>61</v>
      </c>
      <c r="E527" s="13" t="s">
        <v>24</v>
      </c>
      <c r="F527" s="19">
        <f>+F351*F494</f>
        <v>41.477186031606664</v>
      </c>
    </row>
    <row r="528" spans="2:14" x14ac:dyDescent="0.2">
      <c r="B528" s="9"/>
      <c r="C528" s="18" t="s">
        <v>30</v>
      </c>
      <c r="D528" s="13" t="s">
        <v>61</v>
      </c>
      <c r="E528" s="13" t="s">
        <v>24</v>
      </c>
      <c r="F528" s="20">
        <f>+SUM(F529:F530)</f>
        <v>174.5752119448108</v>
      </c>
    </row>
    <row r="529" spans="2:6" x14ac:dyDescent="0.2">
      <c r="B529" s="9"/>
      <c r="C529" s="9" t="s">
        <v>31</v>
      </c>
      <c r="D529" s="13" t="s">
        <v>61</v>
      </c>
      <c r="E529" s="13" t="s">
        <v>24</v>
      </c>
      <c r="F529" s="19">
        <f>+F353*F496</f>
        <v>96.64243940118439</v>
      </c>
    </row>
    <row r="530" spans="2:6" x14ac:dyDescent="0.2">
      <c r="B530" s="9"/>
      <c r="C530" s="9" t="s">
        <v>32</v>
      </c>
      <c r="D530" s="13" t="s">
        <v>61</v>
      </c>
      <c r="E530" s="13" t="s">
        <v>24</v>
      </c>
      <c r="F530" s="19">
        <f>+F354*F497</f>
        <v>77.932772543626427</v>
      </c>
    </row>
    <row r="531" spans="2:6" x14ac:dyDescent="0.2">
      <c r="B531" s="9"/>
      <c r="C531" s="18" t="s">
        <v>33</v>
      </c>
      <c r="D531" s="13" t="s">
        <v>61</v>
      </c>
      <c r="E531" s="13" t="s">
        <v>24</v>
      </c>
      <c r="F531" s="20">
        <f>+SUM(F532:F533)</f>
        <v>143.98487246677834</v>
      </c>
    </row>
    <row r="532" spans="2:6" x14ac:dyDescent="0.2">
      <c r="B532" s="9"/>
      <c r="C532" s="9" t="s">
        <v>34</v>
      </c>
      <c r="D532" s="13" t="s">
        <v>61</v>
      </c>
      <c r="E532" s="13" t="s">
        <v>24</v>
      </c>
      <c r="F532" s="19">
        <f>+F356*F499</f>
        <v>0</v>
      </c>
    </row>
    <row r="533" spans="2:6" x14ac:dyDescent="0.2">
      <c r="B533" s="9"/>
      <c r="C533" s="9" t="s">
        <v>35</v>
      </c>
      <c r="D533" s="13" t="s">
        <v>61</v>
      </c>
      <c r="E533" s="13" t="s">
        <v>24</v>
      </c>
      <c r="F533" s="19">
        <f>+F357*F500</f>
        <v>143.98487246677834</v>
      </c>
    </row>
    <row r="534" spans="2:6" x14ac:dyDescent="0.2">
      <c r="B534" s="9"/>
      <c r="C534" s="18" t="s">
        <v>36</v>
      </c>
      <c r="D534" s="13" t="s">
        <v>61</v>
      </c>
      <c r="E534" s="13" t="s">
        <v>24</v>
      </c>
      <c r="F534" s="20">
        <f>+SUM(F535)</f>
        <v>0</v>
      </c>
    </row>
    <row r="535" spans="2:6" x14ac:dyDescent="0.2">
      <c r="B535" s="9"/>
      <c r="C535" s="9" t="s">
        <v>37</v>
      </c>
      <c r="D535" s="13" t="s">
        <v>61</v>
      </c>
      <c r="E535" s="13" t="s">
        <v>24</v>
      </c>
      <c r="F535" s="19">
        <f>+F359*F502</f>
        <v>0</v>
      </c>
    </row>
    <row r="536" spans="2:6" x14ac:dyDescent="0.2">
      <c r="B536" s="9"/>
      <c r="C536" s="18" t="s">
        <v>519</v>
      </c>
      <c r="D536" s="13" t="s">
        <v>61</v>
      </c>
      <c r="E536" s="13" t="s">
        <v>24</v>
      </c>
      <c r="F536" s="20">
        <f>+SUM(F537)</f>
        <v>0</v>
      </c>
    </row>
    <row r="537" spans="2:6" x14ac:dyDescent="0.2">
      <c r="B537" s="9"/>
      <c r="C537" s="9" t="s">
        <v>520</v>
      </c>
      <c r="D537" s="13" t="s">
        <v>61</v>
      </c>
      <c r="E537" s="13" t="s">
        <v>24</v>
      </c>
      <c r="F537" s="19">
        <f>+F361*F504</f>
        <v>0</v>
      </c>
    </row>
    <row r="538" spans="2:6" x14ac:dyDescent="0.2">
      <c r="B538" s="9"/>
      <c r="C538" s="18" t="s">
        <v>38</v>
      </c>
      <c r="D538" s="13" t="s">
        <v>61</v>
      </c>
      <c r="E538" s="13" t="s">
        <v>24</v>
      </c>
      <c r="F538" s="20">
        <f>+SUM(F539:F541)</f>
        <v>58.85402251169581</v>
      </c>
    </row>
    <row r="539" spans="2:6" x14ac:dyDescent="0.2">
      <c r="B539" s="9"/>
      <c r="C539" s="9" t="s">
        <v>39</v>
      </c>
      <c r="D539" s="13" t="s">
        <v>61</v>
      </c>
      <c r="E539" s="13" t="s">
        <v>24</v>
      </c>
      <c r="F539" s="19">
        <f>+F363*F506</f>
        <v>0</v>
      </c>
    </row>
    <row r="540" spans="2:6" x14ac:dyDescent="0.2">
      <c r="B540" s="9"/>
      <c r="C540" s="9" t="s">
        <v>40</v>
      </c>
      <c r="D540" s="13" t="s">
        <v>61</v>
      </c>
      <c r="E540" s="13" t="s">
        <v>24</v>
      </c>
      <c r="F540" s="19">
        <f>+F364*F507</f>
        <v>0</v>
      </c>
    </row>
    <row r="541" spans="2:6" x14ac:dyDescent="0.2">
      <c r="B541" s="9"/>
      <c r="C541" s="9" t="s">
        <v>41</v>
      </c>
      <c r="D541" s="13" t="s">
        <v>61</v>
      </c>
      <c r="E541" s="13" t="s">
        <v>24</v>
      </c>
      <c r="F541" s="19">
        <f>+F365*F508</f>
        <v>58.85402251169581</v>
      </c>
    </row>
    <row r="542" spans="2:6" x14ac:dyDescent="0.2">
      <c r="B542" s="9"/>
      <c r="C542" s="18" t="s">
        <v>42</v>
      </c>
      <c r="D542" s="13" t="s">
        <v>61</v>
      </c>
      <c r="E542" s="13" t="s">
        <v>24</v>
      </c>
      <c r="F542" s="20">
        <f>+SUM(F543:F544)</f>
        <v>422.25135779425392</v>
      </c>
    </row>
    <row r="543" spans="2:6" x14ac:dyDescent="0.2">
      <c r="B543" s="9"/>
      <c r="C543" s="9" t="s">
        <v>43</v>
      </c>
      <c r="D543" s="13" t="s">
        <v>61</v>
      </c>
      <c r="E543" s="13" t="s">
        <v>24</v>
      </c>
      <c r="F543" s="19">
        <f>+F367*F510</f>
        <v>153.79196205563039</v>
      </c>
    </row>
    <row r="544" spans="2:6" x14ac:dyDescent="0.2">
      <c r="B544" s="9"/>
      <c r="C544" s="9" t="s">
        <v>44</v>
      </c>
      <c r="D544" s="13" t="s">
        <v>61</v>
      </c>
      <c r="E544" s="13" t="s">
        <v>24</v>
      </c>
      <c r="F544" s="19">
        <f>+F368*F511</f>
        <v>268.45939573862353</v>
      </c>
    </row>
    <row r="545" spans="2:14" x14ac:dyDescent="0.2">
      <c r="B545" s="9"/>
      <c r="C545" s="18" t="s">
        <v>45</v>
      </c>
      <c r="D545" s="13" t="s">
        <v>61</v>
      </c>
      <c r="E545" s="13" t="s">
        <v>24</v>
      </c>
      <c r="F545" s="20">
        <f>+SUM(F546:F547)</f>
        <v>0</v>
      </c>
    </row>
    <row r="546" spans="2:14" x14ac:dyDescent="0.2">
      <c r="B546" s="9"/>
      <c r="C546" s="9" t="s">
        <v>46</v>
      </c>
      <c r="D546" s="13" t="s">
        <v>61</v>
      </c>
      <c r="E546" s="13" t="s">
        <v>24</v>
      </c>
      <c r="F546" s="19">
        <f>+F370*F513</f>
        <v>0</v>
      </c>
    </row>
    <row r="547" spans="2:14" x14ac:dyDescent="0.2">
      <c r="B547" s="9"/>
      <c r="C547" s="9" t="s">
        <v>47</v>
      </c>
      <c r="D547" s="13" t="s">
        <v>61</v>
      </c>
      <c r="E547" s="13" t="s">
        <v>24</v>
      </c>
      <c r="F547" s="19">
        <f>+F371*F514</f>
        <v>0</v>
      </c>
    </row>
    <row r="548" spans="2:14" x14ac:dyDescent="0.2">
      <c r="B548" s="9"/>
      <c r="C548" s="18" t="s">
        <v>48</v>
      </c>
      <c r="D548" s="13" t="s">
        <v>61</v>
      </c>
      <c r="E548" s="13" t="s">
        <v>24</v>
      </c>
      <c r="F548" s="20">
        <f>+SUM(F549:F551)</f>
        <v>539.85611577885425</v>
      </c>
    </row>
    <row r="549" spans="2:14" x14ac:dyDescent="0.2">
      <c r="B549" s="9"/>
      <c r="C549" s="9" t="s">
        <v>49</v>
      </c>
      <c r="D549" s="13" t="s">
        <v>61</v>
      </c>
      <c r="E549" s="13" t="s">
        <v>24</v>
      </c>
      <c r="F549" s="19">
        <f>+F373*F516</f>
        <v>208.46723243500406</v>
      </c>
    </row>
    <row r="550" spans="2:14" x14ac:dyDescent="0.2">
      <c r="B550" s="9"/>
      <c r="C550" s="9" t="s">
        <v>50</v>
      </c>
      <c r="D550" s="13" t="s">
        <v>61</v>
      </c>
      <c r="E550" s="13" t="s">
        <v>24</v>
      </c>
      <c r="F550" s="19">
        <f>+F374*F517</f>
        <v>331.38888334385018</v>
      </c>
    </row>
    <row r="551" spans="2:14" x14ac:dyDescent="0.2">
      <c r="B551" s="9"/>
      <c r="C551" s="9" t="s">
        <v>51</v>
      </c>
      <c r="D551" s="13" t="s">
        <v>61</v>
      </c>
      <c r="E551" s="13" t="s">
        <v>24</v>
      </c>
      <c r="F551" s="19">
        <f>+F375*F518</f>
        <v>0</v>
      </c>
    </row>
    <row r="552" spans="2:14" x14ac:dyDescent="0.2">
      <c r="B552" s="9"/>
      <c r="C552" s="18" t="s">
        <v>52</v>
      </c>
      <c r="D552" s="13" t="s">
        <v>61</v>
      </c>
      <c r="E552" s="13" t="s">
        <v>24</v>
      </c>
      <c r="F552" s="20">
        <f>+SUM(F553)</f>
        <v>0</v>
      </c>
    </row>
    <row r="553" spans="2:14" x14ac:dyDescent="0.2">
      <c r="B553" s="9"/>
      <c r="C553" s="49" t="s">
        <v>53</v>
      </c>
      <c r="D553" s="44" t="s">
        <v>61</v>
      </c>
      <c r="E553" s="44" t="s">
        <v>24</v>
      </c>
      <c r="F553" s="19">
        <f>+F377*F520</f>
        <v>0</v>
      </c>
    </row>
    <row r="554" spans="2:14" s="3" customFormat="1" x14ac:dyDescent="0.2">
      <c r="B554" s="18"/>
      <c r="C554" s="18" t="s">
        <v>54</v>
      </c>
      <c r="D554" s="11" t="s">
        <v>61</v>
      </c>
      <c r="E554" s="11" t="s">
        <v>24</v>
      </c>
      <c r="F554" s="36">
        <f>+SUM(F523,F528,F531,F534,F536,F538,F542,F545,F548,F552)</f>
        <v>1653.9987665279998</v>
      </c>
      <c r="H554" s="1"/>
      <c r="I554" s="1"/>
      <c r="J554" s="1"/>
      <c r="K554" s="1"/>
      <c r="L554" s="1"/>
      <c r="M554" s="1"/>
      <c r="N554" s="1"/>
    </row>
    <row r="555" spans="2:14" s="3" customFormat="1" x14ac:dyDescent="0.2">
      <c r="B555" s="18"/>
      <c r="C555" s="18"/>
      <c r="D555" s="11"/>
      <c r="E555" s="11"/>
      <c r="F555" s="37"/>
      <c r="H555" s="1"/>
      <c r="I555" s="1"/>
      <c r="J555" s="1"/>
      <c r="K555" s="1"/>
      <c r="L555" s="1"/>
      <c r="M555" s="1"/>
      <c r="N555" s="1"/>
    </row>
    <row r="556" spans="2:14" x14ac:dyDescent="0.2">
      <c r="B556" s="18" t="s">
        <v>79</v>
      </c>
      <c r="C556" s="18"/>
      <c r="F556" s="17"/>
    </row>
    <row r="557" spans="2:14" x14ac:dyDescent="0.2">
      <c r="B557" s="9"/>
      <c r="C557" s="18" t="s">
        <v>25</v>
      </c>
      <c r="D557" s="13" t="s">
        <v>61</v>
      </c>
      <c r="E557" s="13" t="s">
        <v>24</v>
      </c>
      <c r="F557" s="19">
        <f t="shared" ref="F557:F587" si="49">+F523*$F$331</f>
        <v>990854.71774838632</v>
      </c>
    </row>
    <row r="558" spans="2:14" x14ac:dyDescent="0.2">
      <c r="B558" s="9"/>
      <c r="C558" s="9" t="s">
        <v>26</v>
      </c>
      <c r="D558" s="13" t="s">
        <v>61</v>
      </c>
      <c r="E558" s="13" t="s">
        <v>24</v>
      </c>
      <c r="F558" s="19">
        <f t="shared" si="49"/>
        <v>0</v>
      </c>
    </row>
    <row r="559" spans="2:14" x14ac:dyDescent="0.2">
      <c r="B559" s="9"/>
      <c r="C559" s="9" t="s">
        <v>27</v>
      </c>
      <c r="D559" s="13" t="s">
        <v>61</v>
      </c>
      <c r="E559" s="13" t="s">
        <v>24</v>
      </c>
      <c r="F559" s="19">
        <f t="shared" si="49"/>
        <v>0</v>
      </c>
    </row>
    <row r="560" spans="2:14" x14ac:dyDescent="0.2">
      <c r="B560" s="9"/>
      <c r="C560" s="9" t="s">
        <v>28</v>
      </c>
      <c r="D560" s="13" t="s">
        <v>61</v>
      </c>
      <c r="E560" s="13" t="s">
        <v>24</v>
      </c>
      <c r="F560" s="19">
        <f t="shared" si="49"/>
        <v>860168.4</v>
      </c>
    </row>
    <row r="561" spans="2:6" x14ac:dyDescent="0.2">
      <c r="B561" s="9"/>
      <c r="C561" s="9" t="s">
        <v>29</v>
      </c>
      <c r="D561" s="13" t="s">
        <v>61</v>
      </c>
      <c r="E561" s="13" t="s">
        <v>24</v>
      </c>
      <c r="F561" s="19">
        <f t="shared" si="49"/>
        <v>130686.31774838628</v>
      </c>
    </row>
    <row r="562" spans="2:6" x14ac:dyDescent="0.2">
      <c r="B562" s="9"/>
      <c r="C562" s="18" t="s">
        <v>30</v>
      </c>
      <c r="D562" s="13" t="s">
        <v>61</v>
      </c>
      <c r="E562" s="13" t="s">
        <v>24</v>
      </c>
      <c r="F562" s="19">
        <f t="shared" si="49"/>
        <v>550051.57779570995</v>
      </c>
    </row>
    <row r="563" spans="2:6" x14ac:dyDescent="0.2">
      <c r="B563" s="9"/>
      <c r="C563" s="9" t="s">
        <v>31</v>
      </c>
      <c r="D563" s="13" t="s">
        <v>61</v>
      </c>
      <c r="E563" s="13" t="s">
        <v>24</v>
      </c>
      <c r="F563" s="19">
        <f t="shared" si="49"/>
        <v>304500.9980652518</v>
      </c>
    </row>
    <row r="564" spans="2:6" x14ac:dyDescent="0.2">
      <c r="B564" s="9"/>
      <c r="C564" s="9" t="s">
        <v>32</v>
      </c>
      <c r="D564" s="13" t="s">
        <v>61</v>
      </c>
      <c r="E564" s="13" t="s">
        <v>24</v>
      </c>
      <c r="F564" s="19">
        <f t="shared" si="49"/>
        <v>245550.57973045815</v>
      </c>
    </row>
    <row r="565" spans="2:6" x14ac:dyDescent="0.2">
      <c r="B565" s="9"/>
      <c r="C565" s="18" t="s">
        <v>33</v>
      </c>
      <c r="D565" s="13" t="s">
        <v>61</v>
      </c>
      <c r="E565" s="13" t="s">
        <v>24</v>
      </c>
      <c r="F565" s="19">
        <f t="shared" si="49"/>
        <v>453667.53616832523</v>
      </c>
    </row>
    <row r="566" spans="2:6" x14ac:dyDescent="0.2">
      <c r="B566" s="9"/>
      <c r="C566" s="9" t="s">
        <v>34</v>
      </c>
      <c r="D566" s="13" t="s">
        <v>61</v>
      </c>
      <c r="E566" s="13" t="s">
        <v>24</v>
      </c>
      <c r="F566" s="19">
        <f t="shared" si="49"/>
        <v>0</v>
      </c>
    </row>
    <row r="567" spans="2:6" x14ac:dyDescent="0.2">
      <c r="B567" s="9"/>
      <c r="C567" s="9" t="s">
        <v>35</v>
      </c>
      <c r="D567" s="13" t="s">
        <v>61</v>
      </c>
      <c r="E567" s="13" t="s">
        <v>24</v>
      </c>
      <c r="F567" s="19">
        <f t="shared" si="49"/>
        <v>453667.53616832523</v>
      </c>
    </row>
    <row r="568" spans="2:6" x14ac:dyDescent="0.2">
      <c r="B568" s="9"/>
      <c r="C568" s="18" t="s">
        <v>36</v>
      </c>
      <c r="D568" s="13" t="s">
        <v>61</v>
      </c>
      <c r="E568" s="13" t="s">
        <v>24</v>
      </c>
      <c r="F568" s="19">
        <f t="shared" si="49"/>
        <v>0</v>
      </c>
    </row>
    <row r="569" spans="2:6" x14ac:dyDescent="0.2">
      <c r="B569" s="9"/>
      <c r="C569" s="9" t="s">
        <v>37</v>
      </c>
      <c r="D569" s="13" t="s">
        <v>61</v>
      </c>
      <c r="E569" s="13" t="s">
        <v>24</v>
      </c>
      <c r="F569" s="19">
        <f t="shared" si="49"/>
        <v>0</v>
      </c>
    </row>
    <row r="570" spans="2:6" x14ac:dyDescent="0.2">
      <c r="B570" s="9"/>
      <c r="C570" s="18" t="s">
        <v>519</v>
      </c>
      <c r="D570" s="13" t="s">
        <v>61</v>
      </c>
      <c r="E570" s="13" t="s">
        <v>24</v>
      </c>
      <c r="F570" s="19">
        <f t="shared" si="49"/>
        <v>0</v>
      </c>
    </row>
    <row r="571" spans="2:6" x14ac:dyDescent="0.2">
      <c r="B571" s="9"/>
      <c r="C571" s="9" t="s">
        <v>520</v>
      </c>
      <c r="D571" s="13" t="s">
        <v>61</v>
      </c>
      <c r="E571" s="13" t="s">
        <v>24</v>
      </c>
      <c r="F571" s="19">
        <f t="shared" si="49"/>
        <v>0</v>
      </c>
    </row>
    <row r="572" spans="2:6" x14ac:dyDescent="0.2">
      <c r="B572" s="9"/>
      <c r="C572" s="18" t="s">
        <v>38</v>
      </c>
      <c r="D572" s="13" t="s">
        <v>61</v>
      </c>
      <c r="E572" s="13" t="s">
        <v>24</v>
      </c>
      <c r="F572" s="19">
        <f t="shared" si="49"/>
        <v>185437.25412985118</v>
      </c>
    </row>
    <row r="573" spans="2:6" x14ac:dyDescent="0.2">
      <c r="B573" s="9"/>
      <c r="C573" s="9" t="s">
        <v>39</v>
      </c>
      <c r="D573" s="13" t="s">
        <v>61</v>
      </c>
      <c r="E573" s="13" t="s">
        <v>24</v>
      </c>
      <c r="F573" s="19">
        <f t="shared" si="49"/>
        <v>0</v>
      </c>
    </row>
    <row r="574" spans="2:6" x14ac:dyDescent="0.2">
      <c r="B574" s="9"/>
      <c r="C574" s="9" t="s">
        <v>40</v>
      </c>
      <c r="D574" s="13" t="s">
        <v>61</v>
      </c>
      <c r="E574" s="13" t="s">
        <v>24</v>
      </c>
      <c r="F574" s="19">
        <f t="shared" si="49"/>
        <v>0</v>
      </c>
    </row>
    <row r="575" spans="2:6" x14ac:dyDescent="0.2">
      <c r="B575" s="9"/>
      <c r="C575" s="9" t="s">
        <v>41</v>
      </c>
      <c r="D575" s="13" t="s">
        <v>61</v>
      </c>
      <c r="E575" s="13" t="s">
        <v>24</v>
      </c>
      <c r="F575" s="19">
        <f t="shared" si="49"/>
        <v>185437.25412985118</v>
      </c>
    </row>
    <row r="576" spans="2:6" x14ac:dyDescent="0.2">
      <c r="B576" s="9"/>
      <c r="C576" s="18" t="s">
        <v>42</v>
      </c>
      <c r="D576" s="13" t="s">
        <v>61</v>
      </c>
      <c r="E576" s="13" t="s">
        <v>24</v>
      </c>
      <c r="F576" s="19">
        <f t="shared" si="49"/>
        <v>1330429.5781381354</v>
      </c>
    </row>
    <row r="577" spans="2:14" x14ac:dyDescent="0.2">
      <c r="B577" s="9"/>
      <c r="C577" s="9" t="s">
        <v>43</v>
      </c>
      <c r="D577" s="13" t="s">
        <v>61</v>
      </c>
      <c r="E577" s="13" t="s">
        <v>24</v>
      </c>
      <c r="F577" s="19">
        <f t="shared" si="49"/>
        <v>484567.7140448803</v>
      </c>
    </row>
    <row r="578" spans="2:14" x14ac:dyDescent="0.2">
      <c r="B578" s="9"/>
      <c r="C578" s="9" t="s">
        <v>44</v>
      </c>
      <c r="D578" s="13" t="s">
        <v>61</v>
      </c>
      <c r="E578" s="13" t="s">
        <v>24</v>
      </c>
      <c r="F578" s="19">
        <f t="shared" si="49"/>
        <v>845861.86409325502</v>
      </c>
    </row>
    <row r="579" spans="2:14" x14ac:dyDescent="0.2">
      <c r="B579" s="9"/>
      <c r="C579" s="18" t="s">
        <v>45</v>
      </c>
      <c r="D579" s="13" t="s">
        <v>61</v>
      </c>
      <c r="E579" s="13" t="s">
        <v>24</v>
      </c>
      <c r="F579" s="19">
        <f t="shared" si="49"/>
        <v>0</v>
      </c>
    </row>
    <row r="580" spans="2:14" x14ac:dyDescent="0.2">
      <c r="B580" s="9"/>
      <c r="C580" s="9" t="s">
        <v>46</v>
      </c>
      <c r="D580" s="13" t="s">
        <v>61</v>
      </c>
      <c r="E580" s="13" t="s">
        <v>24</v>
      </c>
      <c r="F580" s="19">
        <f t="shared" si="49"/>
        <v>0</v>
      </c>
    </row>
    <row r="581" spans="2:14" x14ac:dyDescent="0.2">
      <c r="B581" s="9"/>
      <c r="C581" s="9" t="s">
        <v>47</v>
      </c>
      <c r="D581" s="13" t="s">
        <v>61</v>
      </c>
      <c r="E581" s="13" t="s">
        <v>24</v>
      </c>
      <c r="F581" s="19">
        <f t="shared" si="49"/>
        <v>0</v>
      </c>
    </row>
    <row r="582" spans="2:14" x14ac:dyDescent="0.2">
      <c r="B582" s="9"/>
      <c r="C582" s="18" t="s">
        <v>48</v>
      </c>
      <c r="D582" s="13" t="s">
        <v>61</v>
      </c>
      <c r="E582" s="13" t="s">
        <v>24</v>
      </c>
      <c r="F582" s="19">
        <f t="shared" si="49"/>
        <v>1700978.6495960141</v>
      </c>
    </row>
    <row r="583" spans="2:14" x14ac:dyDescent="0.2">
      <c r="B583" s="9"/>
      <c r="C583" s="9" t="s">
        <v>49</v>
      </c>
      <c r="D583" s="13" t="s">
        <v>61</v>
      </c>
      <c r="E583" s="13" t="s">
        <v>24</v>
      </c>
      <c r="F583" s="19">
        <f t="shared" si="49"/>
        <v>656838.55595621082</v>
      </c>
    </row>
    <row r="584" spans="2:14" x14ac:dyDescent="0.2">
      <c r="B584" s="9"/>
      <c r="C584" s="9" t="s">
        <v>50</v>
      </c>
      <c r="D584" s="13" t="s">
        <v>61</v>
      </c>
      <c r="E584" s="13" t="s">
        <v>24</v>
      </c>
      <c r="F584" s="19">
        <f t="shared" si="49"/>
        <v>1044140.0936398032</v>
      </c>
    </row>
    <row r="585" spans="2:14" x14ac:dyDescent="0.2">
      <c r="B585" s="9"/>
      <c r="C585" s="9" t="s">
        <v>51</v>
      </c>
      <c r="D585" s="13" t="s">
        <v>61</v>
      </c>
      <c r="E585" s="13" t="s">
        <v>24</v>
      </c>
      <c r="F585" s="19">
        <f t="shared" si="49"/>
        <v>0</v>
      </c>
    </row>
    <row r="586" spans="2:14" x14ac:dyDescent="0.2">
      <c r="B586" s="9"/>
      <c r="C586" s="18" t="s">
        <v>52</v>
      </c>
      <c r="D586" s="13" t="s">
        <v>61</v>
      </c>
      <c r="E586" s="13" t="s">
        <v>24</v>
      </c>
      <c r="F586" s="19">
        <f t="shared" si="49"/>
        <v>0</v>
      </c>
    </row>
    <row r="587" spans="2:14" x14ac:dyDescent="0.2">
      <c r="B587" s="9"/>
      <c r="C587" s="49" t="s">
        <v>53</v>
      </c>
      <c r="D587" s="44" t="s">
        <v>61</v>
      </c>
      <c r="E587" s="44" t="s">
        <v>24</v>
      </c>
      <c r="F587" s="19">
        <f t="shared" si="49"/>
        <v>0</v>
      </c>
    </row>
    <row r="588" spans="2:14" s="3" customFormat="1" x14ac:dyDescent="0.2">
      <c r="B588" s="18"/>
      <c r="C588" s="18" t="s">
        <v>54</v>
      </c>
      <c r="D588" s="11" t="s">
        <v>61</v>
      </c>
      <c r="E588" s="11" t="s">
        <v>24</v>
      </c>
      <c r="F588" s="36">
        <f>+SUM(F557,F562,F565,F568,F570,F572,F576,F579,F582,F586)</f>
        <v>5211419.3135764226</v>
      </c>
      <c r="H588" s="1"/>
      <c r="I588" s="1"/>
      <c r="J588" s="1"/>
      <c r="K588" s="1"/>
      <c r="L588" s="1"/>
      <c r="M588" s="1"/>
      <c r="N588" s="1"/>
    </row>
    <row r="589" spans="2:14" x14ac:dyDescent="0.2">
      <c r="B589" s="9"/>
      <c r="C589" s="9"/>
      <c r="F589" s="19"/>
    </row>
    <row r="590" spans="2:14" s="3" customFormat="1" x14ac:dyDescent="0.2">
      <c r="B590" s="7" t="s">
        <v>451</v>
      </c>
      <c r="C590" s="18"/>
      <c r="D590" s="11"/>
      <c r="E590" s="11"/>
      <c r="F590" s="37"/>
      <c r="H590" s="1"/>
      <c r="I590" s="1"/>
      <c r="J590" s="1"/>
      <c r="K590" s="1"/>
      <c r="L590" s="1"/>
      <c r="M590" s="1"/>
      <c r="N590" s="1"/>
    </row>
    <row r="591" spans="2:14" s="3" customFormat="1" x14ac:dyDescent="0.2">
      <c r="B591" s="18"/>
      <c r="C591" s="8" t="s">
        <v>452</v>
      </c>
      <c r="D591" s="13" t="s">
        <v>61</v>
      </c>
      <c r="E591" s="13" t="s">
        <v>24</v>
      </c>
      <c r="F591" s="16">
        <f>+$F$588*F$74</f>
        <v>4278508.808143016</v>
      </c>
      <c r="H591" s="1"/>
      <c r="I591" s="1"/>
      <c r="J591" s="1"/>
      <c r="K591" s="1"/>
      <c r="L591" s="1"/>
      <c r="M591" s="1"/>
      <c r="N591" s="1"/>
    </row>
    <row r="592" spans="2:14" s="3" customFormat="1" x14ac:dyDescent="0.2">
      <c r="B592" s="18"/>
      <c r="C592" s="8" t="s">
        <v>453</v>
      </c>
      <c r="D592" s="13" t="s">
        <v>61</v>
      </c>
      <c r="E592" s="13" t="s">
        <v>24</v>
      </c>
      <c r="F592" s="16">
        <f>+$F$588*F$75</f>
        <v>932910.5054334061</v>
      </c>
      <c r="H592" s="1"/>
      <c r="I592" s="1"/>
      <c r="J592" s="1"/>
      <c r="K592" s="1"/>
      <c r="L592" s="1"/>
      <c r="M592" s="1"/>
      <c r="N592" s="1"/>
    </row>
    <row r="593" spans="2:15" x14ac:dyDescent="0.2">
      <c r="C593" s="9"/>
    </row>
    <row r="594" spans="2:15" s="3" customFormat="1" x14ac:dyDescent="0.2">
      <c r="B594" s="18"/>
      <c r="C594" s="18"/>
      <c r="D594" s="13"/>
      <c r="E594" s="13"/>
      <c r="F594" s="20"/>
    </row>
    <row r="595" spans="2:15" x14ac:dyDescent="0.2">
      <c r="B595" s="4" t="s">
        <v>206</v>
      </c>
      <c r="C595" s="4"/>
      <c r="D595" s="14"/>
      <c r="E595" s="14"/>
      <c r="F595" s="4"/>
      <c r="G595" s="5"/>
      <c r="H595" s="4"/>
      <c r="I595" s="4"/>
      <c r="J595" s="4"/>
      <c r="K595" s="4"/>
      <c r="L595" s="4"/>
      <c r="M595" s="4"/>
      <c r="N595" s="4"/>
    </row>
    <row r="596" spans="2:15" x14ac:dyDescent="0.2">
      <c r="B596" s="3"/>
    </row>
    <row r="597" spans="2:15" x14ac:dyDescent="0.2">
      <c r="B597" s="32" t="s">
        <v>5</v>
      </c>
    </row>
    <row r="598" spans="2:15" x14ac:dyDescent="0.2">
      <c r="B598" s="3"/>
    </row>
    <row r="599" spans="2:15" x14ac:dyDescent="0.2">
      <c r="B599" s="3"/>
      <c r="C599" s="3" t="s">
        <v>56</v>
      </c>
    </row>
    <row r="600" spans="2:15" x14ac:dyDescent="0.2">
      <c r="C600" s="33" t="s">
        <v>80</v>
      </c>
      <c r="D600" s="13" t="s">
        <v>55</v>
      </c>
      <c r="E600" s="13" t="s">
        <v>14</v>
      </c>
      <c r="F600" s="10">
        <v>2017</v>
      </c>
    </row>
    <row r="601" spans="2:15" x14ac:dyDescent="0.2">
      <c r="C601" s="33" t="s">
        <v>81</v>
      </c>
      <c r="D601" s="13" t="s">
        <v>1</v>
      </c>
      <c r="E601" s="13" t="s">
        <v>14</v>
      </c>
      <c r="F601" s="10">
        <v>2</v>
      </c>
    </row>
    <row r="602" spans="2:15" x14ac:dyDescent="0.2">
      <c r="C602" s="33" t="s">
        <v>82</v>
      </c>
      <c r="D602" s="13" t="s">
        <v>1</v>
      </c>
      <c r="E602" s="13" t="s">
        <v>14</v>
      </c>
      <c r="F602" s="10">
        <v>2</v>
      </c>
    </row>
    <row r="603" spans="2:15" x14ac:dyDescent="0.2">
      <c r="C603" s="33" t="s">
        <v>83</v>
      </c>
      <c r="D603" s="13" t="s">
        <v>1</v>
      </c>
      <c r="E603" s="13" t="s">
        <v>14</v>
      </c>
      <c r="F603" s="10">
        <v>11</v>
      </c>
    </row>
    <row r="604" spans="2:15" x14ac:dyDescent="0.2">
      <c r="C604" s="33" t="s">
        <v>84</v>
      </c>
      <c r="D604" s="13" t="s">
        <v>85</v>
      </c>
      <c r="E604" s="13" t="s">
        <v>14</v>
      </c>
      <c r="F604" s="10">
        <v>1</v>
      </c>
    </row>
    <row r="605" spans="2:15" s="3" customFormat="1" x14ac:dyDescent="0.2">
      <c r="D605" s="11"/>
      <c r="E605" s="11"/>
      <c r="G605" s="1"/>
      <c r="H605" s="1"/>
      <c r="I605" s="1"/>
      <c r="J605" s="1"/>
      <c r="K605" s="1"/>
      <c r="L605" s="1"/>
      <c r="M605" s="1"/>
      <c r="N605" s="1"/>
      <c r="O605" s="1"/>
    </row>
    <row r="606" spans="2:15" s="3" customFormat="1" x14ac:dyDescent="0.2">
      <c r="C606" s="3" t="s">
        <v>178</v>
      </c>
      <c r="D606" s="11"/>
      <c r="E606" s="11"/>
      <c r="G606" s="1"/>
      <c r="H606" s="1"/>
      <c r="I606" s="1"/>
      <c r="J606" s="1"/>
      <c r="K606" s="1"/>
      <c r="L606" s="1"/>
      <c r="M606" s="1"/>
      <c r="N606" s="1"/>
      <c r="O606" s="1"/>
    </row>
    <row r="607" spans="2:15" x14ac:dyDescent="0.2">
      <c r="C607" s="33" t="s">
        <v>80</v>
      </c>
      <c r="D607" s="13" t="s">
        <v>57</v>
      </c>
      <c r="E607" s="13" t="s">
        <v>14</v>
      </c>
      <c r="F607" s="19">
        <f>+F337</f>
        <v>3076.84</v>
      </c>
    </row>
    <row r="608" spans="2:15" x14ac:dyDescent="0.2">
      <c r="C608" s="33" t="s">
        <v>81</v>
      </c>
      <c r="D608" s="13" t="s">
        <v>57</v>
      </c>
      <c r="E608" s="13" t="s">
        <v>14</v>
      </c>
      <c r="F608" s="17">
        <v>158249.19483811973</v>
      </c>
    </row>
    <row r="609" spans="2:15" x14ac:dyDescent="0.2">
      <c r="C609" s="33" t="s">
        <v>82</v>
      </c>
      <c r="D609" s="13" t="s">
        <v>57</v>
      </c>
      <c r="E609" s="13" t="s">
        <v>14</v>
      </c>
      <c r="F609" s="17">
        <v>207428.64868769591</v>
      </c>
    </row>
    <row r="610" spans="2:15" x14ac:dyDescent="0.2">
      <c r="C610" s="33" t="s">
        <v>83</v>
      </c>
      <c r="D610" s="13" t="s">
        <v>57</v>
      </c>
      <c r="E610" s="13" t="s">
        <v>14</v>
      </c>
      <c r="F610" s="17">
        <v>31196.254703878698</v>
      </c>
    </row>
    <row r="611" spans="2:15" x14ac:dyDescent="0.2">
      <c r="C611" s="33" t="s">
        <v>84</v>
      </c>
      <c r="D611" s="13" t="s">
        <v>57</v>
      </c>
      <c r="E611" s="13" t="s">
        <v>14</v>
      </c>
      <c r="F611" s="17">
        <v>7541159.509703829</v>
      </c>
    </row>
    <row r="612" spans="2:15" s="3" customFormat="1" x14ac:dyDescent="0.2">
      <c r="D612" s="11"/>
      <c r="E612" s="11"/>
      <c r="G612" s="1"/>
      <c r="H612" s="1"/>
      <c r="I612" s="1"/>
      <c r="J612" s="1"/>
      <c r="K612" s="1"/>
      <c r="L612" s="1"/>
      <c r="M612" s="1"/>
      <c r="N612" s="1"/>
      <c r="O612" s="1"/>
    </row>
    <row r="613" spans="2:15" s="3" customFormat="1" x14ac:dyDescent="0.2">
      <c r="C613" s="3" t="s">
        <v>86</v>
      </c>
      <c r="D613" s="11"/>
      <c r="E613" s="11"/>
      <c r="H613" s="1"/>
      <c r="I613" s="1"/>
      <c r="J613" s="1"/>
      <c r="K613" s="1"/>
      <c r="L613" s="1"/>
      <c r="M613" s="1"/>
      <c r="N613" s="1"/>
      <c r="O613" s="1"/>
    </row>
    <row r="614" spans="2:15" s="3" customFormat="1" x14ac:dyDescent="0.2">
      <c r="C614" s="33" t="s">
        <v>80</v>
      </c>
      <c r="D614" s="13" t="s">
        <v>61</v>
      </c>
      <c r="E614" s="13" t="s">
        <v>14</v>
      </c>
      <c r="F614" s="19">
        <f>+F600*F607</f>
        <v>6205986.2800000003</v>
      </c>
      <c r="H614" s="1"/>
      <c r="I614" s="1"/>
      <c r="J614" s="1"/>
      <c r="K614" s="1"/>
      <c r="L614" s="1"/>
      <c r="M614" s="1"/>
      <c r="N614" s="1"/>
      <c r="O614" s="1"/>
    </row>
    <row r="615" spans="2:15" s="3" customFormat="1" x14ac:dyDescent="0.2">
      <c r="C615" s="33" t="s">
        <v>81</v>
      </c>
      <c r="D615" s="13" t="s">
        <v>61</v>
      </c>
      <c r="E615" s="13" t="s">
        <v>14</v>
      </c>
      <c r="F615" s="19">
        <f>+F601*F608</f>
        <v>316498.38967623946</v>
      </c>
      <c r="H615" s="1"/>
      <c r="I615" s="1"/>
      <c r="J615" s="1"/>
      <c r="K615" s="1"/>
      <c r="L615" s="1"/>
      <c r="M615" s="1"/>
      <c r="N615" s="1"/>
      <c r="O615" s="1"/>
    </row>
    <row r="616" spans="2:15" s="3" customFormat="1" x14ac:dyDescent="0.2">
      <c r="C616" s="33" t="s">
        <v>82</v>
      </c>
      <c r="D616" s="13" t="s">
        <v>61</v>
      </c>
      <c r="E616" s="13" t="s">
        <v>14</v>
      </c>
      <c r="F616" s="19">
        <f>+F602*F609</f>
        <v>414857.29737539182</v>
      </c>
      <c r="H616" s="1"/>
      <c r="I616" s="1"/>
      <c r="J616" s="1"/>
      <c r="K616" s="1"/>
      <c r="L616" s="1"/>
      <c r="M616" s="1"/>
      <c r="N616" s="1"/>
      <c r="O616" s="1"/>
    </row>
    <row r="617" spans="2:15" s="3" customFormat="1" x14ac:dyDescent="0.2">
      <c r="C617" s="33" t="s">
        <v>83</v>
      </c>
      <c r="D617" s="13" t="s">
        <v>61</v>
      </c>
      <c r="E617" s="13" t="s">
        <v>14</v>
      </c>
      <c r="F617" s="19">
        <f>+F603*F610</f>
        <v>343158.8017426657</v>
      </c>
      <c r="H617" s="1"/>
      <c r="I617" s="1"/>
      <c r="J617" s="1"/>
      <c r="K617" s="1"/>
      <c r="L617" s="1"/>
      <c r="M617" s="1"/>
      <c r="N617" s="1"/>
      <c r="O617" s="1"/>
    </row>
    <row r="618" spans="2:15" s="3" customFormat="1" x14ac:dyDescent="0.2">
      <c r="C618" s="33" t="s">
        <v>84</v>
      </c>
      <c r="D618" s="13" t="s">
        <v>61</v>
      </c>
      <c r="E618" s="13" t="s">
        <v>14</v>
      </c>
      <c r="F618" s="19">
        <f>+F604*F611</f>
        <v>7541159.509703829</v>
      </c>
      <c r="H618" s="1"/>
      <c r="I618" s="1"/>
      <c r="J618" s="1"/>
      <c r="K618" s="1"/>
      <c r="L618" s="1"/>
      <c r="M618" s="1"/>
      <c r="N618" s="1"/>
      <c r="O618" s="1"/>
    </row>
    <row r="619" spans="2:15" s="3" customFormat="1" x14ac:dyDescent="0.2">
      <c r="C619" s="23" t="s">
        <v>7</v>
      </c>
      <c r="D619" s="25" t="s">
        <v>61</v>
      </c>
      <c r="E619" s="25" t="s">
        <v>14</v>
      </c>
      <c r="F619" s="36">
        <f>+SUM(F614:F618)</f>
        <v>14821660.278498126</v>
      </c>
      <c r="H619" s="1"/>
      <c r="I619" s="1"/>
      <c r="J619" s="1"/>
      <c r="K619" s="1"/>
      <c r="L619" s="1"/>
      <c r="M619" s="1"/>
      <c r="N619" s="1"/>
      <c r="O619" s="1"/>
    </row>
    <row r="620" spans="2:15" s="3" customFormat="1" x14ac:dyDescent="0.2">
      <c r="D620" s="11"/>
      <c r="E620" s="11"/>
      <c r="F620" s="37"/>
      <c r="H620" s="1"/>
      <c r="I620" s="1"/>
      <c r="J620" s="1"/>
      <c r="K620" s="1"/>
      <c r="L620" s="1"/>
      <c r="M620" s="1"/>
      <c r="N620" s="1"/>
      <c r="O620" s="1"/>
    </row>
    <row r="621" spans="2:15" s="3" customFormat="1" x14ac:dyDescent="0.2">
      <c r="C621" s="7" t="s">
        <v>451</v>
      </c>
      <c r="D621" s="11"/>
      <c r="E621" s="11"/>
      <c r="F621" s="37"/>
      <c r="H621" s="1"/>
      <c r="I621" s="1"/>
      <c r="J621" s="1"/>
      <c r="K621" s="1"/>
      <c r="L621" s="1"/>
      <c r="M621" s="1"/>
      <c r="N621" s="1"/>
    </row>
    <row r="622" spans="2:15" s="3" customFormat="1" x14ac:dyDescent="0.2">
      <c r="B622" s="18"/>
      <c r="C622" s="8" t="s">
        <v>487</v>
      </c>
      <c r="D622" s="13" t="s">
        <v>61</v>
      </c>
      <c r="E622" s="13" t="s">
        <v>24</v>
      </c>
      <c r="F622" s="16">
        <f>+$F$614*F$74</f>
        <v>5095035.6063313419</v>
      </c>
      <c r="H622" s="1"/>
      <c r="I622" s="1"/>
      <c r="J622" s="1"/>
      <c r="K622" s="1"/>
      <c r="L622" s="1"/>
      <c r="M622" s="1"/>
      <c r="N622" s="1"/>
    </row>
    <row r="623" spans="2:15" s="3" customFormat="1" x14ac:dyDescent="0.2">
      <c r="B623" s="18"/>
      <c r="C623" s="8" t="s">
        <v>488</v>
      </c>
      <c r="D623" s="13" t="s">
        <v>61</v>
      </c>
      <c r="E623" s="13" t="s">
        <v>24</v>
      </c>
      <c r="F623" s="16">
        <f>+$F$614*F$75</f>
        <v>1110950.6736686584</v>
      </c>
      <c r="H623" s="1"/>
      <c r="I623" s="1"/>
      <c r="J623" s="1"/>
      <c r="K623" s="1"/>
      <c r="L623" s="1"/>
      <c r="M623" s="1"/>
      <c r="N623" s="1"/>
    </row>
    <row r="624" spans="2:15" s="3" customFormat="1" x14ac:dyDescent="0.2">
      <c r="B624" s="18"/>
      <c r="C624" s="8"/>
      <c r="D624" s="13"/>
      <c r="E624" s="13"/>
      <c r="F624" s="16"/>
      <c r="H624" s="1"/>
      <c r="I624" s="1"/>
      <c r="J624" s="1"/>
      <c r="K624" s="1"/>
      <c r="L624" s="1"/>
      <c r="M624" s="1"/>
      <c r="N624" s="1"/>
    </row>
    <row r="625" spans="2:15" s="3" customFormat="1" x14ac:dyDescent="0.2">
      <c r="C625" s="3" t="s">
        <v>86</v>
      </c>
      <c r="D625" s="11"/>
      <c r="E625" s="11"/>
      <c r="H625" s="1"/>
      <c r="I625" s="1"/>
      <c r="J625" s="1"/>
      <c r="K625" s="1"/>
      <c r="L625" s="1"/>
      <c r="M625" s="1"/>
      <c r="N625" s="1"/>
      <c r="O625" s="1"/>
    </row>
    <row r="626" spans="2:15" s="3" customFormat="1" x14ac:dyDescent="0.2">
      <c r="C626" s="33" t="s">
        <v>487</v>
      </c>
      <c r="D626" s="13" t="s">
        <v>61</v>
      </c>
      <c r="E626" s="13" t="s">
        <v>14</v>
      </c>
      <c r="F626" s="19">
        <f>+F622</f>
        <v>5095035.6063313419</v>
      </c>
      <c r="H626" s="1"/>
      <c r="I626" s="1"/>
      <c r="J626" s="1"/>
      <c r="K626" s="1"/>
      <c r="L626" s="1"/>
      <c r="M626" s="1"/>
      <c r="N626" s="1"/>
      <c r="O626" s="1"/>
    </row>
    <row r="627" spans="2:15" s="3" customFormat="1" x14ac:dyDescent="0.2">
      <c r="C627" s="33" t="s">
        <v>488</v>
      </c>
      <c r="D627" s="13" t="s">
        <v>61</v>
      </c>
      <c r="E627" s="13" t="s">
        <v>14</v>
      </c>
      <c r="F627" s="19">
        <f>+F623</f>
        <v>1110950.6736686584</v>
      </c>
      <c r="H627" s="1"/>
      <c r="I627" s="1"/>
      <c r="J627" s="1"/>
      <c r="K627" s="1"/>
      <c r="L627" s="1"/>
      <c r="M627" s="1"/>
      <c r="N627" s="1"/>
      <c r="O627" s="1"/>
    </row>
    <row r="628" spans="2:15" s="3" customFormat="1" x14ac:dyDescent="0.2">
      <c r="C628" s="33" t="s">
        <v>81</v>
      </c>
      <c r="D628" s="13" t="s">
        <v>61</v>
      </c>
      <c r="E628" s="13" t="s">
        <v>14</v>
      </c>
      <c r="F628" s="19">
        <f>+F615</f>
        <v>316498.38967623946</v>
      </c>
      <c r="H628" s="1"/>
      <c r="I628" s="1"/>
      <c r="J628" s="1"/>
      <c r="K628" s="1"/>
      <c r="L628" s="1"/>
      <c r="M628" s="1"/>
      <c r="N628" s="1"/>
      <c r="O628" s="1"/>
    </row>
    <row r="629" spans="2:15" s="3" customFormat="1" x14ac:dyDescent="0.2">
      <c r="C629" s="33" t="s">
        <v>82</v>
      </c>
      <c r="D629" s="13" t="s">
        <v>61</v>
      </c>
      <c r="E629" s="13" t="s">
        <v>14</v>
      </c>
      <c r="F629" s="19">
        <f t="shared" ref="F629:F631" si="50">+F616</f>
        <v>414857.29737539182</v>
      </c>
      <c r="H629" s="1"/>
      <c r="I629" s="1"/>
      <c r="J629" s="1"/>
      <c r="K629" s="1"/>
      <c r="L629" s="1"/>
      <c r="M629" s="1"/>
      <c r="N629" s="1"/>
      <c r="O629" s="1"/>
    </row>
    <row r="630" spans="2:15" s="3" customFormat="1" x14ac:dyDescent="0.2">
      <c r="C630" s="33" t="s">
        <v>83</v>
      </c>
      <c r="D630" s="13" t="s">
        <v>61</v>
      </c>
      <c r="E630" s="13" t="s">
        <v>14</v>
      </c>
      <c r="F630" s="19">
        <f t="shared" si="50"/>
        <v>343158.8017426657</v>
      </c>
      <c r="H630" s="1"/>
      <c r="I630" s="1"/>
      <c r="J630" s="1"/>
      <c r="K630" s="1"/>
      <c r="L630" s="1"/>
      <c r="M630" s="1"/>
      <c r="N630" s="1"/>
      <c r="O630" s="1"/>
    </row>
    <row r="631" spans="2:15" s="3" customFormat="1" x14ac:dyDescent="0.2">
      <c r="C631" s="33" t="s">
        <v>84</v>
      </c>
      <c r="D631" s="13" t="s">
        <v>61</v>
      </c>
      <c r="E631" s="13" t="s">
        <v>14</v>
      </c>
      <c r="F631" s="19">
        <f t="shared" si="50"/>
        <v>7541159.509703829</v>
      </c>
      <c r="H631" s="1"/>
      <c r="I631" s="1"/>
      <c r="J631" s="1"/>
      <c r="K631" s="1"/>
      <c r="L631" s="1"/>
      <c r="M631" s="1"/>
      <c r="N631" s="1"/>
      <c r="O631" s="1"/>
    </row>
    <row r="632" spans="2:15" s="3" customFormat="1" x14ac:dyDescent="0.2">
      <c r="C632" s="23" t="s">
        <v>7</v>
      </c>
      <c r="D632" s="25" t="s">
        <v>61</v>
      </c>
      <c r="E632" s="25" t="s">
        <v>14</v>
      </c>
      <c r="F632" s="36">
        <f>+SUM(F626:F631)</f>
        <v>14821660.278498126</v>
      </c>
      <c r="H632" s="1"/>
      <c r="I632" s="1"/>
      <c r="J632" s="1"/>
      <c r="K632" s="1"/>
      <c r="L632" s="1"/>
      <c r="M632" s="1"/>
      <c r="N632" s="1"/>
      <c r="O632" s="1"/>
    </row>
    <row r="633" spans="2:15" s="3" customFormat="1" x14ac:dyDescent="0.2">
      <c r="D633" s="11"/>
      <c r="E633" s="11"/>
    </row>
    <row r="634" spans="2:15" x14ac:dyDescent="0.2">
      <c r="B634" s="32" t="s">
        <v>6</v>
      </c>
    </row>
    <row r="636" spans="2:15" x14ac:dyDescent="0.2">
      <c r="C636" s="33" t="s">
        <v>80</v>
      </c>
      <c r="D636" s="13" t="s">
        <v>55</v>
      </c>
      <c r="E636" s="13" t="s">
        <v>14</v>
      </c>
      <c r="F636" s="10">
        <v>515</v>
      </c>
    </row>
    <row r="637" spans="2:15" x14ac:dyDescent="0.2">
      <c r="C637" s="33" t="s">
        <v>81</v>
      </c>
      <c r="D637" s="13" t="s">
        <v>1</v>
      </c>
      <c r="E637" s="13" t="s">
        <v>14</v>
      </c>
      <c r="F637" s="10">
        <v>3</v>
      </c>
    </row>
    <row r="638" spans="2:15" x14ac:dyDescent="0.2">
      <c r="C638" s="33" t="s">
        <v>82</v>
      </c>
      <c r="D638" s="13" t="s">
        <v>1</v>
      </c>
      <c r="E638" s="13" t="s">
        <v>14</v>
      </c>
      <c r="F638" s="10">
        <v>2</v>
      </c>
    </row>
    <row r="639" spans="2:15" x14ac:dyDescent="0.2">
      <c r="C639" s="33" t="s">
        <v>83</v>
      </c>
      <c r="D639" s="13" t="s">
        <v>1</v>
      </c>
      <c r="E639" s="13" t="s">
        <v>14</v>
      </c>
      <c r="F639" s="10">
        <v>5</v>
      </c>
    </row>
    <row r="641" spans="2:15" s="3" customFormat="1" x14ac:dyDescent="0.2">
      <c r="C641" s="3" t="s">
        <v>178</v>
      </c>
      <c r="D641" s="11"/>
      <c r="E641" s="11"/>
      <c r="H641" s="1"/>
      <c r="I641" s="1"/>
      <c r="J641" s="1"/>
      <c r="K641" s="1"/>
      <c r="L641" s="1"/>
      <c r="M641" s="1"/>
      <c r="N641" s="1"/>
      <c r="O641" s="1"/>
    </row>
    <row r="642" spans="2:15" x14ac:dyDescent="0.2">
      <c r="C642" s="33" t="s">
        <v>80</v>
      </c>
      <c r="D642" s="13" t="s">
        <v>57</v>
      </c>
      <c r="E642" s="13" t="s">
        <v>14</v>
      </c>
      <c r="F642" s="16">
        <f>+F341</f>
        <v>3110.29</v>
      </c>
    </row>
    <row r="643" spans="2:15" x14ac:dyDescent="0.2">
      <c r="C643" s="33" t="s">
        <v>81</v>
      </c>
      <c r="D643" s="13" t="s">
        <v>57</v>
      </c>
      <c r="E643" s="13" t="s">
        <v>14</v>
      </c>
      <c r="F643" s="17">
        <v>158249.19483811973</v>
      </c>
    </row>
    <row r="644" spans="2:15" x14ac:dyDescent="0.2">
      <c r="C644" s="33" t="s">
        <v>82</v>
      </c>
      <c r="D644" s="13" t="s">
        <v>57</v>
      </c>
      <c r="E644" s="13" t="s">
        <v>14</v>
      </c>
      <c r="F644" s="17">
        <v>207428.64868769591</v>
      </c>
    </row>
    <row r="645" spans="2:15" x14ac:dyDescent="0.2">
      <c r="C645" s="33" t="s">
        <v>83</v>
      </c>
      <c r="D645" s="13" t="s">
        <v>57</v>
      </c>
      <c r="E645" s="13" t="s">
        <v>14</v>
      </c>
      <c r="F645" s="17">
        <v>31196.254703878698</v>
      </c>
    </row>
    <row r="646" spans="2:15" x14ac:dyDescent="0.2">
      <c r="C646" s="33"/>
    </row>
    <row r="647" spans="2:15" s="3" customFormat="1" x14ac:dyDescent="0.2">
      <c r="C647" s="3" t="s">
        <v>86</v>
      </c>
      <c r="D647" s="11"/>
      <c r="E647" s="11"/>
    </row>
    <row r="648" spans="2:15" s="3" customFormat="1" x14ac:dyDescent="0.2">
      <c r="C648" s="33" t="s">
        <v>80</v>
      </c>
      <c r="D648" s="13" t="s">
        <v>61</v>
      </c>
      <c r="E648" s="13" t="s">
        <v>14</v>
      </c>
      <c r="F648" s="16">
        <f>+F636*F642</f>
        <v>1601799.35</v>
      </c>
    </row>
    <row r="649" spans="2:15" s="3" customFormat="1" x14ac:dyDescent="0.2">
      <c r="C649" s="33" t="s">
        <v>81</v>
      </c>
      <c r="D649" s="13" t="s">
        <v>61</v>
      </c>
      <c r="E649" s="13" t="s">
        <v>14</v>
      </c>
      <c r="F649" s="16">
        <f>+F637*F643</f>
        <v>474747.58451435919</v>
      </c>
    </row>
    <row r="650" spans="2:15" s="3" customFormat="1" x14ac:dyDescent="0.2">
      <c r="C650" s="33" t="s">
        <v>82</v>
      </c>
      <c r="D650" s="13" t="s">
        <v>61</v>
      </c>
      <c r="E650" s="13" t="s">
        <v>14</v>
      </c>
      <c r="F650" s="16">
        <f>+F638*F644</f>
        <v>414857.29737539182</v>
      </c>
    </row>
    <row r="651" spans="2:15" s="3" customFormat="1" x14ac:dyDescent="0.2">
      <c r="C651" s="33" t="s">
        <v>83</v>
      </c>
      <c r="D651" s="13" t="s">
        <v>61</v>
      </c>
      <c r="E651" s="13" t="s">
        <v>14</v>
      </c>
      <c r="F651" s="16">
        <f>+F639*F645</f>
        <v>155981.27351939349</v>
      </c>
    </row>
    <row r="652" spans="2:15" s="3" customFormat="1" x14ac:dyDescent="0.2">
      <c r="C652" s="23" t="s">
        <v>7</v>
      </c>
      <c r="D652" s="25" t="s">
        <v>61</v>
      </c>
      <c r="E652" s="25" t="s">
        <v>14</v>
      </c>
      <c r="F652" s="36">
        <f>+SUM(F648:F651)</f>
        <v>2647385.5054091448</v>
      </c>
    </row>
    <row r="653" spans="2:15" s="3" customFormat="1" x14ac:dyDescent="0.2">
      <c r="D653" s="11"/>
      <c r="E653" s="11"/>
      <c r="F653" s="37"/>
    </row>
    <row r="654" spans="2:15" s="3" customFormat="1" x14ac:dyDescent="0.2">
      <c r="C654" s="7" t="s">
        <v>451</v>
      </c>
      <c r="D654" s="11"/>
      <c r="E654" s="11"/>
      <c r="F654" s="37"/>
      <c r="H654" s="1"/>
      <c r="I654" s="1"/>
      <c r="J654" s="1"/>
      <c r="K654" s="1"/>
      <c r="L654" s="1"/>
      <c r="M654" s="1"/>
      <c r="N654" s="1"/>
    </row>
    <row r="655" spans="2:15" s="3" customFormat="1" x14ac:dyDescent="0.2">
      <c r="B655" s="18"/>
      <c r="C655" s="8" t="s">
        <v>489</v>
      </c>
      <c r="D655" s="13" t="s">
        <v>61</v>
      </c>
      <c r="E655" s="13" t="s">
        <v>24</v>
      </c>
      <c r="F655" s="16">
        <f>+$F$648*F$74</f>
        <v>1315056.8425762616</v>
      </c>
      <c r="H655" s="1"/>
      <c r="I655" s="1"/>
      <c r="J655" s="1"/>
      <c r="K655" s="1"/>
      <c r="L655" s="1"/>
      <c r="M655" s="1"/>
      <c r="N655" s="1"/>
    </row>
    <row r="656" spans="2:15" s="3" customFormat="1" x14ac:dyDescent="0.2">
      <c r="B656" s="18"/>
      <c r="C656" s="8" t="s">
        <v>490</v>
      </c>
      <c r="D656" s="13" t="s">
        <v>61</v>
      </c>
      <c r="E656" s="13" t="s">
        <v>24</v>
      </c>
      <c r="F656" s="16">
        <f>+$F$648*F$75</f>
        <v>286742.50742373848</v>
      </c>
      <c r="H656" s="1"/>
      <c r="I656" s="1"/>
      <c r="J656" s="1"/>
      <c r="K656" s="1"/>
      <c r="L656" s="1"/>
      <c r="M656" s="1"/>
      <c r="N656" s="1"/>
    </row>
    <row r="657" spans="2:15" s="3" customFormat="1" x14ac:dyDescent="0.2">
      <c r="B657" s="18"/>
      <c r="C657" s="8"/>
      <c r="D657" s="13"/>
      <c r="E657" s="13"/>
      <c r="F657" s="16"/>
      <c r="H657" s="1"/>
      <c r="I657" s="1"/>
      <c r="J657" s="1"/>
      <c r="K657" s="1"/>
      <c r="L657" s="1"/>
      <c r="M657" s="1"/>
      <c r="N657" s="1"/>
    </row>
    <row r="658" spans="2:15" s="3" customFormat="1" x14ac:dyDescent="0.2">
      <c r="C658" s="3" t="s">
        <v>86</v>
      </c>
      <c r="D658" s="11"/>
      <c r="E658" s="11"/>
      <c r="H658" s="1"/>
      <c r="I658" s="1"/>
      <c r="J658" s="1"/>
      <c r="K658" s="1"/>
      <c r="L658" s="1"/>
      <c r="M658" s="1"/>
      <c r="N658" s="1"/>
      <c r="O658" s="1"/>
    </row>
    <row r="659" spans="2:15" s="3" customFormat="1" x14ac:dyDescent="0.2">
      <c r="C659" s="33" t="s">
        <v>489</v>
      </c>
      <c r="D659" s="13" t="s">
        <v>61</v>
      </c>
      <c r="E659" s="13" t="s">
        <v>14</v>
      </c>
      <c r="F659" s="19">
        <f>+F655</f>
        <v>1315056.8425762616</v>
      </c>
      <c r="H659" s="1"/>
      <c r="I659" s="1"/>
      <c r="J659" s="1"/>
      <c r="K659" s="1"/>
      <c r="L659" s="1"/>
      <c r="M659" s="1"/>
      <c r="N659" s="1"/>
      <c r="O659" s="1"/>
    </row>
    <row r="660" spans="2:15" s="3" customFormat="1" x14ac:dyDescent="0.2">
      <c r="C660" s="33" t="s">
        <v>490</v>
      </c>
      <c r="D660" s="13" t="s">
        <v>61</v>
      </c>
      <c r="E660" s="13" t="s">
        <v>14</v>
      </c>
      <c r="F660" s="19">
        <f>+F656</f>
        <v>286742.50742373848</v>
      </c>
      <c r="H660" s="1"/>
      <c r="I660" s="1"/>
      <c r="J660" s="1"/>
      <c r="K660" s="1"/>
      <c r="L660" s="1"/>
      <c r="M660" s="1"/>
      <c r="N660" s="1"/>
      <c r="O660" s="1"/>
    </row>
    <row r="661" spans="2:15" s="3" customFormat="1" x14ac:dyDescent="0.2">
      <c r="C661" s="33" t="s">
        <v>81</v>
      </c>
      <c r="D661" s="13" t="s">
        <v>61</v>
      </c>
      <c r="E661" s="13" t="s">
        <v>14</v>
      </c>
      <c r="F661" s="19">
        <f>+F649</f>
        <v>474747.58451435919</v>
      </c>
      <c r="H661" s="1"/>
      <c r="I661" s="1"/>
      <c r="J661" s="1"/>
      <c r="K661" s="1"/>
      <c r="L661" s="1"/>
      <c r="M661" s="1"/>
      <c r="N661" s="1"/>
      <c r="O661" s="1"/>
    </row>
    <row r="662" spans="2:15" s="3" customFormat="1" x14ac:dyDescent="0.2">
      <c r="C662" s="33" t="s">
        <v>82</v>
      </c>
      <c r="D662" s="13" t="s">
        <v>61</v>
      </c>
      <c r="E662" s="13" t="s">
        <v>14</v>
      </c>
      <c r="F662" s="19">
        <f>+F650</f>
        <v>414857.29737539182</v>
      </c>
      <c r="H662" s="1"/>
      <c r="I662" s="1"/>
      <c r="J662" s="1"/>
      <c r="K662" s="1"/>
      <c r="L662" s="1"/>
      <c r="M662" s="1"/>
      <c r="N662" s="1"/>
      <c r="O662" s="1"/>
    </row>
    <row r="663" spans="2:15" s="3" customFormat="1" x14ac:dyDescent="0.2">
      <c r="C663" s="33" t="s">
        <v>83</v>
      </c>
      <c r="D663" s="13" t="s">
        <v>61</v>
      </c>
      <c r="E663" s="13" t="s">
        <v>14</v>
      </c>
      <c r="F663" s="19">
        <f t="shared" ref="F663" si="51">+F651</f>
        <v>155981.27351939349</v>
      </c>
      <c r="H663" s="1"/>
      <c r="I663" s="1"/>
      <c r="J663" s="1"/>
      <c r="K663" s="1"/>
      <c r="L663" s="1"/>
      <c r="M663" s="1"/>
      <c r="N663" s="1"/>
      <c r="O663" s="1"/>
    </row>
    <row r="664" spans="2:15" s="3" customFormat="1" x14ac:dyDescent="0.2">
      <c r="C664" s="23" t="s">
        <v>7</v>
      </c>
      <c r="D664" s="25" t="s">
        <v>61</v>
      </c>
      <c r="E664" s="25" t="s">
        <v>14</v>
      </c>
      <c r="F664" s="36">
        <f>+SUM(F659:F663)</f>
        <v>2647385.5054091448</v>
      </c>
      <c r="H664" s="1"/>
      <c r="I664" s="1"/>
      <c r="J664" s="1"/>
      <c r="K664" s="1"/>
      <c r="L664" s="1"/>
      <c r="M664" s="1"/>
      <c r="N664" s="1"/>
      <c r="O664" s="1"/>
    </row>
    <row r="666" spans="2:15" x14ac:dyDescent="0.2">
      <c r="B666" s="4" t="s">
        <v>88</v>
      </c>
      <c r="C666" s="4"/>
      <c r="D666" s="14"/>
      <c r="E666" s="14"/>
      <c r="F666" s="4"/>
      <c r="G666" s="5"/>
      <c r="H666" s="4"/>
      <c r="I666" s="4"/>
      <c r="J666" s="4"/>
      <c r="K666" s="4"/>
      <c r="L666" s="4"/>
      <c r="M666" s="4"/>
      <c r="N666" s="4"/>
    </row>
    <row r="668" spans="2:15" s="3" customFormat="1" x14ac:dyDescent="0.2">
      <c r="B668" s="100" t="s">
        <v>204</v>
      </c>
      <c r="C668" s="100"/>
      <c r="D668" s="101" t="s">
        <v>13</v>
      </c>
      <c r="E668" s="101" t="s">
        <v>14</v>
      </c>
      <c r="F668" s="100"/>
      <c r="H668" s="220">
        <v>0.89385289499714859</v>
      </c>
      <c r="I668" s="220">
        <v>9.1027410885394455E-2</v>
      </c>
      <c r="J668" s="220">
        <v>1.511969411745695E-2</v>
      </c>
      <c r="K668" s="220">
        <v>0</v>
      </c>
      <c r="L668" s="221">
        <v>0</v>
      </c>
      <c r="M668" s="221">
        <v>0</v>
      </c>
      <c r="N668" s="221">
        <v>0</v>
      </c>
    </row>
    <row r="669" spans="2:15" x14ac:dyDescent="0.2">
      <c r="B669" s="3"/>
    </row>
    <row r="670" spans="2:15" x14ac:dyDescent="0.2">
      <c r="B670" s="26" t="s">
        <v>207</v>
      </c>
      <c r="C670" s="27"/>
      <c r="D670" s="28"/>
      <c r="E670" s="28"/>
      <c r="F670" s="27"/>
      <c r="H670" s="27"/>
      <c r="I670" s="27"/>
      <c r="J670" s="27"/>
      <c r="K670" s="27"/>
      <c r="L670" s="27"/>
      <c r="M670" s="27"/>
      <c r="N670" s="27"/>
    </row>
    <row r="672" spans="2:15" x14ac:dyDescent="0.2">
      <c r="B672" s="32" t="s">
        <v>5</v>
      </c>
      <c r="E672" s="1"/>
    </row>
    <row r="673" spans="2:14" x14ac:dyDescent="0.2">
      <c r="E673" s="1"/>
    </row>
    <row r="674" spans="2:14" x14ac:dyDescent="0.2">
      <c r="C674" s="1" t="s">
        <v>205</v>
      </c>
      <c r="D674" s="13" t="s">
        <v>16</v>
      </c>
      <c r="E674" s="13" t="s">
        <v>14</v>
      </c>
      <c r="F674" s="16">
        <f>+SUMPRODUCT(F347:F377,F383:F413)</f>
        <v>9949.6407020819588</v>
      </c>
    </row>
    <row r="675" spans="2:14" x14ac:dyDescent="0.2">
      <c r="C675" s="1" t="s">
        <v>206</v>
      </c>
      <c r="D675" s="13" t="s">
        <v>16</v>
      </c>
      <c r="E675" s="13" t="s">
        <v>14</v>
      </c>
      <c r="F675" s="16">
        <f>+F600</f>
        <v>2017</v>
      </c>
    </row>
    <row r="676" spans="2:14" s="3" customFormat="1" x14ac:dyDescent="0.2">
      <c r="C676" s="23" t="s">
        <v>7</v>
      </c>
      <c r="D676" s="25" t="s">
        <v>16</v>
      </c>
      <c r="E676" s="25" t="s">
        <v>24</v>
      </c>
      <c r="F676" s="36">
        <f>+SUM(F674:F675)</f>
        <v>11966.640702081959</v>
      </c>
    </row>
    <row r="678" spans="2:14" x14ac:dyDescent="0.2">
      <c r="B678" s="32" t="s">
        <v>6</v>
      </c>
    </row>
    <row r="680" spans="2:14" x14ac:dyDescent="0.2">
      <c r="C680" s="1" t="s">
        <v>205</v>
      </c>
      <c r="D680" s="13" t="s">
        <v>16</v>
      </c>
      <c r="E680" s="13" t="s">
        <v>14</v>
      </c>
      <c r="F680" s="16">
        <f>+SUMPRODUCT(F347:F377,F490:F520)</f>
        <v>1653.9987665279998</v>
      </c>
    </row>
    <row r="681" spans="2:14" x14ac:dyDescent="0.2">
      <c r="C681" s="1" t="s">
        <v>206</v>
      </c>
      <c r="D681" s="13" t="s">
        <v>16</v>
      </c>
      <c r="E681" s="13" t="s">
        <v>14</v>
      </c>
      <c r="F681" s="16">
        <f>+F636</f>
        <v>515</v>
      </c>
    </row>
    <row r="682" spans="2:14" x14ac:dyDescent="0.2">
      <c r="C682" s="23" t="s">
        <v>7</v>
      </c>
      <c r="D682" s="25" t="s">
        <v>16</v>
      </c>
      <c r="E682" s="25" t="s">
        <v>24</v>
      </c>
      <c r="F682" s="36">
        <f>+SUM(F680:F681)</f>
        <v>2168.9987665279996</v>
      </c>
    </row>
    <row r="683" spans="2:14" x14ac:dyDescent="0.2">
      <c r="H683" s="17"/>
      <c r="I683" s="17"/>
      <c r="J683" s="17"/>
      <c r="K683" s="17"/>
      <c r="L683" s="17"/>
      <c r="M683" s="17"/>
      <c r="N683" s="17"/>
    </row>
    <row r="684" spans="2:14" x14ac:dyDescent="0.2">
      <c r="B684" s="26" t="s">
        <v>141</v>
      </c>
      <c r="C684" s="27"/>
      <c r="D684" s="28"/>
      <c r="E684" s="28"/>
      <c r="F684" s="27"/>
      <c r="H684" s="27"/>
      <c r="I684" s="27"/>
      <c r="J684" s="27"/>
      <c r="K684" s="27"/>
      <c r="L684" s="27"/>
      <c r="M684" s="27"/>
      <c r="N684" s="27"/>
    </row>
    <row r="685" spans="2:14" x14ac:dyDescent="0.2">
      <c r="H685" s="17"/>
      <c r="I685" s="17"/>
      <c r="J685" s="17"/>
      <c r="K685" s="17"/>
      <c r="L685" s="17"/>
      <c r="M685" s="17"/>
      <c r="N685" s="17"/>
    </row>
    <row r="686" spans="2:14" x14ac:dyDescent="0.2">
      <c r="B686" s="32" t="s">
        <v>5</v>
      </c>
    </row>
    <row r="688" spans="2:14" s="3" customFormat="1" x14ac:dyDescent="0.2">
      <c r="B688" s="3" t="s">
        <v>191</v>
      </c>
      <c r="D688" s="11"/>
      <c r="E688" s="11"/>
    </row>
    <row r="689" spans="2:14" x14ac:dyDescent="0.2">
      <c r="B689" s="91" t="s">
        <v>175</v>
      </c>
      <c r="C689" s="245" t="s">
        <v>487</v>
      </c>
      <c r="D689" s="13" t="s">
        <v>61</v>
      </c>
      <c r="E689" s="13" t="s">
        <v>24</v>
      </c>
      <c r="F689" s="16">
        <f>+F626</f>
        <v>5095035.6063313419</v>
      </c>
      <c r="H689" s="16">
        <f t="shared" ref="H689:K697" si="52">+$F689*H$668</f>
        <v>4554212.3268328225</v>
      </c>
      <c r="I689" s="16">
        <f t="shared" si="52"/>
        <v>463787.89961323794</v>
      </c>
      <c r="J689" s="16">
        <f t="shared" si="52"/>
        <v>77035.379885281698</v>
      </c>
      <c r="K689" s="16">
        <f t="shared" si="52"/>
        <v>0</v>
      </c>
      <c r="L689" s="217">
        <f t="shared" ref="L689:N697" si="53">+$F689*L$668</f>
        <v>0</v>
      </c>
      <c r="M689" s="217">
        <f t="shared" si="53"/>
        <v>0</v>
      </c>
      <c r="N689" s="217">
        <f t="shared" si="53"/>
        <v>0</v>
      </c>
    </row>
    <row r="690" spans="2:14" x14ac:dyDescent="0.2">
      <c r="B690" s="91" t="s">
        <v>176</v>
      </c>
      <c r="C690" s="245" t="s">
        <v>488</v>
      </c>
      <c r="D690" s="13" t="s">
        <v>61</v>
      </c>
      <c r="E690" s="13" t="s">
        <v>24</v>
      </c>
      <c r="F690" s="16">
        <f t="shared" ref="F690:F694" si="54">+F627</f>
        <v>1110950.6736686584</v>
      </c>
      <c r="H690" s="16">
        <f t="shared" si="52"/>
        <v>993026.47585776274</v>
      </c>
      <c r="I690" s="16">
        <f t="shared" si="52"/>
        <v>101126.96344544273</v>
      </c>
      <c r="J690" s="16">
        <f t="shared" si="52"/>
        <v>16797.234365452849</v>
      </c>
      <c r="K690" s="16">
        <f t="shared" si="52"/>
        <v>0</v>
      </c>
      <c r="L690" s="217"/>
      <c r="M690" s="217"/>
      <c r="N690" s="217"/>
    </row>
    <row r="691" spans="2:14" x14ac:dyDescent="0.2">
      <c r="B691" s="91" t="s">
        <v>175</v>
      </c>
      <c r="C691" s="38" t="s">
        <v>81</v>
      </c>
      <c r="D691" s="13" t="s">
        <v>61</v>
      </c>
      <c r="E691" s="13" t="s">
        <v>24</v>
      </c>
      <c r="F691" s="16">
        <f t="shared" si="54"/>
        <v>316498.38967623946</v>
      </c>
      <c r="H691" s="16">
        <f t="shared" si="52"/>
        <v>282903.00187404227</v>
      </c>
      <c r="I691" s="16">
        <f t="shared" si="52"/>
        <v>28810.028961624736</v>
      </c>
      <c r="J691" s="16">
        <f t="shared" si="52"/>
        <v>4785.3588405724349</v>
      </c>
      <c r="K691" s="16">
        <f t="shared" si="52"/>
        <v>0</v>
      </c>
      <c r="L691" s="217">
        <f t="shared" si="53"/>
        <v>0</v>
      </c>
      <c r="M691" s="217">
        <f t="shared" si="53"/>
        <v>0</v>
      </c>
      <c r="N691" s="217">
        <f t="shared" si="53"/>
        <v>0</v>
      </c>
    </row>
    <row r="692" spans="2:14" x14ac:dyDescent="0.2">
      <c r="B692" s="91" t="s">
        <v>491</v>
      </c>
      <c r="C692" s="38" t="s">
        <v>82</v>
      </c>
      <c r="D692" s="13" t="s">
        <v>61</v>
      </c>
      <c r="E692" s="13" t="s">
        <v>24</v>
      </c>
      <c r="F692" s="16">
        <f t="shared" si="54"/>
        <v>414857.29737539182</v>
      </c>
      <c r="H692" s="16">
        <f t="shared" si="52"/>
        <v>370821.39626968693</v>
      </c>
      <c r="I692" s="16">
        <f t="shared" si="52"/>
        <v>37763.385666994065</v>
      </c>
      <c r="J692" s="16">
        <f t="shared" si="52"/>
        <v>6272.5154387108005</v>
      </c>
      <c r="K692" s="16">
        <f t="shared" si="52"/>
        <v>0</v>
      </c>
      <c r="L692" s="217">
        <f t="shared" si="53"/>
        <v>0</v>
      </c>
      <c r="M692" s="217">
        <f t="shared" si="53"/>
        <v>0</v>
      </c>
      <c r="N692" s="217">
        <f t="shared" si="53"/>
        <v>0</v>
      </c>
    </row>
    <row r="693" spans="2:14" x14ac:dyDescent="0.2">
      <c r="B693" s="91" t="s">
        <v>176</v>
      </c>
      <c r="C693" s="38" t="s">
        <v>83</v>
      </c>
      <c r="D693" s="13" t="s">
        <v>61</v>
      </c>
      <c r="E693" s="13" t="s">
        <v>24</v>
      </c>
      <c r="F693" s="16">
        <f t="shared" si="54"/>
        <v>343158.8017426657</v>
      </c>
      <c r="H693" s="16">
        <f t="shared" si="52"/>
        <v>306733.48838143429</v>
      </c>
      <c r="I693" s="16">
        <f t="shared" si="52"/>
        <v>31236.857245169245</v>
      </c>
      <c r="J693" s="16">
        <f t="shared" si="52"/>
        <v>5188.4561160621588</v>
      </c>
      <c r="K693" s="16">
        <f t="shared" si="52"/>
        <v>0</v>
      </c>
      <c r="L693" s="217">
        <f t="shared" si="53"/>
        <v>0</v>
      </c>
      <c r="M693" s="217">
        <f t="shared" si="53"/>
        <v>0</v>
      </c>
      <c r="N693" s="217">
        <f t="shared" si="53"/>
        <v>0</v>
      </c>
    </row>
    <row r="694" spans="2:14" x14ac:dyDescent="0.2">
      <c r="B694" s="91" t="s">
        <v>176</v>
      </c>
      <c r="C694" s="38" t="s">
        <v>84</v>
      </c>
      <c r="D694" s="13" t="s">
        <v>61</v>
      </c>
      <c r="E694" s="13" t="s">
        <v>24</v>
      </c>
      <c r="F694" s="16">
        <f t="shared" si="54"/>
        <v>7541159.509703829</v>
      </c>
      <c r="H694" s="16">
        <f t="shared" si="52"/>
        <v>6740687.2593840454</v>
      </c>
      <c r="I694" s="16">
        <f t="shared" si="52"/>
        <v>686452.2252421102</v>
      </c>
      <c r="J694" s="16">
        <f t="shared" si="52"/>
        <v>114020.02507767352</v>
      </c>
      <c r="K694" s="16">
        <f t="shared" si="52"/>
        <v>0</v>
      </c>
      <c r="L694" s="217">
        <f t="shared" si="53"/>
        <v>0</v>
      </c>
      <c r="M694" s="217">
        <f t="shared" si="53"/>
        <v>0</v>
      </c>
      <c r="N694" s="217">
        <f t="shared" si="53"/>
        <v>0</v>
      </c>
    </row>
    <row r="695" spans="2:14" x14ac:dyDescent="0.2">
      <c r="B695" s="91" t="s">
        <v>175</v>
      </c>
      <c r="C695" s="8" t="s">
        <v>449</v>
      </c>
      <c r="D695" s="13" t="s">
        <v>61</v>
      </c>
      <c r="E695" s="13" t="s">
        <v>24</v>
      </c>
      <c r="F695" s="16">
        <f>+F484</f>
        <v>25455094.172508687</v>
      </c>
      <c r="H695" s="16">
        <f t="shared" si="52"/>
        <v>22753109.618521936</v>
      </c>
      <c r="I695" s="16">
        <f t="shared" si="52"/>
        <v>2317111.316367358</v>
      </c>
      <c r="J695" s="16">
        <f t="shared" si="52"/>
        <v>384873.23761939228</v>
      </c>
      <c r="K695" s="16">
        <f t="shared" si="52"/>
        <v>0</v>
      </c>
      <c r="L695" s="217">
        <f t="shared" si="53"/>
        <v>0</v>
      </c>
      <c r="M695" s="217">
        <f t="shared" si="53"/>
        <v>0</v>
      </c>
      <c r="N695" s="217">
        <f t="shared" si="53"/>
        <v>0</v>
      </c>
    </row>
    <row r="696" spans="2:14" x14ac:dyDescent="0.2">
      <c r="B696" s="91" t="s">
        <v>176</v>
      </c>
      <c r="C696" s="8" t="s">
        <v>450</v>
      </c>
      <c r="D696" s="13" t="s">
        <v>61</v>
      </c>
      <c r="E696" s="13" t="s">
        <v>24</v>
      </c>
      <c r="F696" s="16">
        <f>+F485</f>
        <v>5550374.168947191</v>
      </c>
      <c r="H696" s="16">
        <f t="shared" si="52"/>
        <v>4961218.0192308398</v>
      </c>
      <c r="I696" s="16">
        <f t="shared" si="52"/>
        <v>505236.19004443573</v>
      </c>
      <c r="J696" s="16">
        <f t="shared" si="52"/>
        <v>83919.959671915844</v>
      </c>
      <c r="K696" s="16">
        <f t="shared" si="52"/>
        <v>0</v>
      </c>
      <c r="L696" s="217">
        <f t="shared" si="53"/>
        <v>0</v>
      </c>
      <c r="M696" s="217">
        <f t="shared" si="53"/>
        <v>0</v>
      </c>
      <c r="N696" s="217">
        <f t="shared" si="53"/>
        <v>0</v>
      </c>
    </row>
    <row r="697" spans="2:14" x14ac:dyDescent="0.2">
      <c r="C697" s="23" t="s">
        <v>7</v>
      </c>
      <c r="D697" s="25" t="s">
        <v>61</v>
      </c>
      <c r="E697" s="25" t="s">
        <v>24</v>
      </c>
      <c r="F697" s="36">
        <f>+SUM(F689:F696)</f>
        <v>45827128.619954005</v>
      </c>
      <c r="H697" s="36">
        <f t="shared" si="52"/>
        <v>40962711.586352572</v>
      </c>
      <c r="I697" s="36">
        <f t="shared" si="52"/>
        <v>4171524.8665863732</v>
      </c>
      <c r="J697" s="36">
        <f t="shared" si="52"/>
        <v>692892.1670150616</v>
      </c>
      <c r="K697" s="36">
        <f t="shared" si="52"/>
        <v>0</v>
      </c>
      <c r="L697" s="219">
        <f t="shared" si="53"/>
        <v>0</v>
      </c>
      <c r="M697" s="219">
        <f t="shared" si="53"/>
        <v>0</v>
      </c>
      <c r="N697" s="219">
        <f t="shared" si="53"/>
        <v>0</v>
      </c>
    </row>
    <row r="698" spans="2:14" x14ac:dyDescent="0.2">
      <c r="C698" s="3"/>
      <c r="D698" s="11"/>
      <c r="E698" s="11"/>
      <c r="F698" s="37"/>
    </row>
    <row r="699" spans="2:14" x14ac:dyDescent="0.2">
      <c r="B699" s="32" t="s">
        <v>6</v>
      </c>
    </row>
    <row r="701" spans="2:14" s="3" customFormat="1" x14ac:dyDescent="0.2">
      <c r="B701" s="3" t="s">
        <v>191</v>
      </c>
      <c r="D701" s="11"/>
      <c r="E701" s="11"/>
    </row>
    <row r="702" spans="2:14" x14ac:dyDescent="0.2">
      <c r="B702" s="91" t="s">
        <v>175</v>
      </c>
      <c r="C702" s="245" t="s">
        <v>489</v>
      </c>
      <c r="D702" s="13" t="s">
        <v>61</v>
      </c>
      <c r="E702" s="13" t="s">
        <v>24</v>
      </c>
      <c r="F702" s="16">
        <f>+F659</f>
        <v>1315056.8425762616</v>
      </c>
      <c r="H702" s="16">
        <f t="shared" ref="H702:K709" si="55">+$F702*H$668</f>
        <v>1175467.3658226009</v>
      </c>
      <c r="I702" s="16">
        <f t="shared" si="55"/>
        <v>119706.21954683885</v>
      </c>
      <c r="J702" s="16">
        <f t="shared" si="55"/>
        <v>19883.257206821814</v>
      </c>
      <c r="K702" s="16">
        <f t="shared" si="55"/>
        <v>0</v>
      </c>
      <c r="L702" s="217">
        <f t="shared" ref="L702:N709" si="56">+$F702*L$668</f>
        <v>0</v>
      </c>
      <c r="M702" s="217">
        <f t="shared" si="56"/>
        <v>0</v>
      </c>
      <c r="N702" s="217">
        <f t="shared" si="56"/>
        <v>0</v>
      </c>
    </row>
    <row r="703" spans="2:14" x14ac:dyDescent="0.2">
      <c r="B703" s="91" t="s">
        <v>176</v>
      </c>
      <c r="C703" s="245" t="s">
        <v>490</v>
      </c>
      <c r="D703" s="13" t="s">
        <v>61</v>
      </c>
      <c r="E703" s="13" t="s">
        <v>24</v>
      </c>
      <c r="F703" s="16">
        <f t="shared" ref="F703:F706" si="57">+F660</f>
        <v>286742.50742373848</v>
      </c>
      <c r="H703" s="16">
        <f t="shared" ref="H703:H709" si="58">+$F703*H$668</f>
        <v>256305.62037945</v>
      </c>
      <c r="I703" s="16">
        <f t="shared" si="55"/>
        <v>26101.428041568914</v>
      </c>
      <c r="J703" s="16">
        <f t="shared" si="55"/>
        <v>4335.4590027195545</v>
      </c>
      <c r="K703" s="16">
        <f t="shared" si="55"/>
        <v>0</v>
      </c>
      <c r="L703" s="217"/>
      <c r="M703" s="217"/>
      <c r="N703" s="217"/>
    </row>
    <row r="704" spans="2:14" x14ac:dyDescent="0.2">
      <c r="B704" s="91" t="s">
        <v>175</v>
      </c>
      <c r="C704" s="38" t="s">
        <v>81</v>
      </c>
      <c r="D704" s="13" t="s">
        <v>61</v>
      </c>
      <c r="E704" s="13" t="s">
        <v>24</v>
      </c>
      <c r="F704" s="16">
        <f t="shared" si="57"/>
        <v>474747.58451435919</v>
      </c>
      <c r="H704" s="16">
        <f t="shared" si="58"/>
        <v>424354.50281106343</v>
      </c>
      <c r="I704" s="16">
        <f t="shared" si="55"/>
        <v>43215.043442437105</v>
      </c>
      <c r="J704" s="16">
        <f t="shared" si="55"/>
        <v>7178.0382608586524</v>
      </c>
      <c r="K704" s="16">
        <f t="shared" si="55"/>
        <v>0</v>
      </c>
      <c r="L704" s="217">
        <f t="shared" si="56"/>
        <v>0</v>
      </c>
      <c r="M704" s="217">
        <f t="shared" si="56"/>
        <v>0</v>
      </c>
      <c r="N704" s="217">
        <f t="shared" si="56"/>
        <v>0</v>
      </c>
    </row>
    <row r="705" spans="2:14" x14ac:dyDescent="0.2">
      <c r="B705" s="91" t="s">
        <v>491</v>
      </c>
      <c r="C705" s="38" t="s">
        <v>82</v>
      </c>
      <c r="D705" s="13" t="s">
        <v>61</v>
      </c>
      <c r="E705" s="13" t="s">
        <v>24</v>
      </c>
      <c r="F705" s="16">
        <f>+F662</f>
        <v>414857.29737539182</v>
      </c>
      <c r="H705" s="16">
        <f t="shared" si="58"/>
        <v>370821.39626968693</v>
      </c>
      <c r="I705" s="16">
        <f t="shared" si="55"/>
        <v>37763.385666994065</v>
      </c>
      <c r="J705" s="16">
        <f t="shared" si="55"/>
        <v>6272.5154387108005</v>
      </c>
      <c r="K705" s="16">
        <f t="shared" si="55"/>
        <v>0</v>
      </c>
      <c r="L705" s="217">
        <f t="shared" si="56"/>
        <v>0</v>
      </c>
      <c r="M705" s="217">
        <f t="shared" si="56"/>
        <v>0</v>
      </c>
      <c r="N705" s="217">
        <f t="shared" si="56"/>
        <v>0</v>
      </c>
    </row>
    <row r="706" spans="2:14" x14ac:dyDescent="0.2">
      <c r="B706" s="91" t="s">
        <v>176</v>
      </c>
      <c r="C706" s="38" t="s">
        <v>83</v>
      </c>
      <c r="D706" s="13" t="s">
        <v>61</v>
      </c>
      <c r="E706" s="13" t="s">
        <v>24</v>
      </c>
      <c r="F706" s="16">
        <f t="shared" si="57"/>
        <v>155981.27351939349</v>
      </c>
      <c r="H706" s="16">
        <f t="shared" si="58"/>
        <v>139424.31290065194</v>
      </c>
      <c r="I706" s="16">
        <f t="shared" si="55"/>
        <v>14198.571475076929</v>
      </c>
      <c r="J706" s="16">
        <f t="shared" si="55"/>
        <v>2358.3891436646172</v>
      </c>
      <c r="K706" s="16">
        <f t="shared" si="55"/>
        <v>0</v>
      </c>
      <c r="L706" s="217">
        <f t="shared" si="56"/>
        <v>0</v>
      </c>
      <c r="M706" s="217">
        <f t="shared" si="56"/>
        <v>0</v>
      </c>
      <c r="N706" s="217">
        <f t="shared" si="56"/>
        <v>0</v>
      </c>
    </row>
    <row r="707" spans="2:14" x14ac:dyDescent="0.2">
      <c r="B707" s="91" t="s">
        <v>175</v>
      </c>
      <c r="C707" s="8" t="s">
        <v>452</v>
      </c>
      <c r="D707" s="13" t="s">
        <v>61</v>
      </c>
      <c r="E707" s="13" t="s">
        <v>24</v>
      </c>
      <c r="F707" s="16">
        <f>+F591</f>
        <v>4278508.808143016</v>
      </c>
      <c r="H707" s="16">
        <f t="shared" si="58"/>
        <v>3824357.4844294344</v>
      </c>
      <c r="I707" s="16">
        <f t="shared" si="55"/>
        <v>389461.57925561361</v>
      </c>
      <c r="J707" s="16">
        <f t="shared" si="55"/>
        <v>64689.744457967703</v>
      </c>
      <c r="K707" s="16">
        <f t="shared" si="55"/>
        <v>0</v>
      </c>
      <c r="L707" s="217">
        <f t="shared" si="56"/>
        <v>0</v>
      </c>
      <c r="M707" s="217">
        <f t="shared" si="56"/>
        <v>0</v>
      </c>
      <c r="N707" s="217">
        <f t="shared" si="56"/>
        <v>0</v>
      </c>
    </row>
    <row r="708" spans="2:14" x14ac:dyDescent="0.2">
      <c r="B708" s="91" t="s">
        <v>176</v>
      </c>
      <c r="C708" s="8" t="s">
        <v>453</v>
      </c>
      <c r="D708" s="13" t="s">
        <v>61</v>
      </c>
      <c r="E708" s="13" t="s">
        <v>24</v>
      </c>
      <c r="F708" s="16">
        <f>+F592</f>
        <v>932910.5054334061</v>
      </c>
      <c r="H708" s="16">
        <f t="shared" si="58"/>
        <v>833884.75605490315</v>
      </c>
      <c r="I708" s="16">
        <f t="shared" si="55"/>
        <v>84920.427897387679</v>
      </c>
      <c r="J708" s="16">
        <f t="shared" si="55"/>
        <v>14105.321481115259</v>
      </c>
      <c r="K708" s="16">
        <f t="shared" si="55"/>
        <v>0</v>
      </c>
      <c r="L708" s="217">
        <f t="shared" si="56"/>
        <v>0</v>
      </c>
      <c r="M708" s="217">
        <f t="shared" si="56"/>
        <v>0</v>
      </c>
      <c r="N708" s="217">
        <f t="shared" si="56"/>
        <v>0</v>
      </c>
    </row>
    <row r="709" spans="2:14" s="3" customFormat="1" x14ac:dyDescent="0.2">
      <c r="C709" s="23" t="s">
        <v>7</v>
      </c>
      <c r="D709" s="25" t="s">
        <v>61</v>
      </c>
      <c r="E709" s="25" t="s">
        <v>24</v>
      </c>
      <c r="F709" s="36">
        <f>+SUM(F702:F708)</f>
        <v>7858804.8189855665</v>
      </c>
      <c r="H709" s="36">
        <f t="shared" si="58"/>
        <v>7024615.438667791</v>
      </c>
      <c r="I709" s="36">
        <f t="shared" si="55"/>
        <v>715366.65532591718</v>
      </c>
      <c r="J709" s="36">
        <f t="shared" si="55"/>
        <v>118822.7249918584</v>
      </c>
      <c r="K709" s="36">
        <f t="shared" si="55"/>
        <v>0</v>
      </c>
      <c r="L709" s="219">
        <f t="shared" si="56"/>
        <v>0</v>
      </c>
      <c r="M709" s="219">
        <f t="shared" si="56"/>
        <v>0</v>
      </c>
      <c r="N709" s="219">
        <f t="shared" si="56"/>
        <v>0</v>
      </c>
    </row>
    <row r="712" spans="2:14" x14ac:dyDescent="0.2">
      <c r="B712" s="4" t="s">
        <v>210</v>
      </c>
      <c r="C712" s="4"/>
      <c r="D712" s="14"/>
      <c r="E712" s="14"/>
      <c r="F712" s="4"/>
      <c r="G712" s="5"/>
      <c r="H712" s="4"/>
      <c r="I712" s="4"/>
      <c r="J712" s="4"/>
      <c r="K712" s="4"/>
      <c r="L712" s="4"/>
      <c r="M712" s="4"/>
      <c r="N712" s="4"/>
    </row>
    <row r="713" spans="2:14" x14ac:dyDescent="0.2">
      <c r="B713" s="5"/>
      <c r="C713" s="5"/>
      <c r="D713" s="30"/>
      <c r="E713" s="30"/>
      <c r="F713" s="5"/>
      <c r="G713" s="5"/>
      <c r="H713" s="5"/>
      <c r="I713" s="5"/>
      <c r="J713" s="5"/>
      <c r="K713" s="5"/>
      <c r="L713" s="5"/>
      <c r="M713" s="5"/>
      <c r="N713" s="5"/>
    </row>
    <row r="714" spans="2:14" x14ac:dyDescent="0.2">
      <c r="B714" s="1" t="s">
        <v>212</v>
      </c>
      <c r="D714" s="13" t="s">
        <v>61</v>
      </c>
      <c r="E714" s="13" t="s">
        <v>24</v>
      </c>
      <c r="F714" s="16">
        <v>246737596.06</v>
      </c>
      <c r="H714" s="16">
        <f t="shared" ref="H714:N714" si="59">+$F714*H$668</f>
        <v>220547114.54286805</v>
      </c>
      <c r="I714" s="16">
        <f t="shared" si="59"/>
        <v>22459884.537428103</v>
      </c>
      <c r="J714" s="16">
        <f t="shared" si="59"/>
        <v>3730596.979703851</v>
      </c>
      <c r="K714" s="16">
        <f t="shared" si="59"/>
        <v>0</v>
      </c>
      <c r="L714" s="217">
        <f t="shared" si="59"/>
        <v>0</v>
      </c>
      <c r="M714" s="217">
        <f t="shared" si="59"/>
        <v>0</v>
      </c>
      <c r="N714" s="217">
        <f t="shared" si="59"/>
        <v>0</v>
      </c>
    </row>
    <row r="715" spans="2:14" x14ac:dyDescent="0.2">
      <c r="F715" s="16"/>
      <c r="H715" s="16"/>
      <c r="I715" s="16"/>
      <c r="J715" s="16"/>
      <c r="K715" s="16"/>
      <c r="L715" s="217"/>
      <c r="M715" s="217"/>
      <c r="N715" s="217"/>
    </row>
    <row r="716" spans="2:14" x14ac:dyDescent="0.2">
      <c r="B716" s="1" t="s">
        <v>230</v>
      </c>
      <c r="D716" s="13" t="s">
        <v>479</v>
      </c>
      <c r="E716" s="13" t="s">
        <v>14</v>
      </c>
      <c r="F716" s="106">
        <v>0.43723023635405239</v>
      </c>
      <c r="H716" s="16">
        <f t="shared" ref="H716:N716" si="60">+H714*$F716</f>
        <v>96429867.018782467</v>
      </c>
      <c r="I716" s="16">
        <f t="shared" si="60"/>
        <v>9820140.6247844156</v>
      </c>
      <c r="J716" s="16">
        <f t="shared" si="60"/>
        <v>1631129.7991776287</v>
      </c>
      <c r="K716" s="16">
        <f t="shared" si="60"/>
        <v>0</v>
      </c>
      <c r="L716" s="217">
        <f t="shared" si="60"/>
        <v>0</v>
      </c>
      <c r="M716" s="217">
        <f t="shared" si="60"/>
        <v>0</v>
      </c>
      <c r="N716" s="217">
        <f t="shared" si="60"/>
        <v>0</v>
      </c>
    </row>
    <row r="717" spans="2:14" x14ac:dyDescent="0.2">
      <c r="F717" s="16"/>
      <c r="H717" s="16"/>
      <c r="I717" s="16"/>
      <c r="J717" s="16"/>
      <c r="K717" s="16"/>
      <c r="L717" s="217"/>
      <c r="M717" s="217"/>
      <c r="N717" s="217"/>
    </row>
    <row r="718" spans="2:14" x14ac:dyDescent="0.2">
      <c r="B718" s="32" t="s">
        <v>5</v>
      </c>
      <c r="C718" s="5"/>
      <c r="D718" s="30"/>
      <c r="E718" s="30"/>
      <c r="F718" s="5"/>
      <c r="G718" s="5"/>
      <c r="H718" s="5"/>
      <c r="I718" s="5"/>
      <c r="J718" s="5"/>
      <c r="K718" s="5"/>
      <c r="L718" s="5"/>
      <c r="M718" s="5"/>
      <c r="N718" s="5"/>
    </row>
    <row r="719" spans="2:14" x14ac:dyDescent="0.2">
      <c r="B719" s="39" t="s">
        <v>211</v>
      </c>
      <c r="C719" s="5"/>
      <c r="D719" s="40" t="s">
        <v>13</v>
      </c>
      <c r="E719" s="13" t="s">
        <v>24</v>
      </c>
      <c r="F719" s="102">
        <f>+F676/F64</f>
        <v>4.6625578281802513E-2</v>
      </c>
      <c r="G719" s="5"/>
      <c r="H719" s="16">
        <f t="shared" ref="H719:N719" si="61">+$F719*H716</f>
        <v>4496098.3133880477</v>
      </c>
      <c r="I719" s="16">
        <f t="shared" si="61"/>
        <v>457869.73543919483</v>
      </c>
      <c r="J719" s="16">
        <f t="shared" si="61"/>
        <v>76052.370139337334</v>
      </c>
      <c r="K719" s="16">
        <f t="shared" si="61"/>
        <v>0</v>
      </c>
      <c r="L719" s="217">
        <f t="shared" si="61"/>
        <v>0</v>
      </c>
      <c r="M719" s="217">
        <f t="shared" si="61"/>
        <v>0</v>
      </c>
      <c r="N719" s="217">
        <f t="shared" si="61"/>
        <v>0</v>
      </c>
    </row>
    <row r="720" spans="2:14" x14ac:dyDescent="0.2">
      <c r="B720" s="5"/>
      <c r="C720" s="5"/>
      <c r="D720" s="103"/>
      <c r="E720" s="30"/>
      <c r="F720" s="5"/>
      <c r="G720" s="5"/>
      <c r="H720" s="5"/>
      <c r="I720" s="5"/>
      <c r="J720" s="5"/>
      <c r="K720" s="5"/>
      <c r="L720" s="5"/>
      <c r="M720" s="5"/>
      <c r="N720" s="5"/>
    </row>
    <row r="721" spans="2:14" x14ac:dyDescent="0.2">
      <c r="B721" s="32" t="s">
        <v>6</v>
      </c>
      <c r="C721" s="5"/>
      <c r="D721" s="103"/>
      <c r="E721" s="30"/>
      <c r="F721" s="5"/>
      <c r="G721" s="5"/>
      <c r="H721" s="5"/>
      <c r="I721" s="5"/>
      <c r="J721" s="5"/>
      <c r="K721" s="5"/>
      <c r="L721" s="5"/>
      <c r="M721" s="5"/>
      <c r="N721" s="5"/>
    </row>
    <row r="722" spans="2:14" x14ac:dyDescent="0.2">
      <c r="B722" s="39" t="s">
        <v>211</v>
      </c>
      <c r="C722" s="5"/>
      <c r="D722" s="40" t="s">
        <v>13</v>
      </c>
      <c r="E722" s="13" t="s">
        <v>24</v>
      </c>
      <c r="F722" s="102">
        <f>+F682/F64</f>
        <v>8.4510619395708579E-3</v>
      </c>
      <c r="G722" s="5"/>
      <c r="H722" s="16">
        <f t="shared" ref="H722:N722" si="62">+$F722*H716</f>
        <v>814934.77900031162</v>
      </c>
      <c r="I722" s="16">
        <f t="shared" si="62"/>
        <v>82990.616675349156</v>
      </c>
      <c r="J722" s="16">
        <f t="shared" si="62"/>
        <v>13784.778964329915</v>
      </c>
      <c r="K722" s="16">
        <f t="shared" si="62"/>
        <v>0</v>
      </c>
      <c r="L722" s="217">
        <f t="shared" si="62"/>
        <v>0</v>
      </c>
      <c r="M722" s="217">
        <f t="shared" si="62"/>
        <v>0</v>
      </c>
      <c r="N722" s="217">
        <f t="shared" si="62"/>
        <v>0</v>
      </c>
    </row>
  </sheetData>
  <phoneticPr fontId="8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CA68F1-73C1-46A6-B9F9-106CD0AC978E}">
  <dimension ref="B2:L18"/>
  <sheetViews>
    <sheetView showGridLines="0" workbookViewId="0">
      <selection activeCell="I31" sqref="I31"/>
    </sheetView>
  </sheetViews>
  <sheetFormatPr baseColWidth="10" defaultColWidth="11" defaultRowHeight="12.75" x14ac:dyDescent="0.2"/>
  <cols>
    <col min="1" max="1" width="3.25" style="89" customWidth="1"/>
    <col min="2" max="2" width="43" style="89" customWidth="1"/>
    <col min="3" max="16384" width="11" style="89"/>
  </cols>
  <sheetData>
    <row r="2" spans="2:12" s="113" customFormat="1" x14ac:dyDescent="0.2">
      <c r="C2" s="113" t="s">
        <v>1</v>
      </c>
      <c r="D2" s="113" t="s">
        <v>2</v>
      </c>
      <c r="E2" s="113" t="s">
        <v>3</v>
      </c>
      <c r="G2" s="113">
        <v>2025</v>
      </c>
      <c r="H2" s="113">
        <v>2026</v>
      </c>
      <c r="I2" s="113">
        <v>2027</v>
      </c>
      <c r="J2" s="113">
        <v>2028</v>
      </c>
      <c r="K2" s="113">
        <v>2029</v>
      </c>
      <c r="L2" s="113">
        <v>2030</v>
      </c>
    </row>
    <row r="3" spans="2:12" s="111" customFormat="1" x14ac:dyDescent="0.2">
      <c r="B3" s="114"/>
      <c r="C3" s="115"/>
      <c r="D3" s="115"/>
      <c r="E3" s="115"/>
      <c r="G3" s="114"/>
      <c r="H3" s="114"/>
      <c r="I3" s="114"/>
      <c r="J3" s="114"/>
      <c r="K3" s="114"/>
      <c r="L3" s="114"/>
    </row>
    <row r="4" spans="2:12" s="111" customFormat="1" ht="13.5" thickBot="1" x14ac:dyDescent="0.25">
      <c r="C4" s="112"/>
      <c r="D4" s="112"/>
      <c r="E4" s="112"/>
    </row>
    <row r="5" spans="2:12" s="180" customFormat="1" ht="13.5" thickBot="1" x14ac:dyDescent="0.25">
      <c r="B5" s="182" t="s">
        <v>437</v>
      </c>
      <c r="C5" s="181"/>
      <c r="D5" s="181"/>
      <c r="E5" s="181"/>
      <c r="G5" s="181"/>
      <c r="H5" s="181"/>
      <c r="I5" s="181"/>
      <c r="J5" s="181"/>
      <c r="K5" s="181"/>
      <c r="L5" s="181"/>
    </row>
    <row r="7" spans="2:12" x14ac:dyDescent="0.2">
      <c r="B7" s="89" t="s">
        <v>437</v>
      </c>
      <c r="C7" s="90" t="s">
        <v>21</v>
      </c>
      <c r="D7" s="89" t="s">
        <v>14</v>
      </c>
      <c r="E7" s="198">
        <v>0.69044673962138914</v>
      </c>
      <c r="F7" s="169"/>
    </row>
    <row r="8" spans="2:12" ht="13.5" thickBot="1" x14ac:dyDescent="0.25"/>
    <row r="9" spans="2:12" s="180" customFormat="1" ht="13.5" thickBot="1" x14ac:dyDescent="0.25">
      <c r="B9" s="182" t="s">
        <v>438</v>
      </c>
      <c r="C9" s="181"/>
      <c r="D9" s="181"/>
      <c r="E9" s="181"/>
      <c r="G9" s="181"/>
      <c r="H9" s="181"/>
      <c r="I9" s="181"/>
      <c r="J9" s="181"/>
      <c r="K9" s="181"/>
      <c r="L9" s="181"/>
    </row>
    <row r="10" spans="2:12" s="164" customFormat="1" x14ac:dyDescent="0.2">
      <c r="B10" s="183"/>
    </row>
    <row r="11" spans="2:12" s="164" customFormat="1" x14ac:dyDescent="0.2">
      <c r="B11" s="183"/>
      <c r="G11" s="183"/>
      <c r="H11" s="183"/>
      <c r="I11" s="183"/>
      <c r="J11" s="183"/>
      <c r="K11" s="183"/>
      <c r="L11" s="183"/>
    </row>
    <row r="12" spans="2:12" s="164" customFormat="1" x14ac:dyDescent="0.2">
      <c r="B12" s="183" t="s">
        <v>439</v>
      </c>
      <c r="C12" s="1" t="s">
        <v>137</v>
      </c>
      <c r="D12" s="164" t="s">
        <v>14</v>
      </c>
      <c r="G12" s="195">
        <v>1239.6034435876911</v>
      </c>
      <c r="H12" s="195">
        <v>1249.9999999999998</v>
      </c>
      <c r="I12" s="195">
        <v>1235.3387499999999</v>
      </c>
      <c r="J12" s="195">
        <v>1250</v>
      </c>
      <c r="K12" s="195">
        <v>1210.1548195949401</v>
      </c>
      <c r="L12" s="195">
        <v>1168.5166060716524</v>
      </c>
    </row>
    <row r="13" spans="2:12" s="164" customFormat="1" x14ac:dyDescent="0.2">
      <c r="B13" s="183" t="s">
        <v>440</v>
      </c>
      <c r="C13" s="1" t="s">
        <v>137</v>
      </c>
      <c r="D13" s="164" t="s">
        <v>14</v>
      </c>
      <c r="G13" s="195">
        <v>1064.3427625109293</v>
      </c>
      <c r="H13" s="195">
        <v>1063.4107106702631</v>
      </c>
      <c r="I13" s="195">
        <v>1029.2343166368985</v>
      </c>
      <c r="J13" s="195">
        <v>895.30887055680375</v>
      </c>
      <c r="K13" s="195">
        <v>839.24815618742673</v>
      </c>
      <c r="L13" s="195">
        <v>823.42699170465096</v>
      </c>
    </row>
    <row r="14" spans="2:12" s="164" customFormat="1" x14ac:dyDescent="0.2"/>
    <row r="15" spans="2:12" s="178" customFormat="1" x14ac:dyDescent="0.2">
      <c r="B15" s="184" t="s">
        <v>441</v>
      </c>
      <c r="C15" s="196" t="s">
        <v>13</v>
      </c>
      <c r="D15" s="178" t="s">
        <v>22</v>
      </c>
      <c r="G15" s="197">
        <f t="shared" ref="G15:L15" si="0">G12/SUM(G12:G13)</f>
        <v>0.53803489001020088</v>
      </c>
      <c r="H15" s="197">
        <f t="shared" si="0"/>
        <v>0.54032774821805762</v>
      </c>
      <c r="I15" s="197">
        <f t="shared" si="0"/>
        <v>0.54550624495176614</v>
      </c>
      <c r="J15" s="197">
        <f t="shared" si="0"/>
        <v>0.58266668131361843</v>
      </c>
      <c r="K15" s="197">
        <f t="shared" si="0"/>
        <v>0.59049139378406501</v>
      </c>
      <c r="L15" s="197">
        <f t="shared" si="0"/>
        <v>0.58662133173656139</v>
      </c>
    </row>
    <row r="16" spans="2:12" s="164" customFormat="1" x14ac:dyDescent="0.2"/>
    <row r="17" spans="2:6" s="164" customFormat="1" x14ac:dyDescent="0.2">
      <c r="B17" s="185" t="s">
        <v>444</v>
      </c>
      <c r="C17" s="196" t="s">
        <v>13</v>
      </c>
      <c r="D17" s="178" t="s">
        <v>22</v>
      </c>
      <c r="E17" s="226">
        <f>+AVERAGE(G15:L15)</f>
        <v>0.56394138166904495</v>
      </c>
      <c r="F17" s="179"/>
    </row>
    <row r="18" spans="2:6" s="164" customFormat="1" x14ac:dyDescent="0.2"/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CB72AE-EC69-412C-995A-7BF1B0BA225F}">
  <sheetPr>
    <tabColor rgb="FFC00000"/>
  </sheetPr>
  <dimension ref="A1"/>
  <sheetViews>
    <sheetView workbookViewId="0">
      <selection activeCell="F26" sqref="F26"/>
    </sheetView>
  </sheetViews>
  <sheetFormatPr baseColWidth="10" defaultColWidth="11.25"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ECB33F-C49F-4C9B-AF68-CC55E7B3E2D1}">
  <sheetPr codeName="Hoja2"/>
  <dimension ref="B2:N64"/>
  <sheetViews>
    <sheetView showGridLines="0" tabSelected="1" topLeftCell="A12" zoomScale="90" zoomScaleNormal="90" workbookViewId="0">
      <selection activeCell="O31" sqref="O31"/>
    </sheetView>
  </sheetViews>
  <sheetFormatPr baseColWidth="10" defaultColWidth="11.5" defaultRowHeight="12.75" x14ac:dyDescent="0.2"/>
  <cols>
    <col min="1" max="1" width="3.5" style="1" customWidth="1"/>
    <col min="2" max="2" width="1.625" style="1" customWidth="1"/>
    <col min="3" max="3" width="30.375" style="1" customWidth="1"/>
    <col min="4" max="4" width="11.125" style="13" customWidth="1"/>
    <col min="5" max="5" width="6.875" style="13" hidden="1" customWidth="1"/>
    <col min="6" max="6" width="7.875" style="1" bestFit="1" customWidth="1"/>
    <col min="7" max="7" width="1.25" style="1" customWidth="1"/>
    <col min="8" max="8" width="7.75" style="1" customWidth="1"/>
    <col min="9" max="14" width="8.375" style="1" bestFit="1" customWidth="1"/>
    <col min="15" max="16384" width="11.5" style="1"/>
  </cols>
  <sheetData>
    <row r="2" spans="2:14" s="11" customFormat="1" x14ac:dyDescent="0.2">
      <c r="C2" s="11" t="s">
        <v>0</v>
      </c>
      <c r="D2" s="11" t="s">
        <v>1</v>
      </c>
      <c r="E2" s="11" t="s">
        <v>2</v>
      </c>
      <c r="F2" s="11" t="s">
        <v>3</v>
      </c>
      <c r="H2" s="11">
        <v>2024</v>
      </c>
      <c r="I2" s="11">
        <v>2025</v>
      </c>
      <c r="J2" s="11">
        <v>2026</v>
      </c>
      <c r="K2" s="11">
        <v>2027</v>
      </c>
      <c r="L2" s="11">
        <v>2028</v>
      </c>
      <c r="M2" s="11">
        <v>2029</v>
      </c>
      <c r="N2" s="11">
        <v>2030</v>
      </c>
    </row>
    <row r="3" spans="2:14" x14ac:dyDescent="0.2">
      <c r="B3" s="2"/>
      <c r="C3" s="2"/>
      <c r="D3" s="12"/>
      <c r="E3" s="12"/>
      <c r="F3" s="2"/>
      <c r="H3" s="2"/>
      <c r="I3" s="2"/>
      <c r="J3" s="2"/>
      <c r="K3" s="2"/>
      <c r="L3" s="2"/>
      <c r="M3" s="2"/>
      <c r="N3" s="2"/>
    </row>
    <row r="5" spans="2:14" x14ac:dyDescent="0.2">
      <c r="B5" s="4" t="s">
        <v>60</v>
      </c>
      <c r="C5" s="4"/>
      <c r="D5" s="14"/>
      <c r="E5" s="14"/>
      <c r="F5" s="4"/>
      <c r="G5" s="5"/>
      <c r="H5" s="4"/>
      <c r="I5" s="4"/>
      <c r="J5" s="4"/>
      <c r="K5" s="4"/>
      <c r="L5" s="4"/>
      <c r="M5" s="4"/>
      <c r="N5" s="4"/>
    </row>
    <row r="6" spans="2:14" x14ac:dyDescent="0.2">
      <c r="B6" s="5"/>
      <c r="C6" s="5"/>
      <c r="D6" s="30"/>
      <c r="E6" s="30"/>
      <c r="F6" s="5"/>
      <c r="G6" s="5"/>
      <c r="H6" s="5"/>
      <c r="I6" s="5"/>
      <c r="J6" s="5"/>
      <c r="K6" s="5"/>
      <c r="L6" s="5"/>
      <c r="M6" s="5"/>
      <c r="N6" s="5"/>
    </row>
    <row r="7" spans="2:14" s="39" customFormat="1" x14ac:dyDescent="0.2">
      <c r="B7" s="39" t="s">
        <v>91</v>
      </c>
      <c r="D7" s="40"/>
      <c r="E7" s="40"/>
      <c r="F7" s="199">
        <f>+WACC!D24</f>
        <v>0.10068079539132493</v>
      </c>
      <c r="G7" s="5"/>
    </row>
    <row r="8" spans="2:14" x14ac:dyDescent="0.2">
      <c r="B8" s="5"/>
      <c r="C8" s="5"/>
      <c r="D8" s="30"/>
      <c r="E8" s="30"/>
      <c r="F8" s="41"/>
      <c r="G8" s="5"/>
      <c r="H8" s="5"/>
      <c r="I8" s="5"/>
      <c r="J8" s="5"/>
      <c r="K8" s="5"/>
      <c r="L8" s="5"/>
      <c r="M8" s="5"/>
      <c r="N8" s="5"/>
    </row>
    <row r="9" spans="2:14" x14ac:dyDescent="0.2">
      <c r="B9" s="1" t="s">
        <v>12</v>
      </c>
      <c r="D9" s="13" t="s">
        <v>13</v>
      </c>
      <c r="E9" s="13" t="s">
        <v>14</v>
      </c>
      <c r="F9" s="54">
        <f>46.511%+1%</f>
        <v>0.47511000000000003</v>
      </c>
      <c r="G9" s="5"/>
    </row>
    <row r="10" spans="2:14" x14ac:dyDescent="0.2">
      <c r="F10" s="55"/>
      <c r="G10" s="5"/>
      <c r="H10" s="15"/>
    </row>
    <row r="11" spans="2:14" x14ac:dyDescent="0.2">
      <c r="B11" s="1" t="s">
        <v>95</v>
      </c>
      <c r="D11" s="13" t="s">
        <v>13</v>
      </c>
      <c r="E11" s="13" t="s">
        <v>14</v>
      </c>
      <c r="F11" s="54">
        <f>22%+5%*(1-22%)</f>
        <v>0.25900000000000001</v>
      </c>
      <c r="H11" s="15"/>
    </row>
    <row r="12" spans="2:14" x14ac:dyDescent="0.2">
      <c r="F12" s="42"/>
      <c r="H12" s="15"/>
    </row>
    <row r="13" spans="2:14" x14ac:dyDescent="0.2">
      <c r="B13" s="21" t="s">
        <v>17</v>
      </c>
      <c r="D13" s="13" t="s">
        <v>13</v>
      </c>
      <c r="E13" s="13" t="s">
        <v>14</v>
      </c>
      <c r="F13" s="42"/>
      <c r="H13" s="15">
        <v>2.39</v>
      </c>
      <c r="I13" s="15">
        <v>1.964</v>
      </c>
      <c r="J13" s="15">
        <v>2.101</v>
      </c>
      <c r="K13" s="15">
        <v>2.371</v>
      </c>
      <c r="L13" s="15">
        <v>2.1349999999999998</v>
      </c>
      <c r="M13" s="15">
        <v>2.1520000000000001</v>
      </c>
      <c r="N13" s="15">
        <v>2.1520000000000001</v>
      </c>
    </row>
    <row r="15" spans="2:14" x14ac:dyDescent="0.2">
      <c r="B15" s="249" t="s">
        <v>148</v>
      </c>
      <c r="C15" s="250"/>
      <c r="D15" s="251"/>
      <c r="E15" s="251"/>
      <c r="F15" s="250"/>
      <c r="G15" s="252"/>
      <c r="H15" s="252">
        <v>2024</v>
      </c>
      <c r="I15" s="252">
        <v>2025</v>
      </c>
      <c r="J15" s="252">
        <v>2026</v>
      </c>
      <c r="K15" s="252">
        <v>2027</v>
      </c>
      <c r="L15" s="252">
        <v>2028</v>
      </c>
      <c r="M15" s="252">
        <v>2029</v>
      </c>
      <c r="N15" s="253">
        <v>2030</v>
      </c>
    </row>
    <row r="16" spans="2:14" x14ac:dyDescent="0.2">
      <c r="B16" s="254"/>
      <c r="N16" s="255"/>
    </row>
    <row r="17" spans="2:14" s="39" customFormat="1" x14ac:dyDescent="0.2">
      <c r="B17" s="254"/>
      <c r="C17" s="280" t="s">
        <v>92</v>
      </c>
      <c r="D17" s="274"/>
      <c r="E17" s="274"/>
      <c r="F17" s="281">
        <v>11.616167649541364</v>
      </c>
      <c r="H17" s="256">
        <v>0</v>
      </c>
      <c r="I17" s="256">
        <f>$F$17</f>
        <v>11.616167649541364</v>
      </c>
      <c r="J17" s="256">
        <f t="shared" ref="J17:N17" si="0">$F$17</f>
        <v>11.616167649541364</v>
      </c>
      <c r="K17" s="256">
        <f t="shared" si="0"/>
        <v>11.616167649541364</v>
      </c>
      <c r="L17" s="256">
        <f t="shared" si="0"/>
        <v>11.616167649541364</v>
      </c>
      <c r="M17" s="256">
        <f t="shared" si="0"/>
        <v>11.616167649541364</v>
      </c>
      <c r="N17" s="257">
        <f t="shared" si="0"/>
        <v>11.616167649541364</v>
      </c>
    </row>
    <row r="18" spans="2:14" s="39" customFormat="1" x14ac:dyDescent="0.2">
      <c r="B18" s="254"/>
      <c r="C18" s="39" t="s">
        <v>102</v>
      </c>
      <c r="D18" s="40" t="s">
        <v>136</v>
      </c>
      <c r="E18" s="40" t="s">
        <v>14</v>
      </c>
      <c r="H18" s="256">
        <v>0</v>
      </c>
      <c r="I18" s="16">
        <f>+'Insumos - CAPEX'!I22</f>
        <v>1656254</v>
      </c>
      <c r="J18" s="16">
        <f>+'Insumos - CAPEX'!J22</f>
        <v>2024214</v>
      </c>
      <c r="K18" s="16">
        <f>+'Insumos - CAPEX'!K22</f>
        <v>2347254</v>
      </c>
      <c r="L18" s="16">
        <f>+'Insumos - CAPEX'!L22</f>
        <v>2564553</v>
      </c>
      <c r="M18" s="16">
        <f>+'Insumos - CAPEX'!M22</f>
        <v>2760803</v>
      </c>
      <c r="N18" s="259">
        <f>+'Insumos - CAPEX'!N22</f>
        <v>2971410</v>
      </c>
    </row>
    <row r="19" spans="2:14" s="39" customFormat="1" x14ac:dyDescent="0.2">
      <c r="B19" s="258"/>
      <c r="C19" s="260" t="s">
        <v>100</v>
      </c>
      <c r="D19" s="40" t="s">
        <v>137</v>
      </c>
      <c r="E19" s="40" t="s">
        <v>138</v>
      </c>
      <c r="H19" s="37">
        <f t="shared" ref="H19:N19" si="1">H18*H17/1000</f>
        <v>0</v>
      </c>
      <c r="I19" s="37">
        <f t="shared" si="1"/>
        <v>19239.324134223483</v>
      </c>
      <c r="J19" s="37">
        <f t="shared" si="1"/>
        <v>23513.60918254872</v>
      </c>
      <c r="K19" s="37">
        <f t="shared" si="1"/>
        <v>27266.095980056565</v>
      </c>
      <c r="L19" s="37">
        <f t="shared" si="1"/>
        <v>29790.277594134252</v>
      </c>
      <c r="M19" s="37">
        <f t="shared" si="1"/>
        <v>32069.950495356745</v>
      </c>
      <c r="N19" s="261">
        <f t="shared" si="1"/>
        <v>34516.396715523704</v>
      </c>
    </row>
    <row r="20" spans="2:14" s="39" customFormat="1" x14ac:dyDescent="0.2">
      <c r="B20" s="258"/>
      <c r="D20" s="40"/>
      <c r="E20" s="40"/>
      <c r="N20" s="262"/>
    </row>
    <row r="21" spans="2:14" s="39" customFormat="1" x14ac:dyDescent="0.2">
      <c r="B21" s="258"/>
      <c r="C21" s="39" t="s">
        <v>12</v>
      </c>
      <c r="D21" s="40" t="s">
        <v>137</v>
      </c>
      <c r="E21" s="40" t="s">
        <v>138</v>
      </c>
      <c r="H21" s="16">
        <f>-H19*$F$9</f>
        <v>0</v>
      </c>
      <c r="I21" s="16">
        <f>-I19*$F$9</f>
        <v>-9140.7952894109203</v>
      </c>
      <c r="J21" s="16">
        <f t="shared" ref="J21:N21" si="2">-J19*$F$9</f>
        <v>-11171.550858720722</v>
      </c>
      <c r="K21" s="16">
        <f t="shared" si="2"/>
        <v>-12954.394861084676</v>
      </c>
      <c r="L21" s="16">
        <f t="shared" si="2"/>
        <v>-14153.658787749126</v>
      </c>
      <c r="M21" s="16">
        <f t="shared" si="2"/>
        <v>-15236.754179848944</v>
      </c>
      <c r="N21" s="259">
        <f t="shared" si="2"/>
        <v>-16399.085243512469</v>
      </c>
    </row>
    <row r="22" spans="2:14" s="39" customFormat="1" x14ac:dyDescent="0.2">
      <c r="B22" s="258"/>
      <c r="C22" s="260" t="s">
        <v>101</v>
      </c>
      <c r="D22" s="52" t="s">
        <v>137</v>
      </c>
      <c r="E22" s="52" t="s">
        <v>138</v>
      </c>
      <c r="F22" s="43"/>
      <c r="H22" s="20">
        <f t="shared" ref="H22:N22" si="3">H19+H21</f>
        <v>0</v>
      </c>
      <c r="I22" s="20">
        <f t="shared" si="3"/>
        <v>10098.528844812563</v>
      </c>
      <c r="J22" s="20">
        <f t="shared" si="3"/>
        <v>12342.058323827998</v>
      </c>
      <c r="K22" s="20">
        <f t="shared" si="3"/>
        <v>14311.701118971889</v>
      </c>
      <c r="L22" s="20">
        <f t="shared" si="3"/>
        <v>15636.618806385126</v>
      </c>
      <c r="M22" s="20">
        <f t="shared" si="3"/>
        <v>16833.196315507801</v>
      </c>
      <c r="N22" s="263">
        <f t="shared" si="3"/>
        <v>18117.311472011235</v>
      </c>
    </row>
    <row r="23" spans="2:14" s="39" customFormat="1" x14ac:dyDescent="0.2">
      <c r="B23" s="258"/>
      <c r="D23" s="40"/>
      <c r="E23" s="40"/>
      <c r="N23" s="262"/>
    </row>
    <row r="24" spans="2:14" s="39" customFormat="1" x14ac:dyDescent="0.2">
      <c r="B24" s="258"/>
      <c r="C24" s="264" t="s">
        <v>15</v>
      </c>
      <c r="D24" s="40" t="s">
        <v>137</v>
      </c>
      <c r="E24" s="40" t="s">
        <v>138</v>
      </c>
      <c r="H24" s="256">
        <v>0</v>
      </c>
      <c r="I24" s="16">
        <f>-SUMIFS(OPEX!956:956,OPEX!2:2,Flujos!I2)/1000</f>
        <v>-3300.4024586739165</v>
      </c>
      <c r="J24" s="16">
        <f>-SUMIFS(OPEX!956:956,OPEX!2:2,Flujos!J2)/1000</f>
        <v>-3897.2512723283612</v>
      </c>
      <c r="K24" s="16">
        <f>-SUMIFS(OPEX!956:956,OPEX!2:2,Flujos!K2)/1000</f>
        <v>-4451.4556619667601</v>
      </c>
      <c r="L24" s="16">
        <f>-SUMIFS(OPEX!956:956,OPEX!2:2,Flujos!L2)/1000</f>
        <v>-4795.382166779108</v>
      </c>
      <c r="M24" s="16">
        <f>-SUMIFS(OPEX!956:956,OPEX!2:2,Flujos!M2)/1000</f>
        <v>-5096.5716952781268</v>
      </c>
      <c r="N24" s="259">
        <f>-SUMIFS(OPEX!956:956,OPEX!2:2,Flujos!N2)/1000</f>
        <v>-5429.6464137137173</v>
      </c>
    </row>
    <row r="25" spans="2:14" s="39" customFormat="1" x14ac:dyDescent="0.2">
      <c r="B25" s="258"/>
      <c r="D25" s="40"/>
      <c r="E25" s="40"/>
      <c r="N25" s="262"/>
    </row>
    <row r="26" spans="2:14" s="39" customFormat="1" x14ac:dyDescent="0.2">
      <c r="B26" s="258"/>
      <c r="C26" s="264" t="s">
        <v>93</v>
      </c>
      <c r="D26" s="40" t="s">
        <v>137</v>
      </c>
      <c r="E26" s="40" t="s">
        <v>138</v>
      </c>
      <c r="H26" s="265">
        <f>SUMIFS(EE.FF!11:11,EE.FF!$2:$2,Flujos!H2)</f>
        <v>-8182.5857819533112</v>
      </c>
      <c r="I26" s="265">
        <f>SUMIFS(EE.FF!11:11,EE.FF!$2:$2,Flujos!I2)</f>
        <v>2184.2329838746464</v>
      </c>
      <c r="J26" s="265">
        <f>SUMIFS(EE.FF!11:11,EE.FF!$2:$2,Flujos!J2)</f>
        <v>3567.9107144066493</v>
      </c>
      <c r="K26" s="265">
        <f>SUMIFS(EE.FF!11:11,EE.FF!$2:$2,Flujos!K2)</f>
        <v>4306.9507620446693</v>
      </c>
      <c r="L26" s="265">
        <f>SUMIFS(EE.FF!11:11,EE.FF!$2:$2,Flujos!L2)</f>
        <v>4714.8733744289857</v>
      </c>
      <c r="M26" s="265">
        <f>SUMIFS(EE.FF!11:11,EE.FF!$2:$2,Flujos!M2)</f>
        <v>5084.5539103016672</v>
      </c>
      <c r="N26" s="266">
        <f>SUMIFS(EE.FF!11:11,EE.FF!$2:$2,Flujos!N2)</f>
        <v>5479.9491429429145</v>
      </c>
    </row>
    <row r="27" spans="2:14" s="39" customFormat="1" x14ac:dyDescent="0.2">
      <c r="B27" s="258"/>
      <c r="C27" s="264" t="s">
        <v>94</v>
      </c>
      <c r="D27" s="40" t="s">
        <v>137</v>
      </c>
      <c r="E27" s="40" t="s">
        <v>138</v>
      </c>
      <c r="H27" s="265">
        <f>-SUMIFS(EE.FF!15:15,EE.FF!$2:$2,Flujos!H2)</f>
        <v>0</v>
      </c>
      <c r="I27" s="265">
        <f>-SUMIFS(EE.FF!15:15,EE.FF!$2:$2,Flujos!I2)</f>
        <v>0</v>
      </c>
      <c r="J27" s="265">
        <f>-SUMIFS(EE.FF!15:15,EE.FF!$2:$2,Flujos!J2)</f>
        <v>0</v>
      </c>
      <c r="K27" s="265">
        <f>-SUMIFS(EE.FF!15:15,EE.FF!$2:$2,Flujos!K2)</f>
        <v>-1876.5086783726538</v>
      </c>
      <c r="L27" s="265">
        <f>-SUMIFS(EE.FF!15:15,EE.FF!$2:$2,Flujos!L2)</f>
        <v>-4714.8733744289857</v>
      </c>
      <c r="M27" s="265">
        <f>-SUMIFS(EE.FF!15:15,EE.FF!$2:$2,Flujos!M2)</f>
        <v>-5084.5539103016672</v>
      </c>
      <c r="N27" s="266">
        <f>-SUMIFS(EE.FF!15:15,EE.FF!$2:$2,Flujos!N2)</f>
        <v>-5479.9491429429145</v>
      </c>
    </row>
    <row r="28" spans="2:14" s="39" customFormat="1" x14ac:dyDescent="0.2">
      <c r="B28" s="258"/>
      <c r="C28" s="264" t="s">
        <v>95</v>
      </c>
      <c r="D28" s="40" t="s">
        <v>137</v>
      </c>
      <c r="E28" s="40" t="s">
        <v>138</v>
      </c>
      <c r="H28" s="265">
        <f>-SUMIFS(EE.FF!23:23,EE.FF!$2:$2,Flujos!H2)*$F$11</f>
        <v>0</v>
      </c>
      <c r="I28" s="265">
        <f>-SUMIFS(EE.FF!23:23,EE.FF!$2:$2,Flujos!I2)*$F$11</f>
        <v>-900.86257501608907</v>
      </c>
      <c r="J28" s="265">
        <f>-SUMIFS(EE.FF!23:23,EE.FF!$2:$2,Flujos!J2)*$F$11</f>
        <v>-1236.299383374926</v>
      </c>
      <c r="K28" s="265">
        <f>-SUMIFS(EE.FF!23:23,EE.FF!$2:$2,Flujos!K2)*$F$11</f>
        <v>-1587.1051061646849</v>
      </c>
      <c r="L28" s="265">
        <f>-SUMIFS(EE.FF!23:23,EE.FF!$2:$2,Flujos!L2)*$F$11</f>
        <v>-1841.1818224583149</v>
      </c>
      <c r="M28" s="265">
        <f>-SUMIFS(EE.FF!23:23,EE.FF!$2:$2,Flujos!M2)*$F$11</f>
        <v>-2073.0873094398426</v>
      </c>
      <c r="N28" s="266">
        <f>-SUMIFS(EE.FF!23:23,EE.FF!$2:$2,Flujos!N2)*$F$11</f>
        <v>-2319.4067828994139</v>
      </c>
    </row>
    <row r="29" spans="2:14" s="39" customFormat="1" x14ac:dyDescent="0.2">
      <c r="B29" s="258"/>
      <c r="D29" s="40"/>
      <c r="E29" s="40"/>
      <c r="N29" s="262"/>
    </row>
    <row r="30" spans="2:14" s="39" customFormat="1" x14ac:dyDescent="0.2">
      <c r="B30" s="258"/>
      <c r="C30" s="260" t="s">
        <v>96</v>
      </c>
      <c r="D30" s="52" t="s">
        <v>137</v>
      </c>
      <c r="E30" s="52" t="s">
        <v>138</v>
      </c>
      <c r="H30" s="20">
        <f t="shared" ref="H30:N30" si="4">H22+H24+H26+H27+H28</f>
        <v>-8182.5857819533112</v>
      </c>
      <c r="I30" s="20">
        <f t="shared" si="4"/>
        <v>8081.4967949972042</v>
      </c>
      <c r="J30" s="20">
        <f t="shared" si="4"/>
        <v>10776.418382531359</v>
      </c>
      <c r="K30" s="20">
        <f t="shared" si="4"/>
        <v>10703.582434512458</v>
      </c>
      <c r="L30" s="20">
        <f t="shared" si="4"/>
        <v>9000.0548171477021</v>
      </c>
      <c r="M30" s="20">
        <f t="shared" si="4"/>
        <v>9663.5373107898322</v>
      </c>
      <c r="N30" s="263">
        <f t="shared" si="4"/>
        <v>10368.258275398102</v>
      </c>
    </row>
    <row r="31" spans="2:14" s="39" customFormat="1" x14ac:dyDescent="0.2">
      <c r="B31" s="258"/>
      <c r="D31" s="40"/>
      <c r="E31" s="40"/>
      <c r="N31" s="262"/>
    </row>
    <row r="32" spans="2:14" s="39" customFormat="1" x14ac:dyDescent="0.2">
      <c r="B32" s="258"/>
      <c r="C32" s="39" t="s">
        <v>88</v>
      </c>
      <c r="D32" s="40" t="s">
        <v>137</v>
      </c>
      <c r="E32" s="40" t="s">
        <v>138</v>
      </c>
      <c r="F32" s="267"/>
      <c r="H32" s="265">
        <f>-CAPEX!H181/1000</f>
        <v>-45458.80989974062</v>
      </c>
      <c r="I32" s="265">
        <f>-CAPEX!I181/1000</f>
        <v>0</v>
      </c>
      <c r="J32" s="265">
        <f>-CAPEX!J181/1000</f>
        <v>0</v>
      </c>
      <c r="K32" s="265">
        <f>-CAPEX!K181/1000</f>
        <v>0</v>
      </c>
      <c r="L32" s="265">
        <f>-CAPEX!L181/1000</f>
        <v>0</v>
      </c>
      <c r="M32" s="265">
        <f>-CAPEX!M181/1000</f>
        <v>0</v>
      </c>
      <c r="N32" s="266">
        <f>-CAPEX!N181/1000</f>
        <v>0</v>
      </c>
    </row>
    <row r="33" spans="2:14" s="39" customFormat="1" x14ac:dyDescent="0.2">
      <c r="B33" s="258"/>
      <c r="C33" s="39" t="s">
        <v>97</v>
      </c>
      <c r="D33" s="40" t="s">
        <v>137</v>
      </c>
      <c r="E33" s="40" t="s">
        <v>138</v>
      </c>
      <c r="F33" s="267"/>
      <c r="H33" s="265">
        <f>-CAPEX!H182/1000</f>
        <v>0</v>
      </c>
      <c r="I33" s="265">
        <f>-CAPEX!I182/1000</f>
        <v>-4629.3946020255662</v>
      </c>
      <c r="J33" s="265">
        <f>-CAPEX!J182/1000</f>
        <v>-768.94453715439897</v>
      </c>
      <c r="K33" s="265">
        <f>-CAPEX!K182/1000</f>
        <v>0</v>
      </c>
      <c r="L33" s="265">
        <f>-CAPEX!L182/1000</f>
        <v>0</v>
      </c>
      <c r="M33" s="265">
        <f>-CAPEX!M182/1000</f>
        <v>0</v>
      </c>
      <c r="N33" s="266">
        <f>-CAPEX!N182/1000</f>
        <v>0</v>
      </c>
    </row>
    <row r="34" spans="2:14" s="39" customFormat="1" x14ac:dyDescent="0.2">
      <c r="B34" s="258"/>
      <c r="C34" s="39" t="s">
        <v>98</v>
      </c>
      <c r="D34" s="40" t="s">
        <v>137</v>
      </c>
      <c r="E34" s="40" t="s">
        <v>138</v>
      </c>
      <c r="F34" s="267"/>
      <c r="H34" s="265">
        <f>+CAPEX!H184/1000</f>
        <v>0</v>
      </c>
      <c r="I34" s="265">
        <f>+CAPEX!I184/1000</f>
        <v>0</v>
      </c>
      <c r="J34" s="265">
        <f>+CAPEX!J184/1000</f>
        <v>0</v>
      </c>
      <c r="K34" s="265">
        <f>+CAPEX!K184/1000</f>
        <v>0</v>
      </c>
      <c r="L34" s="265">
        <f>+CAPEX!L184/1000</f>
        <v>0</v>
      </c>
      <c r="M34" s="265">
        <f>+CAPEX!M184/1000</f>
        <v>0</v>
      </c>
      <c r="N34" s="266">
        <f>+CAPEX!N184/1000</f>
        <v>28936.100117083231</v>
      </c>
    </row>
    <row r="35" spans="2:14" s="39" customFormat="1" x14ac:dyDescent="0.2">
      <c r="B35" s="258"/>
      <c r="C35" s="43"/>
      <c r="D35" s="40"/>
      <c r="E35" s="40"/>
      <c r="N35" s="262"/>
    </row>
    <row r="36" spans="2:14" s="39" customFormat="1" x14ac:dyDescent="0.2">
      <c r="B36" s="258"/>
      <c r="C36" s="273" t="s">
        <v>99</v>
      </c>
      <c r="D36" s="274" t="s">
        <v>137</v>
      </c>
      <c r="E36" s="274" t="s">
        <v>138</v>
      </c>
      <c r="F36" s="276"/>
      <c r="G36" s="59"/>
      <c r="H36" s="277">
        <f>H30+H32+H33+H34</f>
        <v>-53641.395681693932</v>
      </c>
      <c r="I36" s="278">
        <f t="shared" ref="I36:N36" si="5">I30+I32+I33+I34</f>
        <v>3452.102192971638</v>
      </c>
      <c r="J36" s="278">
        <f t="shared" si="5"/>
        <v>10007.473845376961</v>
      </c>
      <c r="K36" s="278">
        <f t="shared" si="5"/>
        <v>10703.582434512458</v>
      </c>
      <c r="L36" s="278">
        <f t="shared" si="5"/>
        <v>9000.0548171477021</v>
      </c>
      <c r="M36" s="278">
        <f t="shared" si="5"/>
        <v>9663.5373107898322</v>
      </c>
      <c r="N36" s="279">
        <f t="shared" si="5"/>
        <v>39304.358392481336</v>
      </c>
    </row>
    <row r="37" spans="2:14" s="39" customFormat="1" x14ac:dyDescent="0.2">
      <c r="B37" s="258"/>
      <c r="D37" s="40"/>
      <c r="E37" s="40"/>
      <c r="N37" s="262"/>
    </row>
    <row r="38" spans="2:14" s="39" customFormat="1" ht="15" x14ac:dyDescent="0.25">
      <c r="B38" s="258"/>
      <c r="C38" s="273" t="s">
        <v>165</v>
      </c>
      <c r="D38" s="274" t="s">
        <v>137</v>
      </c>
      <c r="E38" s="274" t="s">
        <v>138</v>
      </c>
      <c r="F38" s="275">
        <f>+H36+NPV(F7,I36:N36)</f>
        <v>0</v>
      </c>
      <c r="N38" s="262"/>
    </row>
    <row r="39" spans="2:14" x14ac:dyDescent="0.2">
      <c r="B39" s="268"/>
      <c r="C39" s="269"/>
      <c r="D39" s="44"/>
      <c r="E39" s="44"/>
      <c r="F39" s="269"/>
      <c r="G39" s="269"/>
      <c r="H39" s="269"/>
      <c r="I39" s="269"/>
      <c r="J39" s="269"/>
      <c r="K39" s="269"/>
      <c r="L39" s="269"/>
      <c r="M39" s="269"/>
      <c r="N39" s="270"/>
    </row>
    <row r="40" spans="2:14" x14ac:dyDescent="0.2">
      <c r="B40" s="249" t="s">
        <v>167</v>
      </c>
      <c r="C40" s="250"/>
      <c r="D40" s="251"/>
      <c r="E40" s="251"/>
      <c r="F40" s="250"/>
      <c r="G40" s="250"/>
      <c r="H40" s="250"/>
      <c r="I40" s="250"/>
      <c r="J40" s="250"/>
      <c r="K40" s="250"/>
      <c r="L40" s="250"/>
      <c r="M40" s="250"/>
      <c r="N40" s="271"/>
    </row>
    <row r="41" spans="2:14" x14ac:dyDescent="0.2">
      <c r="B41" s="254"/>
      <c r="N41" s="255"/>
    </row>
    <row r="42" spans="2:14" s="39" customFormat="1" x14ac:dyDescent="0.2">
      <c r="B42" s="254"/>
      <c r="C42" s="280" t="s">
        <v>92</v>
      </c>
      <c r="D42" s="274"/>
      <c r="E42" s="274"/>
      <c r="F42" s="281">
        <v>6.9604520240854475</v>
      </c>
      <c r="H42" s="256">
        <v>0</v>
      </c>
      <c r="I42" s="256">
        <f>$F$42</f>
        <v>6.9604520240854475</v>
      </c>
      <c r="J42" s="256">
        <f t="shared" ref="J42:N42" si="6">$F$42</f>
        <v>6.9604520240854475</v>
      </c>
      <c r="K42" s="256">
        <f t="shared" si="6"/>
        <v>6.9604520240854475</v>
      </c>
      <c r="L42" s="256">
        <f t="shared" si="6"/>
        <v>6.9604520240854475</v>
      </c>
      <c r="M42" s="256">
        <f t="shared" si="6"/>
        <v>6.9604520240854475</v>
      </c>
      <c r="N42" s="257">
        <f t="shared" si="6"/>
        <v>6.9604520240854475</v>
      </c>
    </row>
    <row r="43" spans="2:14" s="39" customFormat="1" x14ac:dyDescent="0.2">
      <c r="B43" s="254"/>
      <c r="C43" s="39" t="s">
        <v>169</v>
      </c>
      <c r="D43" s="40" t="s">
        <v>136</v>
      </c>
      <c r="E43" s="40" t="s">
        <v>14</v>
      </c>
      <c r="H43" s="256">
        <v>0</v>
      </c>
      <c r="I43" s="19">
        <f>+'Insumos - CAPEX'!I21</f>
        <v>816893</v>
      </c>
      <c r="J43" s="19">
        <f>+'Insumos - CAPEX'!J21</f>
        <v>838355</v>
      </c>
      <c r="K43" s="19">
        <f>+'Insumos - CAPEX'!K21</f>
        <v>859397</v>
      </c>
      <c r="L43" s="19">
        <f>+'Insumos - CAPEX'!L21</f>
        <v>880439</v>
      </c>
      <c r="M43" s="19">
        <f>+'Insumos - CAPEX'!M21</f>
        <v>915332</v>
      </c>
      <c r="N43" s="272">
        <f>+'Insumos - CAPEX'!N21</f>
        <v>944420</v>
      </c>
    </row>
    <row r="44" spans="2:14" s="39" customFormat="1" x14ac:dyDescent="0.2">
      <c r="B44" s="258"/>
      <c r="C44" s="260" t="s">
        <v>100</v>
      </c>
      <c r="D44" s="40" t="s">
        <v>137</v>
      </c>
      <c r="E44" s="40" t="s">
        <v>138</v>
      </c>
      <c r="H44" s="37">
        <f t="shared" ref="H44:N44" si="7">H43*H42/1000</f>
        <v>0</v>
      </c>
      <c r="I44" s="37">
        <f t="shared" si="7"/>
        <v>5685.9445353112333</v>
      </c>
      <c r="J44" s="37">
        <f t="shared" si="7"/>
        <v>5835.3297566521551</v>
      </c>
      <c r="K44" s="37">
        <f t="shared" si="7"/>
        <v>5981.7915881429617</v>
      </c>
      <c r="L44" s="37">
        <f t="shared" si="7"/>
        <v>6128.2534196337674</v>
      </c>
      <c r="M44" s="37">
        <f t="shared" si="7"/>
        <v>6371.1244721101812</v>
      </c>
      <c r="N44" s="261">
        <f t="shared" si="7"/>
        <v>6573.5901005867781</v>
      </c>
    </row>
    <row r="45" spans="2:14" s="39" customFormat="1" x14ac:dyDescent="0.2">
      <c r="B45" s="258"/>
      <c r="D45" s="40"/>
      <c r="E45" s="40"/>
      <c r="N45" s="262"/>
    </row>
    <row r="46" spans="2:14" s="39" customFormat="1" x14ac:dyDescent="0.2">
      <c r="B46" s="258"/>
      <c r="C46" s="39" t="s">
        <v>12</v>
      </c>
      <c r="D46" s="40" t="s">
        <v>137</v>
      </c>
      <c r="E46" s="40" t="s">
        <v>138</v>
      </c>
      <c r="H46" s="16">
        <f>-H44*$F$9</f>
        <v>0</v>
      </c>
      <c r="I46" s="16">
        <f t="shared" ref="I46:N46" si="8">-I44*$F$9</f>
        <v>-2701.4491081717201</v>
      </c>
      <c r="J46" s="16">
        <f>-J44*$F$9</f>
        <v>-2772.4235206830058</v>
      </c>
      <c r="K46" s="16">
        <f t="shared" si="8"/>
        <v>-2842.0090014426028</v>
      </c>
      <c r="L46" s="16">
        <f t="shared" si="8"/>
        <v>-2911.5944822021993</v>
      </c>
      <c r="M46" s="16">
        <f t="shared" si="8"/>
        <v>-3026.9849479442682</v>
      </c>
      <c r="N46" s="259">
        <f t="shared" si="8"/>
        <v>-3123.1783926897842</v>
      </c>
    </row>
    <row r="47" spans="2:14" s="39" customFormat="1" x14ac:dyDescent="0.2">
      <c r="B47" s="258"/>
      <c r="C47" s="260" t="s">
        <v>101</v>
      </c>
      <c r="D47" s="52" t="s">
        <v>137</v>
      </c>
      <c r="E47" s="52" t="s">
        <v>138</v>
      </c>
      <c r="F47" s="43"/>
      <c r="H47" s="20">
        <f t="shared" ref="H47:N47" si="9">H44+H46</f>
        <v>0</v>
      </c>
      <c r="I47" s="20">
        <f>I44+I46</f>
        <v>2984.4954271395131</v>
      </c>
      <c r="J47" s="20">
        <f t="shared" si="9"/>
        <v>3062.9062359691493</v>
      </c>
      <c r="K47" s="20">
        <f t="shared" si="9"/>
        <v>3139.7825867003589</v>
      </c>
      <c r="L47" s="20">
        <f t="shared" si="9"/>
        <v>3216.6589374315681</v>
      </c>
      <c r="M47" s="20">
        <f t="shared" si="9"/>
        <v>3344.1395241659129</v>
      </c>
      <c r="N47" s="263">
        <f t="shared" si="9"/>
        <v>3450.4117078969939</v>
      </c>
    </row>
    <row r="48" spans="2:14" s="39" customFormat="1" x14ac:dyDescent="0.2">
      <c r="B48" s="258"/>
      <c r="D48" s="40"/>
      <c r="E48" s="40"/>
      <c r="N48" s="262"/>
    </row>
    <row r="49" spans="2:14" s="39" customFormat="1" x14ac:dyDescent="0.2">
      <c r="B49" s="258"/>
      <c r="C49" s="264" t="s">
        <v>15</v>
      </c>
      <c r="D49" s="40" t="s">
        <v>137</v>
      </c>
      <c r="E49" s="40" t="s">
        <v>138</v>
      </c>
      <c r="H49" s="256">
        <v>0</v>
      </c>
      <c r="I49" s="16">
        <f>-SUMIFS(OPEX!1432:1432,OPEX!2:2,Flujos!I2)/1000</f>
        <v>-1491.4692750266117</v>
      </c>
      <c r="J49" s="16">
        <f>-SUMIFS(OPEX!1432:1432,OPEX!2:2,Flujos!J2)/1000</f>
        <v>-1498.1834779334731</v>
      </c>
      <c r="K49" s="16">
        <f>-SUMIFS(OPEX!1432:1432,OPEX!2:2,Flujos!K2)/1000</f>
        <v>-1524.6667575606141</v>
      </c>
      <c r="L49" s="16">
        <f>-SUMIFS(OPEX!1432:1432,OPEX!2:2,Flujos!L2)/1000</f>
        <v>-1548.5132115637093</v>
      </c>
      <c r="M49" s="16">
        <f>-SUMIFS(OPEX!1432:1432,OPEX!2:2,Flujos!M2)/1000</f>
        <v>-1593.9063617157531</v>
      </c>
      <c r="N49" s="259">
        <f>-SUMIFS(OPEX!1432:1432,OPEX!2:2,Flujos!N2)/1000</f>
        <v>-1633.4434912008696</v>
      </c>
    </row>
    <row r="50" spans="2:14" s="39" customFormat="1" x14ac:dyDescent="0.2">
      <c r="B50" s="258"/>
      <c r="D50" s="40"/>
      <c r="E50" s="40"/>
      <c r="N50" s="262"/>
    </row>
    <row r="51" spans="2:14" s="39" customFormat="1" x14ac:dyDescent="0.2">
      <c r="B51" s="258"/>
      <c r="C51" s="264" t="s">
        <v>93</v>
      </c>
      <c r="D51" s="40" t="s">
        <v>137</v>
      </c>
      <c r="E51" s="40" t="s">
        <v>138</v>
      </c>
      <c r="H51" s="265">
        <f>SUMIFS(EE.FF!30:30,EE.FF!$2:$2,Flujos!H2)</f>
        <v>-1411.1190391802584</v>
      </c>
      <c r="I51" s="265">
        <f>SUMIFS(EE.FF!30:30,EE.FF!$2:$2,Flujos!I2)</f>
        <v>678.4173552672014</v>
      </c>
      <c r="J51" s="265">
        <f>SUMIFS(EE.FF!30:30,EE.FF!$2:$2,Flujos!J2)</f>
        <v>824.23523596425503</v>
      </c>
      <c r="K51" s="265">
        <f>SUMIFS(EE.FF!30:30,EE.FF!$2:$2,Flujos!K2)</f>
        <v>870.89247359505009</v>
      </c>
      <c r="L51" s="265">
        <f>SUMIFS(EE.FF!30:30,EE.FF!$2:$2,Flujos!L2)</f>
        <v>894.03633197297722</v>
      </c>
      <c r="M51" s="265">
        <f>SUMIFS(EE.FF!30:30,EE.FF!$2:$2,Flujos!M2)</f>
        <v>931.62504614820591</v>
      </c>
      <c r="N51" s="266">
        <f>SUMIFS(EE.FF!30:30,EE.FF!$2:$2,Flujos!N2)</f>
        <v>962.73134679350267</v>
      </c>
    </row>
    <row r="52" spans="2:14" s="39" customFormat="1" x14ac:dyDescent="0.2">
      <c r="B52" s="258"/>
      <c r="C52" s="264" t="s">
        <v>94</v>
      </c>
      <c r="D52" s="40" t="s">
        <v>137</v>
      </c>
      <c r="E52" s="40" t="s">
        <v>138</v>
      </c>
      <c r="H52" s="265">
        <f>-SUMIFS(EE.FF!34:34,EE.FF!$2:$2,Flujos!H2)</f>
        <v>0</v>
      </c>
      <c r="I52" s="265">
        <f>-SUMIFS(EE.FF!34:34,EE.FF!$2:$2,Flujos!I2)</f>
        <v>0</v>
      </c>
      <c r="J52" s="265">
        <f>-SUMIFS(EE.FF!34:34,EE.FF!$2:$2,Flujos!J2)</f>
        <v>-91.533552051198058</v>
      </c>
      <c r="K52" s="265">
        <f>-SUMIFS(EE.FF!34:34,EE.FF!$2:$2,Flujos!K2)</f>
        <v>-870.89247359505009</v>
      </c>
      <c r="L52" s="265">
        <f>-SUMIFS(EE.FF!34:34,EE.FF!$2:$2,Flujos!L2)</f>
        <v>-894.03633197297722</v>
      </c>
      <c r="M52" s="265">
        <f>-SUMIFS(EE.FF!34:34,EE.FF!$2:$2,Flujos!M2)</f>
        <v>-931.62504614820591</v>
      </c>
      <c r="N52" s="266">
        <f>-SUMIFS(EE.FF!34:34,EE.FF!$2:$2,Flujos!N2)</f>
        <v>-962.73134679350267</v>
      </c>
    </row>
    <row r="53" spans="2:14" s="39" customFormat="1" x14ac:dyDescent="0.2">
      <c r="B53" s="258"/>
      <c r="C53" s="264" t="s">
        <v>95</v>
      </c>
      <c r="D53" s="40" t="s">
        <v>137</v>
      </c>
      <c r="E53" s="40" t="s">
        <v>138</v>
      </c>
      <c r="H53" s="265">
        <f>-SUMIFS(EE.FF!42:42,EE.FF!$2:$2,Flujos!H2)*$F$11</f>
        <v>0</v>
      </c>
      <c r="I53" s="265">
        <f>-SUMIFS(EE.FF!42:42,EE.FF!$2:$2,Flujos!I2)*$F$11</f>
        <v>-247.97153706362749</v>
      </c>
      <c r="J53" s="265">
        <f>-SUMIFS(EE.FF!42:42,EE.FF!$2:$2,Flujos!J2)*$F$11</f>
        <v>-251.73553146478704</v>
      </c>
      <c r="K53" s="265">
        <f>-SUMIFS(EE.FF!42:42,EE.FF!$2:$2,Flujos!K2)*$F$11</f>
        <v>-262.19242357618401</v>
      </c>
      <c r="L53" s="265">
        <f>-SUMIFS(EE.FF!42:42,EE.FF!$2:$2,Flujos!L2)*$F$11</f>
        <v>-275.92716682876556</v>
      </c>
      <c r="M53" s="265">
        <f>-SUMIFS(EE.FF!42:42,EE.FF!$2:$2,Flujos!M2)*$F$11</f>
        <v>-297.18781290358157</v>
      </c>
      <c r="N53" s="266">
        <f>-SUMIFS(EE.FF!42:42,EE.FF!$2:$2,Flujos!N2)*$F$11</f>
        <v>-314.47219195328637</v>
      </c>
    </row>
    <row r="54" spans="2:14" s="39" customFormat="1" x14ac:dyDescent="0.2">
      <c r="B54" s="258"/>
      <c r="D54" s="40"/>
      <c r="E54" s="40"/>
      <c r="N54" s="262"/>
    </row>
    <row r="55" spans="2:14" s="39" customFormat="1" x14ac:dyDescent="0.2">
      <c r="B55" s="258"/>
      <c r="C55" s="260" t="s">
        <v>96</v>
      </c>
      <c r="D55" s="52" t="s">
        <v>137</v>
      </c>
      <c r="E55" s="52" t="s">
        <v>138</v>
      </c>
      <c r="H55" s="20">
        <f t="shared" ref="H55:N55" si="10">H47+H49+H51+H52+H53</f>
        <v>-1411.1190391802584</v>
      </c>
      <c r="I55" s="20">
        <f t="shared" si="10"/>
        <v>1923.4719703164753</v>
      </c>
      <c r="J55" s="20">
        <f t="shared" si="10"/>
        <v>2045.6889104839461</v>
      </c>
      <c r="K55" s="20">
        <f t="shared" si="10"/>
        <v>1352.9234055635611</v>
      </c>
      <c r="L55" s="20">
        <f t="shared" si="10"/>
        <v>1392.2185590390932</v>
      </c>
      <c r="M55" s="20">
        <f t="shared" si="10"/>
        <v>1453.0453495465783</v>
      </c>
      <c r="N55" s="263">
        <f t="shared" si="10"/>
        <v>1502.496024742838</v>
      </c>
    </row>
    <row r="56" spans="2:14" s="39" customFormat="1" x14ac:dyDescent="0.2">
      <c r="B56" s="258"/>
      <c r="D56" s="40"/>
      <c r="E56" s="40"/>
      <c r="N56" s="262"/>
    </row>
    <row r="57" spans="2:14" s="39" customFormat="1" x14ac:dyDescent="0.2">
      <c r="B57" s="258"/>
      <c r="C57" s="39" t="s">
        <v>88</v>
      </c>
      <c r="D57" s="40" t="s">
        <v>137</v>
      </c>
      <c r="E57" s="40" t="s">
        <v>138</v>
      </c>
      <c r="F57" s="267"/>
      <c r="H57" s="265">
        <f>+-CAPEX!H188/1000</f>
        <v>-7839.550217668103</v>
      </c>
      <c r="I57" s="265">
        <f>+-CAPEX!I188/1000</f>
        <v>0</v>
      </c>
      <c r="J57" s="265">
        <f>+-CAPEX!J188/1000</f>
        <v>0</v>
      </c>
      <c r="K57" s="265">
        <f>+-CAPEX!K188/1000</f>
        <v>0</v>
      </c>
      <c r="L57" s="265">
        <f>+-CAPEX!L188/1000</f>
        <v>0</v>
      </c>
      <c r="M57" s="265">
        <f>+-CAPEX!M188/1000</f>
        <v>0</v>
      </c>
      <c r="N57" s="266">
        <f>+-CAPEX!N188/1000</f>
        <v>0</v>
      </c>
    </row>
    <row r="58" spans="2:14" s="39" customFormat="1" x14ac:dyDescent="0.2">
      <c r="B58" s="258"/>
      <c r="C58" s="39" t="s">
        <v>97</v>
      </c>
      <c r="D58" s="40" t="s">
        <v>137</v>
      </c>
      <c r="E58" s="40" t="s">
        <v>138</v>
      </c>
      <c r="F58" s="267"/>
      <c r="H58" s="265">
        <f>+-CAPEX!H189/1000</f>
        <v>0</v>
      </c>
      <c r="I58" s="265">
        <f>+-CAPEX!I189/1000</f>
        <v>-798.35727200126621</v>
      </c>
      <c r="J58" s="265">
        <f>+-CAPEX!J189/1000</f>
        <v>-132.60750395618831</v>
      </c>
      <c r="K58" s="265">
        <f>+-CAPEX!K189/1000</f>
        <v>0</v>
      </c>
      <c r="L58" s="265">
        <f>+-CAPEX!L189/1000</f>
        <v>0</v>
      </c>
      <c r="M58" s="265">
        <f>+-CAPEX!M189/1000</f>
        <v>0</v>
      </c>
      <c r="N58" s="266">
        <f>+-CAPEX!N189/1000</f>
        <v>0</v>
      </c>
    </row>
    <row r="59" spans="2:14" s="39" customFormat="1" x14ac:dyDescent="0.2">
      <c r="B59" s="258"/>
      <c r="C59" s="39" t="s">
        <v>98</v>
      </c>
      <c r="D59" s="40" t="s">
        <v>137</v>
      </c>
      <c r="E59" s="40" t="s">
        <v>138</v>
      </c>
      <c r="F59" s="267"/>
      <c r="H59" s="265">
        <f>+CAPEX!H191/1000</f>
        <v>0</v>
      </c>
      <c r="I59" s="265">
        <f>+CAPEX!I191/1000</f>
        <v>0</v>
      </c>
      <c r="J59" s="265">
        <f>+CAPEX!J191/1000</f>
        <v>0</v>
      </c>
      <c r="K59" s="265">
        <f>+CAPEX!K191/1000</f>
        <v>0</v>
      </c>
      <c r="L59" s="265">
        <f>+CAPEX!L191/1000</f>
        <v>0</v>
      </c>
      <c r="M59" s="265">
        <f>+CAPEX!M191/1000</f>
        <v>0</v>
      </c>
      <c r="N59" s="266">
        <f>+CAPEX!N191/1000</f>
        <v>5230.9775268915555</v>
      </c>
    </row>
    <row r="60" spans="2:14" s="39" customFormat="1" x14ac:dyDescent="0.2">
      <c r="B60" s="258"/>
      <c r="C60" s="43"/>
      <c r="D60" s="40"/>
      <c r="E60" s="40"/>
      <c r="N60" s="262"/>
    </row>
    <row r="61" spans="2:14" s="39" customFormat="1" x14ac:dyDescent="0.2">
      <c r="B61" s="258"/>
      <c r="C61" s="273" t="s">
        <v>99</v>
      </c>
      <c r="D61" s="274" t="s">
        <v>137</v>
      </c>
      <c r="E61" s="274" t="s">
        <v>138</v>
      </c>
      <c r="F61" s="276"/>
      <c r="G61" s="59"/>
      <c r="H61" s="277">
        <f t="shared" ref="H61:N61" si="11">H55+H57+H58+H59</f>
        <v>-9250.6692568483613</v>
      </c>
      <c r="I61" s="278">
        <f t="shared" si="11"/>
        <v>1125.1146983152091</v>
      </c>
      <c r="J61" s="278">
        <f t="shared" si="11"/>
        <v>1913.0814065277577</v>
      </c>
      <c r="K61" s="278">
        <f t="shared" si="11"/>
        <v>1352.9234055635611</v>
      </c>
      <c r="L61" s="278">
        <f t="shared" si="11"/>
        <v>1392.2185590390932</v>
      </c>
      <c r="M61" s="278">
        <f t="shared" si="11"/>
        <v>1453.0453495465783</v>
      </c>
      <c r="N61" s="279">
        <f t="shared" si="11"/>
        <v>6733.4735516343935</v>
      </c>
    </row>
    <row r="62" spans="2:14" s="39" customFormat="1" x14ac:dyDescent="0.2">
      <c r="B62" s="258"/>
      <c r="D62" s="40"/>
      <c r="E62" s="40"/>
      <c r="N62" s="262"/>
    </row>
    <row r="63" spans="2:14" s="39" customFormat="1" ht="15" x14ac:dyDescent="0.25">
      <c r="B63" s="258"/>
      <c r="C63" s="273" t="s">
        <v>165</v>
      </c>
      <c r="D63" s="274" t="s">
        <v>137</v>
      </c>
      <c r="E63" s="274" t="s">
        <v>138</v>
      </c>
      <c r="F63" s="275">
        <f>+H61+NPV(F7,I61:N61)</f>
        <v>0</v>
      </c>
      <c r="N63" s="262"/>
    </row>
    <row r="64" spans="2:14" x14ac:dyDescent="0.2">
      <c r="B64" s="268"/>
      <c r="C64" s="269"/>
      <c r="D64" s="44"/>
      <c r="E64" s="44"/>
      <c r="F64" s="269"/>
      <c r="G64" s="269"/>
      <c r="H64" s="269"/>
      <c r="I64" s="269"/>
      <c r="J64" s="269"/>
      <c r="K64" s="269"/>
      <c r="L64" s="269"/>
      <c r="M64" s="269"/>
      <c r="N64" s="270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0511E2-0B39-4BB1-A840-05330DF647F4}">
  <sheetPr codeName="Hoja9"/>
  <dimension ref="A1:AD1605"/>
  <sheetViews>
    <sheetView showGridLines="0" zoomScale="60" zoomScaleNormal="60" workbookViewId="0">
      <pane xSplit="7" ySplit="3" topLeftCell="H4" activePane="bottomRight" state="frozen"/>
      <selection pane="topRight" activeCell="D1" sqref="D1"/>
      <selection pane="bottomLeft" activeCell="A4" sqref="A4"/>
      <selection pane="bottomRight"/>
    </sheetView>
  </sheetViews>
  <sheetFormatPr baseColWidth="10" defaultColWidth="11.5" defaultRowHeight="12.75" outlineLevelCol="1" x14ac:dyDescent="0.2"/>
  <cols>
    <col min="1" max="1" width="2.875" style="1" customWidth="1"/>
    <col min="2" max="2" width="17.5" style="1" customWidth="1"/>
    <col min="3" max="3" width="28.5" style="1" bestFit="1" customWidth="1"/>
    <col min="4" max="4" width="12.75" style="1" customWidth="1"/>
    <col min="5" max="5" width="39.5" style="1" customWidth="1"/>
    <col min="6" max="6" width="15" style="1" customWidth="1"/>
    <col min="7" max="7" width="16.625" style="89" customWidth="1"/>
    <col min="8" max="8" width="17.5" style="13" customWidth="1"/>
    <col min="9" max="9" width="13.25" style="13" customWidth="1"/>
    <col min="10" max="10" width="9" style="13" customWidth="1"/>
    <col min="11" max="12" width="15.625" style="13" customWidth="1" outlineLevel="1"/>
    <col min="13" max="13" width="15.625" style="13" customWidth="1"/>
    <col min="14" max="18" width="15.625" style="1" customWidth="1"/>
    <col min="19" max="19" width="11.5" style="1"/>
    <col min="20" max="20" width="14.25" style="1" customWidth="1"/>
    <col min="21" max="16384" width="11.5" style="1"/>
  </cols>
  <sheetData>
    <row r="1" spans="1:20" x14ac:dyDescent="0.2">
      <c r="J1" s="1"/>
      <c r="K1" s="1"/>
      <c r="L1" s="1"/>
      <c r="M1" s="1"/>
    </row>
    <row r="2" spans="1:20" s="11" customFormat="1" x14ac:dyDescent="0.2">
      <c r="B2" s="11" t="s">
        <v>11</v>
      </c>
      <c r="C2" s="11" t="s">
        <v>300</v>
      </c>
      <c r="D2" s="11" t="s">
        <v>277</v>
      </c>
      <c r="E2" s="11" t="s">
        <v>0</v>
      </c>
      <c r="F2" s="11" t="s">
        <v>482</v>
      </c>
      <c r="G2" s="11" t="s">
        <v>481</v>
      </c>
      <c r="H2" s="11" t="s">
        <v>1</v>
      </c>
      <c r="I2" s="11" t="s">
        <v>2</v>
      </c>
      <c r="K2" s="11">
        <v>2023</v>
      </c>
      <c r="L2" s="11">
        <f>K2+1</f>
        <v>2024</v>
      </c>
      <c r="M2" s="11">
        <f t="shared" ref="M2:R2" si="0">L2+1</f>
        <v>2025</v>
      </c>
      <c r="N2" s="11">
        <f t="shared" si="0"/>
        <v>2026</v>
      </c>
      <c r="O2" s="11">
        <f t="shared" si="0"/>
        <v>2027</v>
      </c>
      <c r="P2" s="11">
        <f t="shared" si="0"/>
        <v>2028</v>
      </c>
      <c r="Q2" s="11">
        <f t="shared" si="0"/>
        <v>2029</v>
      </c>
      <c r="R2" s="11">
        <f t="shared" si="0"/>
        <v>2030</v>
      </c>
    </row>
    <row r="3" spans="1:20" x14ac:dyDescent="0.2">
      <c r="B3" s="2"/>
      <c r="C3" s="2"/>
      <c r="D3" s="2"/>
      <c r="E3" s="2"/>
      <c r="F3" s="2"/>
      <c r="G3" s="2"/>
      <c r="H3" s="12"/>
      <c r="I3" s="12"/>
      <c r="J3" s="1"/>
      <c r="K3" s="2"/>
      <c r="L3" s="2"/>
      <c r="M3" s="2"/>
      <c r="N3" s="2"/>
      <c r="O3" s="2"/>
      <c r="P3" s="2"/>
      <c r="Q3" s="2"/>
      <c r="R3" s="2"/>
    </row>
    <row r="5" spans="1:20" s="111" customFormat="1" x14ac:dyDescent="0.2">
      <c r="B5" s="125" t="s">
        <v>299</v>
      </c>
      <c r="C5" s="125"/>
      <c r="D5" s="126"/>
      <c r="E5" s="126"/>
      <c r="F5" s="126"/>
      <c r="G5" s="126"/>
      <c r="H5" s="125"/>
      <c r="I5" s="125"/>
      <c r="K5" s="125"/>
      <c r="L5" s="125"/>
      <c r="M5" s="125"/>
      <c r="N5" s="125"/>
      <c r="O5" s="125"/>
      <c r="P5" s="125"/>
      <c r="Q5" s="125"/>
      <c r="R5" s="125"/>
    </row>
    <row r="6" spans="1:20" s="111" customFormat="1" x14ac:dyDescent="0.2">
      <c r="B6" s="127"/>
      <c r="C6" s="127"/>
      <c r="D6" s="128"/>
      <c r="E6" s="128"/>
      <c r="F6" s="128"/>
      <c r="H6" s="127"/>
      <c r="I6" s="127"/>
      <c r="K6" s="127"/>
      <c r="L6" s="127"/>
      <c r="M6" s="127"/>
      <c r="N6" s="127"/>
      <c r="O6" s="127"/>
      <c r="P6" s="127"/>
      <c r="Q6" s="127"/>
      <c r="R6" s="127"/>
    </row>
    <row r="7" spans="1:20" s="111" customFormat="1" x14ac:dyDescent="0.2">
      <c r="B7" s="129" t="s">
        <v>442</v>
      </c>
      <c r="D7" s="112"/>
      <c r="E7" s="112"/>
      <c r="F7" s="112"/>
      <c r="H7" s="127"/>
      <c r="I7" s="127"/>
      <c r="K7" s="127"/>
      <c r="L7" s="127"/>
      <c r="M7" s="127"/>
      <c r="N7" s="127"/>
      <c r="O7" s="127"/>
      <c r="P7" s="127"/>
      <c r="Q7" s="127"/>
      <c r="R7" s="127"/>
      <c r="S7" s="127"/>
    </row>
    <row r="8" spans="1:20" s="111" customFormat="1" x14ac:dyDescent="0.2">
      <c r="B8" s="98" t="s">
        <v>468</v>
      </c>
      <c r="D8" s="112"/>
      <c r="E8" s="112"/>
      <c r="F8" s="112"/>
      <c r="H8" s="127"/>
      <c r="I8" s="127"/>
      <c r="K8" s="127"/>
      <c r="L8" s="127"/>
      <c r="M8" s="127"/>
      <c r="N8" s="127"/>
      <c r="O8" s="127"/>
      <c r="P8" s="127"/>
      <c r="Q8" s="127"/>
      <c r="R8" s="127"/>
    </row>
    <row r="9" spans="1:20" x14ac:dyDescent="0.2">
      <c r="E9" s="5"/>
      <c r="F9" s="5"/>
      <c r="H9" s="30"/>
      <c r="I9" s="30"/>
      <c r="J9" s="30"/>
      <c r="K9" s="30"/>
      <c r="L9" s="30"/>
      <c r="M9" s="30"/>
      <c r="N9" s="5"/>
      <c r="O9" s="5"/>
      <c r="P9" s="5"/>
      <c r="Q9" s="5"/>
      <c r="R9" s="5"/>
      <c r="S9" s="111"/>
    </row>
    <row r="10" spans="1:20" x14ac:dyDescent="0.2">
      <c r="A10" s="8"/>
      <c r="B10" s="8" t="s">
        <v>301</v>
      </c>
      <c r="C10" s="8" t="s">
        <v>172</v>
      </c>
      <c r="D10" s="8">
        <v>6380000004</v>
      </c>
      <c r="E10" s="8" t="s">
        <v>273</v>
      </c>
      <c r="F10" s="89" t="s">
        <v>469</v>
      </c>
      <c r="G10" s="73" t="s">
        <v>471</v>
      </c>
      <c r="H10" s="112" t="s">
        <v>61</v>
      </c>
      <c r="I10" s="13" t="s">
        <v>436</v>
      </c>
      <c r="K10" s="186">
        <v>2004434.74517241</v>
      </c>
      <c r="L10" s="187"/>
      <c r="M10" s="214">
        <f>IF(OR(E10="Distribución Legal de la Renta",E10="Acopio carros portaequipajes"),0,IF(K10&lt;0,0,K10*(1+SUMIFS('Insumos - OPEX'!$G$82:$G$238,'Insumos - OPEX'!$B$82:$B$238,OPEX!D10))))</f>
        <v>4310520.0502835512</v>
      </c>
      <c r="N10" s="211">
        <f>IF(OR($B10="Ce Co No Imputables",$G10="M2 fijo"),$M10*(1+'Insumos - OPEX'!J$38),$M10*(1+'Insumos - OPEX'!J$29*'Insumos - OPEX'!J$39)*(1+'Insumos - OPEX'!J$38))</f>
        <v>4557731.0522290375</v>
      </c>
      <c r="O10" s="211">
        <f>IF(OR($B10="Ce Co No Imputables",$G10="M2 fijo"),$M10*(1+'Insumos - OPEX'!K$38),$M10*(1+'Insumos - OPEX'!K$29*'Insumos - OPEX'!K$39)*(1+'Insumos - OPEX'!K$38))</f>
        <v>4791761.8951335009</v>
      </c>
      <c r="P10" s="211">
        <f>IF(OR($B10="Ce Co No Imputables",$G10="M2 fijo"),$M10*(1+'Insumos - OPEX'!L$38),$M10*(1+'Insumos - OPEX'!L$29*'Insumos - OPEX'!L$39)*(1+'Insumos - OPEX'!L$38))</f>
        <v>5028754.2855567159</v>
      </c>
      <c r="Q10" s="211">
        <f>IF(OR($B10="Ce Co No Imputables",$G10="M2 fijo"),$M10*(1+'Insumos - OPEX'!M$38),$M10*(1+'Insumos - OPEX'!M$29*'Insumos - OPEX'!M$39)*(1+'Insumos - OPEX'!M$38))</f>
        <v>5289282.3966051517</v>
      </c>
      <c r="R10" s="211">
        <f>IF(OR($B10="Ce Co No Imputables",$G10="M2 fijo"),$M10*(1+'Insumos - OPEX'!N$38),$M10*(1+'Insumos - OPEX'!N$29*'Insumos - OPEX'!N$39)*(1+'Insumos - OPEX'!N$38))</f>
        <v>5555005.1039835997</v>
      </c>
      <c r="S10" s="111"/>
      <c r="T10" s="188"/>
    </row>
    <row r="11" spans="1:20" x14ac:dyDescent="0.2">
      <c r="A11" s="8"/>
      <c r="B11" s="8" t="s">
        <v>301</v>
      </c>
      <c r="C11" s="8" t="s">
        <v>172</v>
      </c>
      <c r="D11" s="8">
        <v>6381000002</v>
      </c>
      <c r="E11" s="8" t="s">
        <v>302</v>
      </c>
      <c r="F11" s="89" t="s">
        <v>469</v>
      </c>
      <c r="G11" s="73" t="s">
        <v>136</v>
      </c>
      <c r="H11" s="112" t="s">
        <v>61</v>
      </c>
      <c r="I11" s="13" t="s">
        <v>436</v>
      </c>
      <c r="K11" s="186">
        <v>1449265.2713381464</v>
      </c>
      <c r="L11" s="187"/>
      <c r="M11" s="214">
        <f>IF(OR(E11="Distribución Legal de la Renta",E11="Acopio carros portaequipajes"),0,IF(K11&lt;0,0,K11*(1+SUMIFS('Insumos - OPEX'!$G$82:$G$238,'Insumos - OPEX'!$B$82:$B$238,OPEX!D11))))</f>
        <v>1513046.5605735146</v>
      </c>
      <c r="N11" s="211">
        <f>IF(OR($B11="Ce Co No Imputables",$G11="M2 fijo"),$M11*(1+'Insumos - OPEX'!J$38),$M11*(1+'Insumos - OPEX'!J$29*'Insumos - OPEX'!J$39)*(1+'Insumos - OPEX'!J$38))</f>
        <v>1599820.720504622</v>
      </c>
      <c r="O11" s="211">
        <f>IF(OR($B11="Ce Co No Imputables",$G11="M2 fijo"),$M11*(1+'Insumos - OPEX'!K$38),$M11*(1+'Insumos - OPEX'!K$29*'Insumos - OPEX'!K$39)*(1+'Insumos - OPEX'!K$38))</f>
        <v>1681968.4794279162</v>
      </c>
      <c r="P11" s="211">
        <f>IF(OR($B11="Ce Co No Imputables",$G11="M2 fijo"),$M11*(1+'Insumos - OPEX'!L$38),$M11*(1+'Insumos - OPEX'!L$29*'Insumos - OPEX'!L$39)*(1+'Insumos - OPEX'!L$38))</f>
        <v>1765155.7786468009</v>
      </c>
      <c r="Q11" s="211">
        <f>IF(OR($B11="Ce Co No Imputables",$G11="M2 fijo"),$M11*(1+'Insumos - OPEX'!M$38),$M11*(1+'Insumos - OPEX'!M$29*'Insumos - OPEX'!M$39)*(1+'Insumos - OPEX'!M$38))</f>
        <v>1856604.4107738272</v>
      </c>
      <c r="R11" s="211">
        <f>IF(OR($B11="Ce Co No Imputables",$G11="M2 fijo"),$M11*(1+'Insumos - OPEX'!N$38),$M11*(1+'Insumos - OPEX'!N$29*'Insumos - OPEX'!N$39)*(1+'Insumos - OPEX'!N$38))</f>
        <v>1949876.4113155706</v>
      </c>
      <c r="S11" s="111"/>
    </row>
    <row r="12" spans="1:20" x14ac:dyDescent="0.2">
      <c r="A12" s="8"/>
      <c r="B12" s="8" t="s">
        <v>301</v>
      </c>
      <c r="C12" s="8" t="s">
        <v>172</v>
      </c>
      <c r="D12" s="8">
        <v>6320000007</v>
      </c>
      <c r="E12" s="8" t="s">
        <v>303</v>
      </c>
      <c r="F12" s="89" t="s">
        <v>469</v>
      </c>
      <c r="G12" s="73" t="s">
        <v>136</v>
      </c>
      <c r="H12" s="112" t="s">
        <v>61</v>
      </c>
      <c r="I12" s="13" t="s">
        <v>436</v>
      </c>
      <c r="K12" s="186">
        <v>726068.13</v>
      </c>
      <c r="L12" s="187"/>
      <c r="M12" s="214">
        <f>IF(OR(E12="Distribución Legal de la Renta",E12="Acopio carros portaequipajes"),0,IF(K12&lt;0,0,K12*(1+SUMIFS('Insumos - OPEX'!$G$82:$G$238,'Insumos - OPEX'!$B$82:$B$238,OPEX!D12))))</f>
        <v>1535065.6040349111</v>
      </c>
      <c r="N12" s="211">
        <f>IF(OR($B12="Ce Co No Imputables",$G12="M2 fijo"),$M12*(1+'Insumos - OPEX'!J$38),$M12*(1+'Insumos - OPEX'!J$29*'Insumos - OPEX'!J$39)*(1+'Insumos - OPEX'!J$38))</f>
        <v>1623102.5697835241</v>
      </c>
      <c r="O12" s="211">
        <f>IF(OR($B12="Ce Co No Imputables",$G12="M2 fijo"),$M12*(1+'Insumos - OPEX'!K$38),$M12*(1+'Insumos - OPEX'!K$29*'Insumos - OPEX'!K$39)*(1+'Insumos - OPEX'!K$38))</f>
        <v>1706445.8074984974</v>
      </c>
      <c r="P12" s="211">
        <f>IF(OR($B12="Ce Co No Imputables",$G12="M2 fijo"),$M12*(1+'Insumos - OPEX'!L$38),$M12*(1+'Insumos - OPEX'!L$29*'Insumos - OPEX'!L$39)*(1+'Insumos - OPEX'!L$38))</f>
        <v>1790843.7137169729</v>
      </c>
      <c r="Q12" s="211">
        <f>IF(OR($B12="Ce Co No Imputables",$G12="M2 fijo"),$M12*(1+'Insumos - OPEX'!M$38),$M12*(1+'Insumos - OPEX'!M$29*'Insumos - OPEX'!M$39)*(1+'Insumos - OPEX'!M$38))</f>
        <v>1883623.1782570656</v>
      </c>
      <c r="R12" s="211">
        <f>IF(OR($B12="Ce Co No Imputables",$G12="M2 fijo"),$M12*(1+'Insumos - OPEX'!N$38),$M12*(1+'Insumos - OPEX'!N$29*'Insumos - OPEX'!N$39)*(1+'Insumos - OPEX'!N$38))</f>
        <v>1978252.5463030066</v>
      </c>
      <c r="S12" s="111"/>
    </row>
    <row r="13" spans="1:20" x14ac:dyDescent="0.2">
      <c r="A13" s="8"/>
      <c r="B13" s="8" t="s">
        <v>301</v>
      </c>
      <c r="C13" s="8" t="s">
        <v>172</v>
      </c>
      <c r="D13" s="8">
        <v>6380000016</v>
      </c>
      <c r="E13" s="8" t="s">
        <v>304</v>
      </c>
      <c r="F13" s="89" t="s">
        <v>469</v>
      </c>
      <c r="G13" s="73" t="s">
        <v>136</v>
      </c>
      <c r="H13" s="112" t="s">
        <v>61</v>
      </c>
      <c r="I13" s="13" t="s">
        <v>436</v>
      </c>
      <c r="K13" s="186">
        <v>235862.16999999998</v>
      </c>
      <c r="L13" s="187"/>
      <c r="M13" s="214">
        <f>IF(OR(E13="Distribución Legal de la Renta",E13="Acopio carros portaequipajes"),0,IF(K13&lt;0,0,K13*(1+SUMIFS('Insumos - OPEX'!$G$82:$G$238,'Insumos - OPEX'!$B$82:$B$238,OPEX!D13))))</f>
        <v>0</v>
      </c>
      <c r="N13" s="211">
        <f>IF(OR($B13="Ce Co No Imputables",$G13="M2 fijo"),$M13*(1+'Insumos - OPEX'!J$38),$M13*(1+'Insumos - OPEX'!J$29*'Insumos - OPEX'!J$39)*(1+'Insumos - OPEX'!J$38))</f>
        <v>0</v>
      </c>
      <c r="O13" s="211">
        <f>IF(OR($B13="Ce Co No Imputables",$G13="M2 fijo"),$M13*(1+'Insumos - OPEX'!K$38),$M13*(1+'Insumos - OPEX'!K$29*'Insumos - OPEX'!K$39)*(1+'Insumos - OPEX'!K$38))</f>
        <v>0</v>
      </c>
      <c r="P13" s="211">
        <f>IF(OR($B13="Ce Co No Imputables",$G13="M2 fijo"),$M13*(1+'Insumos - OPEX'!L$38),$M13*(1+'Insumos - OPEX'!L$29*'Insumos - OPEX'!L$39)*(1+'Insumos - OPEX'!L$38))</f>
        <v>0</v>
      </c>
      <c r="Q13" s="211">
        <f>IF(OR($B13="Ce Co No Imputables",$G13="M2 fijo"),$M13*(1+'Insumos - OPEX'!M$38),$M13*(1+'Insumos - OPEX'!M$29*'Insumos - OPEX'!M$39)*(1+'Insumos - OPEX'!M$38))</f>
        <v>0</v>
      </c>
      <c r="R13" s="211">
        <f>IF(OR($B13="Ce Co No Imputables",$G13="M2 fijo"),$M13*(1+'Insumos - OPEX'!N$38),$M13*(1+'Insumos - OPEX'!N$29*'Insumos - OPEX'!N$39)*(1+'Insumos - OPEX'!N$38))</f>
        <v>0</v>
      </c>
      <c r="S13" s="111"/>
    </row>
    <row r="14" spans="1:20" x14ac:dyDescent="0.2">
      <c r="A14" s="8"/>
      <c r="B14" s="8" t="s">
        <v>301</v>
      </c>
      <c r="C14" s="8" t="s">
        <v>172</v>
      </c>
      <c r="D14" s="8">
        <v>6380000028</v>
      </c>
      <c r="E14" s="8" t="s">
        <v>305</v>
      </c>
      <c r="F14" s="89" t="s">
        <v>470</v>
      </c>
      <c r="G14" s="73" t="s">
        <v>136</v>
      </c>
      <c r="H14" s="112" t="s">
        <v>61</v>
      </c>
      <c r="I14" s="13" t="s">
        <v>436</v>
      </c>
      <c r="K14" s="186">
        <v>146711.59999999998</v>
      </c>
      <c r="L14" s="187"/>
      <c r="M14" s="214">
        <f>IF(OR(E14="Distribución Legal de la Renta",E14="Acopio carros portaequipajes"),0,IF(K14&lt;0,0,K14*(1+SUMIFS('Insumos - OPEX'!$G$82:$G$238,'Insumos - OPEX'!$B$82:$B$238,OPEX!D14))))</f>
        <v>153168.2889021936</v>
      </c>
      <c r="N14" s="211">
        <f>IF(OR($B14="Ce Co No Imputables",$G14="M2 fijo"),$M14*(1+'Insumos - OPEX'!J$38),$M14*(1+'Insumos - OPEX'!J$29*'Insumos - OPEX'!J$39)*(1+'Insumos - OPEX'!J$38))</f>
        <v>161952.58539637097</v>
      </c>
      <c r="O14" s="211">
        <f>IF(OR($B14="Ce Co No Imputables",$G14="M2 fijo"),$M14*(1+'Insumos - OPEX'!K$38),$M14*(1+'Insumos - OPEX'!K$29*'Insumos - OPEX'!K$39)*(1+'Insumos - OPEX'!K$38))</f>
        <v>170268.54341068451</v>
      </c>
      <c r="P14" s="211">
        <f>IF(OR($B14="Ce Co No Imputables",$G14="M2 fijo"),$M14*(1+'Insumos - OPEX'!L$38),$M14*(1+'Insumos - OPEX'!L$29*'Insumos - OPEX'!L$39)*(1+'Insumos - OPEX'!L$38))</f>
        <v>178689.73586554304</v>
      </c>
      <c r="Q14" s="211">
        <f>IF(OR($B14="Ce Co No Imputables",$G14="M2 fijo"),$M14*(1+'Insumos - OPEX'!M$38),$M14*(1+'Insumos - OPEX'!M$29*'Insumos - OPEX'!M$39)*(1+'Insumos - OPEX'!M$38))</f>
        <v>187947.23716810276</v>
      </c>
      <c r="R14" s="211">
        <f>IF(OR($B14="Ce Co No Imputables",$G14="M2 fijo"),$M14*(1+'Insumos - OPEX'!N$38),$M14*(1+'Insumos - OPEX'!N$29*'Insumos - OPEX'!N$39)*(1+'Insumos - OPEX'!N$38))</f>
        <v>197389.32117115427</v>
      </c>
      <c r="S14" s="111"/>
    </row>
    <row r="15" spans="1:20" x14ac:dyDescent="0.2">
      <c r="A15" s="8"/>
      <c r="B15" s="8" t="s">
        <v>301</v>
      </c>
      <c r="C15" s="8" t="s">
        <v>172</v>
      </c>
      <c r="D15" s="8">
        <v>6380000024</v>
      </c>
      <c r="E15" s="8" t="s">
        <v>306</v>
      </c>
      <c r="F15" s="89" t="s">
        <v>470</v>
      </c>
      <c r="G15" s="73" t="s">
        <v>136</v>
      </c>
      <c r="H15" s="112" t="s">
        <v>61</v>
      </c>
      <c r="I15" s="13" t="s">
        <v>436</v>
      </c>
      <c r="K15" s="186">
        <v>73683.37</v>
      </c>
      <c r="L15" s="187"/>
      <c r="M15" s="214">
        <f>IF(OR(E15="Distribución Legal de la Renta",E15="Acopio carros portaequipajes"),0,IF(K15&lt;0,0,K15*(1+SUMIFS('Insumos - OPEX'!$G$82:$G$238,'Insumos - OPEX'!$B$82:$B$238,OPEX!D15))))</f>
        <v>76926.130608944528</v>
      </c>
      <c r="N15" s="211">
        <f>IF(OR($B15="Ce Co No Imputables",$G15="M2 fijo"),$M15*(1+'Insumos - OPEX'!J$38),$M15*(1+'Insumos - OPEX'!J$29*'Insumos - OPEX'!J$39)*(1+'Insumos - OPEX'!J$38))</f>
        <v>81337.891974577316</v>
      </c>
      <c r="O15" s="211">
        <f>IF(OR($B15="Ce Co No Imputables",$G15="M2 fijo"),$M15*(1+'Insumos - OPEX'!K$38),$M15*(1+'Insumos - OPEX'!K$29*'Insumos - OPEX'!K$39)*(1+'Insumos - OPEX'!K$38))</f>
        <v>85514.438418574471</v>
      </c>
      <c r="P15" s="211">
        <f>IF(OR($B15="Ce Co No Imputables",$G15="M2 fijo"),$M15*(1+'Insumos - OPEX'!L$38),$M15*(1+'Insumos - OPEX'!L$29*'Insumos - OPEX'!L$39)*(1+'Insumos - OPEX'!L$38))</f>
        <v>89743.837044808184</v>
      </c>
      <c r="Q15" s="211">
        <f>IF(OR($B15="Ce Co No Imputables",$G15="M2 fijo"),$M15*(1+'Insumos - OPEX'!M$38),$M15*(1+'Insumos - OPEX'!M$29*'Insumos - OPEX'!M$39)*(1+'Insumos - OPEX'!M$38))</f>
        <v>94393.257361620141</v>
      </c>
      <c r="R15" s="211">
        <f>IF(OR($B15="Ce Co No Imputables",$G15="M2 fijo"),$M15*(1+'Insumos - OPEX'!N$38),$M15*(1+'Insumos - OPEX'!N$29*'Insumos - OPEX'!N$39)*(1+'Insumos - OPEX'!N$38))</f>
        <v>99135.381155293755</v>
      </c>
      <c r="S15" s="111"/>
    </row>
    <row r="16" spans="1:20" x14ac:dyDescent="0.2">
      <c r="A16" s="8"/>
      <c r="B16" s="8" t="s">
        <v>301</v>
      </c>
      <c r="C16" s="8" t="s">
        <v>172</v>
      </c>
      <c r="D16" s="8">
        <v>6380000023</v>
      </c>
      <c r="E16" s="8" t="s">
        <v>307</v>
      </c>
      <c r="F16" s="89" t="s">
        <v>470</v>
      </c>
      <c r="G16" s="73" t="s">
        <v>136</v>
      </c>
      <c r="H16" s="112" t="s">
        <v>61</v>
      </c>
      <c r="I16" s="13" t="s">
        <v>436</v>
      </c>
      <c r="K16" s="186">
        <v>45240.369999999995</v>
      </c>
      <c r="L16" s="187"/>
      <c r="M16" s="214">
        <f>IF(OR(E16="Distribución Legal de la Renta",E16="Acopio carros portaequipajes"),0,IF(K16&lt;0,0,K16*(1+SUMIFS('Insumos - OPEX'!$G$82:$G$238,'Insumos - OPEX'!$B$82:$B$238,OPEX!D16))))</f>
        <v>47231.371358516517</v>
      </c>
      <c r="N16" s="211">
        <f>IF(OR($B16="Ce Co No Imputables",$G16="M2 fijo"),$M16*(1+'Insumos - OPEX'!J$38),$M16*(1+'Insumos - OPEX'!J$29*'Insumos - OPEX'!J$39)*(1+'Insumos - OPEX'!J$38))</f>
        <v>49940.119839115774</v>
      </c>
      <c r="O16" s="211">
        <f>IF(OR($B16="Ce Co No Imputables",$G16="M2 fijo"),$M16*(1+'Insumos - OPEX'!K$38),$M16*(1+'Insumos - OPEX'!K$29*'Insumos - OPEX'!K$39)*(1+'Insumos - OPEX'!K$38))</f>
        <v>52504.450249744594</v>
      </c>
      <c r="P16" s="211">
        <f>IF(OR($B16="Ce Co No Imputables",$G16="M2 fijo"),$M16*(1+'Insumos - OPEX'!L$38),$M16*(1+'Insumos - OPEX'!L$29*'Insumos - OPEX'!L$39)*(1+'Insumos - OPEX'!L$38))</f>
        <v>55101.231025763729</v>
      </c>
      <c r="Q16" s="211">
        <f>IF(OR($B16="Ce Co No Imputables",$G16="M2 fijo"),$M16*(1+'Insumos - OPEX'!M$38),$M16*(1+'Insumos - OPEX'!M$29*'Insumos - OPEX'!M$39)*(1+'Insumos - OPEX'!M$38))</f>
        <v>57955.898170033724</v>
      </c>
      <c r="R16" s="211">
        <f>IF(OR($B16="Ce Co No Imputables",$G16="M2 fijo"),$M16*(1+'Insumos - OPEX'!N$38),$M16*(1+'Insumos - OPEX'!N$29*'Insumos - OPEX'!N$39)*(1+'Insumos - OPEX'!N$38))</f>
        <v>60867.483715206246</v>
      </c>
      <c r="S16" s="111"/>
    </row>
    <row r="17" spans="1:19" x14ac:dyDescent="0.2">
      <c r="A17" s="8"/>
      <c r="B17" s="8" t="s">
        <v>301</v>
      </c>
      <c r="C17" s="8" t="s">
        <v>172</v>
      </c>
      <c r="D17" s="8">
        <v>6380000020</v>
      </c>
      <c r="E17" s="8" t="s">
        <v>308</v>
      </c>
      <c r="F17" s="89" t="s">
        <v>470</v>
      </c>
      <c r="G17" s="73" t="s">
        <v>136</v>
      </c>
      <c r="H17" s="112" t="s">
        <v>61</v>
      </c>
      <c r="I17" s="13" t="s">
        <v>436</v>
      </c>
      <c r="K17" s="186">
        <v>29982.710000000003</v>
      </c>
      <c r="L17" s="187"/>
      <c r="M17" s="214">
        <f>IF(OR(E17="Distribución Legal de la Renta",E17="Acopio carros portaequipajes"),0,IF(K17&lt;0,0,K17*(1+SUMIFS('Insumos - OPEX'!$G$82:$G$238,'Insumos - OPEX'!$B$82:$B$238,OPEX!D17))))</f>
        <v>31302.230957543165</v>
      </c>
      <c r="N17" s="211">
        <f>IF(OR($B17="Ce Co No Imputables",$G17="M2 fijo"),$M17*(1+'Insumos - OPEX'!J$38),$M17*(1+'Insumos - OPEX'!J$29*'Insumos - OPEX'!J$39)*(1+'Insumos - OPEX'!J$38))</f>
        <v>33097.433343304998</v>
      </c>
      <c r="O17" s="211">
        <f>IF(OR($B17="Ce Co No Imputables",$G17="M2 fijo"),$M17*(1+'Insumos - OPEX'!K$38),$M17*(1+'Insumos - OPEX'!K$29*'Insumos - OPEX'!K$39)*(1+'Insumos - OPEX'!K$38))</f>
        <v>34796.923755210664</v>
      </c>
      <c r="P17" s="211">
        <f>IF(OR($B17="Ce Co No Imputables",$G17="M2 fijo"),$M17*(1+'Insumos - OPEX'!L$38),$M17*(1+'Insumos - OPEX'!L$29*'Insumos - OPEX'!L$39)*(1+'Insumos - OPEX'!L$38))</f>
        <v>36517.920399158465</v>
      </c>
      <c r="Q17" s="211">
        <f>IF(OR($B17="Ce Co No Imputables",$G17="M2 fijo"),$M17*(1+'Insumos - OPEX'!M$38),$M17*(1+'Insumos - OPEX'!M$29*'Insumos - OPEX'!M$39)*(1+'Insumos - OPEX'!M$38))</f>
        <v>38409.829265800705</v>
      </c>
      <c r="R17" s="211">
        <f>IF(OR($B17="Ce Co No Imputables",$G17="M2 fijo"),$M17*(1+'Insumos - OPEX'!N$38),$M17*(1+'Insumos - OPEX'!N$29*'Insumos - OPEX'!N$39)*(1+'Insumos - OPEX'!N$38))</f>
        <v>40339.460368311571</v>
      </c>
      <c r="S17" s="111"/>
    </row>
    <row r="18" spans="1:19" x14ac:dyDescent="0.2">
      <c r="A18" s="8"/>
      <c r="B18" s="8" t="s">
        <v>301</v>
      </c>
      <c r="C18" s="8" t="s">
        <v>172</v>
      </c>
      <c r="D18" s="8">
        <v>6380000018</v>
      </c>
      <c r="E18" s="8" t="s">
        <v>309</v>
      </c>
      <c r="F18" s="89" t="s">
        <v>470</v>
      </c>
      <c r="G18" s="73" t="s">
        <v>136</v>
      </c>
      <c r="H18" s="112" t="s">
        <v>61</v>
      </c>
      <c r="I18" s="13" t="s">
        <v>436</v>
      </c>
      <c r="K18" s="186">
        <v>0</v>
      </c>
      <c r="L18" s="187"/>
      <c r="M18" s="214">
        <f>IF(OR(E18="Distribución Legal de la Renta",E18="Acopio carros portaequipajes"),0,IF(K18&lt;0,0,K18*(1+SUMIFS('Insumos - OPEX'!$G$82:$G$238,'Insumos - OPEX'!$B$82:$B$238,OPEX!D18))))</f>
        <v>0</v>
      </c>
      <c r="N18" s="211">
        <f>IF(OR($B18="Ce Co No Imputables",$G18="M2 fijo"),$M18*(1+'Insumos - OPEX'!J$38),$M18*(1+'Insumos - OPEX'!J$29*'Insumos - OPEX'!J$39)*(1+'Insumos - OPEX'!J$38))</f>
        <v>0</v>
      </c>
      <c r="O18" s="211">
        <f>IF(OR($B18="Ce Co No Imputables",$G18="M2 fijo"),$M18*(1+'Insumos - OPEX'!K$38),$M18*(1+'Insumos - OPEX'!K$29*'Insumos - OPEX'!K$39)*(1+'Insumos - OPEX'!K$38))</f>
        <v>0</v>
      </c>
      <c r="P18" s="211">
        <f>IF(OR($B18="Ce Co No Imputables",$G18="M2 fijo"),$M18*(1+'Insumos - OPEX'!L$38),$M18*(1+'Insumos - OPEX'!L$29*'Insumos - OPEX'!L$39)*(1+'Insumos - OPEX'!L$38))</f>
        <v>0</v>
      </c>
      <c r="Q18" s="211">
        <f>IF(OR($B18="Ce Co No Imputables",$G18="M2 fijo"),$M18*(1+'Insumos - OPEX'!M$38),$M18*(1+'Insumos - OPEX'!M$29*'Insumos - OPEX'!M$39)*(1+'Insumos - OPEX'!M$38))</f>
        <v>0</v>
      </c>
      <c r="R18" s="211">
        <f>IF(OR($B18="Ce Co No Imputables",$G18="M2 fijo"),$M18*(1+'Insumos - OPEX'!N$38),$M18*(1+'Insumos - OPEX'!N$29*'Insumos - OPEX'!N$39)*(1+'Insumos - OPEX'!N$38))</f>
        <v>0</v>
      </c>
      <c r="S18" s="111"/>
    </row>
    <row r="19" spans="1:19" x14ac:dyDescent="0.2">
      <c r="A19" s="8"/>
      <c r="B19" s="8" t="s">
        <v>301</v>
      </c>
      <c r="C19" s="8" t="s">
        <v>172</v>
      </c>
      <c r="D19" s="8">
        <v>6380000031</v>
      </c>
      <c r="E19" s="8" t="s">
        <v>310</v>
      </c>
      <c r="F19" s="89" t="s">
        <v>470</v>
      </c>
      <c r="G19" s="73" t="s">
        <v>136</v>
      </c>
      <c r="H19" s="112" t="s">
        <v>61</v>
      </c>
      <c r="I19" s="13" t="s">
        <v>436</v>
      </c>
      <c r="K19" s="186">
        <v>0</v>
      </c>
      <c r="L19" s="187"/>
      <c r="M19" s="214">
        <f>IF(OR(E19="Distribución Legal de la Renta",E19="Acopio carros portaequipajes"),0,IF(K19&lt;0,0,K19*(1+SUMIFS('Insumos - OPEX'!$G$82:$G$238,'Insumos - OPEX'!$B$82:$B$238,OPEX!D19))))</f>
        <v>0</v>
      </c>
      <c r="N19" s="211">
        <f>IF(OR($B19="Ce Co No Imputables",$G19="M2 fijo"),$M19*(1+'Insumos - OPEX'!J$38),$M19*(1+'Insumos - OPEX'!J$29*'Insumos - OPEX'!J$39)*(1+'Insumos - OPEX'!J$38))</f>
        <v>0</v>
      </c>
      <c r="O19" s="211">
        <f>IF(OR($B19="Ce Co No Imputables",$G19="M2 fijo"),$M19*(1+'Insumos - OPEX'!K$38),$M19*(1+'Insumos - OPEX'!K$29*'Insumos - OPEX'!K$39)*(1+'Insumos - OPEX'!K$38))</f>
        <v>0</v>
      </c>
      <c r="P19" s="211">
        <f>IF(OR($B19="Ce Co No Imputables",$G19="M2 fijo"),$M19*(1+'Insumos - OPEX'!L$38),$M19*(1+'Insumos - OPEX'!L$29*'Insumos - OPEX'!L$39)*(1+'Insumos - OPEX'!L$38))</f>
        <v>0</v>
      </c>
      <c r="Q19" s="211">
        <f>IF(OR($B19="Ce Co No Imputables",$G19="M2 fijo"),$M19*(1+'Insumos - OPEX'!M$38),$M19*(1+'Insumos - OPEX'!M$29*'Insumos - OPEX'!M$39)*(1+'Insumos - OPEX'!M$38))</f>
        <v>0</v>
      </c>
      <c r="R19" s="211">
        <f>IF(OR($B19="Ce Co No Imputables",$G19="M2 fijo"),$M19*(1+'Insumos - OPEX'!N$38),$M19*(1+'Insumos - OPEX'!N$29*'Insumos - OPEX'!N$39)*(1+'Insumos - OPEX'!N$38))</f>
        <v>0</v>
      </c>
      <c r="S19" s="111"/>
    </row>
    <row r="20" spans="1:19" x14ac:dyDescent="0.2">
      <c r="A20" s="8"/>
      <c r="B20" s="8" t="s">
        <v>301</v>
      </c>
      <c r="C20" s="8" t="s">
        <v>172</v>
      </c>
      <c r="D20" s="8">
        <v>6381000006</v>
      </c>
      <c r="E20" s="8" t="s">
        <v>311</v>
      </c>
      <c r="F20" s="89" t="s">
        <v>470</v>
      </c>
      <c r="G20" s="73" t="s">
        <v>136</v>
      </c>
      <c r="H20" s="112" t="s">
        <v>61</v>
      </c>
      <c r="I20" s="13" t="s">
        <v>436</v>
      </c>
      <c r="K20" s="186">
        <v>0</v>
      </c>
      <c r="L20" s="187"/>
      <c r="M20" s="214">
        <f>IF(OR(E20="Distribución Legal de la Renta",E20="Acopio carros portaequipajes"),0,IF(K20&lt;0,0,K20*(1+SUMIFS('Insumos - OPEX'!$G$82:$G$238,'Insumos - OPEX'!$B$82:$B$238,OPEX!D20))))</f>
        <v>0</v>
      </c>
      <c r="N20" s="211">
        <f>IF(OR($B20="Ce Co No Imputables",$G20="M2 fijo"),$M20*(1+'Insumos - OPEX'!J$38),$M20*(1+'Insumos - OPEX'!J$29*'Insumos - OPEX'!J$39)*(1+'Insumos - OPEX'!J$38))</f>
        <v>0</v>
      </c>
      <c r="O20" s="211">
        <f>IF(OR($B20="Ce Co No Imputables",$G20="M2 fijo"),$M20*(1+'Insumos - OPEX'!K$38),$M20*(1+'Insumos - OPEX'!K$29*'Insumos - OPEX'!K$39)*(1+'Insumos - OPEX'!K$38))</f>
        <v>0</v>
      </c>
      <c r="P20" s="211">
        <f>IF(OR($B20="Ce Co No Imputables",$G20="M2 fijo"),$M20*(1+'Insumos - OPEX'!L$38),$M20*(1+'Insumos - OPEX'!L$29*'Insumos - OPEX'!L$39)*(1+'Insumos - OPEX'!L$38))</f>
        <v>0</v>
      </c>
      <c r="Q20" s="211">
        <f>IF(OR($B20="Ce Co No Imputables",$G20="M2 fijo"),$M20*(1+'Insumos - OPEX'!M$38),$M20*(1+'Insumos - OPEX'!M$29*'Insumos - OPEX'!M$39)*(1+'Insumos - OPEX'!M$38))</f>
        <v>0</v>
      </c>
      <c r="R20" s="211">
        <f>IF(OR($B20="Ce Co No Imputables",$G20="M2 fijo"),$M20*(1+'Insumos - OPEX'!N$38),$M20*(1+'Insumos - OPEX'!N$29*'Insumos - OPEX'!N$39)*(1+'Insumos - OPEX'!N$38))</f>
        <v>0</v>
      </c>
      <c r="S20" s="111"/>
    </row>
    <row r="21" spans="1:19" x14ac:dyDescent="0.2">
      <c r="A21" s="8"/>
      <c r="B21" s="8" t="s">
        <v>301</v>
      </c>
      <c r="C21" s="8" t="s">
        <v>172</v>
      </c>
      <c r="D21" s="8">
        <v>6380000014</v>
      </c>
      <c r="E21" s="8" t="s">
        <v>312</v>
      </c>
      <c r="F21" s="89" t="s">
        <v>470</v>
      </c>
      <c r="G21" s="73" t="s">
        <v>136</v>
      </c>
      <c r="H21" s="112" t="s">
        <v>61</v>
      </c>
      <c r="I21" s="13" t="s">
        <v>436</v>
      </c>
      <c r="K21" s="186">
        <v>0</v>
      </c>
      <c r="L21" s="187"/>
      <c r="M21" s="214">
        <f>IF(OR(E21="Distribución Legal de la Renta",E21="Acopio carros portaequipajes"),0,IF(K21&lt;0,0,K21*(1+SUMIFS('Insumos - OPEX'!$G$82:$G$238,'Insumos - OPEX'!$B$82:$B$238,OPEX!D21))))</f>
        <v>0</v>
      </c>
      <c r="N21" s="211">
        <f>IF(OR($B21="Ce Co No Imputables",$G21="M2 fijo"),$M21*(1+'Insumos - OPEX'!J$38),$M21*(1+'Insumos - OPEX'!J$29*'Insumos - OPEX'!J$39)*(1+'Insumos - OPEX'!J$38))</f>
        <v>0</v>
      </c>
      <c r="O21" s="211">
        <f>IF(OR($B21="Ce Co No Imputables",$G21="M2 fijo"),$M21*(1+'Insumos - OPEX'!K$38),$M21*(1+'Insumos - OPEX'!K$29*'Insumos - OPEX'!K$39)*(1+'Insumos - OPEX'!K$38))</f>
        <v>0</v>
      </c>
      <c r="P21" s="211">
        <f>IF(OR($B21="Ce Co No Imputables",$G21="M2 fijo"),$M21*(1+'Insumos - OPEX'!L$38),$M21*(1+'Insumos - OPEX'!L$29*'Insumos - OPEX'!L$39)*(1+'Insumos - OPEX'!L$38))</f>
        <v>0</v>
      </c>
      <c r="Q21" s="211">
        <f>IF(OR($B21="Ce Co No Imputables",$G21="M2 fijo"),$M21*(1+'Insumos - OPEX'!M$38),$M21*(1+'Insumos - OPEX'!M$29*'Insumos - OPEX'!M$39)*(1+'Insumos - OPEX'!M$38))</f>
        <v>0</v>
      </c>
      <c r="R21" s="211">
        <f>IF(OR($B21="Ce Co No Imputables",$G21="M2 fijo"),$M21*(1+'Insumos - OPEX'!N$38),$M21*(1+'Insumos - OPEX'!N$29*'Insumos - OPEX'!N$39)*(1+'Insumos - OPEX'!N$38))</f>
        <v>0</v>
      </c>
      <c r="S21" s="111"/>
    </row>
    <row r="22" spans="1:19" x14ac:dyDescent="0.2">
      <c r="A22" s="8"/>
      <c r="B22" s="8" t="s">
        <v>301</v>
      </c>
      <c r="C22" s="8" t="s">
        <v>172</v>
      </c>
      <c r="D22" s="8">
        <v>6381000001</v>
      </c>
      <c r="E22" s="8" t="s">
        <v>313</v>
      </c>
      <c r="F22" s="89" t="s">
        <v>470</v>
      </c>
      <c r="G22" s="73" t="s">
        <v>136</v>
      </c>
      <c r="H22" s="112" t="s">
        <v>61</v>
      </c>
      <c r="I22" s="13" t="s">
        <v>436</v>
      </c>
      <c r="K22" s="186">
        <v>0</v>
      </c>
      <c r="L22" s="187"/>
      <c r="M22" s="214">
        <f>IF(OR(E22="Distribución Legal de la Renta",E22="Acopio carros portaequipajes"),0,IF(K22&lt;0,0,K22*(1+SUMIFS('Insumos - OPEX'!$G$82:$G$238,'Insumos - OPEX'!$B$82:$B$238,OPEX!D22))))</f>
        <v>0</v>
      </c>
      <c r="N22" s="211">
        <f>IF(OR($B22="Ce Co No Imputables",$G22="M2 fijo"),$M22*(1+'Insumos - OPEX'!J$38),$M22*(1+'Insumos - OPEX'!J$29*'Insumos - OPEX'!J$39)*(1+'Insumos - OPEX'!J$38))</f>
        <v>0</v>
      </c>
      <c r="O22" s="211">
        <f>IF(OR($B22="Ce Co No Imputables",$G22="M2 fijo"),$M22*(1+'Insumos - OPEX'!K$38),$M22*(1+'Insumos - OPEX'!K$29*'Insumos - OPEX'!K$39)*(1+'Insumos - OPEX'!K$38))</f>
        <v>0</v>
      </c>
      <c r="P22" s="211">
        <f>IF(OR($B22="Ce Co No Imputables",$G22="M2 fijo"),$M22*(1+'Insumos - OPEX'!L$38),$M22*(1+'Insumos - OPEX'!L$29*'Insumos - OPEX'!L$39)*(1+'Insumos - OPEX'!L$38))</f>
        <v>0</v>
      </c>
      <c r="Q22" s="211">
        <f>IF(OR($B22="Ce Co No Imputables",$G22="M2 fijo"),$M22*(1+'Insumos - OPEX'!M$38),$M22*(1+'Insumos - OPEX'!M$29*'Insumos - OPEX'!M$39)*(1+'Insumos - OPEX'!M$38))</f>
        <v>0</v>
      </c>
      <c r="R22" s="211">
        <f>IF(OR($B22="Ce Co No Imputables",$G22="M2 fijo"),$M22*(1+'Insumos - OPEX'!N$38),$M22*(1+'Insumos - OPEX'!N$29*'Insumos - OPEX'!N$39)*(1+'Insumos - OPEX'!N$38))</f>
        <v>0</v>
      </c>
      <c r="S22" s="111"/>
    </row>
    <row r="23" spans="1:19" x14ac:dyDescent="0.2">
      <c r="A23" s="8"/>
      <c r="B23" s="8" t="s">
        <v>301</v>
      </c>
      <c r="C23" s="8" t="s">
        <v>172</v>
      </c>
      <c r="D23" s="8">
        <v>6380000026</v>
      </c>
      <c r="E23" s="8" t="s">
        <v>314</v>
      </c>
      <c r="F23" s="89" t="s">
        <v>470</v>
      </c>
      <c r="G23" s="73" t="s">
        <v>136</v>
      </c>
      <c r="H23" s="112" t="s">
        <v>61</v>
      </c>
      <c r="I23" s="13" t="s">
        <v>436</v>
      </c>
      <c r="J23" s="30"/>
      <c r="K23" s="186">
        <v>0</v>
      </c>
      <c r="L23" s="187"/>
      <c r="M23" s="214">
        <f>IF(OR(E23="Distribución Legal de la Renta",E23="Acopio carros portaequipajes"),0,IF(K23&lt;0,0,K23*(1+SUMIFS('Insumos - OPEX'!$G$82:$G$238,'Insumos - OPEX'!$B$82:$B$238,OPEX!D23))))</f>
        <v>0</v>
      </c>
      <c r="N23" s="211">
        <f>IF(OR($B23="Ce Co No Imputables",$G23="M2 fijo"),$M23*(1+'Insumos - OPEX'!J$38),$M23*(1+'Insumos - OPEX'!J$29*'Insumos - OPEX'!J$39)*(1+'Insumos - OPEX'!J$38))</f>
        <v>0</v>
      </c>
      <c r="O23" s="211">
        <f>IF(OR($B23="Ce Co No Imputables",$G23="M2 fijo"),$M23*(1+'Insumos - OPEX'!K$38),$M23*(1+'Insumos - OPEX'!K$29*'Insumos - OPEX'!K$39)*(1+'Insumos - OPEX'!K$38))</f>
        <v>0</v>
      </c>
      <c r="P23" s="211">
        <f>IF(OR($B23="Ce Co No Imputables",$G23="M2 fijo"),$M23*(1+'Insumos - OPEX'!L$38),$M23*(1+'Insumos - OPEX'!L$29*'Insumos - OPEX'!L$39)*(1+'Insumos - OPEX'!L$38))</f>
        <v>0</v>
      </c>
      <c r="Q23" s="211">
        <f>IF(OR($B23="Ce Co No Imputables",$G23="M2 fijo"),$M23*(1+'Insumos - OPEX'!M$38),$M23*(1+'Insumos - OPEX'!M$29*'Insumos - OPEX'!M$39)*(1+'Insumos - OPEX'!M$38))</f>
        <v>0</v>
      </c>
      <c r="R23" s="211">
        <f>IF(OR($B23="Ce Co No Imputables",$G23="M2 fijo"),$M23*(1+'Insumos - OPEX'!N$38),$M23*(1+'Insumos - OPEX'!N$29*'Insumos - OPEX'!N$39)*(1+'Insumos - OPEX'!N$38))</f>
        <v>0</v>
      </c>
      <c r="S23" s="111"/>
    </row>
    <row r="24" spans="1:19" x14ac:dyDescent="0.2">
      <c r="A24" s="8"/>
      <c r="B24" s="8" t="s">
        <v>301</v>
      </c>
      <c r="C24" s="8" t="s">
        <v>172</v>
      </c>
      <c r="D24" s="8">
        <v>6381000003</v>
      </c>
      <c r="E24" s="8" t="s">
        <v>315</v>
      </c>
      <c r="F24" s="89" t="s">
        <v>470</v>
      </c>
      <c r="G24" s="73" t="s">
        <v>136</v>
      </c>
      <c r="H24" s="112" t="s">
        <v>61</v>
      </c>
      <c r="I24" s="13" t="s">
        <v>436</v>
      </c>
      <c r="K24" s="186">
        <v>0</v>
      </c>
      <c r="L24" s="187"/>
      <c r="M24" s="214">
        <f>IF(OR(E24="Distribución Legal de la Renta",E24="Acopio carros portaequipajes"),0,IF(K24&lt;0,0,K24*(1+SUMIFS('Insumos - OPEX'!$G$82:$G$238,'Insumos - OPEX'!$B$82:$B$238,OPEX!D24))))</f>
        <v>0</v>
      </c>
      <c r="N24" s="211">
        <f>IF(OR($B24="Ce Co No Imputables",$G24="M2 fijo"),$M24*(1+'Insumos - OPEX'!J$38),$M24*(1+'Insumos - OPEX'!J$29*'Insumos - OPEX'!J$39)*(1+'Insumos - OPEX'!J$38))</f>
        <v>0</v>
      </c>
      <c r="O24" s="211">
        <f>IF(OR($B24="Ce Co No Imputables",$G24="M2 fijo"),$M24*(1+'Insumos - OPEX'!K$38),$M24*(1+'Insumos - OPEX'!K$29*'Insumos - OPEX'!K$39)*(1+'Insumos - OPEX'!K$38))</f>
        <v>0</v>
      </c>
      <c r="P24" s="211">
        <f>IF(OR($B24="Ce Co No Imputables",$G24="M2 fijo"),$M24*(1+'Insumos - OPEX'!L$38),$M24*(1+'Insumos - OPEX'!L$29*'Insumos - OPEX'!L$39)*(1+'Insumos - OPEX'!L$38))</f>
        <v>0</v>
      </c>
      <c r="Q24" s="211">
        <f>IF(OR($B24="Ce Co No Imputables",$G24="M2 fijo"),$M24*(1+'Insumos - OPEX'!M$38),$M24*(1+'Insumos - OPEX'!M$29*'Insumos - OPEX'!M$39)*(1+'Insumos - OPEX'!M$38))</f>
        <v>0</v>
      </c>
      <c r="R24" s="211">
        <f>IF(OR($B24="Ce Co No Imputables",$G24="M2 fijo"),$M24*(1+'Insumos - OPEX'!N$38),$M24*(1+'Insumos - OPEX'!N$29*'Insumos - OPEX'!N$39)*(1+'Insumos - OPEX'!N$38))</f>
        <v>0</v>
      </c>
      <c r="S24" s="111"/>
    </row>
    <row r="25" spans="1:19" x14ac:dyDescent="0.2">
      <c r="A25" s="8"/>
      <c r="B25" s="8" t="s">
        <v>301</v>
      </c>
      <c r="C25" s="8" t="s">
        <v>172</v>
      </c>
      <c r="D25" s="8">
        <v>6381000005</v>
      </c>
      <c r="E25" s="8" t="s">
        <v>316</v>
      </c>
      <c r="F25" s="89" t="s">
        <v>470</v>
      </c>
      <c r="G25" s="73" t="s">
        <v>136</v>
      </c>
      <c r="H25" s="112" t="s">
        <v>61</v>
      </c>
      <c r="I25" s="13" t="s">
        <v>436</v>
      </c>
      <c r="K25" s="186">
        <v>0</v>
      </c>
      <c r="L25" s="187"/>
      <c r="M25" s="214">
        <f>IF(OR(E25="Distribución Legal de la Renta",E25="Acopio carros portaequipajes"),0,IF(K25&lt;0,0,K25*(1+SUMIFS('Insumos - OPEX'!$G$82:$G$238,'Insumos - OPEX'!$B$82:$B$238,OPEX!D25))))</f>
        <v>0</v>
      </c>
      <c r="N25" s="211">
        <f>IF(OR($B25="Ce Co No Imputables",$G25="M2 fijo"),$M25*(1+'Insumos - OPEX'!J$38),$M25*(1+'Insumos - OPEX'!J$29*'Insumos - OPEX'!J$39)*(1+'Insumos - OPEX'!J$38))</f>
        <v>0</v>
      </c>
      <c r="O25" s="211">
        <f>IF(OR($B25="Ce Co No Imputables",$G25="M2 fijo"),$M25*(1+'Insumos - OPEX'!K$38),$M25*(1+'Insumos - OPEX'!K$29*'Insumos - OPEX'!K$39)*(1+'Insumos - OPEX'!K$38))</f>
        <v>0</v>
      </c>
      <c r="P25" s="211">
        <f>IF(OR($B25="Ce Co No Imputables",$G25="M2 fijo"),$M25*(1+'Insumos - OPEX'!L$38),$M25*(1+'Insumos - OPEX'!L$29*'Insumos - OPEX'!L$39)*(1+'Insumos - OPEX'!L$38))</f>
        <v>0</v>
      </c>
      <c r="Q25" s="211">
        <f>IF(OR($B25="Ce Co No Imputables",$G25="M2 fijo"),$M25*(1+'Insumos - OPEX'!M$38),$M25*(1+'Insumos - OPEX'!M$29*'Insumos - OPEX'!M$39)*(1+'Insumos - OPEX'!M$38))</f>
        <v>0</v>
      </c>
      <c r="R25" s="211">
        <f>IF(OR($B25="Ce Co No Imputables",$G25="M2 fijo"),$M25*(1+'Insumos - OPEX'!N$38),$M25*(1+'Insumos - OPEX'!N$29*'Insumos - OPEX'!N$39)*(1+'Insumos - OPEX'!N$38))</f>
        <v>0</v>
      </c>
      <c r="S25" s="111"/>
    </row>
    <row r="26" spans="1:19" x14ac:dyDescent="0.2">
      <c r="A26" s="8"/>
      <c r="B26" s="8" t="s">
        <v>301</v>
      </c>
      <c r="C26" s="8" t="s">
        <v>172</v>
      </c>
      <c r="D26" s="8">
        <v>6380000017</v>
      </c>
      <c r="E26" s="8" t="s">
        <v>317</v>
      </c>
      <c r="F26" s="89" t="s">
        <v>470</v>
      </c>
      <c r="G26" s="73" t="s">
        <v>136</v>
      </c>
      <c r="H26" s="112" t="s">
        <v>61</v>
      </c>
      <c r="I26" s="13" t="s">
        <v>436</v>
      </c>
      <c r="K26" s="186">
        <v>0</v>
      </c>
      <c r="L26" s="187"/>
      <c r="M26" s="214">
        <f>IF(OR(E26="Distribución Legal de la Renta",E26="Acopio carros portaequipajes"),0,IF(K26&lt;0,0,K26*(1+SUMIFS('Insumos - OPEX'!$G$82:$G$238,'Insumos - OPEX'!$B$82:$B$238,OPEX!D26))))</f>
        <v>0</v>
      </c>
      <c r="N26" s="211">
        <f>IF(OR($B26="Ce Co No Imputables",$G26="M2 fijo"),$M26*(1+'Insumos - OPEX'!J$38),$M26*(1+'Insumos - OPEX'!J$29*'Insumos - OPEX'!J$39)*(1+'Insumos - OPEX'!J$38))</f>
        <v>0</v>
      </c>
      <c r="O26" s="211">
        <f>IF(OR($B26="Ce Co No Imputables",$G26="M2 fijo"),$M26*(1+'Insumos - OPEX'!K$38),$M26*(1+'Insumos - OPEX'!K$29*'Insumos - OPEX'!K$39)*(1+'Insumos - OPEX'!K$38))</f>
        <v>0</v>
      </c>
      <c r="P26" s="211">
        <f>IF(OR($B26="Ce Co No Imputables",$G26="M2 fijo"),$M26*(1+'Insumos - OPEX'!L$38),$M26*(1+'Insumos - OPEX'!L$29*'Insumos - OPEX'!L$39)*(1+'Insumos - OPEX'!L$38))</f>
        <v>0</v>
      </c>
      <c r="Q26" s="211">
        <f>IF(OR($B26="Ce Co No Imputables",$G26="M2 fijo"),$M26*(1+'Insumos - OPEX'!M$38),$M26*(1+'Insumos - OPEX'!M$29*'Insumos - OPEX'!M$39)*(1+'Insumos - OPEX'!M$38))</f>
        <v>0</v>
      </c>
      <c r="R26" s="211">
        <f>IF(OR($B26="Ce Co No Imputables",$G26="M2 fijo"),$M26*(1+'Insumos - OPEX'!N$38),$M26*(1+'Insumos - OPEX'!N$29*'Insumos - OPEX'!N$39)*(1+'Insumos - OPEX'!N$38))</f>
        <v>0</v>
      </c>
      <c r="S26" s="111"/>
    </row>
    <row r="27" spans="1:19" x14ac:dyDescent="0.2">
      <c r="A27" s="8"/>
      <c r="B27" s="8" t="s">
        <v>301</v>
      </c>
      <c r="C27" s="8" t="s">
        <v>172</v>
      </c>
      <c r="D27" s="8">
        <v>6380000027</v>
      </c>
      <c r="E27" s="8" t="s">
        <v>318</v>
      </c>
      <c r="F27" s="89" t="s">
        <v>470</v>
      </c>
      <c r="G27" s="73" t="s">
        <v>136</v>
      </c>
      <c r="H27" s="112" t="s">
        <v>61</v>
      </c>
      <c r="I27" s="13" t="s">
        <v>436</v>
      </c>
      <c r="K27" s="186">
        <v>0</v>
      </c>
      <c r="L27" s="187"/>
      <c r="M27" s="214">
        <f>IF(OR(E27="Distribución Legal de la Renta",E27="Acopio carros portaequipajes"),0,IF(K27&lt;0,0,K27*(1+SUMIFS('Insumos - OPEX'!$G$82:$G$238,'Insumos - OPEX'!$B$82:$B$238,OPEX!D27))))</f>
        <v>0</v>
      </c>
      <c r="N27" s="211">
        <f>IF(OR($B27="Ce Co No Imputables",$G27="M2 fijo"),$M27*(1+'Insumos - OPEX'!J$38),$M27*(1+'Insumos - OPEX'!J$29*'Insumos - OPEX'!J$39)*(1+'Insumos - OPEX'!J$38))</f>
        <v>0</v>
      </c>
      <c r="O27" s="211">
        <f>IF(OR($B27="Ce Co No Imputables",$G27="M2 fijo"),$M27*(1+'Insumos - OPEX'!K$38),$M27*(1+'Insumos - OPEX'!K$29*'Insumos - OPEX'!K$39)*(1+'Insumos - OPEX'!K$38))</f>
        <v>0</v>
      </c>
      <c r="P27" s="211">
        <f>IF(OR($B27="Ce Co No Imputables",$G27="M2 fijo"),$M27*(1+'Insumos - OPEX'!L$38),$M27*(1+'Insumos - OPEX'!L$29*'Insumos - OPEX'!L$39)*(1+'Insumos - OPEX'!L$38))</f>
        <v>0</v>
      </c>
      <c r="Q27" s="211">
        <f>IF(OR($B27="Ce Co No Imputables",$G27="M2 fijo"),$M27*(1+'Insumos - OPEX'!M$38),$M27*(1+'Insumos - OPEX'!M$29*'Insumos - OPEX'!M$39)*(1+'Insumos - OPEX'!M$38))</f>
        <v>0</v>
      </c>
      <c r="R27" s="211">
        <f>IF(OR($B27="Ce Co No Imputables",$G27="M2 fijo"),$M27*(1+'Insumos - OPEX'!N$38),$M27*(1+'Insumos - OPEX'!N$29*'Insumos - OPEX'!N$39)*(1+'Insumos - OPEX'!N$38))</f>
        <v>0</v>
      </c>
      <c r="S27" s="111"/>
    </row>
    <row r="28" spans="1:19" x14ac:dyDescent="0.2">
      <c r="A28" s="8"/>
      <c r="B28" s="8" t="s">
        <v>301</v>
      </c>
      <c r="C28" s="8" t="s">
        <v>172</v>
      </c>
      <c r="D28" s="8">
        <v>6380000025</v>
      </c>
      <c r="E28" s="8" t="s">
        <v>319</v>
      </c>
      <c r="F28" s="89" t="s">
        <v>470</v>
      </c>
      <c r="G28" s="73" t="s">
        <v>136</v>
      </c>
      <c r="H28" s="112" t="s">
        <v>61</v>
      </c>
      <c r="I28" s="13" t="s">
        <v>436</v>
      </c>
      <c r="K28" s="186">
        <v>0</v>
      </c>
      <c r="L28" s="187"/>
      <c r="M28" s="214">
        <f>IF(OR(E28="Distribución Legal de la Renta",E28="Acopio carros portaequipajes"),0,IF(K28&lt;0,0,K28*(1+SUMIFS('Insumos - OPEX'!$G$82:$G$238,'Insumos - OPEX'!$B$82:$B$238,OPEX!D28))))</f>
        <v>0</v>
      </c>
      <c r="N28" s="211">
        <f>IF(OR($B28="Ce Co No Imputables",$G28="M2 fijo"),$M28*(1+'Insumos - OPEX'!J$38),$M28*(1+'Insumos - OPEX'!J$29*'Insumos - OPEX'!J$39)*(1+'Insumos - OPEX'!J$38))</f>
        <v>0</v>
      </c>
      <c r="O28" s="211">
        <f>IF(OR($B28="Ce Co No Imputables",$G28="M2 fijo"),$M28*(1+'Insumos - OPEX'!K$38),$M28*(1+'Insumos - OPEX'!K$29*'Insumos - OPEX'!K$39)*(1+'Insumos - OPEX'!K$38))</f>
        <v>0</v>
      </c>
      <c r="P28" s="211">
        <f>IF(OR($B28="Ce Co No Imputables",$G28="M2 fijo"),$M28*(1+'Insumos - OPEX'!L$38),$M28*(1+'Insumos - OPEX'!L$29*'Insumos - OPEX'!L$39)*(1+'Insumos - OPEX'!L$38))</f>
        <v>0</v>
      </c>
      <c r="Q28" s="211">
        <f>IF(OR($B28="Ce Co No Imputables",$G28="M2 fijo"),$M28*(1+'Insumos - OPEX'!M$38),$M28*(1+'Insumos - OPEX'!M$29*'Insumos - OPEX'!M$39)*(1+'Insumos - OPEX'!M$38))</f>
        <v>0</v>
      </c>
      <c r="R28" s="211">
        <f>IF(OR($B28="Ce Co No Imputables",$G28="M2 fijo"),$M28*(1+'Insumos - OPEX'!N$38),$M28*(1+'Insumos - OPEX'!N$29*'Insumos - OPEX'!N$39)*(1+'Insumos - OPEX'!N$38))</f>
        <v>0</v>
      </c>
      <c r="S28" s="111"/>
    </row>
    <row r="29" spans="1:19" x14ac:dyDescent="0.2">
      <c r="A29" s="8"/>
      <c r="B29" s="8" t="s">
        <v>301</v>
      </c>
      <c r="C29" s="8" t="s">
        <v>171</v>
      </c>
      <c r="D29" s="8">
        <v>6360000002</v>
      </c>
      <c r="E29" s="8" t="s">
        <v>320</v>
      </c>
      <c r="F29" s="89" t="s">
        <v>469</v>
      </c>
      <c r="G29" s="73" t="s">
        <v>471</v>
      </c>
      <c r="H29" s="112" t="s">
        <v>61</v>
      </c>
      <c r="I29" s="13" t="s">
        <v>436</v>
      </c>
      <c r="K29" s="186">
        <v>1510411.4876295526</v>
      </c>
      <c r="L29" s="187"/>
      <c r="M29" s="214">
        <f>IF(OR(E29="Distribución Legal de la Renta",E29="Acopio carros portaequipajes"),0,IF(K29&lt;0,0,K29*(1+SUMIFS('Insumos - OPEX'!$G$82:$G$238,'Insumos - OPEX'!$B$82:$B$238,OPEX!D29))))</f>
        <v>3176854.4739089184</v>
      </c>
      <c r="N29" s="211">
        <f>IF(OR($B29="Ce Co No Imputables",$G29="M2 fijo"),$M29*(1+'Insumos - OPEX'!J$38),$M29*(1+'Insumos - OPEX'!J$29*'Insumos - OPEX'!J$39)*(1+'Insumos - OPEX'!J$38))</f>
        <v>3359049.0509828292</v>
      </c>
      <c r="O29" s="211">
        <f>IF(OR($B29="Ce Co No Imputables",$G29="M2 fijo"),$M29*(1+'Insumos - OPEX'!K$38),$M29*(1+'Insumos - OPEX'!K$29*'Insumos - OPEX'!K$39)*(1+'Insumos - OPEX'!K$38))</f>
        <v>3531529.8471839312</v>
      </c>
      <c r="P29" s="211">
        <f>IF(OR($B29="Ce Co No Imputables",$G29="M2 fijo"),$M29*(1+'Insumos - OPEX'!L$38),$M29*(1+'Insumos - OPEX'!L$29*'Insumos - OPEX'!L$39)*(1+'Insumos - OPEX'!L$38))</f>
        <v>3706193.3047286496</v>
      </c>
      <c r="Q29" s="211">
        <f>IF(OR($B29="Ce Co No Imputables",$G29="M2 fijo"),$M29*(1+'Insumos - OPEX'!M$38),$M29*(1+'Insumos - OPEX'!M$29*'Insumos - OPEX'!M$39)*(1+'Insumos - OPEX'!M$38))</f>
        <v>3898202.5949090347</v>
      </c>
      <c r="R29" s="211">
        <f>IF(OR($B29="Ce Co No Imputables",$G29="M2 fijo"),$M29*(1+'Insumos - OPEX'!N$38),$M29*(1+'Insumos - OPEX'!N$29*'Insumos - OPEX'!N$39)*(1+'Insumos - OPEX'!N$38))</f>
        <v>4094040.3040269599</v>
      </c>
      <c r="S29" s="111"/>
    </row>
    <row r="30" spans="1:19" x14ac:dyDescent="0.2">
      <c r="A30" s="8"/>
      <c r="B30" s="8" t="s">
        <v>301</v>
      </c>
      <c r="C30" s="8" t="s">
        <v>171</v>
      </c>
      <c r="D30" s="8">
        <v>6380000009</v>
      </c>
      <c r="E30" s="8" t="s">
        <v>321</v>
      </c>
      <c r="F30" s="89" t="s">
        <v>469</v>
      </c>
      <c r="G30" s="73" t="s">
        <v>136</v>
      </c>
      <c r="H30" s="112" t="s">
        <v>61</v>
      </c>
      <c r="I30" s="13" t="s">
        <v>436</v>
      </c>
      <c r="K30" s="186">
        <v>1501398</v>
      </c>
      <c r="L30" s="187"/>
      <c r="M30" s="214">
        <f>IF(OR(E30="Distribución Legal de la Renta",E30="Acopio carros portaequipajes"),0,IF(K30&lt;0,0,K30*(1+SUMIFS('Insumos - OPEX'!$G$82:$G$238,'Insumos - OPEX'!$B$82:$B$238,OPEX!D30))))</f>
        <v>1995234.6406453485</v>
      </c>
      <c r="N30" s="211">
        <f>IF(OR($B30="Ce Co No Imputables",$G30="M2 fijo"),$M30*(1+'Insumos - OPEX'!J$38),$M30*(1+'Insumos - OPEX'!J$29*'Insumos - OPEX'!J$39)*(1+'Insumos - OPEX'!J$38))</f>
        <v>2109662.5864329645</v>
      </c>
      <c r="O30" s="211">
        <f>IF(OR($B30="Ce Co No Imputables",$G30="M2 fijo"),$M30*(1+'Insumos - OPEX'!K$38),$M30*(1+'Insumos - OPEX'!K$29*'Insumos - OPEX'!K$39)*(1+'Insumos - OPEX'!K$38))</f>
        <v>2217989.7579332339</v>
      </c>
      <c r="P30" s="211">
        <f>IF(OR($B30="Ce Co No Imputables",$G30="M2 fijo"),$M30*(1+'Insumos - OPEX'!L$38),$M30*(1+'Insumos - OPEX'!L$29*'Insumos - OPEX'!L$39)*(1+'Insumos - OPEX'!L$38))</f>
        <v>2327687.7575773001</v>
      </c>
      <c r="Q30" s="211">
        <f>IF(OR($B30="Ce Co No Imputables",$G30="M2 fijo"),$M30*(1+'Insumos - OPEX'!M$38),$M30*(1+'Insumos - OPEX'!M$29*'Insumos - OPEX'!M$39)*(1+'Insumos - OPEX'!M$38))</f>
        <v>2448279.8684970816</v>
      </c>
      <c r="R30" s="211">
        <f>IF(OR($B30="Ce Co No Imputables",$G30="M2 fijo"),$M30*(1+'Insumos - OPEX'!N$38),$M30*(1+'Insumos - OPEX'!N$29*'Insumos - OPEX'!N$39)*(1+'Insumos - OPEX'!N$38))</f>
        <v>2571276.4314135844</v>
      </c>
      <c r="S30" s="111"/>
    </row>
    <row r="31" spans="1:19" x14ac:dyDescent="0.2">
      <c r="A31" s="8"/>
      <c r="B31" s="8" t="s">
        <v>301</v>
      </c>
      <c r="C31" s="8" t="s">
        <v>171</v>
      </c>
      <c r="D31" s="8">
        <v>6360000003</v>
      </c>
      <c r="E31" s="8" t="s">
        <v>322</v>
      </c>
      <c r="F31" s="89" t="s">
        <v>469</v>
      </c>
      <c r="G31" s="73" t="s">
        <v>471</v>
      </c>
      <c r="H31" s="112" t="s">
        <v>61</v>
      </c>
      <c r="I31" s="13" t="s">
        <v>436</v>
      </c>
      <c r="K31" s="186">
        <v>490272.48739221616</v>
      </c>
      <c r="L31" s="187"/>
      <c r="M31" s="214">
        <f>IF(OR(E31="Distribución Legal de la Renta",E31="Acopio carros portaequipajes"),0,IF(K31&lt;0,0,K31*(1+SUMIFS('Insumos - OPEX'!$G$82:$G$238,'Insumos - OPEX'!$B$82:$B$238,OPEX!D31))))</f>
        <v>654954.85391354002</v>
      </c>
      <c r="N31" s="211">
        <f>IF(OR($B31="Ce Co No Imputables",$G31="M2 fijo"),$M31*(1+'Insumos - OPEX'!J$38),$M31*(1+'Insumos - OPEX'!J$29*'Insumos - OPEX'!J$39)*(1+'Insumos - OPEX'!J$38))</f>
        <v>692516.92154720635</v>
      </c>
      <c r="O31" s="211">
        <f>IF(OR($B31="Ce Co No Imputables",$G31="M2 fijo"),$M31*(1+'Insumos - OPEX'!K$38),$M31*(1+'Insumos - OPEX'!K$29*'Insumos - OPEX'!K$39)*(1+'Insumos - OPEX'!K$38))</f>
        <v>728076.35167111282</v>
      </c>
      <c r="P31" s="211">
        <f>IF(OR($B31="Ce Co No Imputables",$G31="M2 fijo"),$M31*(1+'Insumos - OPEX'!L$38),$M31*(1+'Insumos - OPEX'!L$29*'Insumos - OPEX'!L$39)*(1+'Insumos - OPEX'!L$38))</f>
        <v>764085.7692443002</v>
      </c>
      <c r="Q31" s="211">
        <f>IF(OR($B31="Ce Co No Imputables",$G31="M2 fijo"),$M31*(1+'Insumos - OPEX'!M$38),$M31*(1+'Insumos - OPEX'!M$29*'Insumos - OPEX'!M$39)*(1+'Insumos - OPEX'!M$38))</f>
        <v>803671.2830388305</v>
      </c>
      <c r="R31" s="211">
        <f>IF(OR($B31="Ce Co No Imputables",$G31="M2 fijo"),$M31*(1+'Insumos - OPEX'!N$38),$M31*(1+'Insumos - OPEX'!N$29*'Insumos - OPEX'!N$39)*(1+'Insumos - OPEX'!N$38))</f>
        <v>844046.08119830408</v>
      </c>
      <c r="S31" s="111"/>
    </row>
    <row r="32" spans="1:19" x14ac:dyDescent="0.2">
      <c r="A32" s="8"/>
      <c r="B32" s="8" t="s">
        <v>301</v>
      </c>
      <c r="C32" s="8" t="s">
        <v>171</v>
      </c>
      <c r="D32" s="8">
        <v>6380000008</v>
      </c>
      <c r="E32" s="8" t="s">
        <v>323</v>
      </c>
      <c r="F32" s="89" t="s">
        <v>469</v>
      </c>
      <c r="G32" s="73" t="s">
        <v>136</v>
      </c>
      <c r="H32" s="112" t="s">
        <v>61</v>
      </c>
      <c r="I32" s="13" t="s">
        <v>436</v>
      </c>
      <c r="K32" s="186">
        <v>273487.03999999998</v>
      </c>
      <c r="L32" s="187"/>
      <c r="M32" s="214">
        <f>IF(OR(E32="Distribución Legal de la Renta",E32="Acopio carros portaequipajes"),0,IF(K32&lt;0,0,K32*(1+SUMIFS('Insumos - OPEX'!$G$82:$G$238,'Insumos - OPEX'!$B$82:$B$238,OPEX!D32))))</f>
        <v>754222.07999999949</v>
      </c>
      <c r="N32" s="211">
        <f>IF(OR($B32="Ce Co No Imputables",$G32="M2 fijo"),$M32*(1+'Insumos - OPEX'!J$38),$M32*(1+'Insumos - OPEX'!J$29*'Insumos - OPEX'!J$39)*(1+'Insumos - OPEX'!J$38))</f>
        <v>797477.18469994015</v>
      </c>
      <c r="O32" s="211">
        <f>IF(OR($B32="Ce Co No Imputables",$G32="M2 fijo"),$M32*(1+'Insumos - OPEX'!K$38),$M32*(1+'Insumos - OPEX'!K$29*'Insumos - OPEX'!K$39)*(1+'Insumos - OPEX'!K$38))</f>
        <v>838426.12521303364</v>
      </c>
      <c r="P32" s="211">
        <f>IF(OR($B32="Ce Co No Imputables",$G32="M2 fijo"),$M32*(1+'Insumos - OPEX'!L$38),$M32*(1+'Insumos - OPEX'!L$29*'Insumos - OPEX'!L$39)*(1+'Insumos - OPEX'!L$38))</f>
        <v>879893.25483174657</v>
      </c>
      <c r="Q32" s="211">
        <f>IF(OR($B32="Ce Co No Imputables",$G32="M2 fijo"),$M32*(1+'Insumos - OPEX'!M$38),$M32*(1+'Insumos - OPEX'!M$29*'Insumos - OPEX'!M$39)*(1+'Insumos - OPEX'!M$38))</f>
        <v>925478.48620087013</v>
      </c>
      <c r="R32" s="211">
        <f>IF(OR($B32="Ce Co No Imputables",$G32="M2 fijo"),$M32*(1+'Insumos - OPEX'!N$38),$M32*(1+'Insumos - OPEX'!N$29*'Insumos - OPEX'!N$39)*(1+'Insumos - OPEX'!N$38))</f>
        <v>971972.62860696367</v>
      </c>
      <c r="S32" s="111"/>
    </row>
    <row r="33" spans="1:21" x14ac:dyDescent="0.2">
      <c r="A33" s="8"/>
      <c r="B33" s="8" t="s">
        <v>301</v>
      </c>
      <c r="C33" s="8" t="s">
        <v>171</v>
      </c>
      <c r="D33" s="8">
        <v>6320000001</v>
      </c>
      <c r="E33" s="8" t="s">
        <v>324</v>
      </c>
      <c r="F33" s="89" t="s">
        <v>469</v>
      </c>
      <c r="G33" s="73" t="s">
        <v>136</v>
      </c>
      <c r="H33" s="112" t="s">
        <v>61</v>
      </c>
      <c r="I33" s="13" t="s">
        <v>436</v>
      </c>
      <c r="K33" s="186">
        <v>273057.83502205327</v>
      </c>
      <c r="L33" s="187"/>
      <c r="M33" s="214">
        <f>IF(OR(E33="Distribución Legal de la Renta",E33="Acopio carros portaequipajes"),0,IF(K33&lt;0,0,K33*(1+SUMIFS('Insumos - OPEX'!$G$82:$G$238,'Insumos - OPEX'!$B$82:$B$238,OPEX!D33))))</f>
        <v>519305.31672928657</v>
      </c>
      <c r="N33" s="211">
        <f>IF(OR($B33="Ce Co No Imputables",$G33="M2 fijo"),$M33*(1+'Insumos - OPEX'!J$38),$M33*(1+'Insumos - OPEX'!J$29*'Insumos - OPEX'!J$39)*(1+'Insumos - OPEX'!J$38))</f>
        <v>549087.79915987409</v>
      </c>
      <c r="O33" s="211">
        <f>IF(OR($B33="Ce Co No Imputables",$G33="M2 fijo"),$M33*(1+'Insumos - OPEX'!K$38),$M33*(1+'Insumos - OPEX'!K$29*'Insumos - OPEX'!K$39)*(1+'Insumos - OPEX'!K$38))</f>
        <v>577282.41595348576</v>
      </c>
      <c r="P33" s="211">
        <f>IF(OR($B33="Ce Co No Imputables",$G33="M2 fijo"),$M33*(1+'Insumos - OPEX'!L$38),$M33*(1+'Insumos - OPEX'!L$29*'Insumos - OPEX'!L$39)*(1+'Insumos - OPEX'!L$38))</f>
        <v>605833.82203337678</v>
      </c>
      <c r="Q33" s="211">
        <f>IF(OR($B33="Ce Co No Imputables",$G33="M2 fijo"),$M33*(1+'Insumos - OPEX'!M$38),$M33*(1+'Insumos - OPEX'!M$29*'Insumos - OPEX'!M$39)*(1+'Insumos - OPEX'!M$38))</f>
        <v>637220.66901393794</v>
      </c>
      <c r="R33" s="211">
        <f>IF(OR($B33="Ce Co No Imputables",$G33="M2 fijo"),$M33*(1+'Insumos - OPEX'!N$38),$M33*(1+'Insumos - OPEX'!N$29*'Insumos - OPEX'!N$39)*(1+'Insumos - OPEX'!N$38))</f>
        <v>669233.32946038491</v>
      </c>
      <c r="S33" s="111"/>
    </row>
    <row r="34" spans="1:21" x14ac:dyDescent="0.2">
      <c r="A34" s="8"/>
      <c r="B34" s="8" t="s">
        <v>301</v>
      </c>
      <c r="C34" s="8" t="s">
        <v>171</v>
      </c>
      <c r="D34" s="8">
        <v>6320000003</v>
      </c>
      <c r="E34" s="8" t="s">
        <v>325</v>
      </c>
      <c r="F34" s="89" t="s">
        <v>470</v>
      </c>
      <c r="G34" s="73" t="s">
        <v>136</v>
      </c>
      <c r="H34" s="112" t="s">
        <v>61</v>
      </c>
      <c r="I34" s="13" t="s">
        <v>436</v>
      </c>
      <c r="K34" s="186">
        <v>214650.01844690045</v>
      </c>
      <c r="L34" s="187"/>
      <c r="M34" s="214">
        <f>IF(OR(E34="Distribución Legal de la Renta",E34="Acopio carros portaequipajes"),0,IF(K34&lt;0,0,K34*(1+SUMIFS('Insumos - OPEX'!$G$82:$G$238,'Insumos - OPEX'!$B$82:$B$238,OPEX!D34))))</f>
        <v>224096.63611013742</v>
      </c>
      <c r="N34" s="211">
        <f>IF(OR($B34="Ce Co No Imputables",$G34="M2 fijo"),$M34*(1+'Insumos - OPEX'!J$38),$M34*(1+'Insumos - OPEX'!J$29*'Insumos - OPEX'!J$39)*(1+'Insumos - OPEX'!J$38))</f>
        <v>236948.71736695836</v>
      </c>
      <c r="O34" s="211">
        <f>IF(OR($B34="Ce Co No Imputables",$G34="M2 fijo"),$M34*(1+'Insumos - OPEX'!K$38),$M34*(1+'Insumos - OPEX'!K$29*'Insumos - OPEX'!K$39)*(1+'Insumos - OPEX'!K$38))</f>
        <v>249115.58448023404</v>
      </c>
      <c r="P34" s="211">
        <f>IF(OR($B34="Ce Co No Imputables",$G34="M2 fijo"),$M34*(1+'Insumos - OPEX'!L$38),$M34*(1+'Insumos - OPEX'!L$29*'Insumos - OPEX'!L$39)*(1+'Insumos - OPEX'!L$38))</f>
        <v>261436.41743264056</v>
      </c>
      <c r="Q34" s="211">
        <f>IF(OR($B34="Ce Co No Imputables",$G34="M2 fijo"),$M34*(1+'Insumos - OPEX'!M$38),$M34*(1+'Insumos - OPEX'!M$29*'Insumos - OPEX'!M$39)*(1+'Insumos - OPEX'!M$38))</f>
        <v>274980.83263475576</v>
      </c>
      <c r="R34" s="211">
        <f>IF(OR($B34="Ce Co No Imputables",$G34="M2 fijo"),$M34*(1+'Insumos - OPEX'!N$38),$M34*(1+'Insumos - OPEX'!N$29*'Insumos - OPEX'!N$39)*(1+'Insumos - OPEX'!N$38))</f>
        <v>288795.30610128597</v>
      </c>
      <c r="S34" s="111"/>
    </row>
    <row r="35" spans="1:21" x14ac:dyDescent="0.2">
      <c r="A35" s="8"/>
      <c r="B35" s="8" t="s">
        <v>301</v>
      </c>
      <c r="C35" s="8" t="s">
        <v>171</v>
      </c>
      <c r="D35" s="8">
        <v>6380000030</v>
      </c>
      <c r="E35" s="8" t="s">
        <v>326</v>
      </c>
      <c r="F35" s="89" t="s">
        <v>469</v>
      </c>
      <c r="G35" s="73" t="s">
        <v>136</v>
      </c>
      <c r="H35" s="112" t="s">
        <v>61</v>
      </c>
      <c r="I35" s="13" t="s">
        <v>436</v>
      </c>
      <c r="K35" s="186">
        <v>98927.204846608147</v>
      </c>
      <c r="L35" s="187"/>
      <c r="M35" s="214">
        <f>IF(OR(E35="Distribución Legal de la Renta",E35="Acopio carros portaequipajes"),0,IF(K35&lt;0,0,K35*(1+SUMIFS('Insumos - OPEX'!$G$82:$G$238,'Insumos - OPEX'!$B$82:$B$238,OPEX!D35))))</f>
        <v>462997.99239281414</v>
      </c>
      <c r="N35" s="211">
        <f>IF(OR($B35="Ce Co No Imputables",$G35="M2 fijo"),$M35*(1+'Insumos - OPEX'!J$38),$M35*(1+'Insumos - OPEX'!J$29*'Insumos - OPEX'!J$39)*(1+'Insumos - OPEX'!J$38))</f>
        <v>489551.21480286814</v>
      </c>
      <c r="O35" s="211">
        <f>IF(OR($B35="Ce Co No Imputables",$G35="M2 fijo"),$M35*(1+'Insumos - OPEX'!K$38),$M35*(1+'Insumos - OPEX'!K$29*'Insumos - OPEX'!K$39)*(1+'Insumos - OPEX'!K$38))</f>
        <v>514688.74093863845</v>
      </c>
      <c r="P35" s="211">
        <f>IF(OR($B35="Ce Co No Imputables",$G35="M2 fijo"),$M35*(1+'Insumos - OPEX'!L$38),$M35*(1+'Insumos - OPEX'!L$29*'Insumos - OPEX'!L$39)*(1+'Insumos - OPEX'!L$38))</f>
        <v>540144.37035186996</v>
      </c>
      <c r="Q35" s="211">
        <f>IF(OR($B35="Ce Co No Imputables",$G35="M2 fijo"),$M35*(1+'Insumos - OPEX'!M$38),$M35*(1+'Insumos - OPEX'!M$29*'Insumos - OPEX'!M$39)*(1+'Insumos - OPEX'!M$38))</f>
        <v>568127.99900228844</v>
      </c>
      <c r="R35" s="211">
        <f>IF(OR($B35="Ce Co No Imputables",$G35="M2 fijo"),$M35*(1+'Insumos - OPEX'!N$38),$M35*(1+'Insumos - OPEX'!N$29*'Insumos - OPEX'!N$39)*(1+'Insumos - OPEX'!N$38))</f>
        <v>596669.5853107227</v>
      </c>
      <c r="S35" s="111"/>
    </row>
    <row r="36" spans="1:21" x14ac:dyDescent="0.2">
      <c r="A36" s="8"/>
      <c r="B36" s="8" t="s">
        <v>301</v>
      </c>
      <c r="C36" s="8" t="s">
        <v>171</v>
      </c>
      <c r="D36" s="8">
        <v>6380000015</v>
      </c>
      <c r="E36" s="8" t="s">
        <v>327</v>
      </c>
      <c r="F36" s="89" t="s">
        <v>470</v>
      </c>
      <c r="G36" s="73" t="s">
        <v>136</v>
      </c>
      <c r="H36" s="112" t="s">
        <v>61</v>
      </c>
      <c r="I36" s="13" t="s">
        <v>436</v>
      </c>
      <c r="K36" s="186">
        <v>56382.219999999994</v>
      </c>
      <c r="L36" s="187"/>
      <c r="M36" s="214">
        <f>IF(OR(E36="Distribución Legal de la Renta",E36="Acopio carros portaequipajes"),0,IF(K36&lt;0,0,K36*(1+SUMIFS('Insumos - OPEX'!$G$82:$G$238,'Insumos - OPEX'!$B$82:$B$238,OPEX!D36))))</f>
        <v>58863.567447339119</v>
      </c>
      <c r="N36" s="211">
        <f>IF(OR($B36="Ce Co No Imputables",$G36="M2 fijo"),$M36*(1+'Insumos - OPEX'!J$38),$M36*(1+'Insumos - OPEX'!J$29*'Insumos - OPEX'!J$39)*(1+'Insumos - OPEX'!J$38))</f>
        <v>62239.429597843482</v>
      </c>
      <c r="O36" s="211">
        <f>IF(OR($B36="Ce Co No Imputables",$G36="M2 fijo"),$M36*(1+'Insumos - OPEX'!K$38),$M36*(1+'Insumos - OPEX'!K$29*'Insumos - OPEX'!K$39)*(1+'Insumos - OPEX'!K$38))</f>
        <v>65435.306231141672</v>
      </c>
      <c r="P36" s="211">
        <f>IF(OR($B36="Ce Co No Imputables",$G36="M2 fijo"),$M36*(1+'Insumos - OPEX'!L$38),$M36*(1+'Insumos - OPEX'!L$29*'Insumos - OPEX'!L$39)*(1+'Insumos - OPEX'!L$38))</f>
        <v>68671.625142885357</v>
      </c>
      <c r="Q36" s="211">
        <f>IF(OR($B36="Ce Co No Imputables",$G36="M2 fijo"),$M36*(1+'Insumos - OPEX'!M$38),$M36*(1+'Insumos - OPEX'!M$29*'Insumos - OPEX'!M$39)*(1+'Insumos - OPEX'!M$38))</f>
        <v>72229.342972226776</v>
      </c>
      <c r="R36" s="211">
        <f>IF(OR($B36="Ce Co No Imputables",$G36="M2 fijo"),$M36*(1+'Insumos - OPEX'!N$38),$M36*(1+'Insumos - OPEX'!N$29*'Insumos - OPEX'!N$39)*(1+'Insumos - OPEX'!N$38))</f>
        <v>75857.997131260781</v>
      </c>
      <c r="S36" s="111"/>
    </row>
    <row r="37" spans="1:21" x14ac:dyDescent="0.2">
      <c r="A37" s="8"/>
      <c r="B37" s="8" t="s">
        <v>301</v>
      </c>
      <c r="C37" s="8" t="s">
        <v>171</v>
      </c>
      <c r="D37" s="8">
        <v>6380000022</v>
      </c>
      <c r="E37" s="8" t="s">
        <v>328</v>
      </c>
      <c r="F37" s="89" t="s">
        <v>470</v>
      </c>
      <c r="G37" s="73" t="s">
        <v>136</v>
      </c>
      <c r="H37" s="112" t="s">
        <v>61</v>
      </c>
      <c r="I37" s="13" t="s">
        <v>436</v>
      </c>
      <c r="K37" s="186">
        <v>24000.606523173399</v>
      </c>
      <c r="L37" s="187"/>
      <c r="M37" s="214">
        <f>IF(OR(E37="Distribución Legal de la Renta",E37="Acopio carros portaequipajes"),0,IF(K37&lt;0,0,K37*(1+SUMIFS('Insumos - OPEX'!$G$82:$G$238,'Insumos - OPEX'!$B$82:$B$238,OPEX!D37))))</f>
        <v>25056.858719891923</v>
      </c>
      <c r="N37" s="211">
        <f>IF(OR($B37="Ce Co No Imputables",$G37="M2 fijo"),$M37*(1+'Insumos - OPEX'!J$38),$M37*(1+'Insumos - OPEX'!J$29*'Insumos - OPEX'!J$39)*(1+'Insumos - OPEX'!J$38))</f>
        <v>26493.885129116839</v>
      </c>
      <c r="O37" s="211">
        <f>IF(OR($B37="Ce Co No Imputables",$G37="M2 fijo"),$M37*(1+'Insumos - OPEX'!K$38),$M37*(1+'Insumos - OPEX'!K$29*'Insumos - OPEX'!K$39)*(1+'Insumos - OPEX'!K$38))</f>
        <v>27854.295868041165</v>
      </c>
      <c r="P37" s="211">
        <f>IF(OR($B37="Ce Co No Imputables",$G37="M2 fijo"),$M37*(1+'Insumos - OPEX'!L$38),$M37*(1+'Insumos - OPEX'!L$29*'Insumos - OPEX'!L$39)*(1+'Insumos - OPEX'!L$38))</f>
        <v>29231.921949175692</v>
      </c>
      <c r="Q37" s="211">
        <f>IF(OR($B37="Ce Co No Imputables",$G37="M2 fijo"),$M37*(1+'Insumos - OPEX'!M$38),$M37*(1+'Insumos - OPEX'!M$29*'Insumos - OPEX'!M$39)*(1+'Insumos - OPEX'!M$38))</f>
        <v>30746.360113237024</v>
      </c>
      <c r="R37" s="211">
        <f>IF(OR($B37="Ce Co No Imputables",$G37="M2 fijo"),$M37*(1+'Insumos - OPEX'!N$38),$M37*(1+'Insumos - OPEX'!N$29*'Insumos - OPEX'!N$39)*(1+'Insumos - OPEX'!N$38))</f>
        <v>32290.994231575249</v>
      </c>
      <c r="S37" s="111"/>
    </row>
    <row r="38" spans="1:21" x14ac:dyDescent="0.2">
      <c r="A38" s="8"/>
      <c r="B38" s="8" t="s">
        <v>301</v>
      </c>
      <c r="C38" s="8" t="s">
        <v>171</v>
      </c>
      <c r="D38" s="8">
        <v>6380000007</v>
      </c>
      <c r="E38" s="8" t="s">
        <v>329</v>
      </c>
      <c r="F38" s="89" t="s">
        <v>470</v>
      </c>
      <c r="G38" s="73" t="s">
        <v>471</v>
      </c>
      <c r="H38" s="112" t="s">
        <v>61</v>
      </c>
      <c r="I38" s="13" t="s">
        <v>436</v>
      </c>
      <c r="K38" s="186">
        <v>12121.169655172414</v>
      </c>
      <c r="L38" s="187"/>
      <c r="M38" s="214">
        <f>IF(OR(E38="Distribución Legal de la Renta",E38="Acopio carros portaequipajes"),0,IF(K38&lt;0,0,K38*(1+SUMIFS('Insumos - OPEX'!$G$82:$G$238,'Insumos - OPEX'!$B$82:$B$238,OPEX!D38))))</f>
        <v>12654.615010510082</v>
      </c>
      <c r="N38" s="211">
        <f>IF(OR($B38="Ce Co No Imputables",$G38="M2 fijo"),$M38*(1+'Insumos - OPEX'!J$38),$M38*(1+'Insumos - OPEX'!J$29*'Insumos - OPEX'!J$39)*(1+'Insumos - OPEX'!J$38))</f>
        <v>13380.365040550378</v>
      </c>
      <c r="O38" s="211">
        <f>IF(OR($B38="Ce Co No Imputables",$G38="M2 fijo"),$M38*(1+'Insumos - OPEX'!K$38),$M38*(1+'Insumos - OPEX'!K$29*'Insumos - OPEX'!K$39)*(1+'Insumos - OPEX'!K$38))</f>
        <v>14067.421401034386</v>
      </c>
      <c r="P38" s="211">
        <f>IF(OR($B38="Ce Co No Imputables",$G38="M2 fijo"),$M38*(1+'Insumos - OPEX'!L$38),$M38*(1+'Insumos - OPEX'!L$29*'Insumos - OPEX'!L$39)*(1+'Insumos - OPEX'!L$38))</f>
        <v>14763.172128612834</v>
      </c>
      <c r="Q38" s="211">
        <f>IF(OR($B38="Ce Co No Imputables",$G38="M2 fijo"),$M38*(1+'Insumos - OPEX'!M$38),$M38*(1+'Insumos - OPEX'!M$29*'Insumos - OPEX'!M$39)*(1+'Insumos - OPEX'!M$38))</f>
        <v>15528.017879537136</v>
      </c>
      <c r="R38" s="211">
        <f>IF(OR($B38="Ce Co No Imputables",$G38="M2 fijo"),$M38*(1+'Insumos - OPEX'!N$38),$M38*(1+'Insumos - OPEX'!N$29*'Insumos - OPEX'!N$39)*(1+'Insumos - OPEX'!N$38))</f>
        <v>16308.113673594162</v>
      </c>
      <c r="S38" s="111"/>
    </row>
    <row r="39" spans="1:21" x14ac:dyDescent="0.2">
      <c r="A39" s="8"/>
      <c r="B39" s="8" t="s">
        <v>301</v>
      </c>
      <c r="C39" s="8" t="s">
        <v>171</v>
      </c>
      <c r="D39" s="8">
        <v>6380000021</v>
      </c>
      <c r="E39" s="8" t="s">
        <v>330</v>
      </c>
      <c r="F39" s="89" t="s">
        <v>469</v>
      </c>
      <c r="G39" s="73" t="s">
        <v>136</v>
      </c>
      <c r="H39" s="112" t="s">
        <v>61</v>
      </c>
      <c r="I39" s="13" t="s">
        <v>436</v>
      </c>
      <c r="K39" s="186">
        <v>10696.489344584652</v>
      </c>
      <c r="L39" s="187"/>
      <c r="M39" s="214">
        <f>IF(OR(E39="Distribución Legal de la Renta",E39="Acopio carros portaequipajes"),0,IF(K39&lt;0,0,K39*(1+SUMIFS('Insumos - OPEX'!$G$82:$G$238,'Insumos - OPEX'!$B$82:$B$238,OPEX!D39))))</f>
        <v>11167.235379960259</v>
      </c>
      <c r="N39" s="211">
        <f>IF(OR($B39="Ce Co No Imputables",$G39="M2 fijo"),$M39*(1+'Insumos - OPEX'!J$38),$M39*(1+'Insumos - OPEX'!J$29*'Insumos - OPEX'!J$39)*(1+'Insumos - OPEX'!J$38))</f>
        <v>11807.683264446832</v>
      </c>
      <c r="O39" s="211">
        <f>IF(OR($B39="Ce Co No Imputables",$G39="M2 fijo"),$M39*(1+'Insumos - OPEX'!K$38),$M39*(1+'Insumos - OPEX'!K$29*'Insumos - OPEX'!K$39)*(1+'Insumos - OPEX'!K$38))</f>
        <v>12413.98539931632</v>
      </c>
      <c r="P39" s="211">
        <f>IF(OR($B39="Ce Co No Imputables",$G39="M2 fijo"),$M39*(1+'Insumos - OPEX'!L$38),$M39*(1+'Insumos - OPEX'!L$29*'Insumos - OPEX'!L$39)*(1+'Insumos - OPEX'!L$38))</f>
        <v>13027.959995477027</v>
      </c>
      <c r="Q39" s="211">
        <f>IF(OR($B39="Ce Co No Imputables",$G39="M2 fijo"),$M39*(1+'Insumos - OPEX'!M$38),$M39*(1+'Insumos - OPEX'!M$29*'Insumos - OPEX'!M$39)*(1+'Insumos - OPEX'!M$38))</f>
        <v>13702.908425187481</v>
      </c>
      <c r="R39" s="211">
        <f>IF(OR($B39="Ce Co No Imputables",$G39="M2 fijo"),$M39*(1+'Insumos - OPEX'!N$38),$M39*(1+'Insumos - OPEX'!N$29*'Insumos - OPEX'!N$39)*(1+'Insumos - OPEX'!N$38))</f>
        <v>14391.314460765539</v>
      </c>
      <c r="S39" s="111"/>
    </row>
    <row r="40" spans="1:21" x14ac:dyDescent="0.2">
      <c r="A40" s="8"/>
      <c r="B40" s="8" t="s">
        <v>301</v>
      </c>
      <c r="C40" s="8" t="s">
        <v>171</v>
      </c>
      <c r="D40" s="8">
        <v>6360000001</v>
      </c>
      <c r="E40" s="8" t="s">
        <v>331</v>
      </c>
      <c r="F40" s="89" t="s">
        <v>470</v>
      </c>
      <c r="G40" s="73" t="s">
        <v>136</v>
      </c>
      <c r="H40" s="112" t="s">
        <v>61</v>
      </c>
      <c r="I40" s="13" t="s">
        <v>436</v>
      </c>
      <c r="K40" s="186">
        <v>7675.559850111099</v>
      </c>
      <c r="L40" s="187"/>
      <c r="M40" s="214">
        <f>IF(OR(E40="Distribución Legal de la Renta",E40="Acopio carros portaequipajes"),0,IF(K40&lt;0,0,K40*(1+SUMIFS('Insumos - OPEX'!$G$82:$G$238,'Insumos - OPEX'!$B$82:$B$238,OPEX!D40))))</f>
        <v>8013.3566030763395</v>
      </c>
      <c r="N40" s="211">
        <f>IF(OR($B40="Ce Co No Imputables",$G40="M2 fijo"),$M40*(1+'Insumos - OPEX'!J$38),$M40*(1+'Insumos - OPEX'!J$29*'Insumos - OPEX'!J$39)*(1+'Insumos - OPEX'!J$38))</f>
        <v>8472.9275809825122</v>
      </c>
      <c r="O40" s="211">
        <f>IF(OR($B40="Ce Co No Imputables",$G40="M2 fijo"),$M40*(1+'Insumos - OPEX'!K$38),$M40*(1+'Insumos - OPEX'!K$29*'Insumos - OPEX'!K$39)*(1+'Insumos - OPEX'!K$38))</f>
        <v>8907.9963379851961</v>
      </c>
      <c r="P40" s="211">
        <f>IF(OR($B40="Ce Co No Imputables",$G40="M2 fijo"),$M40*(1+'Insumos - OPEX'!L$38),$M40*(1+'Insumos - OPEX'!L$29*'Insumos - OPEX'!L$39)*(1+'Insumos - OPEX'!L$38))</f>
        <v>9348.5706804132715</v>
      </c>
      <c r="Q40" s="211">
        <f>IF(OR($B40="Ce Co No Imputables",$G40="M2 fijo"),$M40*(1+'Insumos - OPEX'!M$38),$M40*(1+'Insumos - OPEX'!M$29*'Insumos - OPEX'!M$39)*(1+'Insumos - OPEX'!M$38))</f>
        <v>9832.8984725597566</v>
      </c>
      <c r="R40" s="211">
        <f>IF(OR($B40="Ce Co No Imputables",$G40="M2 fijo"),$M40*(1+'Insumos - OPEX'!N$38),$M40*(1+'Insumos - OPEX'!N$29*'Insumos - OPEX'!N$39)*(1+'Insumos - OPEX'!N$38))</f>
        <v>10326.883139588123</v>
      </c>
      <c r="S40" s="111"/>
    </row>
    <row r="41" spans="1:21" x14ac:dyDescent="0.2">
      <c r="A41" s="8"/>
      <c r="B41" s="8" t="s">
        <v>301</v>
      </c>
      <c r="C41" s="8" t="s">
        <v>171</v>
      </c>
      <c r="D41" s="8">
        <v>6380000010</v>
      </c>
      <c r="E41" s="8" t="s">
        <v>332</v>
      </c>
      <c r="F41" s="89" t="s">
        <v>470</v>
      </c>
      <c r="G41" s="73" t="s">
        <v>136</v>
      </c>
      <c r="H41" s="112" t="s">
        <v>61</v>
      </c>
      <c r="I41" s="13" t="s">
        <v>436</v>
      </c>
      <c r="K41" s="186">
        <v>16.023596418844964</v>
      </c>
      <c r="L41" s="187"/>
      <c r="M41" s="214">
        <f>IF(OR(E41="Distribución Legal de la Renta",E41="Acopio carros portaequipajes"),0,IF(K41&lt;0,0,K41*(1+SUMIFS('Insumos - OPEX'!$G$82:$G$238,'Insumos - OPEX'!$B$82:$B$238,OPEX!D41))))</f>
        <v>16.728785218986093</v>
      </c>
      <c r="N41" s="211">
        <f>IF(OR($B41="Ce Co No Imputables",$G41="M2 fijo"),$M41*(1+'Insumos - OPEX'!J$38),$M41*(1+'Insumos - OPEX'!J$29*'Insumos - OPEX'!J$39)*(1+'Insumos - OPEX'!J$38))</f>
        <v>17.688191440758416</v>
      </c>
      <c r="O41" s="211">
        <f>IF(OR($B41="Ce Co No Imputables",$G41="M2 fijo"),$M41*(1+'Insumos - OPEX'!K$38),$M41*(1+'Insumos - OPEX'!K$29*'Insumos - OPEX'!K$39)*(1+'Insumos - OPEX'!K$38))</f>
        <v>18.596446514368274</v>
      </c>
      <c r="P41" s="211">
        <f>IF(OR($B41="Ce Co No Imputables",$G41="M2 fijo"),$M41*(1+'Insumos - OPEX'!L$38),$M41*(1+'Insumos - OPEX'!L$29*'Insumos - OPEX'!L$39)*(1+'Insumos - OPEX'!L$38))</f>
        <v>19.516195118173805</v>
      </c>
      <c r="Q41" s="211">
        <f>IF(OR($B41="Ce Co No Imputables",$G41="M2 fijo"),$M41*(1+'Insumos - OPEX'!M$38),$M41*(1+'Insumos - OPEX'!M$29*'Insumos - OPEX'!M$39)*(1+'Insumos - OPEX'!M$38))</f>
        <v>20.527283980398387</v>
      </c>
      <c r="R41" s="211">
        <f>IF(OR($B41="Ce Co No Imputables",$G41="M2 fijo"),$M41*(1+'Insumos - OPEX'!N$38),$M41*(1+'Insumos - OPEX'!N$29*'Insumos - OPEX'!N$39)*(1+'Insumos - OPEX'!N$38))</f>
        <v>21.558532657515467</v>
      </c>
      <c r="S41" s="111"/>
    </row>
    <row r="42" spans="1:21" x14ac:dyDescent="0.2">
      <c r="A42" s="8"/>
      <c r="B42" s="8" t="s">
        <v>301</v>
      </c>
      <c r="C42" s="8" t="s">
        <v>171</v>
      </c>
      <c r="D42" s="8">
        <v>6380000002</v>
      </c>
      <c r="E42" s="8" t="s">
        <v>333</v>
      </c>
      <c r="F42" s="89" t="s">
        <v>470</v>
      </c>
      <c r="G42" s="73" t="s">
        <v>136</v>
      </c>
      <c r="H42" s="112" t="s">
        <v>61</v>
      </c>
      <c r="I42" s="13" t="s">
        <v>436</v>
      </c>
      <c r="K42" s="186">
        <v>0</v>
      </c>
      <c r="L42" s="187"/>
      <c r="M42" s="214">
        <f>IF(OR(E42="Distribución Legal de la Renta",E42="Acopio carros portaequipajes"),0,IF(K42&lt;0,0,K42*(1+SUMIFS('Insumos - OPEX'!$G$82:$G$238,'Insumos - OPEX'!$B$82:$B$238,OPEX!D42))))</f>
        <v>0</v>
      </c>
      <c r="N42" s="211">
        <f>IF(OR($B42="Ce Co No Imputables",$G42="M2 fijo"),$M42*(1+'Insumos - OPEX'!J$38),$M42*(1+'Insumos - OPEX'!J$29*'Insumos - OPEX'!J$39)*(1+'Insumos - OPEX'!J$38))</f>
        <v>0</v>
      </c>
      <c r="O42" s="211">
        <f>IF(OR($B42="Ce Co No Imputables",$G42="M2 fijo"),$M42*(1+'Insumos - OPEX'!K$38),$M42*(1+'Insumos - OPEX'!K$29*'Insumos - OPEX'!K$39)*(1+'Insumos - OPEX'!K$38))</f>
        <v>0</v>
      </c>
      <c r="P42" s="211">
        <f>IF(OR($B42="Ce Co No Imputables",$G42="M2 fijo"),$M42*(1+'Insumos - OPEX'!L$38),$M42*(1+'Insumos - OPEX'!L$29*'Insumos - OPEX'!L$39)*(1+'Insumos - OPEX'!L$38))</f>
        <v>0</v>
      </c>
      <c r="Q42" s="211">
        <f>IF(OR($B42="Ce Co No Imputables",$G42="M2 fijo"),$M42*(1+'Insumos - OPEX'!M$38),$M42*(1+'Insumos - OPEX'!M$29*'Insumos - OPEX'!M$39)*(1+'Insumos - OPEX'!M$38))</f>
        <v>0</v>
      </c>
      <c r="R42" s="211">
        <f>IF(OR($B42="Ce Co No Imputables",$G42="M2 fijo"),$M42*(1+'Insumos - OPEX'!N$38),$M42*(1+'Insumos - OPEX'!N$29*'Insumos - OPEX'!N$39)*(1+'Insumos - OPEX'!N$38))</f>
        <v>0</v>
      </c>
      <c r="S42" s="111"/>
    </row>
    <row r="43" spans="1:21" x14ac:dyDescent="0.2">
      <c r="A43" s="8"/>
      <c r="B43" s="8" t="s">
        <v>301</v>
      </c>
      <c r="C43" s="8" t="s">
        <v>171</v>
      </c>
      <c r="D43" s="8">
        <v>6357000001</v>
      </c>
      <c r="E43" s="8" t="s">
        <v>334</v>
      </c>
      <c r="F43" s="89" t="s">
        <v>470</v>
      </c>
      <c r="G43" s="73" t="s">
        <v>136</v>
      </c>
      <c r="H43" s="112" t="s">
        <v>61</v>
      </c>
      <c r="I43" s="13" t="s">
        <v>436</v>
      </c>
      <c r="K43" s="186">
        <v>0</v>
      </c>
      <c r="L43" s="187"/>
      <c r="M43" s="214">
        <f>IF(OR(E43="Distribución Legal de la Renta",E43="Acopio carros portaequipajes"),0,IF(K43&lt;0,0,K43*(1+SUMIFS('Insumos - OPEX'!$G$82:$G$238,'Insumos - OPEX'!$B$82:$B$238,OPEX!D43))))</f>
        <v>0</v>
      </c>
      <c r="N43" s="211">
        <f>IF(OR($B43="Ce Co No Imputables",$G43="M2 fijo"),$M43*(1+'Insumos - OPEX'!J$38),$M43*(1+'Insumos - OPEX'!J$29*'Insumos - OPEX'!J$39)*(1+'Insumos - OPEX'!J$38))</f>
        <v>0</v>
      </c>
      <c r="O43" s="211">
        <f>IF(OR($B43="Ce Co No Imputables",$G43="M2 fijo"),$M43*(1+'Insumos - OPEX'!K$38),$M43*(1+'Insumos - OPEX'!K$29*'Insumos - OPEX'!K$39)*(1+'Insumos - OPEX'!K$38))</f>
        <v>0</v>
      </c>
      <c r="P43" s="211">
        <f>IF(OR($B43="Ce Co No Imputables",$G43="M2 fijo"),$M43*(1+'Insumos - OPEX'!L$38),$M43*(1+'Insumos - OPEX'!L$29*'Insumos - OPEX'!L$39)*(1+'Insumos - OPEX'!L$38))</f>
        <v>0</v>
      </c>
      <c r="Q43" s="211">
        <f>IF(OR($B43="Ce Co No Imputables",$G43="M2 fijo"),$M43*(1+'Insumos - OPEX'!M$38),$M43*(1+'Insumos - OPEX'!M$29*'Insumos - OPEX'!M$39)*(1+'Insumos - OPEX'!M$38))</f>
        <v>0</v>
      </c>
      <c r="R43" s="211">
        <f>IF(OR($B43="Ce Co No Imputables",$G43="M2 fijo"),$M43*(1+'Insumos - OPEX'!N$38),$M43*(1+'Insumos - OPEX'!N$29*'Insumos - OPEX'!N$39)*(1+'Insumos - OPEX'!N$38))</f>
        <v>0</v>
      </c>
      <c r="S43" s="111"/>
    </row>
    <row r="44" spans="1:21" x14ac:dyDescent="0.2">
      <c r="A44" s="8"/>
      <c r="B44" s="8" t="s">
        <v>301</v>
      </c>
      <c r="C44" s="8" t="s">
        <v>171</v>
      </c>
      <c r="D44" s="8">
        <v>6358000001</v>
      </c>
      <c r="E44" s="8" t="s">
        <v>335</v>
      </c>
      <c r="F44" s="89" t="s">
        <v>470</v>
      </c>
      <c r="G44" s="73" t="s">
        <v>136</v>
      </c>
      <c r="H44" s="112" t="s">
        <v>61</v>
      </c>
      <c r="I44" s="13" t="s">
        <v>436</v>
      </c>
      <c r="K44" s="186">
        <v>0</v>
      </c>
      <c r="L44" s="187"/>
      <c r="M44" s="214">
        <f>IF(OR(E44="Distribución Legal de la Renta",E44="Acopio carros portaequipajes"),0,IF(K44&lt;0,0,K44*(1+SUMIFS('Insumos - OPEX'!$G$82:$G$238,'Insumos - OPEX'!$B$82:$B$238,OPEX!D44))))</f>
        <v>0</v>
      </c>
      <c r="N44" s="211">
        <f>IF(OR($B44="Ce Co No Imputables",$G44="M2 fijo"),$M44*(1+'Insumos - OPEX'!J$38),$M44*(1+'Insumos - OPEX'!J$29*'Insumos - OPEX'!J$39)*(1+'Insumos - OPEX'!J$38))</f>
        <v>0</v>
      </c>
      <c r="O44" s="211">
        <f>IF(OR($B44="Ce Co No Imputables",$G44="M2 fijo"),$M44*(1+'Insumos - OPEX'!K$38),$M44*(1+'Insumos - OPEX'!K$29*'Insumos - OPEX'!K$39)*(1+'Insumos - OPEX'!K$38))</f>
        <v>0</v>
      </c>
      <c r="P44" s="211">
        <f>IF(OR($B44="Ce Co No Imputables",$G44="M2 fijo"),$M44*(1+'Insumos - OPEX'!L$38),$M44*(1+'Insumos - OPEX'!L$29*'Insumos - OPEX'!L$39)*(1+'Insumos - OPEX'!L$38))</f>
        <v>0</v>
      </c>
      <c r="Q44" s="211">
        <f>IF(OR($B44="Ce Co No Imputables",$G44="M2 fijo"),$M44*(1+'Insumos - OPEX'!M$38),$M44*(1+'Insumos - OPEX'!M$29*'Insumos - OPEX'!M$39)*(1+'Insumos - OPEX'!M$38))</f>
        <v>0</v>
      </c>
      <c r="R44" s="211">
        <f>IF(OR($B44="Ce Co No Imputables",$G44="M2 fijo"),$M44*(1+'Insumos - OPEX'!N$38),$M44*(1+'Insumos - OPEX'!N$29*'Insumos - OPEX'!N$39)*(1+'Insumos - OPEX'!N$38))</f>
        <v>0</v>
      </c>
      <c r="S44" s="111"/>
    </row>
    <row r="45" spans="1:21" s="3" customFormat="1" x14ac:dyDescent="0.2">
      <c r="A45" s="8"/>
      <c r="B45" s="8" t="s">
        <v>301</v>
      </c>
      <c r="C45" s="8" t="s">
        <v>171</v>
      </c>
      <c r="D45" s="8">
        <v>6354000001</v>
      </c>
      <c r="E45" s="8" t="s">
        <v>336</v>
      </c>
      <c r="F45" s="89" t="s">
        <v>469</v>
      </c>
      <c r="G45" s="73" t="s">
        <v>136</v>
      </c>
      <c r="H45" s="112" t="s">
        <v>61</v>
      </c>
      <c r="I45" s="13" t="s">
        <v>436</v>
      </c>
      <c r="J45" s="11"/>
      <c r="K45" s="186">
        <v>0</v>
      </c>
      <c r="L45" s="187"/>
      <c r="M45" s="214">
        <f>IF(OR(E45="Distribución Legal de la Renta",E45="Acopio carros portaequipajes"),0,IF(K45&lt;0,0,K45*(1+SUMIFS('Insumos - OPEX'!$G$82:$G$238,'Insumos - OPEX'!$B$82:$B$238,OPEX!D45))))</f>
        <v>0</v>
      </c>
      <c r="N45" s="211">
        <f>IF(OR($B45="Ce Co No Imputables",$G45="M2 fijo"),$M45*(1+'Insumos - OPEX'!J$38),$M45*(1+'Insumos - OPEX'!J$29*'Insumos - OPEX'!J$39)*(1+'Insumos - OPEX'!J$38))</f>
        <v>0</v>
      </c>
      <c r="O45" s="211">
        <f>IF(OR($B45="Ce Co No Imputables",$G45="M2 fijo"),$M45*(1+'Insumos - OPEX'!K$38),$M45*(1+'Insumos - OPEX'!K$29*'Insumos - OPEX'!K$39)*(1+'Insumos - OPEX'!K$38))</f>
        <v>0</v>
      </c>
      <c r="P45" s="211">
        <f>IF(OR($B45="Ce Co No Imputables",$G45="M2 fijo"),$M45*(1+'Insumos - OPEX'!L$38),$M45*(1+'Insumos - OPEX'!L$29*'Insumos - OPEX'!L$39)*(1+'Insumos - OPEX'!L$38))</f>
        <v>0</v>
      </c>
      <c r="Q45" s="211">
        <f>IF(OR($B45="Ce Co No Imputables",$G45="M2 fijo"),$M45*(1+'Insumos - OPEX'!M$38),$M45*(1+'Insumos - OPEX'!M$29*'Insumos - OPEX'!M$39)*(1+'Insumos - OPEX'!M$38))</f>
        <v>0</v>
      </c>
      <c r="R45" s="211">
        <f>IF(OR($B45="Ce Co No Imputables",$G45="M2 fijo"),$M45*(1+'Insumos - OPEX'!N$38),$M45*(1+'Insumos - OPEX'!N$29*'Insumos - OPEX'!N$39)*(1+'Insumos - OPEX'!N$38))</f>
        <v>0</v>
      </c>
      <c r="S45" s="111"/>
      <c r="U45" s="1"/>
    </row>
    <row r="46" spans="1:21" s="3" customFormat="1" x14ac:dyDescent="0.2">
      <c r="A46" s="8"/>
      <c r="B46" s="8" t="s">
        <v>301</v>
      </c>
      <c r="C46" s="8" t="s">
        <v>171</v>
      </c>
      <c r="D46" s="8">
        <v>6356000002</v>
      </c>
      <c r="E46" s="8" t="s">
        <v>337</v>
      </c>
      <c r="F46" s="89" t="s">
        <v>470</v>
      </c>
      <c r="G46" s="73" t="s">
        <v>136</v>
      </c>
      <c r="H46" s="112" t="s">
        <v>61</v>
      </c>
      <c r="I46" s="13" t="s">
        <v>436</v>
      </c>
      <c r="J46" s="11"/>
      <c r="K46" s="186">
        <v>0</v>
      </c>
      <c r="L46" s="187"/>
      <c r="M46" s="214">
        <f>IF(OR(E46="Distribución Legal de la Renta",E46="Acopio carros portaequipajes"),0,IF(K46&lt;0,0,K46*(1+SUMIFS('Insumos - OPEX'!$G$82:$G$238,'Insumos - OPEX'!$B$82:$B$238,OPEX!D46))))</f>
        <v>0</v>
      </c>
      <c r="N46" s="211">
        <f>IF(OR($B46="Ce Co No Imputables",$G46="M2 fijo"),$M46*(1+'Insumos - OPEX'!J$38),$M46*(1+'Insumos - OPEX'!J$29*'Insumos - OPEX'!J$39)*(1+'Insumos - OPEX'!J$38))</f>
        <v>0</v>
      </c>
      <c r="O46" s="211">
        <f>IF(OR($B46="Ce Co No Imputables",$G46="M2 fijo"),$M46*(1+'Insumos - OPEX'!K$38),$M46*(1+'Insumos - OPEX'!K$29*'Insumos - OPEX'!K$39)*(1+'Insumos - OPEX'!K$38))</f>
        <v>0</v>
      </c>
      <c r="P46" s="211">
        <f>IF(OR($B46="Ce Co No Imputables",$G46="M2 fijo"),$M46*(1+'Insumos - OPEX'!L$38),$M46*(1+'Insumos - OPEX'!L$29*'Insumos - OPEX'!L$39)*(1+'Insumos - OPEX'!L$38))</f>
        <v>0</v>
      </c>
      <c r="Q46" s="211">
        <f>IF(OR($B46="Ce Co No Imputables",$G46="M2 fijo"),$M46*(1+'Insumos - OPEX'!M$38),$M46*(1+'Insumos - OPEX'!M$29*'Insumos - OPEX'!M$39)*(1+'Insumos - OPEX'!M$38))</f>
        <v>0</v>
      </c>
      <c r="R46" s="211">
        <f>IF(OR($B46="Ce Co No Imputables",$G46="M2 fijo"),$M46*(1+'Insumos - OPEX'!N$38),$M46*(1+'Insumos - OPEX'!N$29*'Insumos - OPEX'!N$39)*(1+'Insumos - OPEX'!N$38))</f>
        <v>0</v>
      </c>
      <c r="S46" s="111"/>
      <c r="U46" s="1"/>
    </row>
    <row r="47" spans="1:21" x14ac:dyDescent="0.2">
      <c r="A47" s="8"/>
      <c r="B47" s="8" t="s">
        <v>301</v>
      </c>
      <c r="C47" s="8" t="s">
        <v>171</v>
      </c>
      <c r="D47" s="8">
        <v>6370000002</v>
      </c>
      <c r="E47" s="8" t="s">
        <v>338</v>
      </c>
      <c r="F47" s="89" t="s">
        <v>470</v>
      </c>
      <c r="G47" s="73" t="s">
        <v>136</v>
      </c>
      <c r="H47" s="112" t="s">
        <v>61</v>
      </c>
      <c r="I47" s="13" t="s">
        <v>436</v>
      </c>
      <c r="K47" s="186">
        <v>0</v>
      </c>
      <c r="L47" s="187"/>
      <c r="M47" s="214">
        <f>IF(OR(E47="Distribución Legal de la Renta",E47="Acopio carros portaequipajes"),0,IF(K47&lt;0,0,K47*(1+SUMIFS('Insumos - OPEX'!$G$82:$G$238,'Insumos - OPEX'!$B$82:$B$238,OPEX!D47))))</f>
        <v>0</v>
      </c>
      <c r="N47" s="211">
        <f>IF(OR($B47="Ce Co No Imputables",$G47="M2 fijo"),$M47*(1+'Insumos - OPEX'!J$38),$M47*(1+'Insumos - OPEX'!J$29*'Insumos - OPEX'!J$39)*(1+'Insumos - OPEX'!J$38))</f>
        <v>0</v>
      </c>
      <c r="O47" s="211">
        <f>IF(OR($B47="Ce Co No Imputables",$G47="M2 fijo"),$M47*(1+'Insumos - OPEX'!K$38),$M47*(1+'Insumos - OPEX'!K$29*'Insumos - OPEX'!K$39)*(1+'Insumos - OPEX'!K$38))</f>
        <v>0</v>
      </c>
      <c r="P47" s="211">
        <f>IF(OR($B47="Ce Co No Imputables",$G47="M2 fijo"),$M47*(1+'Insumos - OPEX'!L$38),$M47*(1+'Insumos - OPEX'!L$29*'Insumos - OPEX'!L$39)*(1+'Insumos - OPEX'!L$38))</f>
        <v>0</v>
      </c>
      <c r="Q47" s="211">
        <f>IF(OR($B47="Ce Co No Imputables",$G47="M2 fijo"),$M47*(1+'Insumos - OPEX'!M$38),$M47*(1+'Insumos - OPEX'!M$29*'Insumos - OPEX'!M$39)*(1+'Insumos - OPEX'!M$38))</f>
        <v>0</v>
      </c>
      <c r="R47" s="211">
        <f>IF(OR($B47="Ce Co No Imputables",$G47="M2 fijo"),$M47*(1+'Insumos - OPEX'!N$38),$M47*(1+'Insumos - OPEX'!N$29*'Insumos - OPEX'!N$39)*(1+'Insumos - OPEX'!N$38))</f>
        <v>0</v>
      </c>
      <c r="S47" s="111"/>
    </row>
    <row r="48" spans="1:21" x14ac:dyDescent="0.2">
      <c r="A48" s="8"/>
      <c r="B48" s="8" t="s">
        <v>301</v>
      </c>
      <c r="C48" s="8" t="s">
        <v>171</v>
      </c>
      <c r="D48" s="8">
        <v>6370000003</v>
      </c>
      <c r="E48" s="8" t="s">
        <v>339</v>
      </c>
      <c r="F48" s="89" t="s">
        <v>470</v>
      </c>
      <c r="G48" s="73" t="s">
        <v>136</v>
      </c>
      <c r="H48" s="112" t="s">
        <v>61</v>
      </c>
      <c r="I48" s="13" t="s">
        <v>436</v>
      </c>
      <c r="K48" s="186">
        <v>0</v>
      </c>
      <c r="L48" s="187"/>
      <c r="M48" s="214">
        <f>IF(OR(E48="Distribución Legal de la Renta",E48="Acopio carros portaequipajes"),0,IF(K48&lt;0,0,K48*(1+SUMIFS('Insumos - OPEX'!$G$82:$G$238,'Insumos - OPEX'!$B$82:$B$238,OPEX!D48))))</f>
        <v>0</v>
      </c>
      <c r="N48" s="211">
        <f>IF(OR($B48="Ce Co No Imputables",$G48="M2 fijo"),$M48*(1+'Insumos - OPEX'!J$38),$M48*(1+'Insumos - OPEX'!J$29*'Insumos - OPEX'!J$39)*(1+'Insumos - OPEX'!J$38))</f>
        <v>0</v>
      </c>
      <c r="O48" s="211">
        <f>IF(OR($B48="Ce Co No Imputables",$G48="M2 fijo"),$M48*(1+'Insumos - OPEX'!K$38),$M48*(1+'Insumos - OPEX'!K$29*'Insumos - OPEX'!K$39)*(1+'Insumos - OPEX'!K$38))</f>
        <v>0</v>
      </c>
      <c r="P48" s="211">
        <f>IF(OR($B48="Ce Co No Imputables",$G48="M2 fijo"),$M48*(1+'Insumos - OPEX'!L$38),$M48*(1+'Insumos - OPEX'!L$29*'Insumos - OPEX'!L$39)*(1+'Insumos - OPEX'!L$38))</f>
        <v>0</v>
      </c>
      <c r="Q48" s="211">
        <f>IF(OR($B48="Ce Co No Imputables",$G48="M2 fijo"),$M48*(1+'Insumos - OPEX'!M$38),$M48*(1+'Insumos - OPEX'!M$29*'Insumos - OPEX'!M$39)*(1+'Insumos - OPEX'!M$38))</f>
        <v>0</v>
      </c>
      <c r="R48" s="211">
        <f>IF(OR($B48="Ce Co No Imputables",$G48="M2 fijo"),$M48*(1+'Insumos - OPEX'!N$38),$M48*(1+'Insumos - OPEX'!N$29*'Insumos - OPEX'!N$39)*(1+'Insumos - OPEX'!N$38))</f>
        <v>0</v>
      </c>
      <c r="S48" s="111"/>
    </row>
    <row r="49" spans="1:21" x14ac:dyDescent="0.2">
      <c r="A49" s="8"/>
      <c r="B49" s="8" t="s">
        <v>301</v>
      </c>
      <c r="C49" s="8" t="s">
        <v>171</v>
      </c>
      <c r="D49" s="8">
        <v>6320000004</v>
      </c>
      <c r="E49" s="8" t="s">
        <v>340</v>
      </c>
      <c r="F49" s="89" t="s">
        <v>470</v>
      </c>
      <c r="G49" s="73" t="s">
        <v>136</v>
      </c>
      <c r="H49" s="112" t="s">
        <v>61</v>
      </c>
      <c r="I49" s="13" t="s">
        <v>436</v>
      </c>
      <c r="K49" s="186">
        <v>0</v>
      </c>
      <c r="L49" s="187"/>
      <c r="M49" s="214">
        <f>IF(OR(E49="Distribución Legal de la Renta",E49="Acopio carros portaequipajes"),0,IF(K49&lt;0,0,K49*(1+SUMIFS('Insumos - OPEX'!$G$82:$G$238,'Insumos - OPEX'!$B$82:$B$238,OPEX!D49))))</f>
        <v>0</v>
      </c>
      <c r="N49" s="211">
        <f>IF(OR($B49="Ce Co No Imputables",$G49="M2 fijo"),$M49*(1+'Insumos - OPEX'!J$38),$M49*(1+'Insumos - OPEX'!J$29*'Insumos - OPEX'!J$39)*(1+'Insumos - OPEX'!J$38))</f>
        <v>0</v>
      </c>
      <c r="O49" s="211">
        <f>IF(OR($B49="Ce Co No Imputables",$G49="M2 fijo"),$M49*(1+'Insumos - OPEX'!K$38),$M49*(1+'Insumos - OPEX'!K$29*'Insumos - OPEX'!K$39)*(1+'Insumos - OPEX'!K$38))</f>
        <v>0</v>
      </c>
      <c r="P49" s="211">
        <f>IF(OR($B49="Ce Co No Imputables",$G49="M2 fijo"),$M49*(1+'Insumos - OPEX'!L$38),$M49*(1+'Insumos - OPEX'!L$29*'Insumos - OPEX'!L$39)*(1+'Insumos - OPEX'!L$38))</f>
        <v>0</v>
      </c>
      <c r="Q49" s="211">
        <f>IF(OR($B49="Ce Co No Imputables",$G49="M2 fijo"),$M49*(1+'Insumos - OPEX'!M$38),$M49*(1+'Insumos - OPEX'!M$29*'Insumos - OPEX'!M$39)*(1+'Insumos - OPEX'!M$38))</f>
        <v>0</v>
      </c>
      <c r="R49" s="211">
        <f>IF(OR($B49="Ce Co No Imputables",$G49="M2 fijo"),$M49*(1+'Insumos - OPEX'!N$38),$M49*(1+'Insumos - OPEX'!N$29*'Insumos - OPEX'!N$39)*(1+'Insumos - OPEX'!N$38))</f>
        <v>0</v>
      </c>
      <c r="S49" s="111"/>
    </row>
    <row r="50" spans="1:21" x14ac:dyDescent="0.2">
      <c r="A50" s="8"/>
      <c r="B50" s="8" t="s">
        <v>301</v>
      </c>
      <c r="C50" s="8" t="s">
        <v>171</v>
      </c>
      <c r="D50" s="8">
        <v>6329000003</v>
      </c>
      <c r="E50" s="8" t="s">
        <v>341</v>
      </c>
      <c r="F50" s="89" t="s">
        <v>470</v>
      </c>
      <c r="G50" s="73" t="s">
        <v>136</v>
      </c>
      <c r="H50" s="112" t="s">
        <v>61</v>
      </c>
      <c r="I50" s="13" t="s">
        <v>436</v>
      </c>
      <c r="K50" s="186">
        <v>0</v>
      </c>
      <c r="L50" s="187"/>
      <c r="M50" s="214">
        <f>IF(OR(E50="Distribución Legal de la Renta",E50="Acopio carros portaequipajes"),0,IF(K50&lt;0,0,K50*(1+SUMIFS('Insumos - OPEX'!$G$82:$G$238,'Insumos - OPEX'!$B$82:$B$238,OPEX!D50))))</f>
        <v>0</v>
      </c>
      <c r="N50" s="211">
        <f>IF(OR($B50="Ce Co No Imputables",$G50="M2 fijo"),$M50*(1+'Insumos - OPEX'!J$38),$M50*(1+'Insumos - OPEX'!J$29*'Insumos - OPEX'!J$39)*(1+'Insumos - OPEX'!J$38))</f>
        <v>0</v>
      </c>
      <c r="O50" s="211">
        <f>IF(OR($B50="Ce Co No Imputables",$G50="M2 fijo"),$M50*(1+'Insumos - OPEX'!K$38),$M50*(1+'Insumos - OPEX'!K$29*'Insumos - OPEX'!K$39)*(1+'Insumos - OPEX'!K$38))</f>
        <v>0</v>
      </c>
      <c r="P50" s="211">
        <f>IF(OR($B50="Ce Co No Imputables",$G50="M2 fijo"),$M50*(1+'Insumos - OPEX'!L$38),$M50*(1+'Insumos - OPEX'!L$29*'Insumos - OPEX'!L$39)*(1+'Insumos - OPEX'!L$38))</f>
        <v>0</v>
      </c>
      <c r="Q50" s="211">
        <f>IF(OR($B50="Ce Co No Imputables",$G50="M2 fijo"),$M50*(1+'Insumos - OPEX'!M$38),$M50*(1+'Insumos - OPEX'!M$29*'Insumos - OPEX'!M$39)*(1+'Insumos - OPEX'!M$38))</f>
        <v>0</v>
      </c>
      <c r="R50" s="211">
        <f>IF(OR($B50="Ce Co No Imputables",$G50="M2 fijo"),$M50*(1+'Insumos - OPEX'!N$38),$M50*(1+'Insumos - OPEX'!N$29*'Insumos - OPEX'!N$39)*(1+'Insumos - OPEX'!N$38))</f>
        <v>0</v>
      </c>
      <c r="S50" s="111"/>
    </row>
    <row r="51" spans="1:21" x14ac:dyDescent="0.2">
      <c r="A51" s="8"/>
      <c r="B51" s="8" t="s">
        <v>301</v>
      </c>
      <c r="C51" s="8" t="s">
        <v>171</v>
      </c>
      <c r="D51" s="8">
        <v>6320000005</v>
      </c>
      <c r="E51" s="8" t="s">
        <v>342</v>
      </c>
      <c r="F51" s="89" t="s">
        <v>470</v>
      </c>
      <c r="G51" s="73" t="s">
        <v>136</v>
      </c>
      <c r="H51" s="112" t="s">
        <v>61</v>
      </c>
      <c r="I51" s="13" t="s">
        <v>436</v>
      </c>
      <c r="K51" s="186">
        <v>0</v>
      </c>
      <c r="L51" s="187"/>
      <c r="M51" s="214">
        <f>IF(OR(E51="Distribución Legal de la Renta",E51="Acopio carros portaequipajes"),0,IF(K51&lt;0,0,K51*(1+SUMIFS('Insumos - OPEX'!$G$82:$G$238,'Insumos - OPEX'!$B$82:$B$238,OPEX!D51))))</f>
        <v>0</v>
      </c>
      <c r="N51" s="211">
        <f>IF(OR($B51="Ce Co No Imputables",$G51="M2 fijo"),$M51*(1+'Insumos - OPEX'!J$38),$M51*(1+'Insumos - OPEX'!J$29*'Insumos - OPEX'!J$39)*(1+'Insumos - OPEX'!J$38))</f>
        <v>0</v>
      </c>
      <c r="O51" s="211">
        <f>IF(OR($B51="Ce Co No Imputables",$G51="M2 fijo"),$M51*(1+'Insumos - OPEX'!K$38),$M51*(1+'Insumos - OPEX'!K$29*'Insumos - OPEX'!K$39)*(1+'Insumos - OPEX'!K$38))</f>
        <v>0</v>
      </c>
      <c r="P51" s="211">
        <f>IF(OR($B51="Ce Co No Imputables",$G51="M2 fijo"),$M51*(1+'Insumos - OPEX'!L$38),$M51*(1+'Insumos - OPEX'!L$29*'Insumos - OPEX'!L$39)*(1+'Insumos - OPEX'!L$38))</f>
        <v>0</v>
      </c>
      <c r="Q51" s="211">
        <f>IF(OR($B51="Ce Co No Imputables",$G51="M2 fijo"),$M51*(1+'Insumos - OPEX'!M$38),$M51*(1+'Insumos - OPEX'!M$29*'Insumos - OPEX'!M$39)*(1+'Insumos - OPEX'!M$38))</f>
        <v>0</v>
      </c>
      <c r="R51" s="211">
        <f>IF(OR($B51="Ce Co No Imputables",$G51="M2 fijo"),$M51*(1+'Insumos - OPEX'!N$38),$M51*(1+'Insumos - OPEX'!N$29*'Insumos - OPEX'!N$39)*(1+'Insumos - OPEX'!N$38))</f>
        <v>0</v>
      </c>
      <c r="S51" s="111"/>
    </row>
    <row r="52" spans="1:21" x14ac:dyDescent="0.2">
      <c r="A52" s="8"/>
      <c r="B52" s="8" t="s">
        <v>301</v>
      </c>
      <c r="C52" s="8" t="s">
        <v>171</v>
      </c>
      <c r="D52" s="8">
        <v>6356000001</v>
      </c>
      <c r="E52" s="8" t="s">
        <v>343</v>
      </c>
      <c r="F52" s="89" t="s">
        <v>469</v>
      </c>
      <c r="G52" s="73" t="s">
        <v>136</v>
      </c>
      <c r="H52" s="112" t="s">
        <v>61</v>
      </c>
      <c r="I52" s="13" t="s">
        <v>436</v>
      </c>
      <c r="K52" s="186">
        <v>0</v>
      </c>
      <c r="L52" s="187"/>
      <c r="M52" s="214">
        <f>IF(OR(E52="Distribución Legal de la Renta",E52="Acopio carros portaequipajes"),0,IF(K52&lt;0,0,K52*(1+SUMIFS('Insumos - OPEX'!$G$82:$G$238,'Insumos - OPEX'!$B$82:$B$238,OPEX!D52))))</f>
        <v>0</v>
      </c>
      <c r="N52" s="211">
        <f>IF(OR($B52="Ce Co No Imputables",$G52="M2 fijo"),$M52*(1+'Insumos - OPEX'!J$38),$M52*(1+'Insumos - OPEX'!J$29*'Insumos - OPEX'!J$39)*(1+'Insumos - OPEX'!J$38))</f>
        <v>0</v>
      </c>
      <c r="O52" s="211">
        <f>IF(OR($B52="Ce Co No Imputables",$G52="M2 fijo"),$M52*(1+'Insumos - OPEX'!K$38),$M52*(1+'Insumos - OPEX'!K$29*'Insumos - OPEX'!K$39)*(1+'Insumos - OPEX'!K$38))</f>
        <v>0</v>
      </c>
      <c r="P52" s="211">
        <f>IF(OR($B52="Ce Co No Imputables",$G52="M2 fijo"),$M52*(1+'Insumos - OPEX'!L$38),$M52*(1+'Insumos - OPEX'!L$29*'Insumos - OPEX'!L$39)*(1+'Insumos - OPEX'!L$38))</f>
        <v>0</v>
      </c>
      <c r="Q52" s="211">
        <f>IF(OR($B52="Ce Co No Imputables",$G52="M2 fijo"),$M52*(1+'Insumos - OPEX'!M$38),$M52*(1+'Insumos - OPEX'!M$29*'Insumos - OPEX'!M$39)*(1+'Insumos - OPEX'!M$38))</f>
        <v>0</v>
      </c>
      <c r="R52" s="211">
        <f>IF(OR($B52="Ce Co No Imputables",$G52="M2 fijo"),$M52*(1+'Insumos - OPEX'!N$38),$M52*(1+'Insumos - OPEX'!N$29*'Insumos - OPEX'!N$39)*(1+'Insumos - OPEX'!N$38))</f>
        <v>0</v>
      </c>
      <c r="S52" s="111"/>
    </row>
    <row r="53" spans="1:21" s="3" customFormat="1" x14ac:dyDescent="0.2">
      <c r="A53" s="8"/>
      <c r="B53" s="8" t="s">
        <v>301</v>
      </c>
      <c r="C53" s="8" t="s">
        <v>171</v>
      </c>
      <c r="D53" s="8">
        <v>6320000006</v>
      </c>
      <c r="E53" s="8" t="s">
        <v>344</v>
      </c>
      <c r="F53" s="89" t="s">
        <v>470</v>
      </c>
      <c r="G53" s="73" t="s">
        <v>136</v>
      </c>
      <c r="H53" s="112" t="s">
        <v>61</v>
      </c>
      <c r="I53" s="13" t="s">
        <v>436</v>
      </c>
      <c r="J53" s="11"/>
      <c r="K53" s="186">
        <v>0</v>
      </c>
      <c r="L53" s="187"/>
      <c r="M53" s="214">
        <f>IF(OR(E53="Distribución Legal de la Renta",E53="Acopio carros portaequipajes"),0,IF(K53&lt;0,0,K53*(1+SUMIFS('Insumos - OPEX'!$G$82:$G$238,'Insumos - OPEX'!$B$82:$B$238,OPEX!D53))))</f>
        <v>0</v>
      </c>
      <c r="N53" s="211">
        <f>IF(OR($B53="Ce Co No Imputables",$G53="M2 fijo"),$M53*(1+'Insumos - OPEX'!J$38),$M53*(1+'Insumos - OPEX'!J$29*'Insumos - OPEX'!J$39)*(1+'Insumos - OPEX'!J$38))</f>
        <v>0</v>
      </c>
      <c r="O53" s="211">
        <f>IF(OR($B53="Ce Co No Imputables",$G53="M2 fijo"),$M53*(1+'Insumos - OPEX'!K$38),$M53*(1+'Insumos - OPEX'!K$29*'Insumos - OPEX'!K$39)*(1+'Insumos - OPEX'!K$38))</f>
        <v>0</v>
      </c>
      <c r="P53" s="211">
        <f>IF(OR($B53="Ce Co No Imputables",$G53="M2 fijo"),$M53*(1+'Insumos - OPEX'!L$38),$M53*(1+'Insumos - OPEX'!L$29*'Insumos - OPEX'!L$39)*(1+'Insumos - OPEX'!L$38))</f>
        <v>0</v>
      </c>
      <c r="Q53" s="211">
        <f>IF(OR($B53="Ce Co No Imputables",$G53="M2 fijo"),$M53*(1+'Insumos - OPEX'!M$38),$M53*(1+'Insumos - OPEX'!M$29*'Insumos - OPEX'!M$39)*(1+'Insumos - OPEX'!M$38))</f>
        <v>0</v>
      </c>
      <c r="R53" s="211">
        <f>IF(OR($B53="Ce Co No Imputables",$G53="M2 fijo"),$M53*(1+'Insumos - OPEX'!N$38),$M53*(1+'Insumos - OPEX'!N$29*'Insumos - OPEX'!N$39)*(1+'Insumos - OPEX'!N$38))</f>
        <v>0</v>
      </c>
      <c r="S53" s="111"/>
      <c r="U53" s="1"/>
    </row>
    <row r="54" spans="1:21" x14ac:dyDescent="0.2">
      <c r="A54" s="8"/>
      <c r="B54" s="8" t="s">
        <v>301</v>
      </c>
      <c r="C54" s="8" t="s">
        <v>171</v>
      </c>
      <c r="D54" s="8">
        <v>6380000012</v>
      </c>
      <c r="E54" s="8" t="s">
        <v>345</v>
      </c>
      <c r="F54" s="89" t="s">
        <v>470</v>
      </c>
      <c r="G54" s="73" t="s">
        <v>136</v>
      </c>
      <c r="H54" s="112" t="s">
        <v>61</v>
      </c>
      <c r="I54" s="13" t="s">
        <v>436</v>
      </c>
      <c r="K54" s="186">
        <v>0</v>
      </c>
      <c r="L54" s="187"/>
      <c r="M54" s="214">
        <f>IF(OR(E54="Distribución Legal de la Renta",E54="Acopio carros portaequipajes"),0,IF(K54&lt;0,0,K54*(1+SUMIFS('Insumos - OPEX'!$G$82:$G$238,'Insumos - OPEX'!$B$82:$B$238,OPEX!D54))))</f>
        <v>0</v>
      </c>
      <c r="N54" s="211">
        <f>IF(OR($B54="Ce Co No Imputables",$G54="M2 fijo"),$M54*(1+'Insumos - OPEX'!J$38),$M54*(1+'Insumos - OPEX'!J$29*'Insumos - OPEX'!J$39)*(1+'Insumos - OPEX'!J$38))</f>
        <v>0</v>
      </c>
      <c r="O54" s="211">
        <f>IF(OR($B54="Ce Co No Imputables",$G54="M2 fijo"),$M54*(1+'Insumos - OPEX'!K$38),$M54*(1+'Insumos - OPEX'!K$29*'Insumos - OPEX'!K$39)*(1+'Insumos - OPEX'!K$38))</f>
        <v>0</v>
      </c>
      <c r="P54" s="211">
        <f>IF(OR($B54="Ce Co No Imputables",$G54="M2 fijo"),$M54*(1+'Insumos - OPEX'!L$38),$M54*(1+'Insumos - OPEX'!L$29*'Insumos - OPEX'!L$39)*(1+'Insumos - OPEX'!L$38))</f>
        <v>0</v>
      </c>
      <c r="Q54" s="211">
        <f>IF(OR($B54="Ce Co No Imputables",$G54="M2 fijo"),$M54*(1+'Insumos - OPEX'!M$38),$M54*(1+'Insumos - OPEX'!M$29*'Insumos - OPEX'!M$39)*(1+'Insumos - OPEX'!M$38))</f>
        <v>0</v>
      </c>
      <c r="R54" s="211">
        <f>IF(OR($B54="Ce Co No Imputables",$G54="M2 fijo"),$M54*(1+'Insumos - OPEX'!N$38),$M54*(1+'Insumos - OPEX'!N$29*'Insumos - OPEX'!N$39)*(1+'Insumos - OPEX'!N$38))</f>
        <v>0</v>
      </c>
      <c r="S54" s="111"/>
    </row>
    <row r="55" spans="1:21" x14ac:dyDescent="0.2">
      <c r="A55" s="8"/>
      <c r="B55" s="8" t="s">
        <v>301</v>
      </c>
      <c r="C55" s="8" t="s">
        <v>171</v>
      </c>
      <c r="D55" s="8">
        <v>6320000002</v>
      </c>
      <c r="E55" s="8" t="s">
        <v>346</v>
      </c>
      <c r="F55" s="89" t="s">
        <v>470</v>
      </c>
      <c r="G55" s="73" t="s">
        <v>136</v>
      </c>
      <c r="H55" s="112" t="s">
        <v>61</v>
      </c>
      <c r="I55" s="13" t="s">
        <v>436</v>
      </c>
      <c r="K55" s="186">
        <v>0</v>
      </c>
      <c r="L55" s="187"/>
      <c r="M55" s="214">
        <f>IF(OR(E55="Distribución Legal de la Renta",E55="Acopio carros portaequipajes"),0,IF(K55&lt;0,0,K55*(1+SUMIFS('Insumos - OPEX'!$G$82:$G$238,'Insumos - OPEX'!$B$82:$B$238,OPEX!D55))))</f>
        <v>0</v>
      </c>
      <c r="N55" s="211">
        <f>IF(OR($B55="Ce Co No Imputables",$G55="M2 fijo"),$M55*(1+'Insumos - OPEX'!J$38),$M55*(1+'Insumos - OPEX'!J$29*'Insumos - OPEX'!J$39)*(1+'Insumos - OPEX'!J$38))</f>
        <v>0</v>
      </c>
      <c r="O55" s="211">
        <f>IF(OR($B55="Ce Co No Imputables",$G55="M2 fijo"),$M55*(1+'Insumos - OPEX'!K$38),$M55*(1+'Insumos - OPEX'!K$29*'Insumos - OPEX'!K$39)*(1+'Insumos - OPEX'!K$38))</f>
        <v>0</v>
      </c>
      <c r="P55" s="211">
        <f>IF(OR($B55="Ce Co No Imputables",$G55="M2 fijo"),$M55*(1+'Insumos - OPEX'!L$38),$M55*(1+'Insumos - OPEX'!L$29*'Insumos - OPEX'!L$39)*(1+'Insumos - OPEX'!L$38))</f>
        <v>0</v>
      </c>
      <c r="Q55" s="211">
        <f>IF(OR($B55="Ce Co No Imputables",$G55="M2 fijo"),$M55*(1+'Insumos - OPEX'!M$38),$M55*(1+'Insumos - OPEX'!M$29*'Insumos - OPEX'!M$39)*(1+'Insumos - OPEX'!M$38))</f>
        <v>0</v>
      </c>
      <c r="R55" s="211">
        <f>IF(OR($B55="Ce Co No Imputables",$G55="M2 fijo"),$M55*(1+'Insumos - OPEX'!N$38),$M55*(1+'Insumos - OPEX'!N$29*'Insumos - OPEX'!N$39)*(1+'Insumos - OPEX'!N$38))</f>
        <v>0</v>
      </c>
      <c r="S55" s="111"/>
    </row>
    <row r="56" spans="1:21" x14ac:dyDescent="0.2">
      <c r="A56" s="8"/>
      <c r="B56" s="8" t="s">
        <v>301</v>
      </c>
      <c r="C56" s="8" t="s">
        <v>171</v>
      </c>
      <c r="D56" s="8">
        <v>6370000001</v>
      </c>
      <c r="E56" s="8" t="s">
        <v>270</v>
      </c>
      <c r="F56" s="89" t="s">
        <v>469</v>
      </c>
      <c r="G56" s="73" t="s">
        <v>136</v>
      </c>
      <c r="H56" s="112" t="s">
        <v>61</v>
      </c>
      <c r="I56" s="13" t="s">
        <v>436</v>
      </c>
      <c r="K56" s="186">
        <v>0</v>
      </c>
      <c r="L56" s="187"/>
      <c r="M56" s="214">
        <f>IF(OR(E56="Distribución Legal de la Renta",E56="Acopio carros portaequipajes"),0,IF(K56&lt;0,0,K56*(1+SUMIFS('Insumos - OPEX'!$G$82:$G$238,'Insumos - OPEX'!$B$82:$B$238,OPEX!D56))))</f>
        <v>0</v>
      </c>
      <c r="N56" s="211">
        <f>IF(OR($B56="Ce Co No Imputables",$G56="M2 fijo"),$M56*(1+'Insumos - OPEX'!J$38),$M56*(1+'Insumos - OPEX'!J$29*'Insumos - OPEX'!J$39)*(1+'Insumos - OPEX'!J$38))</f>
        <v>0</v>
      </c>
      <c r="O56" s="211">
        <f>IF(OR($B56="Ce Co No Imputables",$G56="M2 fijo"),$M56*(1+'Insumos - OPEX'!K$38),$M56*(1+'Insumos - OPEX'!K$29*'Insumos - OPEX'!K$39)*(1+'Insumos - OPEX'!K$38))</f>
        <v>0</v>
      </c>
      <c r="P56" s="211">
        <f>IF(OR($B56="Ce Co No Imputables",$G56="M2 fijo"),$M56*(1+'Insumos - OPEX'!L$38),$M56*(1+'Insumos - OPEX'!L$29*'Insumos - OPEX'!L$39)*(1+'Insumos - OPEX'!L$38))</f>
        <v>0</v>
      </c>
      <c r="Q56" s="211">
        <f>IF(OR($B56="Ce Co No Imputables",$G56="M2 fijo"),$M56*(1+'Insumos - OPEX'!M$38),$M56*(1+'Insumos - OPEX'!M$29*'Insumos - OPEX'!M$39)*(1+'Insumos - OPEX'!M$38))</f>
        <v>0</v>
      </c>
      <c r="R56" s="211">
        <f>IF(OR($B56="Ce Co No Imputables",$G56="M2 fijo"),$M56*(1+'Insumos - OPEX'!N$38),$M56*(1+'Insumos - OPEX'!N$29*'Insumos - OPEX'!N$39)*(1+'Insumos - OPEX'!N$38))</f>
        <v>0</v>
      </c>
      <c r="S56" s="111"/>
    </row>
    <row r="57" spans="1:21" x14ac:dyDescent="0.2">
      <c r="A57" s="8"/>
      <c r="B57" s="8" t="s">
        <v>301</v>
      </c>
      <c r="C57" s="8" t="s">
        <v>171</v>
      </c>
      <c r="D57" s="8">
        <v>6311300002</v>
      </c>
      <c r="E57" s="8" t="s">
        <v>347</v>
      </c>
      <c r="F57" s="89" t="s">
        <v>470</v>
      </c>
      <c r="G57" s="73" t="s">
        <v>136</v>
      </c>
      <c r="H57" s="112" t="s">
        <v>61</v>
      </c>
      <c r="I57" s="13" t="s">
        <v>436</v>
      </c>
      <c r="K57" s="186">
        <v>0</v>
      </c>
      <c r="L57" s="187"/>
      <c r="M57" s="214">
        <f>IF(OR(E57="Distribución Legal de la Renta",E57="Acopio carros portaequipajes"),0,IF(K57&lt;0,0,K57*(1+SUMIFS('Insumos - OPEX'!$G$82:$G$238,'Insumos - OPEX'!$B$82:$B$238,OPEX!D57))))</f>
        <v>0</v>
      </c>
      <c r="N57" s="211">
        <f>IF(OR($B57="Ce Co No Imputables",$G57="M2 fijo"),$M57*(1+'Insumos - OPEX'!J$38),$M57*(1+'Insumos - OPEX'!J$29*'Insumos - OPEX'!J$39)*(1+'Insumos - OPEX'!J$38))</f>
        <v>0</v>
      </c>
      <c r="O57" s="211">
        <f>IF(OR($B57="Ce Co No Imputables",$G57="M2 fijo"),$M57*(1+'Insumos - OPEX'!K$38),$M57*(1+'Insumos - OPEX'!K$29*'Insumos - OPEX'!K$39)*(1+'Insumos - OPEX'!K$38))</f>
        <v>0</v>
      </c>
      <c r="P57" s="211">
        <f>IF(OR($B57="Ce Co No Imputables",$G57="M2 fijo"),$M57*(1+'Insumos - OPEX'!L$38),$M57*(1+'Insumos - OPEX'!L$29*'Insumos - OPEX'!L$39)*(1+'Insumos - OPEX'!L$38))</f>
        <v>0</v>
      </c>
      <c r="Q57" s="211">
        <f>IF(OR($B57="Ce Co No Imputables",$G57="M2 fijo"),$M57*(1+'Insumos - OPEX'!M$38),$M57*(1+'Insumos - OPEX'!M$29*'Insumos - OPEX'!M$39)*(1+'Insumos - OPEX'!M$38))</f>
        <v>0</v>
      </c>
      <c r="R57" s="211">
        <f>IF(OR($B57="Ce Co No Imputables",$G57="M2 fijo"),$M57*(1+'Insumos - OPEX'!N$38),$M57*(1+'Insumos - OPEX'!N$29*'Insumos - OPEX'!N$39)*(1+'Insumos - OPEX'!N$38))</f>
        <v>0</v>
      </c>
      <c r="S57" s="111"/>
    </row>
    <row r="58" spans="1:21" x14ac:dyDescent="0.2">
      <c r="A58" s="8"/>
      <c r="B58" s="8" t="s">
        <v>301</v>
      </c>
      <c r="C58" s="8" t="s">
        <v>171</v>
      </c>
      <c r="D58" s="8">
        <v>6380000029</v>
      </c>
      <c r="E58" s="8" t="s">
        <v>348</v>
      </c>
      <c r="F58" s="89" t="s">
        <v>470</v>
      </c>
      <c r="G58" s="73" t="s">
        <v>136</v>
      </c>
      <c r="H58" s="112" t="s">
        <v>61</v>
      </c>
      <c r="I58" s="13" t="s">
        <v>436</v>
      </c>
      <c r="K58" s="186">
        <v>0</v>
      </c>
      <c r="L58" s="187"/>
      <c r="M58" s="214">
        <f>IF(OR(E58="Distribución Legal de la Renta",E58="Acopio carros portaequipajes"),0,IF(K58&lt;0,0,K58*(1+SUMIFS('Insumos - OPEX'!$G$82:$G$238,'Insumos - OPEX'!$B$82:$B$238,OPEX!D58))))</f>
        <v>0</v>
      </c>
      <c r="N58" s="211">
        <f>IF(OR($B58="Ce Co No Imputables",$G58="M2 fijo"),$M58*(1+'Insumos - OPEX'!J$38),$M58*(1+'Insumos - OPEX'!J$29*'Insumos - OPEX'!J$39)*(1+'Insumos - OPEX'!J$38))</f>
        <v>0</v>
      </c>
      <c r="O58" s="211">
        <f>IF(OR($B58="Ce Co No Imputables",$G58="M2 fijo"),$M58*(1+'Insumos - OPEX'!K$38),$M58*(1+'Insumos - OPEX'!K$29*'Insumos - OPEX'!K$39)*(1+'Insumos - OPEX'!K$38))</f>
        <v>0</v>
      </c>
      <c r="P58" s="211">
        <f>IF(OR($B58="Ce Co No Imputables",$G58="M2 fijo"),$M58*(1+'Insumos - OPEX'!L$38),$M58*(1+'Insumos - OPEX'!L$29*'Insumos - OPEX'!L$39)*(1+'Insumos - OPEX'!L$38))</f>
        <v>0</v>
      </c>
      <c r="Q58" s="211">
        <f>IF(OR($B58="Ce Co No Imputables",$G58="M2 fijo"),$M58*(1+'Insumos - OPEX'!M$38),$M58*(1+'Insumos - OPEX'!M$29*'Insumos - OPEX'!M$39)*(1+'Insumos - OPEX'!M$38))</f>
        <v>0</v>
      </c>
      <c r="R58" s="211">
        <f>IF(OR($B58="Ce Co No Imputables",$G58="M2 fijo"),$M58*(1+'Insumos - OPEX'!N$38),$M58*(1+'Insumos - OPEX'!N$29*'Insumos - OPEX'!N$39)*(1+'Insumos - OPEX'!N$38))</f>
        <v>0</v>
      </c>
      <c r="S58" s="111"/>
    </row>
    <row r="59" spans="1:21" s="3" customFormat="1" x14ac:dyDescent="0.2">
      <c r="A59" s="8"/>
      <c r="B59" s="8" t="s">
        <v>301</v>
      </c>
      <c r="C59" s="8" t="s">
        <v>171</v>
      </c>
      <c r="D59" s="8">
        <v>6382000001</v>
      </c>
      <c r="E59" s="8" t="s">
        <v>349</v>
      </c>
      <c r="F59" s="89" t="s">
        <v>469</v>
      </c>
      <c r="G59" s="73" t="s">
        <v>136</v>
      </c>
      <c r="H59" s="112" t="s">
        <v>61</v>
      </c>
      <c r="I59" s="13" t="s">
        <v>436</v>
      </c>
      <c r="J59" s="11"/>
      <c r="K59" s="186">
        <v>0</v>
      </c>
      <c r="L59" s="187"/>
      <c r="M59" s="214">
        <f>IF(OR(E59="Distribución Legal de la Renta",E59="Acopio carros portaequipajes"),0,IF(K59&lt;0,0,K59*(1+SUMIFS('Insumos - OPEX'!$G$82:$G$238,'Insumos - OPEX'!$B$82:$B$238,OPEX!D59))))</f>
        <v>0</v>
      </c>
      <c r="N59" s="211">
        <f>IF(OR($B59="Ce Co No Imputables",$G59="M2 fijo"),$M59*(1+'Insumos - OPEX'!J$38),$M59*(1+'Insumos - OPEX'!J$29*'Insumos - OPEX'!J$39)*(1+'Insumos - OPEX'!J$38))</f>
        <v>0</v>
      </c>
      <c r="O59" s="211">
        <f>IF(OR($B59="Ce Co No Imputables",$G59="M2 fijo"),$M59*(1+'Insumos - OPEX'!K$38),$M59*(1+'Insumos - OPEX'!K$29*'Insumos - OPEX'!K$39)*(1+'Insumos - OPEX'!K$38))</f>
        <v>0</v>
      </c>
      <c r="P59" s="211">
        <f>IF(OR($B59="Ce Co No Imputables",$G59="M2 fijo"),$M59*(1+'Insumos - OPEX'!L$38),$M59*(1+'Insumos - OPEX'!L$29*'Insumos - OPEX'!L$39)*(1+'Insumos - OPEX'!L$38))</f>
        <v>0</v>
      </c>
      <c r="Q59" s="211">
        <f>IF(OR($B59="Ce Co No Imputables",$G59="M2 fijo"),$M59*(1+'Insumos - OPEX'!M$38),$M59*(1+'Insumos - OPEX'!M$29*'Insumos - OPEX'!M$39)*(1+'Insumos - OPEX'!M$38))</f>
        <v>0</v>
      </c>
      <c r="R59" s="211">
        <f>IF(OR($B59="Ce Co No Imputables",$G59="M2 fijo"),$M59*(1+'Insumos - OPEX'!N$38),$M59*(1+'Insumos - OPEX'!N$29*'Insumos - OPEX'!N$39)*(1+'Insumos - OPEX'!N$38))</f>
        <v>0</v>
      </c>
      <c r="S59" s="111"/>
      <c r="U59" s="1"/>
    </row>
    <row r="60" spans="1:21" x14ac:dyDescent="0.2">
      <c r="A60" s="8"/>
      <c r="B60" s="8" t="s">
        <v>301</v>
      </c>
      <c r="C60" s="8" t="s">
        <v>171</v>
      </c>
      <c r="D60" s="8">
        <v>6381000004</v>
      </c>
      <c r="E60" s="8" t="s">
        <v>350</v>
      </c>
      <c r="F60" s="89" t="s">
        <v>470</v>
      </c>
      <c r="G60" s="73" t="s">
        <v>136</v>
      </c>
      <c r="H60" s="112" t="s">
        <v>61</v>
      </c>
      <c r="I60" s="13" t="s">
        <v>436</v>
      </c>
      <c r="K60" s="186">
        <v>0</v>
      </c>
      <c r="L60" s="187"/>
      <c r="M60" s="214">
        <f>IF(OR(E60="Distribución Legal de la Renta",E60="Acopio carros portaequipajes"),0,IF(K60&lt;0,0,K60*(1+SUMIFS('Insumos - OPEX'!$G$82:$G$238,'Insumos - OPEX'!$B$82:$B$238,OPEX!D60))))</f>
        <v>0</v>
      </c>
      <c r="N60" s="211">
        <f>IF(OR($B60="Ce Co No Imputables",$G60="M2 fijo"),$M60*(1+'Insumos - OPEX'!J$38),$M60*(1+'Insumos - OPEX'!J$29*'Insumos - OPEX'!J$39)*(1+'Insumos - OPEX'!J$38))</f>
        <v>0</v>
      </c>
      <c r="O60" s="211">
        <f>IF(OR($B60="Ce Co No Imputables",$G60="M2 fijo"),$M60*(1+'Insumos - OPEX'!K$38),$M60*(1+'Insumos - OPEX'!K$29*'Insumos - OPEX'!K$39)*(1+'Insumos - OPEX'!K$38))</f>
        <v>0</v>
      </c>
      <c r="P60" s="211">
        <f>IF(OR($B60="Ce Co No Imputables",$G60="M2 fijo"),$M60*(1+'Insumos - OPEX'!L$38),$M60*(1+'Insumos - OPEX'!L$29*'Insumos - OPEX'!L$39)*(1+'Insumos - OPEX'!L$38))</f>
        <v>0</v>
      </c>
      <c r="Q60" s="211">
        <f>IF(OR($B60="Ce Co No Imputables",$G60="M2 fijo"),$M60*(1+'Insumos - OPEX'!M$38),$M60*(1+'Insumos - OPEX'!M$29*'Insumos - OPEX'!M$39)*(1+'Insumos - OPEX'!M$38))</f>
        <v>0</v>
      </c>
      <c r="R60" s="211">
        <f>IF(OR($B60="Ce Co No Imputables",$G60="M2 fijo"),$M60*(1+'Insumos - OPEX'!N$38),$M60*(1+'Insumos - OPEX'!N$29*'Insumos - OPEX'!N$39)*(1+'Insumos - OPEX'!N$38))</f>
        <v>0</v>
      </c>
      <c r="S60" s="111"/>
    </row>
    <row r="61" spans="1:21" x14ac:dyDescent="0.2">
      <c r="A61" s="8"/>
      <c r="B61" s="8" t="s">
        <v>301</v>
      </c>
      <c r="C61" s="8" t="s">
        <v>171</v>
      </c>
      <c r="D61" s="8">
        <v>6382000002</v>
      </c>
      <c r="E61" s="8" t="s">
        <v>351</v>
      </c>
      <c r="F61" s="89" t="s">
        <v>470</v>
      </c>
      <c r="G61" s="73" t="s">
        <v>136</v>
      </c>
      <c r="H61" s="112" t="s">
        <v>61</v>
      </c>
      <c r="I61" s="13" t="s">
        <v>436</v>
      </c>
      <c r="K61" s="186">
        <v>0</v>
      </c>
      <c r="L61" s="187"/>
      <c r="M61" s="214">
        <f>IF(OR(E61="Distribución Legal de la Renta",E61="Acopio carros portaequipajes"),0,IF(K61&lt;0,0,K61*(1+SUMIFS('Insumos - OPEX'!$G$82:$G$238,'Insumos - OPEX'!$B$82:$B$238,OPEX!D61))))</f>
        <v>0</v>
      </c>
      <c r="N61" s="211">
        <f>IF(OR($B61="Ce Co No Imputables",$G61="M2 fijo"),$M61*(1+'Insumos - OPEX'!J$38),$M61*(1+'Insumos - OPEX'!J$29*'Insumos - OPEX'!J$39)*(1+'Insumos - OPEX'!J$38))</f>
        <v>0</v>
      </c>
      <c r="O61" s="211">
        <f>IF(OR($B61="Ce Co No Imputables",$G61="M2 fijo"),$M61*(1+'Insumos - OPEX'!K$38),$M61*(1+'Insumos - OPEX'!K$29*'Insumos - OPEX'!K$39)*(1+'Insumos - OPEX'!K$38))</f>
        <v>0</v>
      </c>
      <c r="P61" s="211">
        <f>IF(OR($B61="Ce Co No Imputables",$G61="M2 fijo"),$M61*(1+'Insumos - OPEX'!L$38),$M61*(1+'Insumos - OPEX'!L$29*'Insumos - OPEX'!L$39)*(1+'Insumos - OPEX'!L$38))</f>
        <v>0</v>
      </c>
      <c r="Q61" s="211">
        <f>IF(OR($B61="Ce Co No Imputables",$G61="M2 fijo"),$M61*(1+'Insumos - OPEX'!M$38),$M61*(1+'Insumos - OPEX'!M$29*'Insumos - OPEX'!M$39)*(1+'Insumos - OPEX'!M$38))</f>
        <v>0</v>
      </c>
      <c r="R61" s="211">
        <f>IF(OR($B61="Ce Co No Imputables",$G61="M2 fijo"),$M61*(1+'Insumos - OPEX'!N$38),$M61*(1+'Insumos - OPEX'!N$29*'Insumos - OPEX'!N$39)*(1+'Insumos - OPEX'!N$38))</f>
        <v>0</v>
      </c>
      <c r="S61" s="111"/>
    </row>
    <row r="62" spans="1:21" x14ac:dyDescent="0.2">
      <c r="A62" s="8"/>
      <c r="B62" s="8" t="s">
        <v>301</v>
      </c>
      <c r="C62" s="8" t="s">
        <v>171</v>
      </c>
      <c r="D62" s="8">
        <v>6311300001</v>
      </c>
      <c r="E62" s="8" t="s">
        <v>352</v>
      </c>
      <c r="F62" s="89" t="s">
        <v>470</v>
      </c>
      <c r="G62" s="73" t="s">
        <v>136</v>
      </c>
      <c r="H62" s="112" t="s">
        <v>61</v>
      </c>
      <c r="I62" s="13" t="s">
        <v>436</v>
      </c>
      <c r="K62" s="186">
        <v>0</v>
      </c>
      <c r="L62" s="187"/>
      <c r="M62" s="214">
        <f>IF(OR(E62="Distribución Legal de la Renta",E62="Acopio carros portaequipajes"),0,IF(K62&lt;0,0,K62*(1+SUMIFS('Insumos - OPEX'!$G$82:$G$238,'Insumos - OPEX'!$B$82:$B$238,OPEX!D62))))</f>
        <v>0</v>
      </c>
      <c r="N62" s="211">
        <f>IF(OR($B62="Ce Co No Imputables",$G62="M2 fijo"),$M62*(1+'Insumos - OPEX'!J$38),$M62*(1+'Insumos - OPEX'!J$29*'Insumos - OPEX'!J$39)*(1+'Insumos - OPEX'!J$38))</f>
        <v>0</v>
      </c>
      <c r="O62" s="211">
        <f>IF(OR($B62="Ce Co No Imputables",$G62="M2 fijo"),$M62*(1+'Insumos - OPEX'!K$38),$M62*(1+'Insumos - OPEX'!K$29*'Insumos - OPEX'!K$39)*(1+'Insumos - OPEX'!K$38))</f>
        <v>0</v>
      </c>
      <c r="P62" s="211">
        <f>IF(OR($B62="Ce Co No Imputables",$G62="M2 fijo"),$M62*(1+'Insumos - OPEX'!L$38),$M62*(1+'Insumos - OPEX'!L$29*'Insumos - OPEX'!L$39)*(1+'Insumos - OPEX'!L$38))</f>
        <v>0</v>
      </c>
      <c r="Q62" s="211">
        <f>IF(OR($B62="Ce Co No Imputables",$G62="M2 fijo"),$M62*(1+'Insumos - OPEX'!M$38),$M62*(1+'Insumos - OPEX'!M$29*'Insumos - OPEX'!M$39)*(1+'Insumos - OPEX'!M$38))</f>
        <v>0</v>
      </c>
      <c r="R62" s="211">
        <f>IF(OR($B62="Ce Co No Imputables",$G62="M2 fijo"),$M62*(1+'Insumos - OPEX'!N$38),$M62*(1+'Insumos - OPEX'!N$29*'Insumos - OPEX'!N$39)*(1+'Insumos - OPEX'!N$38))</f>
        <v>0</v>
      </c>
      <c r="S62" s="111"/>
    </row>
    <row r="63" spans="1:21" x14ac:dyDescent="0.2">
      <c r="A63" s="8"/>
      <c r="B63" s="8" t="s">
        <v>301</v>
      </c>
      <c r="C63" s="8" t="s">
        <v>171</v>
      </c>
      <c r="D63" s="8">
        <v>6360000004</v>
      </c>
      <c r="E63" s="8" t="s">
        <v>353</v>
      </c>
      <c r="F63" s="89" t="s">
        <v>470</v>
      </c>
      <c r="G63" s="73" t="s">
        <v>136</v>
      </c>
      <c r="H63" s="112" t="s">
        <v>61</v>
      </c>
      <c r="I63" s="13" t="s">
        <v>436</v>
      </c>
      <c r="K63" s="186">
        <v>0</v>
      </c>
      <c r="L63" s="187"/>
      <c r="M63" s="214">
        <f>IF(OR(E63="Distribución Legal de la Renta",E63="Acopio carros portaequipajes"),0,IF(K63&lt;0,0,K63*(1+SUMIFS('Insumos - OPEX'!$G$82:$G$238,'Insumos - OPEX'!$B$82:$B$238,OPEX!D63))))</f>
        <v>0</v>
      </c>
      <c r="N63" s="211">
        <f>IF(OR($B63="Ce Co No Imputables",$G63="M2 fijo"),$M63*(1+'Insumos - OPEX'!J$38),$M63*(1+'Insumos - OPEX'!J$29*'Insumos - OPEX'!J$39)*(1+'Insumos - OPEX'!J$38))</f>
        <v>0</v>
      </c>
      <c r="O63" s="211">
        <f>IF(OR($B63="Ce Co No Imputables",$G63="M2 fijo"),$M63*(1+'Insumos - OPEX'!K$38),$M63*(1+'Insumos - OPEX'!K$29*'Insumos - OPEX'!K$39)*(1+'Insumos - OPEX'!K$38))</f>
        <v>0</v>
      </c>
      <c r="P63" s="211">
        <f>IF(OR($B63="Ce Co No Imputables",$G63="M2 fijo"),$M63*(1+'Insumos - OPEX'!L$38),$M63*(1+'Insumos - OPEX'!L$29*'Insumos - OPEX'!L$39)*(1+'Insumos - OPEX'!L$38))</f>
        <v>0</v>
      </c>
      <c r="Q63" s="211">
        <f>IF(OR($B63="Ce Co No Imputables",$G63="M2 fijo"),$M63*(1+'Insumos - OPEX'!M$38),$M63*(1+'Insumos - OPEX'!M$29*'Insumos - OPEX'!M$39)*(1+'Insumos - OPEX'!M$38))</f>
        <v>0</v>
      </c>
      <c r="R63" s="211">
        <f>IF(OR($B63="Ce Co No Imputables",$G63="M2 fijo"),$M63*(1+'Insumos - OPEX'!N$38),$M63*(1+'Insumos - OPEX'!N$29*'Insumos - OPEX'!N$39)*(1+'Insumos - OPEX'!N$38))</f>
        <v>0</v>
      </c>
      <c r="S63" s="111"/>
    </row>
    <row r="64" spans="1:21" x14ac:dyDescent="0.2">
      <c r="A64" s="8"/>
      <c r="B64" s="8" t="s">
        <v>301</v>
      </c>
      <c r="C64" s="8" t="s">
        <v>171</v>
      </c>
      <c r="D64" s="8">
        <v>6360000005</v>
      </c>
      <c r="E64" s="8" t="s">
        <v>354</v>
      </c>
      <c r="F64" s="89" t="s">
        <v>470</v>
      </c>
      <c r="G64" s="73" t="s">
        <v>136</v>
      </c>
      <c r="H64" s="112" t="s">
        <v>61</v>
      </c>
      <c r="I64" s="13" t="s">
        <v>436</v>
      </c>
      <c r="K64" s="186">
        <v>0</v>
      </c>
      <c r="L64" s="187"/>
      <c r="M64" s="214">
        <f>IF(OR(E64="Distribución Legal de la Renta",E64="Acopio carros portaequipajes"),0,IF(K64&lt;0,0,K64*(1+SUMIFS('Insumos - OPEX'!$G$82:$G$238,'Insumos - OPEX'!$B$82:$B$238,OPEX!D64))))</f>
        <v>0</v>
      </c>
      <c r="N64" s="211">
        <f>IF(OR($B64="Ce Co No Imputables",$G64="M2 fijo"),$M64*(1+'Insumos - OPEX'!J$38),$M64*(1+'Insumos - OPEX'!J$29*'Insumos - OPEX'!J$39)*(1+'Insumos - OPEX'!J$38))</f>
        <v>0</v>
      </c>
      <c r="O64" s="211">
        <f>IF(OR($B64="Ce Co No Imputables",$G64="M2 fijo"),$M64*(1+'Insumos - OPEX'!K$38),$M64*(1+'Insumos - OPEX'!K$29*'Insumos - OPEX'!K$39)*(1+'Insumos - OPEX'!K$38))</f>
        <v>0</v>
      </c>
      <c r="P64" s="211">
        <f>IF(OR($B64="Ce Co No Imputables",$G64="M2 fijo"),$M64*(1+'Insumos - OPEX'!L$38),$M64*(1+'Insumos - OPEX'!L$29*'Insumos - OPEX'!L$39)*(1+'Insumos - OPEX'!L$38))</f>
        <v>0</v>
      </c>
      <c r="Q64" s="211">
        <f>IF(OR($B64="Ce Co No Imputables",$G64="M2 fijo"),$M64*(1+'Insumos - OPEX'!M$38),$M64*(1+'Insumos - OPEX'!M$29*'Insumos - OPEX'!M$39)*(1+'Insumos - OPEX'!M$38))</f>
        <v>0</v>
      </c>
      <c r="R64" s="211">
        <f>IF(OR($B64="Ce Co No Imputables",$G64="M2 fijo"),$M64*(1+'Insumos - OPEX'!N$38),$M64*(1+'Insumos - OPEX'!N$29*'Insumos - OPEX'!N$39)*(1+'Insumos - OPEX'!N$38))</f>
        <v>0</v>
      </c>
      <c r="S64" s="111"/>
    </row>
    <row r="65" spans="1:19" x14ac:dyDescent="0.2">
      <c r="A65" s="8"/>
      <c r="B65" s="8" t="s">
        <v>301</v>
      </c>
      <c r="C65" s="8" t="s">
        <v>171</v>
      </c>
      <c r="D65" s="8">
        <v>6380000019</v>
      </c>
      <c r="E65" s="8" t="s">
        <v>355</v>
      </c>
      <c r="F65" s="89" t="s">
        <v>470</v>
      </c>
      <c r="G65" s="73" t="s">
        <v>136</v>
      </c>
      <c r="H65" s="112" t="s">
        <v>61</v>
      </c>
      <c r="I65" s="13" t="s">
        <v>436</v>
      </c>
      <c r="K65" s="186">
        <v>-2265.7225948969099</v>
      </c>
      <c r="L65" s="187"/>
      <c r="M65" s="214">
        <f>IF(OR(E65="Distribución Legal de la Renta",E65="Acopio carros portaequipajes"),0,IF(K65&lt;0,0,K65*(1+SUMIFS('Insumos - OPEX'!$G$82:$G$238,'Insumos - OPEX'!$B$82:$B$238,OPEX!D65))))</f>
        <v>0</v>
      </c>
      <c r="N65" s="211">
        <f>IF(OR($B65="Ce Co No Imputables",$G65="M2 fijo"),$M65*(1+'Insumos - OPEX'!J$38),$M65*(1+'Insumos - OPEX'!J$29*'Insumos - OPEX'!J$39)*(1+'Insumos - OPEX'!J$38))</f>
        <v>0</v>
      </c>
      <c r="O65" s="211">
        <f>IF(OR($B65="Ce Co No Imputables",$G65="M2 fijo"),$M65*(1+'Insumos - OPEX'!K$38),$M65*(1+'Insumos - OPEX'!K$29*'Insumos - OPEX'!K$39)*(1+'Insumos - OPEX'!K$38))</f>
        <v>0</v>
      </c>
      <c r="P65" s="211">
        <f>IF(OR($B65="Ce Co No Imputables",$G65="M2 fijo"),$M65*(1+'Insumos - OPEX'!L$38),$M65*(1+'Insumos - OPEX'!L$29*'Insumos - OPEX'!L$39)*(1+'Insumos - OPEX'!L$38))</f>
        <v>0</v>
      </c>
      <c r="Q65" s="211">
        <f>IF(OR($B65="Ce Co No Imputables",$G65="M2 fijo"),$M65*(1+'Insumos - OPEX'!M$38),$M65*(1+'Insumos - OPEX'!M$29*'Insumos - OPEX'!M$39)*(1+'Insumos - OPEX'!M$38))</f>
        <v>0</v>
      </c>
      <c r="R65" s="211">
        <f>IF(OR($B65="Ce Co No Imputables",$G65="M2 fijo"),$M65*(1+'Insumos - OPEX'!N$38),$M65*(1+'Insumos - OPEX'!N$29*'Insumos - OPEX'!N$39)*(1+'Insumos - OPEX'!N$38))</f>
        <v>0</v>
      </c>
      <c r="S65" s="111"/>
    </row>
    <row r="66" spans="1:19" x14ac:dyDescent="0.2">
      <c r="A66" s="8"/>
      <c r="B66" s="8" t="s">
        <v>301</v>
      </c>
      <c r="C66" s="8" t="s">
        <v>174</v>
      </c>
      <c r="D66" s="8">
        <v>6510000001</v>
      </c>
      <c r="E66" s="8" t="s">
        <v>182</v>
      </c>
      <c r="F66" s="89" t="s">
        <v>469</v>
      </c>
      <c r="G66" s="73" t="s">
        <v>480</v>
      </c>
      <c r="H66" s="112" t="s">
        <v>61</v>
      </c>
      <c r="I66" s="13" t="s">
        <v>436</v>
      </c>
      <c r="K66" s="186">
        <v>1215931.769269841</v>
      </c>
      <c r="L66" s="187"/>
      <c r="M66" s="214">
        <f>IF(OR(E66="Distribución Legal de la Renta",E66="Acopio carros portaequipajes"),0,IF(K66&lt;0,0,K66*(1+SUMIFS('Insumos - OPEX'!$G$82:$G$238,'Insumos - OPEX'!$B$82:$B$238,OPEX!D66))))</f>
        <v>1686537.9648015799</v>
      </c>
      <c r="N66" s="211">
        <f>IF(OR($B66="Ce Co No Imputables",$G66="M2 fijo"),$M66*(1+'Insumos - OPEX'!J$38),$M66*(1+'Insumos - OPEX'!J$29*'Insumos - OPEX'!J$39)*(1+'Insumos - OPEX'!J$38))</f>
        <v>1721972.1274420612</v>
      </c>
      <c r="O66" s="211">
        <f>IF(OR($B66="Ce Co No Imputables",$G66="M2 fijo"),$M66*(1+'Insumos - OPEX'!K$38),$M66*(1+'Insumos - OPEX'!K$29*'Insumos - OPEX'!K$39)*(1+'Insumos - OPEX'!K$38))</f>
        <v>1762800.0865837124</v>
      </c>
      <c r="P66" s="211">
        <f>IF(OR($B66="Ce Co No Imputables",$G66="M2 fijo"),$M66*(1+'Insumos - OPEX'!L$38),$M66*(1+'Insumos - OPEX'!L$29*'Insumos - OPEX'!L$39)*(1+'Insumos - OPEX'!L$38))</f>
        <v>1800435.8684322743</v>
      </c>
      <c r="Q66" s="211">
        <f>IF(OR($B66="Ce Co No Imputables",$G66="M2 fijo"),$M66*(1+'Insumos - OPEX'!M$38),$M66*(1+'Insumos - OPEX'!M$29*'Insumos - OPEX'!M$39)*(1+'Insumos - OPEX'!M$38))</f>
        <v>1839181.2483209367</v>
      </c>
      <c r="R66" s="211">
        <f>IF(OR($B66="Ce Co No Imputables",$G66="M2 fijo"),$M66*(1+'Insumos - OPEX'!N$38),$M66*(1+'Insumos - OPEX'!N$29*'Insumos - OPEX'!N$39)*(1+'Insumos - OPEX'!N$38))</f>
        <v>1878760.4287848033</v>
      </c>
      <c r="S66" s="111"/>
    </row>
    <row r="67" spans="1:19" x14ac:dyDescent="0.2">
      <c r="A67" s="8"/>
      <c r="B67" s="8" t="s">
        <v>301</v>
      </c>
      <c r="C67" s="8" t="s">
        <v>174</v>
      </c>
      <c r="D67" s="8">
        <v>6380000005</v>
      </c>
      <c r="E67" s="8" t="s">
        <v>274</v>
      </c>
      <c r="F67" s="89" t="s">
        <v>469</v>
      </c>
      <c r="G67" s="73" t="s">
        <v>136</v>
      </c>
      <c r="H67" s="112" t="s">
        <v>61</v>
      </c>
      <c r="I67" s="13" t="s">
        <v>436</v>
      </c>
      <c r="K67" s="186">
        <v>375999.96000000014</v>
      </c>
      <c r="L67" s="187"/>
      <c r="M67" s="214">
        <f>IF(OR(E67="Distribución Legal de la Renta",E67="Acopio carros portaequipajes"),0,IF(K67&lt;0,0,K67*(1+SUMIFS('Insumos - OPEX'!$G$82:$G$238,'Insumos - OPEX'!$B$82:$B$238,OPEX!D67))))</f>
        <v>392547.49113562435</v>
      </c>
      <c r="N67" s="211">
        <f>IF(OR($B67="Ce Co No Imputables",$G67="M2 fijo"),$M67*(1+'Insumos - OPEX'!J$38),$M67*(1+'Insumos - OPEX'!J$29*'Insumos - OPEX'!J$39)*(1+'Insumos - OPEX'!J$38))</f>
        <v>415060.33354507817</v>
      </c>
      <c r="O67" s="211">
        <f>IF(OR($B67="Ce Co No Imputables",$G67="M2 fijo"),$M67*(1+'Insumos - OPEX'!K$38),$M67*(1+'Insumos - OPEX'!K$29*'Insumos - OPEX'!K$39)*(1+'Insumos - OPEX'!K$38))</f>
        <v>436372.89424746012</v>
      </c>
      <c r="P67" s="211">
        <f>IF(OR($B67="Ce Co No Imputables",$G67="M2 fijo"),$M67*(1+'Insumos - OPEX'!L$38),$M67*(1+'Insumos - OPEX'!L$29*'Insumos - OPEX'!L$39)*(1+'Insumos - OPEX'!L$38))</f>
        <v>457955.15513330087</v>
      </c>
      <c r="Q67" s="211">
        <f>IF(OR($B67="Ce Co No Imputables",$G67="M2 fijo"),$M67*(1+'Insumos - OPEX'!M$38),$M67*(1+'Insumos - OPEX'!M$29*'Insumos - OPEX'!M$39)*(1+'Insumos - OPEX'!M$38))</f>
        <v>481680.75092437945</v>
      </c>
      <c r="R67" s="211">
        <f>IF(OR($B67="Ce Co No Imputables",$G67="M2 fijo"),$M67*(1+'Insumos - OPEX'!N$38),$M67*(1+'Insumos - OPEX'!N$29*'Insumos - OPEX'!N$39)*(1+'Insumos - OPEX'!N$38))</f>
        <v>505879.40466044401</v>
      </c>
      <c r="S67" s="111"/>
    </row>
    <row r="68" spans="1:19" x14ac:dyDescent="0.2">
      <c r="A68" s="8"/>
      <c r="B68" s="8" t="s">
        <v>301</v>
      </c>
      <c r="C68" s="8" t="s">
        <v>174</v>
      </c>
      <c r="D68" s="8">
        <v>6430000001</v>
      </c>
      <c r="E68" s="8" t="s">
        <v>275</v>
      </c>
      <c r="F68" s="89" t="s">
        <v>469</v>
      </c>
      <c r="G68" s="73" t="s">
        <v>480</v>
      </c>
      <c r="H68" s="112" t="s">
        <v>61</v>
      </c>
      <c r="I68" s="13" t="s">
        <v>436</v>
      </c>
      <c r="K68" s="186">
        <v>373856.48022623092</v>
      </c>
      <c r="L68" s="187"/>
      <c r="M68" s="214">
        <f>IF(OR(E68="Distribución Legal de la Renta",E68="Acopio carros portaequipajes"),0,IF(K68&lt;0,0,K68*(1+SUMIFS('Insumos - OPEX'!$G$82:$G$238,'Insumos - OPEX'!$B$82:$B$238,OPEX!D68))))</f>
        <v>390309.67811167333</v>
      </c>
      <c r="N68" s="211">
        <f>IF(OR($B68="Ce Co No Imputables",$G68="M2 fijo"),$M68*(1+'Insumos - OPEX'!J$38),$M68*(1+'Insumos - OPEX'!J$29*'Insumos - OPEX'!J$39)*(1+'Insumos - OPEX'!J$38))</f>
        <v>398510.08444879961</v>
      </c>
      <c r="O68" s="211">
        <f>IF(OR($B68="Ce Co No Imputables",$G68="M2 fijo"),$M68*(1+'Insumos - OPEX'!K$38),$M68*(1+'Insumos - OPEX'!K$29*'Insumos - OPEX'!K$39)*(1+'Insumos - OPEX'!K$38))</f>
        <v>407958.75855108059</v>
      </c>
      <c r="P68" s="211">
        <f>IF(OR($B68="Ce Co No Imputables",$G68="M2 fijo"),$M68*(1+'Insumos - OPEX'!L$38),$M68*(1+'Insumos - OPEX'!L$29*'Insumos - OPEX'!L$39)*(1+'Insumos - OPEX'!L$38))</f>
        <v>416668.67804614612</v>
      </c>
      <c r="Q68" s="211">
        <f>IF(OR($B68="Ce Co No Imputables",$G68="M2 fijo"),$M68*(1+'Insumos - OPEX'!M$38),$M68*(1+'Insumos - OPEX'!M$29*'Insumos - OPEX'!M$39)*(1+'Insumos - OPEX'!M$38))</f>
        <v>425635.38799769914</v>
      </c>
      <c r="R68" s="211">
        <f>IF(OR($B68="Ce Co No Imputables",$G68="M2 fijo"),$M68*(1+'Insumos - OPEX'!N$38),$M68*(1+'Insumos - OPEX'!N$29*'Insumos - OPEX'!N$39)*(1+'Insumos - OPEX'!N$38))</f>
        <v>434795.06154740963</v>
      </c>
      <c r="S68" s="111"/>
    </row>
    <row r="69" spans="1:19" x14ac:dyDescent="0.2">
      <c r="A69" s="8"/>
      <c r="B69" s="8" t="s">
        <v>301</v>
      </c>
      <c r="C69" s="8" t="s">
        <v>174</v>
      </c>
      <c r="D69" s="8">
        <v>6561000002</v>
      </c>
      <c r="E69" s="8" t="s">
        <v>356</v>
      </c>
      <c r="F69" s="89" t="s">
        <v>470</v>
      </c>
      <c r="G69" s="73" t="s">
        <v>136</v>
      </c>
      <c r="H69" s="112" t="s">
        <v>61</v>
      </c>
      <c r="I69" s="13" t="s">
        <v>436</v>
      </c>
      <c r="K69" s="186">
        <v>232443.04223818105</v>
      </c>
      <c r="L69" s="187"/>
      <c r="M69" s="214">
        <f>IF(OR(E69="Distribución Legal de la Renta",E69="Acopio carros portaequipajes"),0,IF(K69&lt;0,0,K69*(1+SUMIFS('Insumos - OPEX'!$G$82:$G$238,'Insumos - OPEX'!$B$82:$B$238,OPEX!D69))))</f>
        <v>242672.7201314859</v>
      </c>
      <c r="N69" s="211">
        <f>IF(OR($B69="Ce Co No Imputables",$G69="M2 fijo"),$M69*(1+'Insumos - OPEX'!J$38),$M69*(1+'Insumos - OPEX'!J$29*'Insumos - OPEX'!J$39)*(1+'Insumos - OPEX'!J$38))</f>
        <v>256590.15134366523</v>
      </c>
      <c r="O69" s="211">
        <f>IF(OR($B69="Ce Co No Imputables",$G69="M2 fijo"),$M69*(1+'Insumos - OPEX'!K$38),$M69*(1+'Insumos - OPEX'!K$29*'Insumos - OPEX'!K$39)*(1+'Insumos - OPEX'!K$38))</f>
        <v>269765.5688292085</v>
      </c>
      <c r="P69" s="211">
        <f>IF(OR($B69="Ce Co No Imputables",$G69="M2 fijo"),$M69*(1+'Insumos - OPEX'!L$38),$M69*(1+'Insumos - OPEX'!L$29*'Insumos - OPEX'!L$39)*(1+'Insumos - OPEX'!L$38))</f>
        <v>283107.71487274248</v>
      </c>
      <c r="Q69" s="211">
        <f>IF(OR($B69="Ce Co No Imputables",$G69="M2 fijo"),$M69*(1+'Insumos - OPEX'!M$38),$M69*(1+'Insumos - OPEX'!M$29*'Insumos - OPEX'!M$39)*(1+'Insumos - OPEX'!M$38))</f>
        <v>297774.8697963538</v>
      </c>
      <c r="R69" s="211">
        <f>IF(OR($B69="Ce Co No Imputables",$G69="M2 fijo"),$M69*(1+'Insumos - OPEX'!N$38),$M69*(1+'Insumos - OPEX'!N$29*'Insumos - OPEX'!N$39)*(1+'Insumos - OPEX'!N$38))</f>
        <v>312734.46897418133</v>
      </c>
      <c r="S69" s="111"/>
    </row>
    <row r="70" spans="1:19" x14ac:dyDescent="0.2">
      <c r="A70" s="8"/>
      <c r="B70" s="8" t="s">
        <v>301</v>
      </c>
      <c r="C70" s="8" t="s">
        <v>174</v>
      </c>
      <c r="D70" s="8">
        <v>6410000002</v>
      </c>
      <c r="E70" s="8" t="s">
        <v>357</v>
      </c>
      <c r="F70" s="89" t="s">
        <v>470</v>
      </c>
      <c r="G70" s="73" t="s">
        <v>136</v>
      </c>
      <c r="H70" s="112" t="s">
        <v>61</v>
      </c>
      <c r="I70" s="13" t="s">
        <v>436</v>
      </c>
      <c r="K70" s="186">
        <v>45115.373151887812</v>
      </c>
      <c r="L70" s="187"/>
      <c r="M70" s="214">
        <f>IF(OR(E70="Distribución Legal de la Renta",E70="Acopio carros portaequipajes"),0,IF(K70&lt;0,0,K70*(1+SUMIFS('Insumos - OPEX'!$G$82:$G$238,'Insumos - OPEX'!$B$82:$B$238,OPEX!D70))))</f>
        <v>47100.873474617016</v>
      </c>
      <c r="N70" s="211">
        <f>IF(OR($B70="Ce Co No Imputables",$G70="M2 fijo"),$M70*(1+'Insumos - OPEX'!J$38),$M70*(1+'Insumos - OPEX'!J$29*'Insumos - OPEX'!J$39)*(1+'Insumos - OPEX'!J$38))</f>
        <v>49802.137820528529</v>
      </c>
      <c r="O70" s="211">
        <f>IF(OR($B70="Ce Co No Imputables",$G70="M2 fijo"),$M70*(1+'Insumos - OPEX'!K$38),$M70*(1+'Insumos - OPEX'!K$29*'Insumos - OPEX'!K$39)*(1+'Insumos - OPEX'!K$38))</f>
        <v>52359.383116273297</v>
      </c>
      <c r="P70" s="211">
        <f>IF(OR($B70="Ce Co No Imputables",$G70="M2 fijo"),$M70*(1+'Insumos - OPEX'!L$38),$M70*(1+'Insumos - OPEX'!L$29*'Insumos - OPEX'!L$39)*(1+'Insumos - OPEX'!L$38))</f>
        <v>54948.989118694408</v>
      </c>
      <c r="Q70" s="211">
        <f>IF(OR($B70="Ce Co No Imputables",$G70="M2 fijo"),$M70*(1+'Insumos - OPEX'!M$38),$M70*(1+'Insumos - OPEX'!M$29*'Insumos - OPEX'!M$39)*(1+'Insumos - OPEX'!M$38))</f>
        <v>57795.768962408663</v>
      </c>
      <c r="R70" s="211">
        <f>IF(OR($B70="Ce Co No Imputables",$G70="M2 fijo"),$M70*(1+'Insumos - OPEX'!N$38),$M70*(1+'Insumos - OPEX'!N$29*'Insumos - OPEX'!N$39)*(1+'Insumos - OPEX'!N$38))</f>
        <v>60699.309944370143</v>
      </c>
      <c r="S70" s="111"/>
    </row>
    <row r="71" spans="1:19" x14ac:dyDescent="0.2">
      <c r="A71" s="8"/>
      <c r="B71" s="8" t="s">
        <v>301</v>
      </c>
      <c r="C71" s="8" t="s">
        <v>174</v>
      </c>
      <c r="D71" s="8">
        <v>6561000003</v>
      </c>
      <c r="E71" s="8" t="s">
        <v>269</v>
      </c>
      <c r="F71" s="89" t="s">
        <v>469</v>
      </c>
      <c r="G71" s="73" t="s">
        <v>136</v>
      </c>
      <c r="H71" s="112" t="s">
        <v>61</v>
      </c>
      <c r="I71" s="13" t="s">
        <v>436</v>
      </c>
      <c r="K71" s="186">
        <v>24175.541579498898</v>
      </c>
      <c r="L71" s="187"/>
      <c r="M71" s="214">
        <f>IF(OR(E71="Distribución Legal de la Renta",E71="Acopio carros portaequipajes"),0,IF(K71&lt;0,0,K71*(1+SUMIFS('Insumos - OPEX'!$G$82:$G$238,'Insumos - OPEX'!$B$82:$B$238,OPEX!D71))))</f>
        <v>27464.511198069045</v>
      </c>
      <c r="N71" s="211">
        <f>IF(OR($B71="Ce Co No Imputables",$G71="M2 fijo"),$M71*(1+'Insumos - OPEX'!J$38),$M71*(1+'Insumos - OPEX'!J$29*'Insumos - OPEX'!J$39)*(1+'Insumos - OPEX'!J$38))</f>
        <v>29039.617972197389</v>
      </c>
      <c r="O71" s="211">
        <f>IF(OR($B71="Ce Co No Imputables",$G71="M2 fijo"),$M71*(1+'Insumos - OPEX'!K$38),$M71*(1+'Insumos - OPEX'!K$29*'Insumos - OPEX'!K$39)*(1+'Insumos - OPEX'!K$38))</f>
        <v>30530.747263017034</v>
      </c>
      <c r="P71" s="211">
        <f>IF(OR($B71="Ce Co No Imputables",$G71="M2 fijo"),$M71*(1+'Insumos - OPEX'!L$38),$M71*(1+'Insumos - OPEX'!L$29*'Insumos - OPEX'!L$39)*(1+'Insumos - OPEX'!L$38))</f>
        <v>32040.746076317384</v>
      </c>
      <c r="Q71" s="211">
        <f>IF(OR($B71="Ce Co No Imputables",$G71="M2 fijo"),$M71*(1+'Insumos - OPEX'!M$38),$M71*(1+'Insumos - OPEX'!M$29*'Insumos - OPEX'!M$39)*(1+'Insumos - OPEX'!M$38))</f>
        <v>33700.702912112836</v>
      </c>
      <c r="R71" s="211">
        <f>IF(OR($B71="Ce Co No Imputables",$G71="M2 fijo"),$M71*(1+'Insumos - OPEX'!N$38),$M71*(1+'Insumos - OPEX'!N$29*'Insumos - OPEX'!N$39)*(1+'Insumos - OPEX'!N$38))</f>
        <v>35393.75715782887</v>
      </c>
      <c r="S71" s="111"/>
    </row>
    <row r="72" spans="1:19" x14ac:dyDescent="0.2">
      <c r="A72" s="8"/>
      <c r="B72" s="8" t="s">
        <v>301</v>
      </c>
      <c r="C72" s="8" t="s">
        <v>174</v>
      </c>
      <c r="D72" s="8">
        <v>6561000001</v>
      </c>
      <c r="E72" s="8" t="s">
        <v>358</v>
      </c>
      <c r="F72" s="89" t="s">
        <v>470</v>
      </c>
      <c r="G72" s="73" t="s">
        <v>136</v>
      </c>
      <c r="H72" s="112" t="s">
        <v>61</v>
      </c>
      <c r="I72" s="13" t="s">
        <v>436</v>
      </c>
      <c r="K72" s="186">
        <v>17166.354893468459</v>
      </c>
      <c r="L72" s="187"/>
      <c r="M72" s="214">
        <f>IF(OR(E72="Distribución Legal de la Renta",E72="Acopio carros portaequipajes"),0,IF(K72&lt;0,0,K72*(1+SUMIFS('Insumos - OPEX'!$G$82:$G$238,'Insumos - OPEX'!$B$82:$B$238,OPEX!D72))))</f>
        <v>17921.835803851653</v>
      </c>
      <c r="N72" s="211">
        <f>IF(OR($B72="Ce Co No Imputables",$G72="M2 fijo"),$M72*(1+'Insumos - OPEX'!J$38),$M72*(1+'Insumos - OPEX'!J$29*'Insumos - OPEX'!J$39)*(1+'Insumos - OPEX'!J$38))</f>
        <v>18949.66421761375</v>
      </c>
      <c r="O72" s="211">
        <f>IF(OR($B72="Ce Co No Imputables",$G72="M2 fijo"),$M72*(1+'Insumos - OPEX'!K$38),$M72*(1+'Insumos - OPEX'!K$29*'Insumos - OPEX'!K$39)*(1+'Insumos - OPEX'!K$38))</f>
        <v>19922.693525131966</v>
      </c>
      <c r="P72" s="211">
        <f>IF(OR($B72="Ce Co No Imputables",$G72="M2 fijo"),$M72*(1+'Insumos - OPEX'!L$38),$M72*(1+'Insumos - OPEX'!L$29*'Insumos - OPEX'!L$39)*(1+'Insumos - OPEX'!L$38))</f>
        <v>20908.036049556082</v>
      </c>
      <c r="Q72" s="211">
        <f>IF(OR($B72="Ce Co No Imputables",$G72="M2 fijo"),$M72*(1+'Insumos - OPEX'!M$38),$M72*(1+'Insumos - OPEX'!M$29*'Insumos - OPEX'!M$39)*(1+'Insumos - OPEX'!M$38))</f>
        <v>21991.232966408505</v>
      </c>
      <c r="R72" s="211">
        <f>IF(OR($B72="Ce Co No Imputables",$G72="M2 fijo"),$M72*(1+'Insumos - OPEX'!N$38),$M72*(1+'Insumos - OPEX'!N$29*'Insumos - OPEX'!N$39)*(1+'Insumos - OPEX'!N$38))</f>
        <v>23096.027440262817</v>
      </c>
      <c r="S72" s="111"/>
    </row>
    <row r="73" spans="1:19" x14ac:dyDescent="0.2">
      <c r="A73" s="8"/>
      <c r="B73" s="8" t="s">
        <v>301</v>
      </c>
      <c r="C73" s="8" t="s">
        <v>174</v>
      </c>
      <c r="D73" s="8">
        <v>6561000004</v>
      </c>
      <c r="E73" s="8" t="s">
        <v>359</v>
      </c>
      <c r="F73" s="89" t="s">
        <v>470</v>
      </c>
      <c r="G73" s="73" t="s">
        <v>136</v>
      </c>
      <c r="H73" s="112" t="s">
        <v>61</v>
      </c>
      <c r="I73" s="13" t="s">
        <v>436</v>
      </c>
      <c r="K73" s="186">
        <v>5595.5635427922289</v>
      </c>
      <c r="L73" s="187"/>
      <c r="M73" s="214">
        <f>IF(OR(E73="Distribución Legal de la Renta",E73="Acopio carros portaequipajes"),0,IF(K73&lt;0,0,K73*(1+SUMIFS('Insumos - OPEX'!$G$82:$G$238,'Insumos - OPEX'!$B$82:$B$238,OPEX!D73))))</f>
        <v>5841.8209145901355</v>
      </c>
      <c r="N73" s="211">
        <f>IF(OR($B73="Ce Co No Imputables",$G73="M2 fijo"),$M73*(1+'Insumos - OPEX'!J$38),$M73*(1+'Insumos - OPEX'!J$29*'Insumos - OPEX'!J$39)*(1+'Insumos - OPEX'!J$38))</f>
        <v>6176.8529721227123</v>
      </c>
      <c r="O73" s="211">
        <f>IF(OR($B73="Ce Co No Imputables",$G73="M2 fijo"),$M73*(1+'Insumos - OPEX'!K$38),$M73*(1+'Insumos - OPEX'!K$29*'Insumos - OPEX'!K$39)*(1+'Insumos - OPEX'!K$38))</f>
        <v>6494.0226539221321</v>
      </c>
      <c r="P73" s="211">
        <f>IF(OR($B73="Ce Co No Imputables",$G73="M2 fijo"),$M73*(1+'Insumos - OPEX'!L$38),$M73*(1+'Insumos - OPEX'!L$29*'Insumos - OPEX'!L$39)*(1+'Insumos - OPEX'!L$38))</f>
        <v>6815.2059651752543</v>
      </c>
      <c r="Q73" s="211">
        <f>IF(OR($B73="Ce Co No Imputables",$G73="M2 fijo"),$M73*(1+'Insumos - OPEX'!M$38),$M73*(1+'Insumos - OPEX'!M$29*'Insumos - OPEX'!M$39)*(1+'Insumos - OPEX'!M$38))</f>
        <v>7168.2859996507459</v>
      </c>
      <c r="R73" s="211">
        <f>IF(OR($B73="Ce Co No Imputables",$G73="M2 fijo"),$M73*(1+'Insumos - OPEX'!N$38),$M73*(1+'Insumos - OPEX'!N$29*'Insumos - OPEX'!N$39)*(1+'Insumos - OPEX'!N$38))</f>
        <v>7528.4059970841927</v>
      </c>
      <c r="S73" s="111"/>
    </row>
    <row r="74" spans="1:19" x14ac:dyDescent="0.2">
      <c r="A74" s="8"/>
      <c r="B74" s="8" t="s">
        <v>301</v>
      </c>
      <c r="C74" s="8" t="s">
        <v>174</v>
      </c>
      <c r="D74" s="8">
        <v>6590000002</v>
      </c>
      <c r="E74" s="8" t="s">
        <v>360</v>
      </c>
      <c r="F74" s="89" t="s">
        <v>470</v>
      </c>
      <c r="G74" s="73" t="s">
        <v>136</v>
      </c>
      <c r="H74" s="112" t="s">
        <v>61</v>
      </c>
      <c r="I74" s="13" t="s">
        <v>436</v>
      </c>
      <c r="J74" s="103"/>
      <c r="K74" s="186">
        <v>1925.3600000000001</v>
      </c>
      <c r="L74" s="187"/>
      <c r="M74" s="214">
        <f>IF(OR(E74="Distribución Legal de la Renta",E74="Acopio carros portaequipajes"),0,IF(K74&lt;0,0,K74*(1+SUMIFS('Insumos - OPEX'!$G$82:$G$238,'Insumos - OPEX'!$B$82:$B$238,OPEX!D74))))</f>
        <v>2010.0939306825603</v>
      </c>
      <c r="N74" s="211">
        <f>IF(OR($B74="Ce Co No Imputables",$G74="M2 fijo"),$M74*(1+'Insumos - OPEX'!J$38),$M74*(1+'Insumos - OPEX'!J$29*'Insumos - OPEX'!J$39)*(1+'Insumos - OPEX'!J$38))</f>
        <v>2125.3740659822183</v>
      </c>
      <c r="O74" s="211">
        <f>IF(OR($B74="Ce Co No Imputables",$G74="M2 fijo"),$M74*(1+'Insumos - OPEX'!K$38),$M74*(1+'Insumos - OPEX'!K$29*'Insumos - OPEX'!K$39)*(1+'Insumos - OPEX'!K$38))</f>
        <v>2234.5079921505562</v>
      </c>
      <c r="P74" s="211">
        <f>IF(OR($B74="Ce Co No Imputables",$G74="M2 fijo"),$M74*(1+'Insumos - OPEX'!L$38),$M74*(1+'Insumos - OPEX'!L$29*'Insumos - OPEX'!L$39)*(1+'Insumos - OPEX'!L$38))</f>
        <v>2345.022955554176</v>
      </c>
      <c r="Q74" s="211">
        <f>IF(OR($B74="Ce Co No Imputables",$G74="M2 fijo"),$M74*(1+'Insumos - OPEX'!M$38),$M74*(1+'Insumos - OPEX'!M$29*'Insumos - OPEX'!M$39)*(1+'Insumos - OPEX'!M$38))</f>
        <v>2466.5131629263014</v>
      </c>
      <c r="R74" s="211">
        <f>IF(OR($B74="Ce Co No Imputables",$G74="M2 fijo"),$M74*(1+'Insumos - OPEX'!N$38),$M74*(1+'Insumos - OPEX'!N$29*'Insumos - OPEX'!N$39)*(1+'Insumos - OPEX'!N$38))</f>
        <v>2590.4257291863332</v>
      </c>
      <c r="S74" s="111"/>
    </row>
    <row r="75" spans="1:19" x14ac:dyDescent="0.2">
      <c r="A75" s="8"/>
      <c r="B75" s="8" t="s">
        <v>301</v>
      </c>
      <c r="C75" s="8" t="s">
        <v>174</v>
      </c>
      <c r="D75" s="8">
        <v>6410000001</v>
      </c>
      <c r="E75" s="8" t="s">
        <v>361</v>
      </c>
      <c r="F75" s="89" t="s">
        <v>470</v>
      </c>
      <c r="G75" s="73" t="s">
        <v>136</v>
      </c>
      <c r="H75" s="112" t="s">
        <v>61</v>
      </c>
      <c r="I75" s="13" t="s">
        <v>436</v>
      </c>
      <c r="K75" s="186">
        <v>1722.0110344827585</v>
      </c>
      <c r="L75" s="187"/>
      <c r="M75" s="214">
        <f>IF(OR(E75="Distribución Legal de la Renta",E75="Acopio carros portaequipajes"),0,IF(K75&lt;0,0,K75*(1+SUMIFS('Insumos - OPEX'!$G$82:$G$238,'Insumos - OPEX'!$B$82:$B$238,OPEX!D75))))</f>
        <v>1797.79570001568</v>
      </c>
      <c r="N75" s="211">
        <f>IF(OR($B75="Ce Co No Imputables",$G75="M2 fijo"),$M75*(1+'Insumos - OPEX'!J$38),$M75*(1+'Insumos - OPEX'!J$29*'Insumos - OPEX'!J$39)*(1+'Insumos - OPEX'!J$38))</f>
        <v>1900.9003999381239</v>
      </c>
      <c r="O75" s="211">
        <f>IF(OR($B75="Ce Co No Imputables",$G75="M2 fijo"),$M75*(1+'Insumos - OPEX'!K$38),$M75*(1+'Insumos - OPEX'!K$29*'Insumos - OPEX'!K$39)*(1+'Insumos - OPEX'!K$38))</f>
        <v>1998.5080292117686</v>
      </c>
      <c r="P75" s="211">
        <f>IF(OR($B75="Ce Co No Imputables",$G75="M2 fijo"),$M75*(1+'Insumos - OPEX'!L$38),$M75*(1+'Insumos - OPEX'!L$29*'Insumos - OPEX'!L$39)*(1+'Insumos - OPEX'!L$38))</f>
        <v>2097.3508359889383</v>
      </c>
      <c r="Q75" s="211">
        <f>IF(OR($B75="Ce Co No Imputables",$G75="M2 fijo"),$M75*(1+'Insumos - OPEX'!M$38),$M75*(1+'Insumos - OPEX'!M$29*'Insumos - OPEX'!M$39)*(1+'Insumos - OPEX'!M$38))</f>
        <v>2206.0097245481679</v>
      </c>
      <c r="R75" s="211">
        <f>IF(OR($B75="Ce Co No Imputables",$G75="M2 fijo"),$M75*(1+'Insumos - OPEX'!N$38),$M75*(1+'Insumos - OPEX'!N$29*'Insumos - OPEX'!N$39)*(1+'Insumos - OPEX'!N$38))</f>
        <v>2316.8351319581334</v>
      </c>
      <c r="S75" s="111"/>
    </row>
    <row r="76" spans="1:19" x14ac:dyDescent="0.2">
      <c r="A76" s="8"/>
      <c r="B76" s="8" t="s">
        <v>301</v>
      </c>
      <c r="C76" s="8" t="s">
        <v>174</v>
      </c>
      <c r="D76" s="8">
        <v>6430000002</v>
      </c>
      <c r="E76" s="8" t="s">
        <v>362</v>
      </c>
      <c r="F76" s="89" t="s">
        <v>470</v>
      </c>
      <c r="G76" s="73" t="s">
        <v>480</v>
      </c>
      <c r="H76" s="112" t="s">
        <v>61</v>
      </c>
      <c r="I76" s="13" t="s">
        <v>436</v>
      </c>
      <c r="K76" s="186">
        <v>1700.2259566660457</v>
      </c>
      <c r="L76" s="187"/>
      <c r="M76" s="214">
        <f>IF(OR(E76="Distribución Legal de la Renta",E76="Acopio carros portaequipajes"),0,IF(K76&lt;0,0,K76*(1+SUMIFS('Insumos - OPEX'!$G$82:$G$238,'Insumos - OPEX'!$B$82:$B$238,OPEX!D76))))</f>
        <v>1775.0518740824407</v>
      </c>
      <c r="N76" s="211">
        <f>IF(OR($B76="Ce Co No Imputables",$G76="M2 fijo"),$M76*(1+'Insumos - OPEX'!J$38),$M76*(1+'Insumos - OPEX'!J$29*'Insumos - OPEX'!J$39)*(1+'Insumos - OPEX'!J$38))</f>
        <v>1812.3457139569127</v>
      </c>
      <c r="O76" s="211">
        <f>IF(OR($B76="Ce Co No Imputables",$G76="M2 fijo"),$M76*(1+'Insumos - OPEX'!K$38),$M76*(1+'Insumos - OPEX'!K$29*'Insumos - OPEX'!K$39)*(1+'Insumos - OPEX'!K$38))</f>
        <v>1855.316430834831</v>
      </c>
      <c r="P76" s="211">
        <f>IF(OR($B76="Ce Co No Imputables",$G76="M2 fijo"),$M76*(1+'Insumos - OPEX'!L$38),$M76*(1+'Insumos - OPEX'!L$29*'Insumos - OPEX'!L$39)*(1+'Insumos - OPEX'!L$38))</f>
        <v>1894.9274366331545</v>
      </c>
      <c r="Q76" s="211">
        <f>IF(OR($B76="Ce Co No Imputables",$G76="M2 fijo"),$M76*(1+'Insumos - OPEX'!M$38),$M76*(1+'Insumos - OPEX'!M$29*'Insumos - OPEX'!M$39)*(1+'Insumos - OPEX'!M$38))</f>
        <v>1935.7062750694997</v>
      </c>
      <c r="R76" s="211">
        <f>IF(OR($B76="Ce Co No Imputables",$G76="M2 fijo"),$M76*(1+'Insumos - OPEX'!N$38),$M76*(1+'Insumos - OPEX'!N$29*'Insumos - OPEX'!N$39)*(1+'Insumos - OPEX'!N$38))</f>
        <v>1977.3626741089954</v>
      </c>
      <c r="S76" s="111"/>
    </row>
    <row r="77" spans="1:19" x14ac:dyDescent="0.2">
      <c r="A77" s="8"/>
      <c r="B77" s="8" t="s">
        <v>301</v>
      </c>
      <c r="C77" s="8" t="s">
        <v>174</v>
      </c>
      <c r="D77" s="8">
        <v>6391000001</v>
      </c>
      <c r="E77" s="8" t="s">
        <v>363</v>
      </c>
      <c r="F77" s="89" t="s">
        <v>470</v>
      </c>
      <c r="G77" s="73" t="s">
        <v>136</v>
      </c>
      <c r="H77" s="112" t="s">
        <v>61</v>
      </c>
      <c r="I77" s="13" t="s">
        <v>436</v>
      </c>
      <c r="K77" s="186">
        <v>749.9899999999999</v>
      </c>
      <c r="L77" s="187"/>
      <c r="M77" s="214">
        <f>IF(OR(E77="Distribución Legal de la Renta",E77="Acopio carros portaequipajes"),0,IF(K77&lt;0,0,K77*(1+SUMIFS('Insumos - OPEX'!$G$82:$G$238,'Insumos - OPEX'!$B$82:$B$238,OPEX!D77))))</f>
        <v>782.99660690603991</v>
      </c>
      <c r="N77" s="211">
        <f>IF(OR($B77="Ce Co No Imputables",$G77="M2 fijo"),$M77*(1+'Insumos - OPEX'!J$38),$M77*(1+'Insumos - OPEX'!J$29*'Insumos - OPEX'!J$39)*(1+'Insumos - OPEX'!J$38))</f>
        <v>827.90194859455039</v>
      </c>
      <c r="O77" s="211">
        <f>IF(OR($B77="Ce Co No Imputables",$G77="M2 fijo"),$M77*(1+'Insumos - OPEX'!K$38),$M77*(1+'Insumos - OPEX'!K$29*'Insumos - OPEX'!K$39)*(1+'Insumos - OPEX'!K$38))</f>
        <v>870.41314301377167</v>
      </c>
      <c r="P77" s="211">
        <f>IF(OR($B77="Ce Co No Imputables",$G77="M2 fijo"),$M77*(1+'Insumos - OPEX'!L$38),$M77*(1+'Insumos - OPEX'!L$29*'Insumos - OPEX'!L$39)*(1+'Insumos - OPEX'!L$38))</f>
        <v>913.46229610881915</v>
      </c>
      <c r="Q77" s="211">
        <f>IF(OR($B77="Ce Co No Imputables",$G77="M2 fijo"),$M77*(1+'Insumos - OPEX'!M$38),$M77*(1+'Insumos - OPEX'!M$29*'Insumos - OPEX'!M$39)*(1+'Insumos - OPEX'!M$38))</f>
        <v>960.78666174798286</v>
      </c>
      <c r="R77" s="211">
        <f>IF(OR($B77="Ce Co No Imputables",$G77="M2 fijo"),$M77*(1+'Insumos - OPEX'!N$38),$M77*(1+'Insumos - OPEX'!N$29*'Insumos - OPEX'!N$39)*(1+'Insumos - OPEX'!N$38))</f>
        <v>1009.0546145305074</v>
      </c>
      <c r="S77" s="111"/>
    </row>
    <row r="78" spans="1:19" x14ac:dyDescent="0.2">
      <c r="A78" s="8"/>
      <c r="B78" s="8" t="s">
        <v>301</v>
      </c>
      <c r="C78" s="8" t="s">
        <v>174</v>
      </c>
      <c r="D78" s="8">
        <v>6530000002</v>
      </c>
      <c r="E78" s="8" t="s">
        <v>271</v>
      </c>
      <c r="F78" s="89" t="s">
        <v>469</v>
      </c>
      <c r="G78" s="73" t="s">
        <v>136</v>
      </c>
      <c r="H78" s="112" t="s">
        <v>61</v>
      </c>
      <c r="I78" s="13" t="s">
        <v>436</v>
      </c>
      <c r="K78" s="186">
        <v>701.42172413793105</v>
      </c>
      <c r="L78" s="187"/>
      <c r="M78" s="214">
        <f>IF(OR(E78="Distribución Legal de la Renta",E78="Acopio carros portaequipajes"),0,IF(K78&lt;0,0,K78*(1+SUMIFS('Insumos - OPEX'!$G$82:$G$238,'Insumos - OPEX'!$B$82:$B$238,OPEX!D78))))</f>
        <v>1696.9063947099646</v>
      </c>
      <c r="N78" s="211">
        <f>IF(OR($B78="Ce Co No Imputables",$G78="M2 fijo"),$M78*(1+'Insumos - OPEX'!J$38),$M78*(1+'Insumos - OPEX'!J$29*'Insumos - OPEX'!J$39)*(1+'Insumos - OPEX'!J$38))</f>
        <v>1794.2250303155126</v>
      </c>
      <c r="O78" s="211">
        <f>IF(OR($B78="Ce Co No Imputables",$G78="M2 fijo"),$M78*(1+'Insumos - OPEX'!K$38),$M78*(1+'Insumos - OPEX'!K$29*'Insumos - OPEX'!K$39)*(1+'Insumos - OPEX'!K$38))</f>
        <v>1886.3550817365292</v>
      </c>
      <c r="P78" s="211">
        <f>IF(OR($B78="Ce Co No Imputables",$G78="M2 fijo"),$M78*(1+'Insumos - OPEX'!L$38),$M78*(1+'Insumos - OPEX'!L$29*'Insumos - OPEX'!L$39)*(1+'Insumos - OPEX'!L$38))</f>
        <v>1979.6509945534292</v>
      </c>
      <c r="Q78" s="211">
        <f>IF(OR($B78="Ce Co No Imputables",$G78="M2 fijo"),$M78*(1+'Insumos - OPEX'!M$38),$M78*(1+'Insumos - OPEX'!M$29*'Insumos - OPEX'!M$39)*(1+'Insumos - OPEX'!M$38))</f>
        <v>2082.2121269649856</v>
      </c>
      <c r="R78" s="211">
        <f>IF(OR($B78="Ce Co No Imputables",$G78="M2 fijo"),$M78*(1+'Insumos - OPEX'!N$38),$M78*(1+'Insumos - OPEX'!N$29*'Insumos - OPEX'!N$39)*(1+'Insumos - OPEX'!N$38))</f>
        <v>2186.8181967918667</v>
      </c>
      <c r="S78" s="111"/>
    </row>
    <row r="79" spans="1:19" x14ac:dyDescent="0.2">
      <c r="A79" s="8"/>
      <c r="B79" s="8" t="s">
        <v>301</v>
      </c>
      <c r="C79" s="8" t="s">
        <v>174</v>
      </c>
      <c r="D79" s="8">
        <v>6530000001</v>
      </c>
      <c r="E79" s="8" t="s">
        <v>364</v>
      </c>
      <c r="F79" s="89" t="s">
        <v>470</v>
      </c>
      <c r="G79" s="73" t="s">
        <v>136</v>
      </c>
      <c r="H79" s="112" t="s">
        <v>61</v>
      </c>
      <c r="I79" s="13" t="s">
        <v>436</v>
      </c>
      <c r="K79" s="186">
        <v>113.24</v>
      </c>
      <c r="L79" s="187"/>
      <c r="M79" s="214">
        <f>IF(OR(E79="Distribución Legal de la Renta",E79="Acopio carros portaequipajes"),0,IF(K79&lt;0,0,K79*(1+SUMIFS('Insumos - OPEX'!$G$82:$G$238,'Insumos - OPEX'!$B$82:$B$238,OPEX!D79))))</f>
        <v>118.22362400304</v>
      </c>
      <c r="N79" s="211">
        <f>IF(OR($B79="Ce Co No Imputables",$G79="M2 fijo"),$M79*(1+'Insumos - OPEX'!J$38),$M79*(1+'Insumos - OPEX'!J$29*'Insumos - OPEX'!J$39)*(1+'Insumos - OPEX'!J$38))</f>
        <v>125.00382226275937</v>
      </c>
      <c r="O79" s="211">
        <f>IF(OR($B79="Ce Co No Imputables",$G79="M2 fijo"),$M79*(1+'Insumos - OPEX'!K$38),$M79*(1+'Insumos - OPEX'!K$29*'Insumos - OPEX'!K$39)*(1+'Insumos - OPEX'!K$38))</f>
        <v>131.4225313869245</v>
      </c>
      <c r="P79" s="211">
        <f>IF(OR($B79="Ce Co No Imputables",$G79="M2 fijo"),$M79*(1+'Insumos - OPEX'!L$38),$M79*(1+'Insumos - OPEX'!L$29*'Insumos - OPEX'!L$39)*(1+'Insumos - OPEX'!L$38))</f>
        <v>137.92246618136599</v>
      </c>
      <c r="Q79" s="211">
        <f>IF(OR($B79="Ce Co No Imputables",$G79="M2 fijo"),$M79*(1+'Insumos - OPEX'!M$38),$M79*(1+'Insumos - OPEX'!M$29*'Insumos - OPEX'!M$39)*(1+'Insumos - OPEX'!M$38))</f>
        <v>145.06790967391777</v>
      </c>
      <c r="R79" s="211">
        <f>IF(OR($B79="Ce Co No Imputables",$G79="M2 fijo"),$M79*(1+'Insumos - OPEX'!N$38),$M79*(1+'Insumos - OPEX'!N$29*'Insumos - OPEX'!N$39)*(1+'Insumos - OPEX'!N$38))</f>
        <v>152.35582414356816</v>
      </c>
      <c r="S79" s="111"/>
    </row>
    <row r="80" spans="1:19" x14ac:dyDescent="0.2">
      <c r="A80" s="8"/>
      <c r="B80" s="8" t="s">
        <v>301</v>
      </c>
      <c r="C80" s="8" t="s">
        <v>174</v>
      </c>
      <c r="D80" s="8">
        <v>6561000005</v>
      </c>
      <c r="E80" s="8" t="s">
        <v>365</v>
      </c>
      <c r="F80" s="89" t="s">
        <v>470</v>
      </c>
      <c r="G80" s="73" t="s">
        <v>136</v>
      </c>
      <c r="H80" s="112" t="s">
        <v>61</v>
      </c>
      <c r="I80" s="13" t="s">
        <v>436</v>
      </c>
      <c r="K80" s="186">
        <v>38.890394948961386</v>
      </c>
      <c r="L80" s="187"/>
      <c r="M80" s="214">
        <f>IF(OR(E80="Distribución Legal de la Renta",E80="Acopio carros portaequipajes"),0,IF(K80&lt;0,0,K80*(1+SUMIFS('Insumos - OPEX'!$G$82:$G$238,'Insumos - OPEX'!$B$82:$B$238,OPEX!D80))))</f>
        <v>40.601937740866632</v>
      </c>
      <c r="N80" s="211">
        <f>IF(OR($B80="Ce Co No Imputables",$G80="M2 fijo"),$M80*(1+'Insumos - OPEX'!J$38),$M80*(1+'Insumos - OPEX'!J$29*'Insumos - OPEX'!J$39)*(1+'Insumos - OPEX'!J$38))</f>
        <v>42.930484086263547</v>
      </c>
      <c r="O80" s="211">
        <f>IF(OR($B80="Ce Co No Imputables",$G80="M2 fijo"),$M80*(1+'Insumos - OPEX'!K$38),$M80*(1+'Insumos - OPEX'!K$29*'Insumos - OPEX'!K$39)*(1+'Insumos - OPEX'!K$38))</f>
        <v>45.134882999203185</v>
      </c>
      <c r="P80" s="211">
        <f>IF(OR($B80="Ce Co No Imputables",$G80="M2 fijo"),$M80*(1+'Insumos - OPEX'!L$38),$M80*(1+'Insumos - OPEX'!L$29*'Insumos - OPEX'!L$39)*(1+'Insumos - OPEX'!L$38))</f>
        <v>47.367177517909695</v>
      </c>
      <c r="Q80" s="211">
        <f>IF(OR($B80="Ce Co No Imputables",$G80="M2 fijo"),$M80*(1+'Insumos - OPEX'!M$38),$M80*(1+'Insumos - OPEX'!M$29*'Insumos - OPEX'!M$39)*(1+'Insumos - OPEX'!M$38))</f>
        <v>49.821161264914508</v>
      </c>
      <c r="R80" s="211">
        <f>IF(OR($B80="Ce Co No Imputables",$G80="M2 fijo"),$M80*(1+'Insumos - OPEX'!N$38),$M80*(1+'Insumos - OPEX'!N$29*'Insumos - OPEX'!N$39)*(1+'Insumos - OPEX'!N$38))</f>
        <v>52.324074299875235</v>
      </c>
      <c r="S80" s="111"/>
    </row>
    <row r="81" spans="1:21" x14ac:dyDescent="0.2">
      <c r="A81" s="8"/>
      <c r="B81" s="8" t="s">
        <v>301</v>
      </c>
      <c r="C81" s="8" t="s">
        <v>174</v>
      </c>
      <c r="D81" s="8">
        <v>6540000001</v>
      </c>
      <c r="E81" s="8" t="s">
        <v>276</v>
      </c>
      <c r="F81" s="89" t="s">
        <v>469</v>
      </c>
      <c r="G81" s="73" t="s">
        <v>136</v>
      </c>
      <c r="H81" s="112" t="s">
        <v>61</v>
      </c>
      <c r="I81" s="13" t="s">
        <v>436</v>
      </c>
      <c r="K81" s="186">
        <v>20.513183845468063</v>
      </c>
      <c r="L81" s="187"/>
      <c r="M81" s="214">
        <f>IF(OR(E81="Distribución Legal de la Renta",E81="Acopio carros portaequipajes"),0,IF(K81&lt;0,0,K81*(1+SUMIFS('Insumos - OPEX'!$G$82:$G$238,'Insumos - OPEX'!$B$82:$B$238,OPEX!D81))))</f>
        <v>21.415956676544074</v>
      </c>
      <c r="N81" s="211">
        <f>IF(OR($B81="Ce Co No Imputables",$G81="M2 fijo"),$M81*(1+'Insumos - OPEX'!J$38),$M81*(1+'Insumos - OPEX'!J$29*'Insumos - OPEX'!J$39)*(1+'Insumos - OPEX'!J$38))</f>
        <v>22.644175092389588</v>
      </c>
      <c r="O81" s="211">
        <f>IF(OR($B81="Ce Co No Imputables",$G81="M2 fijo"),$M81*(1+'Insumos - OPEX'!K$38),$M81*(1+'Insumos - OPEX'!K$29*'Insumos - OPEX'!K$39)*(1+'Insumos - OPEX'!K$38))</f>
        <v>23.806910524344577</v>
      </c>
      <c r="P81" s="211">
        <f>IF(OR($B81="Ce Co No Imputables",$G81="M2 fijo"),$M81*(1+'Insumos - OPEX'!L$38),$M81*(1+'Insumos - OPEX'!L$29*'Insumos - OPEX'!L$39)*(1+'Insumos - OPEX'!L$38))</f>
        <v>24.984359812775637</v>
      </c>
      <c r="Q81" s="211">
        <f>IF(OR($B81="Ce Co No Imputables",$G81="M2 fijo"),$M81*(1+'Insumos - OPEX'!M$38),$M81*(1+'Insumos - OPEX'!M$29*'Insumos - OPEX'!M$39)*(1+'Insumos - OPEX'!M$38))</f>
        <v>26.27874162150151</v>
      </c>
      <c r="R81" s="211">
        <f>IF(OR($B81="Ce Co No Imputables",$G81="M2 fijo"),$M81*(1+'Insumos - OPEX'!N$38),$M81*(1+'Insumos - OPEX'!N$29*'Insumos - OPEX'!N$39)*(1+'Insumos - OPEX'!N$38))</f>
        <v>27.598931743066192</v>
      </c>
      <c r="S81" s="111"/>
    </row>
    <row r="82" spans="1:21" x14ac:dyDescent="0.2">
      <c r="A82" s="8"/>
      <c r="B82" s="8" t="s">
        <v>301</v>
      </c>
      <c r="C82" s="8" t="s">
        <v>174</v>
      </c>
      <c r="D82" s="8">
        <v>6562000003</v>
      </c>
      <c r="E82" s="8" t="s">
        <v>366</v>
      </c>
      <c r="F82" s="89" t="s">
        <v>470</v>
      </c>
      <c r="G82" s="73" t="s">
        <v>136</v>
      </c>
      <c r="H82" s="112" t="s">
        <v>61</v>
      </c>
      <c r="I82" s="13" t="s">
        <v>436</v>
      </c>
      <c r="K82" s="186">
        <v>16.043381754902278</v>
      </c>
      <c r="L82" s="187"/>
      <c r="M82" s="214">
        <f>IF(OR(E82="Distribución Legal de la Renta",E82="Acopio carros portaequipajes"),0,IF(K82&lt;0,0,K82*(1+SUMIFS('Insumos - OPEX'!$G$82:$G$238,'Insumos - OPEX'!$B$82:$B$238,OPEX!D82))))</f>
        <v>16.74944129573295</v>
      </c>
      <c r="N82" s="211">
        <f>IF(OR($B82="Ce Co No Imputables",$G82="M2 fijo"),$M82*(1+'Insumos - OPEX'!J$38),$M82*(1+'Insumos - OPEX'!J$29*'Insumos - OPEX'!J$39)*(1+'Insumos - OPEX'!J$38))</f>
        <v>17.710032156335227</v>
      </c>
      <c r="O82" s="211">
        <f>IF(OR($B82="Ce Co No Imputables",$G82="M2 fijo"),$M82*(1+'Insumos - OPEX'!K$38),$M82*(1+'Insumos - OPEX'!K$29*'Insumos - OPEX'!K$39)*(1+'Insumos - OPEX'!K$38))</f>
        <v>18.619408709255183</v>
      </c>
      <c r="P82" s="211">
        <f>IF(OR($B82="Ce Co No Imputables",$G82="M2 fijo"),$M82*(1+'Insumos - OPEX'!L$38),$M82*(1+'Insumos - OPEX'!L$29*'Insumos - OPEX'!L$39)*(1+'Insumos - OPEX'!L$38))</f>
        <v>19.540292984150955</v>
      </c>
      <c r="Q82" s="211">
        <f>IF(OR($B82="Ce Co No Imputables",$G82="M2 fijo"),$M82*(1+'Insumos - OPEX'!M$38),$M82*(1+'Insumos - OPEX'!M$29*'Insumos - OPEX'!M$39)*(1+'Insumos - OPEX'!M$38))</f>
        <v>20.552630300992092</v>
      </c>
      <c r="R82" s="211">
        <f>IF(OR($B82="Ce Co No Imputables",$G82="M2 fijo"),$M82*(1+'Insumos - OPEX'!N$38),$M82*(1+'Insumos - OPEX'!N$29*'Insumos - OPEX'!N$39)*(1+'Insumos - OPEX'!N$38))</f>
        <v>21.585152325309267</v>
      </c>
      <c r="S82" s="111"/>
    </row>
    <row r="83" spans="1:21" x14ac:dyDescent="0.2">
      <c r="A83" s="8"/>
      <c r="B83" s="8" t="s">
        <v>301</v>
      </c>
      <c r="C83" s="8" t="s">
        <v>174</v>
      </c>
      <c r="D83" s="8">
        <v>6562000005</v>
      </c>
      <c r="E83" s="8" t="s">
        <v>367</v>
      </c>
      <c r="F83" s="89" t="s">
        <v>470</v>
      </c>
      <c r="G83" s="73" t="s">
        <v>136</v>
      </c>
      <c r="H83" s="112" t="s">
        <v>61</v>
      </c>
      <c r="I83" s="13" t="s">
        <v>436</v>
      </c>
      <c r="K83" s="186">
        <v>1.3470867102854108E-2</v>
      </c>
      <c r="L83" s="187"/>
      <c r="M83" s="214">
        <f>IF(OR(E83="Distribución Legal de la Renta",E83="Acopio carros portaequipajes"),0,IF(K83&lt;0,0,K83*(1+SUMIFS('Insumos - OPEX'!$G$82:$G$238,'Insumos - OPEX'!$B$82:$B$238,OPEX!D83))))</f>
        <v>1.4063711827646989E-2</v>
      </c>
      <c r="N83" s="211">
        <f>IF(OR($B83="Ce Co No Imputables",$G83="M2 fijo"),$M83*(1+'Insumos - OPEX'!J$38),$M83*(1+'Insumos - OPEX'!J$29*'Insumos - OPEX'!J$39)*(1+'Insumos - OPEX'!J$38))</f>
        <v>1.4870274435273997E-2</v>
      </c>
      <c r="O83" s="211">
        <f>IF(OR($B83="Ce Co No Imputables",$G83="M2 fijo"),$M83*(1+'Insumos - OPEX'!K$38),$M83*(1+'Insumos - OPEX'!K$29*'Insumos - OPEX'!K$39)*(1+'Insumos - OPEX'!K$38))</f>
        <v>1.5633834816618977E-2</v>
      </c>
      <c r="P83" s="211">
        <f>IF(OR($B83="Ce Co No Imputables",$G83="M2 fijo"),$M83*(1+'Insumos - OPEX'!L$38),$M83*(1+'Insumos - OPEX'!L$29*'Insumos - OPEX'!L$39)*(1+'Insumos - OPEX'!L$38))</f>
        <v>1.6407057686568981E-2</v>
      </c>
      <c r="Q83" s="211">
        <f>IF(OR($B83="Ce Co No Imputables",$G83="M2 fijo"),$M83*(1+'Insumos - OPEX'!M$38),$M83*(1+'Insumos - OPEX'!M$29*'Insumos - OPEX'!M$39)*(1+'Insumos - OPEX'!M$38))</f>
        <v>1.7257069340393769E-2</v>
      </c>
      <c r="R83" s="211">
        <f>IF(OR($B83="Ce Co No Imputables",$G83="M2 fijo"),$M83*(1+'Insumos - OPEX'!N$38),$M83*(1+'Insumos - OPEX'!N$29*'Insumos - OPEX'!N$39)*(1+'Insumos - OPEX'!N$38))</f>
        <v>1.8124029136204679E-2</v>
      </c>
      <c r="S83" s="111"/>
    </row>
    <row r="84" spans="1:21" x14ac:dyDescent="0.2">
      <c r="A84" s="8"/>
      <c r="B84" s="8" t="s">
        <v>301</v>
      </c>
      <c r="C84" s="8" t="s">
        <v>174</v>
      </c>
      <c r="D84" s="8">
        <v>6390000001</v>
      </c>
      <c r="E84" s="8" t="s">
        <v>368</v>
      </c>
      <c r="F84" s="89" t="s">
        <v>470</v>
      </c>
      <c r="G84" s="73" t="s">
        <v>136</v>
      </c>
      <c r="H84" s="112" t="s">
        <v>61</v>
      </c>
      <c r="I84" s="13" t="s">
        <v>436</v>
      </c>
      <c r="K84" s="186">
        <v>0</v>
      </c>
      <c r="L84" s="187"/>
      <c r="M84" s="214">
        <f>IF(OR(E84="Distribución Legal de la Renta",E84="Acopio carros portaequipajes"),0,IF(K84&lt;0,0,K84*(1+SUMIFS('Insumos - OPEX'!$G$82:$G$238,'Insumos - OPEX'!$B$82:$B$238,OPEX!D84))))</f>
        <v>0</v>
      </c>
      <c r="N84" s="211">
        <f>IF(OR($B84="Ce Co No Imputables",$G84="M2 fijo"),$M84*(1+'Insumos - OPEX'!J$38),$M84*(1+'Insumos - OPEX'!J$29*'Insumos - OPEX'!J$39)*(1+'Insumos - OPEX'!J$38))</f>
        <v>0</v>
      </c>
      <c r="O84" s="211">
        <f>IF(OR($B84="Ce Co No Imputables",$G84="M2 fijo"),$M84*(1+'Insumos - OPEX'!K$38),$M84*(1+'Insumos - OPEX'!K$29*'Insumos - OPEX'!K$39)*(1+'Insumos - OPEX'!K$38))</f>
        <v>0</v>
      </c>
      <c r="P84" s="211">
        <f>IF(OR($B84="Ce Co No Imputables",$G84="M2 fijo"),$M84*(1+'Insumos - OPEX'!L$38),$M84*(1+'Insumos - OPEX'!L$29*'Insumos - OPEX'!L$39)*(1+'Insumos - OPEX'!L$38))</f>
        <v>0</v>
      </c>
      <c r="Q84" s="211">
        <f>IF(OR($B84="Ce Co No Imputables",$G84="M2 fijo"),$M84*(1+'Insumos - OPEX'!M$38),$M84*(1+'Insumos - OPEX'!M$29*'Insumos - OPEX'!M$39)*(1+'Insumos - OPEX'!M$38))</f>
        <v>0</v>
      </c>
      <c r="R84" s="211">
        <f>IF(OR($B84="Ce Co No Imputables",$G84="M2 fijo"),$M84*(1+'Insumos - OPEX'!N$38),$M84*(1+'Insumos - OPEX'!N$29*'Insumos - OPEX'!N$39)*(1+'Insumos - OPEX'!N$38))</f>
        <v>0</v>
      </c>
      <c r="S84" s="111"/>
    </row>
    <row r="85" spans="1:21" x14ac:dyDescent="0.2">
      <c r="A85" s="8"/>
      <c r="B85" s="8" t="s">
        <v>301</v>
      </c>
      <c r="C85" s="8" t="s">
        <v>174</v>
      </c>
      <c r="D85" s="8">
        <v>6590000001</v>
      </c>
      <c r="E85" s="8" t="s">
        <v>369</v>
      </c>
      <c r="F85" s="89" t="s">
        <v>470</v>
      </c>
      <c r="G85" s="73" t="s">
        <v>136</v>
      </c>
      <c r="H85" s="112" t="s">
        <v>61</v>
      </c>
      <c r="I85" s="13" t="s">
        <v>436</v>
      </c>
      <c r="K85" s="186">
        <v>0</v>
      </c>
      <c r="L85" s="187"/>
      <c r="M85" s="214">
        <f>IF(OR(E85="Distribución Legal de la Renta",E85="Acopio carros portaequipajes"),0,IF(K85&lt;0,0,K85*(1+SUMIFS('Insumos - OPEX'!$G$82:$G$238,'Insumos - OPEX'!$B$82:$B$238,OPEX!D85))))</f>
        <v>0</v>
      </c>
      <c r="N85" s="211">
        <f>IF(OR($B85="Ce Co No Imputables",$G85="M2 fijo"),$M85*(1+'Insumos - OPEX'!J$38),$M85*(1+'Insumos - OPEX'!J$29*'Insumos - OPEX'!J$39)*(1+'Insumos - OPEX'!J$38))</f>
        <v>0</v>
      </c>
      <c r="O85" s="211">
        <f>IF(OR($B85="Ce Co No Imputables",$G85="M2 fijo"),$M85*(1+'Insumos - OPEX'!K$38),$M85*(1+'Insumos - OPEX'!K$29*'Insumos - OPEX'!K$39)*(1+'Insumos - OPEX'!K$38))</f>
        <v>0</v>
      </c>
      <c r="P85" s="211">
        <f>IF(OR($B85="Ce Co No Imputables",$G85="M2 fijo"),$M85*(1+'Insumos - OPEX'!L$38),$M85*(1+'Insumos - OPEX'!L$29*'Insumos - OPEX'!L$39)*(1+'Insumos - OPEX'!L$38))</f>
        <v>0</v>
      </c>
      <c r="Q85" s="211">
        <f>IF(OR($B85="Ce Co No Imputables",$G85="M2 fijo"),$M85*(1+'Insumos - OPEX'!M$38),$M85*(1+'Insumos - OPEX'!M$29*'Insumos - OPEX'!M$39)*(1+'Insumos - OPEX'!M$38))</f>
        <v>0</v>
      </c>
      <c r="R85" s="211">
        <f>IF(OR($B85="Ce Co No Imputables",$G85="M2 fijo"),$M85*(1+'Insumos - OPEX'!N$38),$M85*(1+'Insumos - OPEX'!N$29*'Insumos - OPEX'!N$39)*(1+'Insumos - OPEX'!N$38))</f>
        <v>0</v>
      </c>
      <c r="S85" s="111"/>
    </row>
    <row r="86" spans="1:21" x14ac:dyDescent="0.2">
      <c r="A86" s="8"/>
      <c r="B86" s="8" t="s">
        <v>301</v>
      </c>
      <c r="C86" s="8" t="s">
        <v>174</v>
      </c>
      <c r="D86" s="8">
        <v>6563000004</v>
      </c>
      <c r="E86" s="8" t="s">
        <v>370</v>
      </c>
      <c r="F86" s="89" t="s">
        <v>470</v>
      </c>
      <c r="G86" s="73" t="s">
        <v>136</v>
      </c>
      <c r="H86" s="112" t="s">
        <v>61</v>
      </c>
      <c r="I86" s="13" t="s">
        <v>436</v>
      </c>
      <c r="K86" s="186">
        <v>0</v>
      </c>
      <c r="L86" s="187"/>
      <c r="M86" s="214">
        <f>IF(OR(E86="Distribución Legal de la Renta",E86="Acopio carros portaequipajes"),0,IF(K86&lt;0,0,K86*(1+SUMIFS('Insumos - OPEX'!$G$82:$G$238,'Insumos - OPEX'!$B$82:$B$238,OPEX!D86))))</f>
        <v>0</v>
      </c>
      <c r="N86" s="211">
        <f>IF(OR($B86="Ce Co No Imputables",$G86="M2 fijo"),$M86*(1+'Insumos - OPEX'!J$38),$M86*(1+'Insumos - OPEX'!J$29*'Insumos - OPEX'!J$39)*(1+'Insumos - OPEX'!J$38))</f>
        <v>0</v>
      </c>
      <c r="O86" s="211">
        <f>IF(OR($B86="Ce Co No Imputables",$G86="M2 fijo"),$M86*(1+'Insumos - OPEX'!K$38),$M86*(1+'Insumos - OPEX'!K$29*'Insumos - OPEX'!K$39)*(1+'Insumos - OPEX'!K$38))</f>
        <v>0</v>
      </c>
      <c r="P86" s="211">
        <f>IF(OR($B86="Ce Co No Imputables",$G86="M2 fijo"),$M86*(1+'Insumos - OPEX'!L$38),$M86*(1+'Insumos - OPEX'!L$29*'Insumos - OPEX'!L$39)*(1+'Insumos - OPEX'!L$38))</f>
        <v>0</v>
      </c>
      <c r="Q86" s="211">
        <f>IF(OR($B86="Ce Co No Imputables",$G86="M2 fijo"),$M86*(1+'Insumos - OPEX'!M$38),$M86*(1+'Insumos - OPEX'!M$29*'Insumos - OPEX'!M$39)*(1+'Insumos - OPEX'!M$38))</f>
        <v>0</v>
      </c>
      <c r="R86" s="211">
        <f>IF(OR($B86="Ce Co No Imputables",$G86="M2 fijo"),$M86*(1+'Insumos - OPEX'!N$38),$M86*(1+'Insumos - OPEX'!N$29*'Insumos - OPEX'!N$39)*(1+'Insumos - OPEX'!N$38))</f>
        <v>0</v>
      </c>
      <c r="S86" s="111"/>
    </row>
    <row r="87" spans="1:21" x14ac:dyDescent="0.2">
      <c r="A87" s="8"/>
      <c r="B87" s="8" t="s">
        <v>301</v>
      </c>
      <c r="C87" s="8" t="s">
        <v>174</v>
      </c>
      <c r="D87" s="8">
        <v>6310000001</v>
      </c>
      <c r="E87" s="8" t="s">
        <v>371</v>
      </c>
      <c r="F87" s="89" t="s">
        <v>470</v>
      </c>
      <c r="G87" s="73" t="s">
        <v>136</v>
      </c>
      <c r="H87" s="112" t="s">
        <v>61</v>
      </c>
      <c r="I87" s="13" t="s">
        <v>436</v>
      </c>
      <c r="K87" s="186">
        <v>0</v>
      </c>
      <c r="L87" s="187"/>
      <c r="M87" s="214">
        <f>IF(OR(E87="Distribución Legal de la Renta",E87="Acopio carros portaequipajes"),0,IF(K87&lt;0,0,K87*(1+SUMIFS('Insumos - OPEX'!$G$82:$G$238,'Insumos - OPEX'!$B$82:$B$238,OPEX!D87))))</f>
        <v>0</v>
      </c>
      <c r="N87" s="211">
        <f>IF(OR($B87="Ce Co No Imputables",$G87="M2 fijo"),$M87*(1+'Insumos - OPEX'!J$38),$M87*(1+'Insumos - OPEX'!J$29*'Insumos - OPEX'!J$39)*(1+'Insumos - OPEX'!J$38))</f>
        <v>0</v>
      </c>
      <c r="O87" s="211">
        <f>IF(OR($B87="Ce Co No Imputables",$G87="M2 fijo"),$M87*(1+'Insumos - OPEX'!K$38),$M87*(1+'Insumos - OPEX'!K$29*'Insumos - OPEX'!K$39)*(1+'Insumos - OPEX'!K$38))</f>
        <v>0</v>
      </c>
      <c r="P87" s="211">
        <f>IF(OR($B87="Ce Co No Imputables",$G87="M2 fijo"),$M87*(1+'Insumos - OPEX'!L$38),$M87*(1+'Insumos - OPEX'!L$29*'Insumos - OPEX'!L$39)*(1+'Insumos - OPEX'!L$38))</f>
        <v>0</v>
      </c>
      <c r="Q87" s="211">
        <f>IF(OR($B87="Ce Co No Imputables",$G87="M2 fijo"),$M87*(1+'Insumos - OPEX'!M$38),$M87*(1+'Insumos - OPEX'!M$29*'Insumos - OPEX'!M$39)*(1+'Insumos - OPEX'!M$38))</f>
        <v>0</v>
      </c>
      <c r="R87" s="211">
        <f>IF(OR($B87="Ce Co No Imputables",$G87="M2 fijo"),$M87*(1+'Insumos - OPEX'!N$38),$M87*(1+'Insumos - OPEX'!N$29*'Insumos - OPEX'!N$39)*(1+'Insumos - OPEX'!N$38))</f>
        <v>0</v>
      </c>
      <c r="S87" s="111"/>
    </row>
    <row r="88" spans="1:21" x14ac:dyDescent="0.2">
      <c r="A88" s="8"/>
      <c r="B88" s="8" t="s">
        <v>301</v>
      </c>
      <c r="C88" s="8" t="s">
        <v>174</v>
      </c>
      <c r="D88" s="8">
        <v>6590000003</v>
      </c>
      <c r="E88" s="8" t="s">
        <v>372</v>
      </c>
      <c r="F88" s="89" t="s">
        <v>470</v>
      </c>
      <c r="G88" s="73" t="s">
        <v>136</v>
      </c>
      <c r="H88" s="112" t="s">
        <v>61</v>
      </c>
      <c r="I88" s="13" t="s">
        <v>436</v>
      </c>
      <c r="K88" s="186">
        <v>0</v>
      </c>
      <c r="L88" s="187"/>
      <c r="M88" s="214">
        <f>IF(OR(E88="Distribución Legal de la Renta",E88="Acopio carros portaequipajes"),0,IF(K88&lt;0,0,K88*(1+SUMIFS('Insumos - OPEX'!$G$82:$G$238,'Insumos - OPEX'!$B$82:$B$238,OPEX!D88))))</f>
        <v>0</v>
      </c>
      <c r="N88" s="211">
        <f>IF(OR($B88="Ce Co No Imputables",$G88="M2 fijo"),$M88*(1+'Insumos - OPEX'!J$38),$M88*(1+'Insumos - OPEX'!J$29*'Insumos - OPEX'!J$39)*(1+'Insumos - OPEX'!J$38))</f>
        <v>0</v>
      </c>
      <c r="O88" s="211">
        <f>IF(OR($B88="Ce Co No Imputables",$G88="M2 fijo"),$M88*(1+'Insumos - OPEX'!K$38),$M88*(1+'Insumos - OPEX'!K$29*'Insumos - OPEX'!K$39)*(1+'Insumos - OPEX'!K$38))</f>
        <v>0</v>
      </c>
      <c r="P88" s="211">
        <f>IF(OR($B88="Ce Co No Imputables",$G88="M2 fijo"),$M88*(1+'Insumos - OPEX'!L$38),$M88*(1+'Insumos - OPEX'!L$29*'Insumos - OPEX'!L$39)*(1+'Insumos - OPEX'!L$38))</f>
        <v>0</v>
      </c>
      <c r="Q88" s="211">
        <f>IF(OR($B88="Ce Co No Imputables",$G88="M2 fijo"),$M88*(1+'Insumos - OPEX'!M$38),$M88*(1+'Insumos - OPEX'!M$29*'Insumos - OPEX'!M$39)*(1+'Insumos - OPEX'!M$38))</f>
        <v>0</v>
      </c>
      <c r="R88" s="211">
        <f>IF(OR($B88="Ce Co No Imputables",$G88="M2 fijo"),$M88*(1+'Insumos - OPEX'!N$38),$M88*(1+'Insumos - OPEX'!N$29*'Insumos - OPEX'!N$39)*(1+'Insumos - OPEX'!N$38))</f>
        <v>0</v>
      </c>
      <c r="S88" s="111"/>
    </row>
    <row r="89" spans="1:21" s="3" customFormat="1" x14ac:dyDescent="0.2">
      <c r="A89" s="8"/>
      <c r="B89" s="8" t="s">
        <v>301</v>
      </c>
      <c r="C89" s="8" t="s">
        <v>174</v>
      </c>
      <c r="D89" s="8">
        <v>6562000001</v>
      </c>
      <c r="E89" s="8" t="s">
        <v>373</v>
      </c>
      <c r="F89" s="89" t="s">
        <v>470</v>
      </c>
      <c r="G89" s="73" t="s">
        <v>136</v>
      </c>
      <c r="H89" s="112" t="s">
        <v>61</v>
      </c>
      <c r="I89" s="13" t="s">
        <v>436</v>
      </c>
      <c r="J89" s="11"/>
      <c r="K89" s="186">
        <v>0</v>
      </c>
      <c r="L89" s="187"/>
      <c r="M89" s="214">
        <f>IF(OR(E89="Distribución Legal de la Renta",E89="Acopio carros portaequipajes"),0,IF(K89&lt;0,0,K89*(1+SUMIFS('Insumos - OPEX'!$G$82:$G$238,'Insumos - OPEX'!$B$82:$B$238,OPEX!D89))))</f>
        <v>0</v>
      </c>
      <c r="N89" s="211">
        <f>IF(OR($B89="Ce Co No Imputables",$G89="M2 fijo"),$M89*(1+'Insumos - OPEX'!J$38),$M89*(1+'Insumos - OPEX'!J$29*'Insumos - OPEX'!J$39)*(1+'Insumos - OPEX'!J$38))</f>
        <v>0</v>
      </c>
      <c r="O89" s="211">
        <f>IF(OR($B89="Ce Co No Imputables",$G89="M2 fijo"),$M89*(1+'Insumos - OPEX'!K$38),$M89*(1+'Insumos - OPEX'!K$29*'Insumos - OPEX'!K$39)*(1+'Insumos - OPEX'!K$38))</f>
        <v>0</v>
      </c>
      <c r="P89" s="211">
        <f>IF(OR($B89="Ce Co No Imputables",$G89="M2 fijo"),$M89*(1+'Insumos - OPEX'!L$38),$M89*(1+'Insumos - OPEX'!L$29*'Insumos - OPEX'!L$39)*(1+'Insumos - OPEX'!L$38))</f>
        <v>0</v>
      </c>
      <c r="Q89" s="211">
        <f>IF(OR($B89="Ce Co No Imputables",$G89="M2 fijo"),$M89*(1+'Insumos - OPEX'!M$38),$M89*(1+'Insumos - OPEX'!M$29*'Insumos - OPEX'!M$39)*(1+'Insumos - OPEX'!M$38))</f>
        <v>0</v>
      </c>
      <c r="R89" s="211">
        <f>IF(OR($B89="Ce Co No Imputables",$G89="M2 fijo"),$M89*(1+'Insumos - OPEX'!N$38),$M89*(1+'Insumos - OPEX'!N$29*'Insumos - OPEX'!N$39)*(1+'Insumos - OPEX'!N$38))</f>
        <v>0</v>
      </c>
      <c r="S89" s="111"/>
      <c r="U89" s="1"/>
    </row>
    <row r="90" spans="1:21" s="3" customFormat="1" x14ac:dyDescent="0.2">
      <c r="A90" s="8"/>
      <c r="B90" s="8" t="s">
        <v>301</v>
      </c>
      <c r="C90" s="8" t="s">
        <v>174</v>
      </c>
      <c r="D90" s="8">
        <v>6840000001</v>
      </c>
      <c r="E90" s="8" t="s">
        <v>374</v>
      </c>
      <c r="F90" s="89" t="s">
        <v>470</v>
      </c>
      <c r="G90" s="73" t="s">
        <v>136</v>
      </c>
      <c r="H90" s="112" t="s">
        <v>61</v>
      </c>
      <c r="I90" s="13" t="s">
        <v>436</v>
      </c>
      <c r="J90" s="11"/>
      <c r="K90" s="186">
        <v>0</v>
      </c>
      <c r="L90" s="187"/>
      <c r="M90" s="214">
        <f>IF(OR(E90="Distribución Legal de la Renta",E90="Acopio carros portaequipajes"),0,IF(K90&lt;0,0,K90*(1+SUMIFS('Insumos - OPEX'!$G$82:$G$238,'Insumos - OPEX'!$B$82:$B$238,OPEX!D90))))</f>
        <v>0</v>
      </c>
      <c r="N90" s="211">
        <f>IF(OR($B90="Ce Co No Imputables",$G90="M2 fijo"),$M90*(1+'Insumos - OPEX'!J$38),$M90*(1+'Insumos - OPEX'!J$29*'Insumos - OPEX'!J$39)*(1+'Insumos - OPEX'!J$38))</f>
        <v>0</v>
      </c>
      <c r="O90" s="211">
        <f>IF(OR($B90="Ce Co No Imputables",$G90="M2 fijo"),$M90*(1+'Insumos - OPEX'!K$38),$M90*(1+'Insumos - OPEX'!K$29*'Insumos - OPEX'!K$39)*(1+'Insumos - OPEX'!K$38))</f>
        <v>0</v>
      </c>
      <c r="P90" s="211">
        <f>IF(OR($B90="Ce Co No Imputables",$G90="M2 fijo"),$M90*(1+'Insumos - OPEX'!L$38),$M90*(1+'Insumos - OPEX'!L$29*'Insumos - OPEX'!L$39)*(1+'Insumos - OPEX'!L$38))</f>
        <v>0</v>
      </c>
      <c r="Q90" s="211">
        <f>IF(OR($B90="Ce Co No Imputables",$G90="M2 fijo"),$M90*(1+'Insumos - OPEX'!M$38),$M90*(1+'Insumos - OPEX'!M$29*'Insumos - OPEX'!M$39)*(1+'Insumos - OPEX'!M$38))</f>
        <v>0</v>
      </c>
      <c r="R90" s="211">
        <f>IF(OR($B90="Ce Co No Imputables",$G90="M2 fijo"),$M90*(1+'Insumos - OPEX'!N$38),$M90*(1+'Insumos - OPEX'!N$29*'Insumos - OPEX'!N$39)*(1+'Insumos - OPEX'!N$38))</f>
        <v>0</v>
      </c>
      <c r="S90" s="111"/>
      <c r="U90" s="1"/>
    </row>
    <row r="91" spans="1:21" s="3" customFormat="1" x14ac:dyDescent="0.2">
      <c r="A91" s="8"/>
      <c r="B91" s="8" t="s">
        <v>301</v>
      </c>
      <c r="C91" s="8" t="s">
        <v>174</v>
      </c>
      <c r="D91" s="8">
        <v>6380000003</v>
      </c>
      <c r="E91" s="8" t="s">
        <v>375</v>
      </c>
      <c r="F91" s="89" t="s">
        <v>470</v>
      </c>
      <c r="G91" s="73" t="s">
        <v>136</v>
      </c>
      <c r="H91" s="112" t="s">
        <v>61</v>
      </c>
      <c r="I91" s="13" t="s">
        <v>436</v>
      </c>
      <c r="J91" s="11"/>
      <c r="K91" s="186">
        <v>0</v>
      </c>
      <c r="L91" s="187"/>
      <c r="M91" s="214">
        <f>IF(OR(E91="Distribución Legal de la Renta",E91="Acopio carros portaequipajes"),0,IF(K91&lt;0,0,K91*(1+SUMIFS('Insumos - OPEX'!$G$82:$G$238,'Insumos - OPEX'!$B$82:$B$238,OPEX!D91))))</f>
        <v>0</v>
      </c>
      <c r="N91" s="211">
        <f>IF(OR($B91="Ce Co No Imputables",$G91="M2 fijo"),$M91*(1+'Insumos - OPEX'!J$38),$M91*(1+'Insumos - OPEX'!J$29*'Insumos - OPEX'!J$39)*(1+'Insumos - OPEX'!J$38))</f>
        <v>0</v>
      </c>
      <c r="O91" s="211">
        <f>IF(OR($B91="Ce Co No Imputables",$G91="M2 fijo"),$M91*(1+'Insumos - OPEX'!K$38),$M91*(1+'Insumos - OPEX'!K$29*'Insumos - OPEX'!K$39)*(1+'Insumos - OPEX'!K$38))</f>
        <v>0</v>
      </c>
      <c r="P91" s="211">
        <f>IF(OR($B91="Ce Co No Imputables",$G91="M2 fijo"),$M91*(1+'Insumos - OPEX'!L$38),$M91*(1+'Insumos - OPEX'!L$29*'Insumos - OPEX'!L$39)*(1+'Insumos - OPEX'!L$38))</f>
        <v>0</v>
      </c>
      <c r="Q91" s="211">
        <f>IF(OR($B91="Ce Co No Imputables",$G91="M2 fijo"),$M91*(1+'Insumos - OPEX'!M$38),$M91*(1+'Insumos - OPEX'!M$29*'Insumos - OPEX'!M$39)*(1+'Insumos - OPEX'!M$38))</f>
        <v>0</v>
      </c>
      <c r="R91" s="211">
        <f>IF(OR($B91="Ce Co No Imputables",$G91="M2 fijo"),$M91*(1+'Insumos - OPEX'!N$38),$M91*(1+'Insumos - OPEX'!N$29*'Insumos - OPEX'!N$39)*(1+'Insumos - OPEX'!N$38))</f>
        <v>0</v>
      </c>
      <c r="S91" s="111"/>
      <c r="U91" s="1"/>
    </row>
    <row r="92" spans="1:21" x14ac:dyDescent="0.2">
      <c r="A92" s="8"/>
      <c r="B92" s="8" t="s">
        <v>301</v>
      </c>
      <c r="C92" s="8" t="s">
        <v>174</v>
      </c>
      <c r="D92" s="8">
        <v>6563000005</v>
      </c>
      <c r="E92" s="8" t="s">
        <v>376</v>
      </c>
      <c r="F92" s="89" t="s">
        <v>470</v>
      </c>
      <c r="G92" s="73" t="s">
        <v>136</v>
      </c>
      <c r="H92" s="112" t="s">
        <v>61</v>
      </c>
      <c r="I92" s="13" t="s">
        <v>436</v>
      </c>
      <c r="K92" s="186">
        <v>0</v>
      </c>
      <c r="L92" s="187"/>
      <c r="M92" s="214">
        <f>IF(OR(E92="Distribución Legal de la Renta",E92="Acopio carros portaequipajes"),0,IF(K92&lt;0,0,K92*(1+SUMIFS('Insumos - OPEX'!$G$82:$G$238,'Insumos - OPEX'!$B$82:$B$238,OPEX!D92))))</f>
        <v>0</v>
      </c>
      <c r="N92" s="211">
        <f>IF(OR($B92="Ce Co No Imputables",$G92="M2 fijo"),$M92*(1+'Insumos - OPEX'!J$38),$M92*(1+'Insumos - OPEX'!J$29*'Insumos - OPEX'!J$39)*(1+'Insumos - OPEX'!J$38))</f>
        <v>0</v>
      </c>
      <c r="O92" s="211">
        <f>IF(OR($B92="Ce Co No Imputables",$G92="M2 fijo"),$M92*(1+'Insumos - OPEX'!K$38),$M92*(1+'Insumos - OPEX'!K$29*'Insumos - OPEX'!K$39)*(1+'Insumos - OPEX'!K$38))</f>
        <v>0</v>
      </c>
      <c r="P92" s="211">
        <f>IF(OR($B92="Ce Co No Imputables",$G92="M2 fijo"),$M92*(1+'Insumos - OPEX'!L$38),$M92*(1+'Insumos - OPEX'!L$29*'Insumos - OPEX'!L$39)*(1+'Insumos - OPEX'!L$38))</f>
        <v>0</v>
      </c>
      <c r="Q92" s="211">
        <f>IF(OR($B92="Ce Co No Imputables",$G92="M2 fijo"),$M92*(1+'Insumos - OPEX'!M$38),$M92*(1+'Insumos - OPEX'!M$29*'Insumos - OPEX'!M$39)*(1+'Insumos - OPEX'!M$38))</f>
        <v>0</v>
      </c>
      <c r="R92" s="211">
        <f>IF(OR($B92="Ce Co No Imputables",$G92="M2 fijo"),$M92*(1+'Insumos - OPEX'!N$38),$M92*(1+'Insumos - OPEX'!N$29*'Insumos - OPEX'!N$39)*(1+'Insumos - OPEX'!N$38))</f>
        <v>0</v>
      </c>
      <c r="S92" s="111"/>
    </row>
    <row r="93" spans="1:21" x14ac:dyDescent="0.2">
      <c r="A93" s="8"/>
      <c r="B93" s="8" t="s">
        <v>301</v>
      </c>
      <c r="C93" s="8" t="s">
        <v>174</v>
      </c>
      <c r="D93" s="8">
        <v>6562000004</v>
      </c>
      <c r="E93" s="8" t="s">
        <v>377</v>
      </c>
      <c r="F93" s="89" t="s">
        <v>470</v>
      </c>
      <c r="G93" s="73" t="s">
        <v>136</v>
      </c>
      <c r="H93" s="112" t="s">
        <v>61</v>
      </c>
      <c r="I93" s="13" t="s">
        <v>436</v>
      </c>
      <c r="K93" s="186">
        <v>0</v>
      </c>
      <c r="L93" s="187"/>
      <c r="M93" s="214">
        <f>IF(OR(E93="Distribución Legal de la Renta",E93="Acopio carros portaequipajes"),0,IF(K93&lt;0,0,K93*(1+SUMIFS('Insumos - OPEX'!$G$82:$G$238,'Insumos - OPEX'!$B$82:$B$238,OPEX!D93))))</f>
        <v>0</v>
      </c>
      <c r="N93" s="211">
        <f>IF(OR($B93="Ce Co No Imputables",$G93="M2 fijo"),$M93*(1+'Insumos - OPEX'!J$38),$M93*(1+'Insumos - OPEX'!J$29*'Insumos - OPEX'!J$39)*(1+'Insumos - OPEX'!J$38))</f>
        <v>0</v>
      </c>
      <c r="O93" s="211">
        <f>IF(OR($B93="Ce Co No Imputables",$G93="M2 fijo"),$M93*(1+'Insumos - OPEX'!K$38),$M93*(1+'Insumos - OPEX'!K$29*'Insumos - OPEX'!K$39)*(1+'Insumos - OPEX'!K$38))</f>
        <v>0</v>
      </c>
      <c r="P93" s="211">
        <f>IF(OR($B93="Ce Co No Imputables",$G93="M2 fijo"),$M93*(1+'Insumos - OPEX'!L$38),$M93*(1+'Insumos - OPEX'!L$29*'Insumos - OPEX'!L$39)*(1+'Insumos - OPEX'!L$38))</f>
        <v>0</v>
      </c>
      <c r="Q93" s="211">
        <f>IF(OR($B93="Ce Co No Imputables",$G93="M2 fijo"),$M93*(1+'Insumos - OPEX'!M$38),$M93*(1+'Insumos - OPEX'!M$29*'Insumos - OPEX'!M$39)*(1+'Insumos - OPEX'!M$38))</f>
        <v>0</v>
      </c>
      <c r="R93" s="211">
        <f>IF(OR($B93="Ce Co No Imputables",$G93="M2 fijo"),$M93*(1+'Insumos - OPEX'!N$38),$M93*(1+'Insumos - OPEX'!N$29*'Insumos - OPEX'!N$39)*(1+'Insumos - OPEX'!N$38))</f>
        <v>0</v>
      </c>
      <c r="S93" s="111"/>
    </row>
    <row r="94" spans="1:21" x14ac:dyDescent="0.2">
      <c r="A94" s="8"/>
      <c r="B94" s="8" t="s">
        <v>301</v>
      </c>
      <c r="C94" s="8" t="s">
        <v>174</v>
      </c>
      <c r="D94" s="8">
        <v>6391000003</v>
      </c>
      <c r="E94" s="8" t="s">
        <v>378</v>
      </c>
      <c r="F94" s="89" t="s">
        <v>470</v>
      </c>
      <c r="G94" s="73" t="s">
        <v>136</v>
      </c>
      <c r="H94" s="112" t="s">
        <v>61</v>
      </c>
      <c r="I94" s="13" t="s">
        <v>436</v>
      </c>
      <c r="K94" s="186">
        <v>0</v>
      </c>
      <c r="L94" s="187"/>
      <c r="M94" s="214">
        <f>IF(OR(E94="Distribución Legal de la Renta",E94="Acopio carros portaequipajes"),0,IF(K94&lt;0,0,K94*(1+SUMIFS('Insumos - OPEX'!$G$82:$G$238,'Insumos - OPEX'!$B$82:$B$238,OPEX!D94))))</f>
        <v>0</v>
      </c>
      <c r="N94" s="211">
        <f>IF(OR($B94="Ce Co No Imputables",$G94="M2 fijo"),$M94*(1+'Insumos - OPEX'!J$38),$M94*(1+'Insumos - OPEX'!J$29*'Insumos - OPEX'!J$39)*(1+'Insumos - OPEX'!J$38))</f>
        <v>0</v>
      </c>
      <c r="O94" s="211">
        <f>IF(OR($B94="Ce Co No Imputables",$G94="M2 fijo"),$M94*(1+'Insumos - OPEX'!K$38),$M94*(1+'Insumos - OPEX'!K$29*'Insumos - OPEX'!K$39)*(1+'Insumos - OPEX'!K$38))</f>
        <v>0</v>
      </c>
      <c r="P94" s="211">
        <f>IF(OR($B94="Ce Co No Imputables",$G94="M2 fijo"),$M94*(1+'Insumos - OPEX'!L$38),$M94*(1+'Insumos - OPEX'!L$29*'Insumos - OPEX'!L$39)*(1+'Insumos - OPEX'!L$38))</f>
        <v>0</v>
      </c>
      <c r="Q94" s="211">
        <f>IF(OR($B94="Ce Co No Imputables",$G94="M2 fijo"),$M94*(1+'Insumos - OPEX'!M$38),$M94*(1+'Insumos - OPEX'!M$29*'Insumos - OPEX'!M$39)*(1+'Insumos - OPEX'!M$38))</f>
        <v>0</v>
      </c>
      <c r="R94" s="211">
        <f>IF(OR($B94="Ce Co No Imputables",$G94="M2 fijo"),$M94*(1+'Insumos - OPEX'!N$38),$M94*(1+'Insumos - OPEX'!N$29*'Insumos - OPEX'!N$39)*(1+'Insumos - OPEX'!N$38))</f>
        <v>0</v>
      </c>
      <c r="S94" s="111"/>
    </row>
    <row r="95" spans="1:21" x14ac:dyDescent="0.2">
      <c r="A95" s="8"/>
      <c r="B95" s="8" t="s">
        <v>301</v>
      </c>
      <c r="C95" s="8" t="s">
        <v>174</v>
      </c>
      <c r="D95" s="8">
        <v>6590000005</v>
      </c>
      <c r="E95" s="8" t="s">
        <v>379</v>
      </c>
      <c r="F95" s="89" t="s">
        <v>470</v>
      </c>
      <c r="G95" s="73" t="s">
        <v>136</v>
      </c>
      <c r="H95" s="112" t="s">
        <v>61</v>
      </c>
      <c r="I95" s="13" t="s">
        <v>436</v>
      </c>
      <c r="K95" s="186">
        <v>0</v>
      </c>
      <c r="L95" s="187"/>
      <c r="M95" s="214">
        <f>IF(OR(E95="Distribución Legal de la Renta",E95="Acopio carros portaequipajes"),0,IF(K95&lt;0,0,K95*(1+SUMIFS('Insumos - OPEX'!$G$82:$G$238,'Insumos - OPEX'!$B$82:$B$238,OPEX!D95))))</f>
        <v>0</v>
      </c>
      <c r="N95" s="211">
        <f>IF(OR($B95="Ce Co No Imputables",$G95="M2 fijo"),$M95*(1+'Insumos - OPEX'!J$38),$M95*(1+'Insumos - OPEX'!J$29*'Insumos - OPEX'!J$39)*(1+'Insumos - OPEX'!J$38))</f>
        <v>0</v>
      </c>
      <c r="O95" s="211">
        <f>IF(OR($B95="Ce Co No Imputables",$G95="M2 fijo"),$M95*(1+'Insumos - OPEX'!K$38),$M95*(1+'Insumos - OPEX'!K$29*'Insumos - OPEX'!K$39)*(1+'Insumos - OPEX'!K$38))</f>
        <v>0</v>
      </c>
      <c r="P95" s="211">
        <f>IF(OR($B95="Ce Co No Imputables",$G95="M2 fijo"),$M95*(1+'Insumos - OPEX'!L$38),$M95*(1+'Insumos - OPEX'!L$29*'Insumos - OPEX'!L$39)*(1+'Insumos - OPEX'!L$38))</f>
        <v>0</v>
      </c>
      <c r="Q95" s="211">
        <f>IF(OR($B95="Ce Co No Imputables",$G95="M2 fijo"),$M95*(1+'Insumos - OPEX'!M$38),$M95*(1+'Insumos - OPEX'!M$29*'Insumos - OPEX'!M$39)*(1+'Insumos - OPEX'!M$38))</f>
        <v>0</v>
      </c>
      <c r="R95" s="211">
        <f>IF(OR($B95="Ce Co No Imputables",$G95="M2 fijo"),$M95*(1+'Insumos - OPEX'!N$38),$M95*(1+'Insumos - OPEX'!N$29*'Insumos - OPEX'!N$39)*(1+'Insumos - OPEX'!N$38))</f>
        <v>0</v>
      </c>
      <c r="S95" s="111"/>
    </row>
    <row r="96" spans="1:21" x14ac:dyDescent="0.2">
      <c r="A96" s="8"/>
      <c r="B96" s="8" t="s">
        <v>301</v>
      </c>
      <c r="C96" s="8" t="s">
        <v>174</v>
      </c>
      <c r="D96" s="8">
        <v>6590000004</v>
      </c>
      <c r="E96" s="8" t="s">
        <v>380</v>
      </c>
      <c r="F96" s="89" t="s">
        <v>470</v>
      </c>
      <c r="G96" s="73" t="s">
        <v>136</v>
      </c>
      <c r="H96" s="112" t="s">
        <v>61</v>
      </c>
      <c r="I96" s="13" t="s">
        <v>436</v>
      </c>
      <c r="K96" s="186">
        <v>0</v>
      </c>
      <c r="L96" s="187"/>
      <c r="M96" s="214">
        <f>IF(OR(E96="Distribución Legal de la Renta",E96="Acopio carros portaequipajes"),0,IF(K96&lt;0,0,K96*(1+SUMIFS('Insumos - OPEX'!$G$82:$G$238,'Insumos - OPEX'!$B$82:$B$238,OPEX!D96))))</f>
        <v>0</v>
      </c>
      <c r="N96" s="211">
        <f>IF(OR($B96="Ce Co No Imputables",$G96="M2 fijo"),$M96*(1+'Insumos - OPEX'!J$38),$M96*(1+'Insumos - OPEX'!J$29*'Insumos - OPEX'!J$39)*(1+'Insumos - OPEX'!J$38))</f>
        <v>0</v>
      </c>
      <c r="O96" s="211">
        <f>IF(OR($B96="Ce Co No Imputables",$G96="M2 fijo"),$M96*(1+'Insumos - OPEX'!K$38),$M96*(1+'Insumos - OPEX'!K$29*'Insumos - OPEX'!K$39)*(1+'Insumos - OPEX'!K$38))</f>
        <v>0</v>
      </c>
      <c r="P96" s="211">
        <f>IF(OR($B96="Ce Co No Imputables",$G96="M2 fijo"),$M96*(1+'Insumos - OPEX'!L$38),$M96*(1+'Insumos - OPEX'!L$29*'Insumos - OPEX'!L$39)*(1+'Insumos - OPEX'!L$38))</f>
        <v>0</v>
      </c>
      <c r="Q96" s="211">
        <f>IF(OR($B96="Ce Co No Imputables",$G96="M2 fijo"),$M96*(1+'Insumos - OPEX'!M$38),$M96*(1+'Insumos - OPEX'!M$29*'Insumos - OPEX'!M$39)*(1+'Insumos - OPEX'!M$38))</f>
        <v>0</v>
      </c>
      <c r="R96" s="211">
        <f>IF(OR($B96="Ce Co No Imputables",$G96="M2 fijo"),$M96*(1+'Insumos - OPEX'!N$38),$M96*(1+'Insumos - OPEX'!N$29*'Insumos - OPEX'!N$39)*(1+'Insumos - OPEX'!N$38))</f>
        <v>0</v>
      </c>
      <c r="S96" s="111"/>
    </row>
    <row r="97" spans="1:21" x14ac:dyDescent="0.2">
      <c r="A97" s="8"/>
      <c r="B97" s="8" t="s">
        <v>301</v>
      </c>
      <c r="C97" s="8" t="s">
        <v>174</v>
      </c>
      <c r="D97" s="8">
        <v>6590000006</v>
      </c>
      <c r="E97" s="8" t="s">
        <v>272</v>
      </c>
      <c r="F97" s="89" t="s">
        <v>469</v>
      </c>
      <c r="G97" s="73" t="s">
        <v>136</v>
      </c>
      <c r="H97" s="112" t="s">
        <v>61</v>
      </c>
      <c r="I97" s="13" t="s">
        <v>436</v>
      </c>
      <c r="K97" s="186">
        <v>0</v>
      </c>
      <c r="L97" s="187"/>
      <c r="M97" s="214">
        <f>IF(OR(E97="Distribución Legal de la Renta",E97="Acopio carros portaequipajes"),0,IF(K97&lt;0,0,K97*(1+SUMIFS('Insumos - OPEX'!$G$82:$G$238,'Insumos - OPEX'!$B$82:$B$238,OPEX!D97))))</f>
        <v>0</v>
      </c>
      <c r="N97" s="211">
        <f>IF(OR($B97="Ce Co No Imputables",$G97="M2 fijo"),$M97*(1+'Insumos - OPEX'!J$38),$M97*(1+'Insumos - OPEX'!J$29*'Insumos - OPEX'!J$39)*(1+'Insumos - OPEX'!J$38))</f>
        <v>0</v>
      </c>
      <c r="O97" s="211">
        <f>IF(OR($B97="Ce Co No Imputables",$G97="M2 fijo"),$M97*(1+'Insumos - OPEX'!K$38),$M97*(1+'Insumos - OPEX'!K$29*'Insumos - OPEX'!K$39)*(1+'Insumos - OPEX'!K$38))</f>
        <v>0</v>
      </c>
      <c r="P97" s="211">
        <f>IF(OR($B97="Ce Co No Imputables",$G97="M2 fijo"),$M97*(1+'Insumos - OPEX'!L$38),$M97*(1+'Insumos - OPEX'!L$29*'Insumos - OPEX'!L$39)*(1+'Insumos - OPEX'!L$38))</f>
        <v>0</v>
      </c>
      <c r="Q97" s="211">
        <f>IF(OR($B97="Ce Co No Imputables",$G97="M2 fijo"),$M97*(1+'Insumos - OPEX'!M$38),$M97*(1+'Insumos - OPEX'!M$29*'Insumos - OPEX'!M$39)*(1+'Insumos - OPEX'!M$38))</f>
        <v>0</v>
      </c>
      <c r="R97" s="211">
        <f>IF(OR($B97="Ce Co No Imputables",$G97="M2 fijo"),$M97*(1+'Insumos - OPEX'!N$38),$M97*(1+'Insumos - OPEX'!N$29*'Insumos - OPEX'!N$39)*(1+'Insumos - OPEX'!N$38))</f>
        <v>0</v>
      </c>
      <c r="S97" s="111"/>
    </row>
    <row r="98" spans="1:21" x14ac:dyDescent="0.2">
      <c r="A98" s="8"/>
      <c r="B98" s="8" t="s">
        <v>301</v>
      </c>
      <c r="C98" s="8" t="s">
        <v>174</v>
      </c>
      <c r="D98" s="8">
        <v>6590000010</v>
      </c>
      <c r="E98" s="8" t="s">
        <v>381</v>
      </c>
      <c r="F98" s="89" t="s">
        <v>470</v>
      </c>
      <c r="G98" s="73" t="s">
        <v>136</v>
      </c>
      <c r="H98" s="112" t="s">
        <v>61</v>
      </c>
      <c r="I98" s="13" t="s">
        <v>436</v>
      </c>
      <c r="K98" s="186">
        <v>0</v>
      </c>
      <c r="L98" s="187"/>
      <c r="M98" s="214">
        <f>IF(OR(E98="Distribución Legal de la Renta",E98="Acopio carros portaequipajes"),0,IF(K98&lt;0,0,K98*(1+SUMIFS('Insumos - OPEX'!$G$82:$G$238,'Insumos - OPEX'!$B$82:$B$238,OPEX!D98))))</f>
        <v>0</v>
      </c>
      <c r="N98" s="211">
        <f>IF(OR($B98="Ce Co No Imputables",$G98="M2 fijo"),$M98*(1+'Insumos - OPEX'!J$38),$M98*(1+'Insumos - OPEX'!J$29*'Insumos - OPEX'!J$39)*(1+'Insumos - OPEX'!J$38))</f>
        <v>0</v>
      </c>
      <c r="O98" s="211">
        <f>IF(OR($B98="Ce Co No Imputables",$G98="M2 fijo"),$M98*(1+'Insumos - OPEX'!K$38),$M98*(1+'Insumos - OPEX'!K$29*'Insumos - OPEX'!K$39)*(1+'Insumos - OPEX'!K$38))</f>
        <v>0</v>
      </c>
      <c r="P98" s="211">
        <f>IF(OR($B98="Ce Co No Imputables",$G98="M2 fijo"),$M98*(1+'Insumos - OPEX'!L$38),$M98*(1+'Insumos - OPEX'!L$29*'Insumos - OPEX'!L$39)*(1+'Insumos - OPEX'!L$38))</f>
        <v>0</v>
      </c>
      <c r="Q98" s="211">
        <f>IF(OR($B98="Ce Co No Imputables",$G98="M2 fijo"),$M98*(1+'Insumos - OPEX'!M$38),$M98*(1+'Insumos - OPEX'!M$29*'Insumos - OPEX'!M$39)*(1+'Insumos - OPEX'!M$38))</f>
        <v>0</v>
      </c>
      <c r="R98" s="211">
        <f>IF(OR($B98="Ce Co No Imputables",$G98="M2 fijo"),$M98*(1+'Insumos - OPEX'!N$38),$M98*(1+'Insumos - OPEX'!N$29*'Insumos - OPEX'!N$39)*(1+'Insumos - OPEX'!N$38))</f>
        <v>0</v>
      </c>
      <c r="S98" s="111"/>
    </row>
    <row r="99" spans="1:21" x14ac:dyDescent="0.2">
      <c r="A99" s="8"/>
      <c r="B99" s="8" t="s">
        <v>301</v>
      </c>
      <c r="C99" s="8" t="s">
        <v>174</v>
      </c>
      <c r="D99" s="8">
        <v>6590000007</v>
      </c>
      <c r="E99" s="8" t="s">
        <v>382</v>
      </c>
      <c r="F99" s="89" t="s">
        <v>470</v>
      </c>
      <c r="G99" s="73" t="s">
        <v>136</v>
      </c>
      <c r="H99" s="112" t="s">
        <v>61</v>
      </c>
      <c r="I99" s="13" t="s">
        <v>436</v>
      </c>
      <c r="K99" s="186">
        <v>0</v>
      </c>
      <c r="L99" s="187"/>
      <c r="M99" s="214">
        <f>IF(OR(E99="Distribución Legal de la Renta",E99="Acopio carros portaequipajes"),0,IF(K99&lt;0,0,K99*(1+SUMIFS('Insumos - OPEX'!$G$82:$G$238,'Insumos - OPEX'!$B$82:$B$238,OPEX!D99))))</f>
        <v>0</v>
      </c>
      <c r="N99" s="211">
        <f>IF(OR($B99="Ce Co No Imputables",$G99="M2 fijo"),$M99*(1+'Insumos - OPEX'!J$38),$M99*(1+'Insumos - OPEX'!J$29*'Insumos - OPEX'!J$39)*(1+'Insumos - OPEX'!J$38))</f>
        <v>0</v>
      </c>
      <c r="O99" s="211">
        <f>IF(OR($B99="Ce Co No Imputables",$G99="M2 fijo"),$M99*(1+'Insumos - OPEX'!K$38),$M99*(1+'Insumos - OPEX'!K$29*'Insumos - OPEX'!K$39)*(1+'Insumos - OPEX'!K$38))</f>
        <v>0</v>
      </c>
      <c r="P99" s="211">
        <f>IF(OR($B99="Ce Co No Imputables",$G99="M2 fijo"),$M99*(1+'Insumos - OPEX'!L$38),$M99*(1+'Insumos - OPEX'!L$29*'Insumos - OPEX'!L$39)*(1+'Insumos - OPEX'!L$38))</f>
        <v>0</v>
      </c>
      <c r="Q99" s="211">
        <f>IF(OR($B99="Ce Co No Imputables",$G99="M2 fijo"),$M99*(1+'Insumos - OPEX'!M$38),$M99*(1+'Insumos - OPEX'!M$29*'Insumos - OPEX'!M$39)*(1+'Insumos - OPEX'!M$38))</f>
        <v>0</v>
      </c>
      <c r="R99" s="211">
        <f>IF(OR($B99="Ce Co No Imputables",$G99="M2 fijo"),$M99*(1+'Insumos - OPEX'!N$38),$M99*(1+'Insumos - OPEX'!N$29*'Insumos - OPEX'!N$39)*(1+'Insumos - OPEX'!N$38))</f>
        <v>0</v>
      </c>
      <c r="S99" s="111"/>
    </row>
    <row r="100" spans="1:21" s="3" customFormat="1" x14ac:dyDescent="0.2">
      <c r="A100" s="8"/>
      <c r="B100" s="8" t="s">
        <v>301</v>
      </c>
      <c r="C100" s="8" t="s">
        <v>174</v>
      </c>
      <c r="D100" s="8">
        <v>6563000001</v>
      </c>
      <c r="E100" s="8" t="s">
        <v>383</v>
      </c>
      <c r="F100" s="89" t="s">
        <v>470</v>
      </c>
      <c r="G100" s="73" t="s">
        <v>136</v>
      </c>
      <c r="H100" s="112" t="s">
        <v>61</v>
      </c>
      <c r="I100" s="13" t="s">
        <v>436</v>
      </c>
      <c r="J100" s="11"/>
      <c r="K100" s="186">
        <v>0</v>
      </c>
      <c r="L100" s="187"/>
      <c r="M100" s="214">
        <f>IF(OR(E100="Distribución Legal de la Renta",E100="Acopio carros portaequipajes"),0,IF(K100&lt;0,0,K100*(1+SUMIFS('Insumos - OPEX'!$G$82:$G$238,'Insumos - OPEX'!$B$82:$B$238,OPEX!D100))))</f>
        <v>0</v>
      </c>
      <c r="N100" s="211">
        <f>IF(OR($B100="Ce Co No Imputables",$G100="M2 fijo"),$M100*(1+'Insumos - OPEX'!J$38),$M100*(1+'Insumos - OPEX'!J$29*'Insumos - OPEX'!J$39)*(1+'Insumos - OPEX'!J$38))</f>
        <v>0</v>
      </c>
      <c r="O100" s="211">
        <f>IF(OR($B100="Ce Co No Imputables",$G100="M2 fijo"),$M100*(1+'Insumos - OPEX'!K$38),$M100*(1+'Insumos - OPEX'!K$29*'Insumos - OPEX'!K$39)*(1+'Insumos - OPEX'!K$38))</f>
        <v>0</v>
      </c>
      <c r="P100" s="211">
        <f>IF(OR($B100="Ce Co No Imputables",$G100="M2 fijo"),$M100*(1+'Insumos - OPEX'!L$38),$M100*(1+'Insumos - OPEX'!L$29*'Insumos - OPEX'!L$39)*(1+'Insumos - OPEX'!L$38))</f>
        <v>0</v>
      </c>
      <c r="Q100" s="211">
        <f>IF(OR($B100="Ce Co No Imputables",$G100="M2 fijo"),$M100*(1+'Insumos - OPEX'!M$38),$M100*(1+'Insumos - OPEX'!M$29*'Insumos - OPEX'!M$39)*(1+'Insumos - OPEX'!M$38))</f>
        <v>0</v>
      </c>
      <c r="R100" s="211">
        <f>IF(OR($B100="Ce Co No Imputables",$G100="M2 fijo"),$M100*(1+'Insumos - OPEX'!N$38),$M100*(1+'Insumos - OPEX'!N$29*'Insumos - OPEX'!N$39)*(1+'Insumos - OPEX'!N$38))</f>
        <v>0</v>
      </c>
      <c r="S100" s="111"/>
      <c r="U100" s="1"/>
    </row>
    <row r="101" spans="1:21" x14ac:dyDescent="0.2">
      <c r="A101" s="8"/>
      <c r="B101" s="8" t="s">
        <v>301</v>
      </c>
      <c r="C101" s="8" t="s">
        <v>174</v>
      </c>
      <c r="D101" s="8">
        <v>6590000011</v>
      </c>
      <c r="E101" s="8" t="s">
        <v>384</v>
      </c>
      <c r="F101" s="89" t="s">
        <v>470</v>
      </c>
      <c r="G101" s="73" t="s">
        <v>136</v>
      </c>
      <c r="H101" s="112" t="s">
        <v>61</v>
      </c>
      <c r="I101" s="13" t="s">
        <v>436</v>
      </c>
      <c r="K101" s="186">
        <v>0</v>
      </c>
      <c r="L101" s="187"/>
      <c r="M101" s="214">
        <f>IF(OR(E101="Distribución Legal de la Renta",E101="Acopio carros portaequipajes"),0,IF(K101&lt;0,0,K101*(1+SUMIFS('Insumos - OPEX'!$G$82:$G$238,'Insumos - OPEX'!$B$82:$B$238,OPEX!D101))))</f>
        <v>0</v>
      </c>
      <c r="N101" s="211">
        <f>IF(OR($B101="Ce Co No Imputables",$G101="M2 fijo"),$M101*(1+'Insumos - OPEX'!J$38),$M101*(1+'Insumos - OPEX'!J$29*'Insumos - OPEX'!J$39)*(1+'Insumos - OPEX'!J$38))</f>
        <v>0</v>
      </c>
      <c r="O101" s="211">
        <f>IF(OR($B101="Ce Co No Imputables",$G101="M2 fijo"),$M101*(1+'Insumos - OPEX'!K$38),$M101*(1+'Insumos - OPEX'!K$29*'Insumos - OPEX'!K$39)*(1+'Insumos - OPEX'!K$38))</f>
        <v>0</v>
      </c>
      <c r="P101" s="211">
        <f>IF(OR($B101="Ce Co No Imputables",$G101="M2 fijo"),$M101*(1+'Insumos - OPEX'!L$38),$M101*(1+'Insumos - OPEX'!L$29*'Insumos - OPEX'!L$39)*(1+'Insumos - OPEX'!L$38))</f>
        <v>0</v>
      </c>
      <c r="Q101" s="211">
        <f>IF(OR($B101="Ce Co No Imputables",$G101="M2 fijo"),$M101*(1+'Insumos - OPEX'!M$38),$M101*(1+'Insumos - OPEX'!M$29*'Insumos - OPEX'!M$39)*(1+'Insumos - OPEX'!M$38))</f>
        <v>0</v>
      </c>
      <c r="R101" s="211">
        <f>IF(OR($B101="Ce Co No Imputables",$G101="M2 fijo"),$M101*(1+'Insumos - OPEX'!N$38),$M101*(1+'Insumos - OPEX'!N$29*'Insumos - OPEX'!N$39)*(1+'Insumos - OPEX'!N$38))</f>
        <v>0</v>
      </c>
      <c r="S101" s="111"/>
    </row>
    <row r="102" spans="1:21" x14ac:dyDescent="0.2">
      <c r="A102" s="8"/>
      <c r="B102" s="8" t="s">
        <v>301</v>
      </c>
      <c r="C102" s="8" t="s">
        <v>174</v>
      </c>
      <c r="D102" s="8">
        <v>6563000002</v>
      </c>
      <c r="E102" s="8" t="s">
        <v>385</v>
      </c>
      <c r="F102" s="89" t="s">
        <v>470</v>
      </c>
      <c r="G102" s="73" t="s">
        <v>136</v>
      </c>
      <c r="H102" s="112" t="s">
        <v>61</v>
      </c>
      <c r="I102" s="13" t="s">
        <v>436</v>
      </c>
      <c r="K102" s="186">
        <v>0</v>
      </c>
      <c r="L102" s="187"/>
      <c r="M102" s="214">
        <f>IF(OR(E102="Distribución Legal de la Renta",E102="Acopio carros portaequipajes"),0,IF(K102&lt;0,0,K102*(1+SUMIFS('Insumos - OPEX'!$G$82:$G$238,'Insumos - OPEX'!$B$82:$B$238,OPEX!D102))))</f>
        <v>0</v>
      </c>
      <c r="N102" s="211">
        <f>IF(OR($B102="Ce Co No Imputables",$G102="M2 fijo"),$M102*(1+'Insumos - OPEX'!J$38),$M102*(1+'Insumos - OPEX'!J$29*'Insumos - OPEX'!J$39)*(1+'Insumos - OPEX'!J$38))</f>
        <v>0</v>
      </c>
      <c r="O102" s="211">
        <f>IF(OR($B102="Ce Co No Imputables",$G102="M2 fijo"),$M102*(1+'Insumos - OPEX'!K$38),$M102*(1+'Insumos - OPEX'!K$29*'Insumos - OPEX'!K$39)*(1+'Insumos - OPEX'!K$38))</f>
        <v>0</v>
      </c>
      <c r="P102" s="211">
        <f>IF(OR($B102="Ce Co No Imputables",$G102="M2 fijo"),$M102*(1+'Insumos - OPEX'!L$38),$M102*(1+'Insumos - OPEX'!L$29*'Insumos - OPEX'!L$39)*(1+'Insumos - OPEX'!L$38))</f>
        <v>0</v>
      </c>
      <c r="Q102" s="211">
        <f>IF(OR($B102="Ce Co No Imputables",$G102="M2 fijo"),$M102*(1+'Insumos - OPEX'!M$38),$M102*(1+'Insumos - OPEX'!M$29*'Insumos - OPEX'!M$39)*(1+'Insumos - OPEX'!M$38))</f>
        <v>0</v>
      </c>
      <c r="R102" s="211">
        <f>IF(OR($B102="Ce Co No Imputables",$G102="M2 fijo"),$M102*(1+'Insumos - OPEX'!N$38),$M102*(1+'Insumos - OPEX'!N$29*'Insumos - OPEX'!N$39)*(1+'Insumos - OPEX'!N$38))</f>
        <v>0</v>
      </c>
      <c r="S102" s="111"/>
    </row>
    <row r="103" spans="1:21" x14ac:dyDescent="0.2">
      <c r="A103" s="8"/>
      <c r="B103" s="8" t="s">
        <v>301</v>
      </c>
      <c r="C103" s="8" t="s">
        <v>174</v>
      </c>
      <c r="D103" s="8">
        <v>6430000003</v>
      </c>
      <c r="E103" s="8" t="s">
        <v>386</v>
      </c>
      <c r="F103" s="89" t="s">
        <v>470</v>
      </c>
      <c r="G103" s="73" t="s">
        <v>136</v>
      </c>
      <c r="H103" s="112" t="s">
        <v>61</v>
      </c>
      <c r="I103" s="13" t="s">
        <v>436</v>
      </c>
      <c r="K103" s="186">
        <v>0</v>
      </c>
      <c r="L103" s="187"/>
      <c r="M103" s="214">
        <f>IF(OR(E103="Distribución Legal de la Renta",E103="Acopio carros portaequipajes"),0,IF(K103&lt;0,0,K103*(1+SUMIFS('Insumos - OPEX'!$G$82:$G$238,'Insumos - OPEX'!$B$82:$B$238,OPEX!D103))))</f>
        <v>0</v>
      </c>
      <c r="N103" s="211">
        <f>IF(OR($B103="Ce Co No Imputables",$G103="M2 fijo"),$M103*(1+'Insumos - OPEX'!J$38),$M103*(1+'Insumos - OPEX'!J$29*'Insumos - OPEX'!J$39)*(1+'Insumos - OPEX'!J$38))</f>
        <v>0</v>
      </c>
      <c r="O103" s="211">
        <f>IF(OR($B103="Ce Co No Imputables",$G103="M2 fijo"),$M103*(1+'Insumos - OPEX'!K$38),$M103*(1+'Insumos - OPEX'!K$29*'Insumos - OPEX'!K$39)*(1+'Insumos - OPEX'!K$38))</f>
        <v>0</v>
      </c>
      <c r="P103" s="211">
        <f>IF(OR($B103="Ce Co No Imputables",$G103="M2 fijo"),$M103*(1+'Insumos - OPEX'!L$38),$M103*(1+'Insumos - OPEX'!L$29*'Insumos - OPEX'!L$39)*(1+'Insumos - OPEX'!L$38))</f>
        <v>0</v>
      </c>
      <c r="Q103" s="211">
        <f>IF(OR($B103="Ce Co No Imputables",$G103="M2 fijo"),$M103*(1+'Insumos - OPEX'!M$38),$M103*(1+'Insumos - OPEX'!M$29*'Insumos - OPEX'!M$39)*(1+'Insumos - OPEX'!M$38))</f>
        <v>0</v>
      </c>
      <c r="R103" s="211">
        <f>IF(OR($B103="Ce Co No Imputables",$G103="M2 fijo"),$M103*(1+'Insumos - OPEX'!N$38),$M103*(1+'Insumos - OPEX'!N$29*'Insumos - OPEX'!N$39)*(1+'Insumos - OPEX'!N$38))</f>
        <v>0</v>
      </c>
      <c r="S103" s="111"/>
    </row>
    <row r="104" spans="1:21" s="39" customFormat="1" x14ac:dyDescent="0.2">
      <c r="A104" s="8"/>
      <c r="B104" s="8" t="s">
        <v>301</v>
      </c>
      <c r="C104" s="8" t="s">
        <v>174</v>
      </c>
      <c r="D104" s="8">
        <v>6563000003</v>
      </c>
      <c r="E104" s="8" t="s">
        <v>387</v>
      </c>
      <c r="F104" s="89" t="s">
        <v>470</v>
      </c>
      <c r="G104" s="73" t="s">
        <v>136</v>
      </c>
      <c r="H104" s="112" t="s">
        <v>61</v>
      </c>
      <c r="I104" s="13" t="s">
        <v>436</v>
      </c>
      <c r="J104" s="40"/>
      <c r="K104" s="186">
        <v>0</v>
      </c>
      <c r="L104" s="187"/>
      <c r="M104" s="214">
        <f>IF(OR(E104="Distribución Legal de la Renta",E104="Acopio carros portaequipajes"),0,IF(K104&lt;0,0,K104*(1+SUMIFS('Insumos - OPEX'!$G$82:$G$238,'Insumos - OPEX'!$B$82:$B$238,OPEX!D104))))</f>
        <v>0</v>
      </c>
      <c r="N104" s="211">
        <f>IF(OR($B104="Ce Co No Imputables",$G104="M2 fijo"),$M104*(1+'Insumos - OPEX'!J$38),$M104*(1+'Insumos - OPEX'!J$29*'Insumos - OPEX'!J$39)*(1+'Insumos - OPEX'!J$38))</f>
        <v>0</v>
      </c>
      <c r="O104" s="211">
        <f>IF(OR($B104="Ce Co No Imputables",$G104="M2 fijo"),$M104*(1+'Insumos - OPEX'!K$38),$M104*(1+'Insumos - OPEX'!K$29*'Insumos - OPEX'!K$39)*(1+'Insumos - OPEX'!K$38))</f>
        <v>0</v>
      </c>
      <c r="P104" s="211">
        <f>IF(OR($B104="Ce Co No Imputables",$G104="M2 fijo"),$M104*(1+'Insumos - OPEX'!L$38),$M104*(1+'Insumos - OPEX'!L$29*'Insumos - OPEX'!L$39)*(1+'Insumos - OPEX'!L$38))</f>
        <v>0</v>
      </c>
      <c r="Q104" s="211">
        <f>IF(OR($B104="Ce Co No Imputables",$G104="M2 fijo"),$M104*(1+'Insumos - OPEX'!M$38),$M104*(1+'Insumos - OPEX'!M$29*'Insumos - OPEX'!M$39)*(1+'Insumos - OPEX'!M$38))</f>
        <v>0</v>
      </c>
      <c r="R104" s="211">
        <f>IF(OR($B104="Ce Co No Imputables",$G104="M2 fijo"),$M104*(1+'Insumos - OPEX'!N$38),$M104*(1+'Insumos - OPEX'!N$29*'Insumos - OPEX'!N$39)*(1+'Insumos - OPEX'!N$38))</f>
        <v>0</v>
      </c>
      <c r="S104" s="111"/>
      <c r="U104" s="1"/>
    </row>
    <row r="105" spans="1:21" x14ac:dyDescent="0.2">
      <c r="A105" s="8"/>
      <c r="B105" s="8" t="s">
        <v>301</v>
      </c>
      <c r="C105" s="8" t="s">
        <v>174</v>
      </c>
      <c r="D105" s="8">
        <v>6562000002</v>
      </c>
      <c r="E105" s="8" t="s">
        <v>388</v>
      </c>
      <c r="F105" s="89" t="s">
        <v>470</v>
      </c>
      <c r="G105" s="73" t="s">
        <v>136</v>
      </c>
      <c r="H105" s="112" t="s">
        <v>61</v>
      </c>
      <c r="I105" s="13" t="s">
        <v>436</v>
      </c>
      <c r="K105" s="186">
        <v>-26.727463225853448</v>
      </c>
      <c r="L105" s="187"/>
      <c r="M105" s="214">
        <f>IF(OR(E105="Distribución Legal de la Renta",E105="Acopio carros portaequipajes"),0,IF(K105&lt;0,0,K105*(1+SUMIFS('Insumos - OPEX'!$G$82:$G$238,'Insumos - OPEX'!$B$82:$B$238,OPEX!D105))))</f>
        <v>0</v>
      </c>
      <c r="N105" s="211">
        <f>IF(OR($B105="Ce Co No Imputables",$G105="M2 fijo"),$M105*(1+'Insumos - OPEX'!J$38),$M105*(1+'Insumos - OPEX'!J$29*'Insumos - OPEX'!J$39)*(1+'Insumos - OPEX'!J$38))</f>
        <v>0</v>
      </c>
      <c r="O105" s="211">
        <f>IF(OR($B105="Ce Co No Imputables",$G105="M2 fijo"),$M105*(1+'Insumos - OPEX'!K$38),$M105*(1+'Insumos - OPEX'!K$29*'Insumos - OPEX'!K$39)*(1+'Insumos - OPEX'!K$38))</f>
        <v>0</v>
      </c>
      <c r="P105" s="211">
        <f>IF(OR($B105="Ce Co No Imputables",$G105="M2 fijo"),$M105*(1+'Insumos - OPEX'!L$38),$M105*(1+'Insumos - OPEX'!L$29*'Insumos - OPEX'!L$39)*(1+'Insumos - OPEX'!L$38))</f>
        <v>0</v>
      </c>
      <c r="Q105" s="211">
        <f>IF(OR($B105="Ce Co No Imputables",$G105="M2 fijo"),$M105*(1+'Insumos - OPEX'!M$38),$M105*(1+'Insumos - OPEX'!M$29*'Insumos - OPEX'!M$39)*(1+'Insumos - OPEX'!M$38))</f>
        <v>0</v>
      </c>
      <c r="R105" s="211">
        <f>IF(OR($B105="Ce Co No Imputables",$G105="M2 fijo"),$M105*(1+'Insumos - OPEX'!N$38),$M105*(1+'Insumos - OPEX'!N$29*'Insumos - OPEX'!N$39)*(1+'Insumos - OPEX'!N$38))</f>
        <v>0</v>
      </c>
      <c r="S105" s="111"/>
    </row>
    <row r="106" spans="1:21" x14ac:dyDescent="0.2">
      <c r="A106" s="8"/>
      <c r="B106" s="8" t="s">
        <v>301</v>
      </c>
      <c r="C106" s="8" t="s">
        <v>173</v>
      </c>
      <c r="D106" s="8">
        <v>6343000001</v>
      </c>
      <c r="E106" s="8" t="s">
        <v>389</v>
      </c>
      <c r="F106" s="89" t="s">
        <v>469</v>
      </c>
      <c r="G106" s="73" t="s">
        <v>136</v>
      </c>
      <c r="H106" s="112" t="s">
        <v>61</v>
      </c>
      <c r="I106" s="13" t="s">
        <v>436</v>
      </c>
      <c r="K106" s="186">
        <v>455915.95000000042</v>
      </c>
      <c r="L106" s="187"/>
      <c r="M106" s="214">
        <f>IF(OR(E106="Distribución Legal de la Renta",E106="Acopio carros portaequipajes"),0,IF(K106&lt;0,0,K106*(1+SUMIFS('Insumos - OPEX'!$G$82:$G$238,'Insumos - OPEX'!$B$82:$B$238,OPEX!D106))))</f>
        <v>1343853.8907024879</v>
      </c>
      <c r="N106" s="211">
        <f>IF(OR($B106="Ce Co No Imputables",$G106="M2 fijo"),$M106*(1+'Insumos - OPEX'!J$38),$M106*(1+'Insumos - OPEX'!J$29*'Insumos - OPEX'!J$39)*(1+'Insumos - OPEX'!J$38))</f>
        <v>1420924.7459388645</v>
      </c>
      <c r="O106" s="211">
        <f>IF(OR($B106="Ce Co No Imputables",$G106="M2 fijo"),$M106*(1+'Insumos - OPEX'!K$38),$M106*(1+'Insumos - OPEX'!K$29*'Insumos - OPEX'!K$39)*(1+'Insumos - OPEX'!K$38))</f>
        <v>1493886.5359578803</v>
      </c>
      <c r="P106" s="211">
        <f>IF(OR($B106="Ce Co No Imputables",$G106="M2 fijo"),$M106*(1+'Insumos - OPEX'!L$38),$M106*(1+'Insumos - OPEX'!L$29*'Insumos - OPEX'!L$39)*(1+'Insumos - OPEX'!L$38))</f>
        <v>1567771.6222634572</v>
      </c>
      <c r="Q106" s="211">
        <f>IF(OR($B106="Ce Co No Imputables",$G106="M2 fijo"),$M106*(1+'Insumos - OPEX'!M$38),$M106*(1+'Insumos - OPEX'!M$29*'Insumos - OPEX'!M$39)*(1+'Insumos - OPEX'!M$38))</f>
        <v>1648994.2384642053</v>
      </c>
      <c r="R106" s="211">
        <f>IF(OR($B106="Ce Co No Imputables",$G106="M2 fijo"),$M106*(1+'Insumos - OPEX'!N$38),$M106*(1+'Insumos - OPEX'!N$29*'Insumos - OPEX'!N$39)*(1+'Insumos - OPEX'!N$38))</f>
        <v>1731836.3294399884</v>
      </c>
      <c r="S106" s="111"/>
    </row>
    <row r="107" spans="1:21" x14ac:dyDescent="0.2">
      <c r="A107" s="8"/>
      <c r="B107" s="8" t="s">
        <v>301</v>
      </c>
      <c r="C107" s="8" t="s">
        <v>173</v>
      </c>
      <c r="D107" s="8">
        <v>6343100007</v>
      </c>
      <c r="E107" s="8" t="s">
        <v>390</v>
      </c>
      <c r="F107" s="89" t="s">
        <v>470</v>
      </c>
      <c r="G107" s="73" t="s">
        <v>136</v>
      </c>
      <c r="H107" s="112" t="s">
        <v>61</v>
      </c>
      <c r="I107" s="13" t="s">
        <v>436</v>
      </c>
      <c r="K107" s="186">
        <v>96360</v>
      </c>
      <c r="L107" s="187"/>
      <c r="M107" s="214">
        <f>IF(OR(E107="Distribución Legal de la Renta",E107="Acopio carros portaequipajes"),0,IF(K107&lt;0,0,K107*(1+SUMIFS('Insumos - OPEX'!$G$82:$G$238,'Insumos - OPEX'!$B$82:$B$238,OPEX!D107))))</f>
        <v>100600.74539856002</v>
      </c>
      <c r="N107" s="211">
        <f>IF(OR($B107="Ce Co No Imputables",$G107="M2 fijo"),$M107*(1+'Insumos - OPEX'!J$38),$M107*(1+'Insumos - OPEX'!J$29*'Insumos - OPEX'!J$39)*(1+'Insumos - OPEX'!J$38))</f>
        <v>106370.26062556953</v>
      </c>
      <c r="O107" s="211">
        <f>IF(OR($B107="Ce Co No Imputables",$G107="M2 fijo"),$M107*(1+'Insumos - OPEX'!K$38),$M107*(1+'Insumos - OPEX'!K$29*'Insumos - OPEX'!K$39)*(1+'Insumos - OPEX'!K$38))</f>
        <v>111832.17171003221</v>
      </c>
      <c r="P107" s="211">
        <f>IF(OR($B107="Ce Co No Imputables",$G107="M2 fijo"),$M107*(1+'Insumos - OPEX'!L$38),$M107*(1+'Insumos - OPEX'!L$29*'Insumos - OPEX'!L$39)*(1+'Insumos - OPEX'!L$38))</f>
        <v>117363.2006467364</v>
      </c>
      <c r="Q107" s="211">
        <f>IF(OR($B107="Ce Co No Imputables",$G107="M2 fijo"),$M107*(1+'Insumos - OPEX'!M$38),$M107*(1+'Insumos - OPEX'!M$29*'Insumos - OPEX'!M$39)*(1+'Insumos - OPEX'!M$38))</f>
        <v>123443.51621493041</v>
      </c>
      <c r="R107" s="211">
        <f>IF(OR($B107="Ce Co No Imputables",$G107="M2 fijo"),$M107*(1+'Insumos - OPEX'!N$38),$M107*(1+'Insumos - OPEX'!N$29*'Insumos - OPEX'!N$39)*(1+'Insumos - OPEX'!N$38))</f>
        <v>129645.06547575264</v>
      </c>
      <c r="S107" s="111"/>
    </row>
    <row r="108" spans="1:21" x14ac:dyDescent="0.2">
      <c r="A108" s="8"/>
      <c r="B108" s="8" t="s">
        <v>301</v>
      </c>
      <c r="C108" s="8" t="s">
        <v>173</v>
      </c>
      <c r="D108" s="8">
        <v>6343000002</v>
      </c>
      <c r="E108" s="8" t="s">
        <v>391</v>
      </c>
      <c r="F108" s="89" t="s">
        <v>470</v>
      </c>
      <c r="G108" s="73" t="s">
        <v>136</v>
      </c>
      <c r="H108" s="112" t="s">
        <v>61</v>
      </c>
      <c r="I108" s="13" t="s">
        <v>436</v>
      </c>
      <c r="K108" s="186">
        <v>77756.2</v>
      </c>
      <c r="L108" s="187"/>
      <c r="M108" s="214">
        <f>IF(OR(E108="Distribución Legal de la Renta",E108="Acopio carros portaequipajes"),0,IF(K108&lt;0,0,K108*(1+SUMIFS('Insumos - OPEX'!$G$82:$G$238,'Insumos - OPEX'!$B$82:$B$238,OPEX!D108))))</f>
        <v>81178.203397255202</v>
      </c>
      <c r="N108" s="211">
        <f>IF(OR($B108="Ce Co No Imputables",$G108="M2 fijo"),$M108*(1+'Insumos - OPEX'!J$38),$M108*(1+'Insumos - OPEX'!J$29*'Insumos - OPEX'!J$39)*(1+'Insumos - OPEX'!J$38))</f>
        <v>85833.823778060483</v>
      </c>
      <c r="O108" s="211">
        <f>IF(OR($B108="Ce Co No Imputables",$G108="M2 fijo"),$M108*(1+'Insumos - OPEX'!K$38),$M108*(1+'Insumos - OPEX'!K$29*'Insumos - OPEX'!K$39)*(1+'Insumos - OPEX'!K$38))</f>
        <v>90241.227790780467</v>
      </c>
      <c r="P108" s="211">
        <f>IF(OR($B108="Ce Co No Imputables",$G108="M2 fijo"),$M108*(1+'Insumos - OPEX'!L$38),$M108*(1+'Insumos - OPEX'!L$29*'Insumos - OPEX'!L$39)*(1+'Insumos - OPEX'!L$38))</f>
        <v>94704.405377000454</v>
      </c>
      <c r="Q108" s="211">
        <f>IF(OR($B108="Ce Co No Imputables",$G108="M2 fijo"),$M108*(1+'Insumos - OPEX'!M$38),$M108*(1+'Insumos - OPEX'!M$29*'Insumos - OPEX'!M$39)*(1+'Insumos - OPEX'!M$38))</f>
        <v>99610.821248561333</v>
      </c>
      <c r="R108" s="211">
        <f>IF(OR($B108="Ce Co No Imputables",$G108="M2 fijo"),$M108*(1+'Insumos - OPEX'!N$38),$M108*(1+'Insumos - OPEX'!N$29*'Insumos - OPEX'!N$39)*(1+'Insumos - OPEX'!N$38))</f>
        <v>104615.06475867284</v>
      </c>
      <c r="S108" s="111"/>
    </row>
    <row r="109" spans="1:21" x14ac:dyDescent="0.2">
      <c r="A109" s="8"/>
      <c r="B109" s="8" t="s">
        <v>301</v>
      </c>
      <c r="C109" s="8" t="s">
        <v>173</v>
      </c>
      <c r="D109" s="8">
        <v>6341100003</v>
      </c>
      <c r="E109" s="8" t="s">
        <v>392</v>
      </c>
      <c r="F109" s="89" t="s">
        <v>469</v>
      </c>
      <c r="G109" s="73" t="s">
        <v>136</v>
      </c>
      <c r="H109" s="112" t="s">
        <v>61</v>
      </c>
      <c r="I109" s="13" t="s">
        <v>436</v>
      </c>
      <c r="K109" s="186">
        <v>63374.213569551604</v>
      </c>
      <c r="L109" s="187"/>
      <c r="M109" s="214">
        <f>IF(OR(E109="Distribución Legal de la Renta",E109="Acopio carros portaequipajes"),0,IF(K109&lt;0,0,K109*(1+SUMIFS('Insumos - OPEX'!$G$82:$G$238,'Insumos - OPEX'!$B$82:$B$238,OPEX!D109))))</f>
        <v>130267.94026575859</v>
      </c>
      <c r="N109" s="211">
        <f>IF(OR($B109="Ce Co No Imputables",$G109="M2 fijo"),$M109*(1+'Insumos - OPEX'!J$38),$M109*(1+'Insumos - OPEX'!J$29*'Insumos - OPEX'!J$39)*(1+'Insumos - OPEX'!J$38))</f>
        <v>137738.88754330447</v>
      </c>
      <c r="O109" s="211">
        <f>IF(OR($B109="Ce Co No Imputables",$G109="M2 fijo"),$M109*(1+'Insumos - OPEX'!K$38),$M109*(1+'Insumos - OPEX'!K$29*'Insumos - OPEX'!K$39)*(1+'Insumos - OPEX'!K$38))</f>
        <v>144811.51810949764</v>
      </c>
      <c r="P109" s="211">
        <f>IF(OR($B109="Ce Co No Imputables",$G109="M2 fijo"),$M109*(1+'Insumos - OPEX'!L$38),$M109*(1+'Insumos - OPEX'!L$29*'Insumos - OPEX'!L$39)*(1+'Insumos - OPEX'!L$38))</f>
        <v>151973.64940663884</v>
      </c>
      <c r="Q109" s="211">
        <f>IF(OR($B109="Ce Co No Imputables",$G109="M2 fijo"),$M109*(1+'Insumos - OPEX'!M$38),$M109*(1+'Insumos - OPEX'!M$29*'Insumos - OPEX'!M$39)*(1+'Insumos - OPEX'!M$38))</f>
        <v>159847.05215426697</v>
      </c>
      <c r="R109" s="211">
        <f>IF(OR($B109="Ce Co No Imputables",$G109="M2 fijo"),$M109*(1+'Insumos - OPEX'!N$38),$M109*(1+'Insumos - OPEX'!N$29*'Insumos - OPEX'!N$39)*(1+'Insumos - OPEX'!N$38))</f>
        <v>167877.44045271704</v>
      </c>
      <c r="S109" s="111"/>
    </row>
    <row r="110" spans="1:21" x14ac:dyDescent="0.2">
      <c r="A110" s="8"/>
      <c r="B110" s="8" t="s">
        <v>301</v>
      </c>
      <c r="C110" s="8" t="s">
        <v>173</v>
      </c>
      <c r="D110" s="8">
        <v>6341100010</v>
      </c>
      <c r="E110" s="8" t="s">
        <v>393</v>
      </c>
      <c r="F110" s="89" t="s">
        <v>470</v>
      </c>
      <c r="G110" s="73" t="s">
        <v>136</v>
      </c>
      <c r="H110" s="112" t="s">
        <v>61</v>
      </c>
      <c r="I110" s="13" t="s">
        <v>436</v>
      </c>
      <c r="K110" s="186">
        <v>56620.739495049769</v>
      </c>
      <c r="L110" s="187"/>
      <c r="M110" s="214">
        <f>IF(OR(E110="Distribución Legal de la Renta",E110="Acopio carros portaequipajes"),0,IF(K110&lt;0,0,K110*(1+SUMIFS('Insumos - OPEX'!$G$82:$G$238,'Insumos - OPEX'!$B$82:$B$238,OPEX!D110))))</f>
        <v>59112.584041300259</v>
      </c>
      <c r="N110" s="211">
        <f>IF(OR($B110="Ce Co No Imputables",$G110="M2 fijo"),$M110*(1+'Insumos - OPEX'!J$38),$M110*(1+'Insumos - OPEX'!J$29*'Insumos - OPEX'!J$39)*(1+'Insumos - OPEX'!J$38))</f>
        <v>62502.727448120815</v>
      </c>
      <c r="O110" s="211">
        <f>IF(OR($B110="Ce Co No Imputables",$G110="M2 fijo"),$M110*(1+'Insumos - OPEX'!K$38),$M110*(1+'Insumos - OPEX'!K$29*'Insumos - OPEX'!K$39)*(1+'Insumos - OPEX'!K$38))</f>
        <v>65712.123926519387</v>
      </c>
      <c r="P110" s="211">
        <f>IF(OR($B110="Ce Co No Imputables",$G110="M2 fijo"),$M110*(1+'Insumos - OPEX'!L$38),$M110*(1+'Insumos - OPEX'!L$29*'Insumos - OPEX'!L$39)*(1+'Insumos - OPEX'!L$38))</f>
        <v>68962.133770486907</v>
      </c>
      <c r="Q110" s="211">
        <f>IF(OR($B110="Ce Co No Imputables",$G110="M2 fijo"),$M110*(1+'Insumos - OPEX'!M$38),$M110*(1+'Insumos - OPEX'!M$29*'Insumos - OPEX'!M$39)*(1+'Insumos - OPEX'!M$38))</f>
        <v>72534.902178897129</v>
      </c>
      <c r="R110" s="211">
        <f>IF(OR($B110="Ce Co No Imputables",$G110="M2 fijo"),$M110*(1+'Insumos - OPEX'!N$38),$M110*(1+'Insumos - OPEX'!N$29*'Insumos - OPEX'!N$39)*(1+'Insumos - OPEX'!N$38))</f>
        <v>76178.907006239722</v>
      </c>
      <c r="S110" s="111"/>
    </row>
    <row r="111" spans="1:21" x14ac:dyDescent="0.2">
      <c r="A111" s="8"/>
      <c r="B111" s="8" t="s">
        <v>301</v>
      </c>
      <c r="C111" s="8" t="s">
        <v>173</v>
      </c>
      <c r="D111" s="8">
        <v>6347000001</v>
      </c>
      <c r="E111" s="8" t="s">
        <v>394</v>
      </c>
      <c r="F111" s="89" t="s">
        <v>469</v>
      </c>
      <c r="G111" s="73" t="s">
        <v>136</v>
      </c>
      <c r="H111" s="112" t="s">
        <v>61</v>
      </c>
      <c r="I111" s="13" t="s">
        <v>436</v>
      </c>
      <c r="K111" s="186">
        <v>26571.09</v>
      </c>
      <c r="L111" s="187"/>
      <c r="M111" s="214">
        <f>IF(OR(E111="Distribución Legal de la Renta",E111="Acopio carros portaequipajes"),0,IF(K111&lt;0,0,K111*(1+SUMIFS('Insumos - OPEX'!$G$82:$G$238,'Insumos - OPEX'!$B$82:$B$238,OPEX!D111))))</f>
        <v>56453.075271097296</v>
      </c>
      <c r="N111" s="211">
        <f>IF(OR($B111="Ce Co No Imputables",$G111="M2 fijo"),$M111*(1+'Insumos - OPEX'!J$38),$M111*(1+'Insumos - OPEX'!J$29*'Insumos - OPEX'!J$39)*(1+'Insumos - OPEX'!J$38))</f>
        <v>59690.694198250618</v>
      </c>
      <c r="O111" s="211">
        <f>IF(OR($B111="Ce Co No Imputables",$G111="M2 fijo"),$M111*(1+'Insumos - OPEX'!K$38),$M111*(1+'Insumos - OPEX'!K$29*'Insumos - OPEX'!K$39)*(1+'Insumos - OPEX'!K$38))</f>
        <v>62755.698104072828</v>
      </c>
      <c r="P111" s="211">
        <f>IF(OR($B111="Ce Co No Imputables",$G111="M2 fijo"),$M111*(1+'Insumos - OPEX'!L$38),$M111*(1+'Insumos - OPEX'!L$29*'Insumos - OPEX'!L$39)*(1+'Insumos - OPEX'!L$38))</f>
        <v>65859.488157052372</v>
      </c>
      <c r="Q111" s="211">
        <f>IF(OR($B111="Ce Co No Imputables",$G111="M2 fijo"),$M111*(1+'Insumos - OPEX'!M$38),$M111*(1+'Insumos - OPEX'!M$29*'Insumos - OPEX'!M$39)*(1+'Insumos - OPEX'!M$38))</f>
        <v>69271.515683124715</v>
      </c>
      <c r="R111" s="211">
        <f>IF(OR($B111="Ce Co No Imputables",$G111="M2 fijo"),$M111*(1+'Insumos - OPEX'!N$38),$M111*(1+'Insumos - OPEX'!N$29*'Insumos - OPEX'!N$39)*(1+'Insumos - OPEX'!N$38))</f>
        <v>72751.574661133302</v>
      </c>
      <c r="S111" s="111"/>
    </row>
    <row r="112" spans="1:21" x14ac:dyDescent="0.2">
      <c r="A112" s="8"/>
      <c r="B112" s="8" t="s">
        <v>301</v>
      </c>
      <c r="C112" s="8" t="s">
        <v>173</v>
      </c>
      <c r="D112" s="8">
        <v>6343100008</v>
      </c>
      <c r="E112" s="8" t="s">
        <v>395</v>
      </c>
      <c r="F112" s="89" t="s">
        <v>470</v>
      </c>
      <c r="G112" s="73" t="s">
        <v>136</v>
      </c>
      <c r="H112" s="112" t="s">
        <v>61</v>
      </c>
      <c r="I112" s="13" t="s">
        <v>436</v>
      </c>
      <c r="K112" s="186">
        <v>18500</v>
      </c>
      <c r="L112" s="187"/>
      <c r="M112" s="214">
        <f>IF(OR(E112="Distribución Legal de la Renta",E112="Acopio carros portaequipajes"),0,IF(K112&lt;0,0,K112*(1+SUMIFS('Insumos - OPEX'!$G$82:$G$238,'Insumos - OPEX'!$B$82:$B$238,OPEX!D112))))</f>
        <v>19314.173826000002</v>
      </c>
      <c r="N112" s="211">
        <f>IF(OR($B112="Ce Co No Imputables",$G112="M2 fijo"),$M112*(1+'Insumos - OPEX'!J$38),$M112*(1+'Insumos - OPEX'!J$29*'Insumos - OPEX'!J$39)*(1+'Insumos - OPEX'!J$38))</f>
        <v>20421.853690048112</v>
      </c>
      <c r="O112" s="211">
        <f>IF(OR($B112="Ce Co No Imputables",$G112="M2 fijo"),$M112*(1+'Insumos - OPEX'!K$38),$M112*(1+'Insumos - OPEX'!K$29*'Insumos - OPEX'!K$39)*(1+'Insumos - OPEX'!K$38))</f>
        <v>21470.477134034827</v>
      </c>
      <c r="P112" s="211">
        <f>IF(OR($B112="Ce Co No Imputables",$G112="M2 fijo"),$M112*(1+'Insumos - OPEX'!L$38),$M112*(1+'Insumos - OPEX'!L$29*'Insumos - OPEX'!L$39)*(1+'Insumos - OPEX'!L$38))</f>
        <v>22532.370402289576</v>
      </c>
      <c r="Q112" s="211">
        <f>IF(OR($B112="Ce Co No Imputables",$G112="M2 fijo"),$M112*(1+'Insumos - OPEX'!M$38),$M112*(1+'Insumos - OPEX'!M$29*'Insumos - OPEX'!M$39)*(1+'Insumos - OPEX'!M$38))</f>
        <v>23699.720319387841</v>
      </c>
      <c r="R112" s="211">
        <f>IF(OR($B112="Ce Co No Imputables",$G112="M2 fijo"),$M112*(1+'Insumos - OPEX'!N$38),$M112*(1+'Insumos - OPEX'!N$29*'Insumos - OPEX'!N$39)*(1+'Insumos - OPEX'!N$38))</f>
        <v>24890.345696361808</v>
      </c>
      <c r="S112" s="111"/>
    </row>
    <row r="113" spans="1:21" s="3" customFormat="1" x14ac:dyDescent="0.2">
      <c r="A113" s="8"/>
      <c r="B113" s="8" t="s">
        <v>301</v>
      </c>
      <c r="C113" s="8" t="s">
        <v>173</v>
      </c>
      <c r="D113" s="8">
        <v>6343100002</v>
      </c>
      <c r="E113" s="8" t="s">
        <v>396</v>
      </c>
      <c r="F113" s="89" t="s">
        <v>470</v>
      </c>
      <c r="G113" s="73" t="s">
        <v>136</v>
      </c>
      <c r="H113" s="112" t="s">
        <v>61</v>
      </c>
      <c r="I113" s="13" t="s">
        <v>436</v>
      </c>
      <c r="J113" s="11"/>
      <c r="K113" s="186">
        <v>16321.236054804693</v>
      </c>
      <c r="L113" s="187"/>
      <c r="M113" s="214">
        <f>IF(OR(E113="Distribución Legal de la Renta",E113="Acopio carros portaequipajes"),0,IF(K113&lt;0,0,K113*(1+SUMIFS('Insumos - OPEX'!$G$82:$G$238,'Insumos - OPEX'!$B$82:$B$238,OPEX!D113))))</f>
        <v>17039.523795550071</v>
      </c>
      <c r="N113" s="211">
        <f>IF(OR($B113="Ce Co No Imputables",$G113="M2 fijo"),$M113*(1+'Insumos - OPEX'!J$38),$M113*(1+'Insumos - OPEX'!J$29*'Insumos - OPEX'!J$39)*(1+'Insumos - OPEX'!J$38))</f>
        <v>18016.751067673489</v>
      </c>
      <c r="O113" s="211">
        <f>IF(OR($B113="Ce Co No Imputables",$G113="M2 fijo"),$M113*(1+'Insumos - OPEX'!K$38),$M113*(1+'Insumos - OPEX'!K$29*'Insumos - OPEX'!K$39)*(1+'Insumos - OPEX'!K$38))</f>
        <v>18941.877054803725</v>
      </c>
      <c r="P113" s="211">
        <f>IF(OR($B113="Ce Co No Imputables",$G113="M2 fijo"),$M113*(1+'Insumos - OPEX'!L$38),$M113*(1+'Insumos - OPEX'!L$29*'Insumos - OPEX'!L$39)*(1+'Insumos - OPEX'!L$38))</f>
        <v>19878.710065408795</v>
      </c>
      <c r="Q113" s="211">
        <f>IF(OR($B113="Ce Co No Imputables",$G113="M2 fijo"),$M113*(1+'Insumos - OPEX'!M$38),$M113*(1+'Insumos - OPEX'!M$29*'Insumos - OPEX'!M$39)*(1+'Insumos - OPEX'!M$38))</f>
        <v>20908.57998732866</v>
      </c>
      <c r="R113" s="211">
        <f>IF(OR($B113="Ce Co No Imputables",$G113="M2 fijo"),$M113*(1+'Insumos - OPEX'!N$38),$M113*(1+'Insumos - OPEX'!N$29*'Insumos - OPEX'!N$39)*(1+'Insumos - OPEX'!N$38))</f>
        <v>21958.984194379085</v>
      </c>
      <c r="S113" s="111"/>
      <c r="U113" s="1"/>
    </row>
    <row r="114" spans="1:21" x14ac:dyDescent="0.2">
      <c r="A114" s="8"/>
      <c r="B114" s="8" t="s">
        <v>301</v>
      </c>
      <c r="C114" s="8" t="s">
        <v>173</v>
      </c>
      <c r="D114" s="8">
        <v>6343100001</v>
      </c>
      <c r="E114" s="8" t="s">
        <v>397</v>
      </c>
      <c r="F114" s="89" t="s">
        <v>470</v>
      </c>
      <c r="G114" s="73" t="s">
        <v>136</v>
      </c>
      <c r="H114" s="112" t="s">
        <v>61</v>
      </c>
      <c r="I114" s="13" t="s">
        <v>436</v>
      </c>
      <c r="K114" s="186">
        <v>9684.6427894368608</v>
      </c>
      <c r="L114" s="187"/>
      <c r="M114" s="214">
        <f>IF(OR(E114="Distribución Legal de la Renta",E114="Acopio carros portaequipajes"),0,IF(K114&lt;0,0,K114*(1+SUMIFS('Insumos - OPEX'!$G$82:$G$238,'Insumos - OPEX'!$B$82:$B$238,OPEX!D114))))</f>
        <v>10110.858069075734</v>
      </c>
      <c r="N114" s="211">
        <f>IF(OR($B114="Ce Co No Imputables",$G114="M2 fijo"),$M114*(1+'Insumos - OPEX'!J$38),$M114*(1+'Insumos - OPEX'!J$29*'Insumos - OPEX'!J$39)*(1+'Insumos - OPEX'!J$38))</f>
        <v>10690.722058716703</v>
      </c>
      <c r="O114" s="211">
        <f>IF(OR($B114="Ce Co No Imputables",$G114="M2 fijo"),$M114*(1+'Insumos - OPEX'!K$38),$M114*(1+'Insumos - OPEX'!K$29*'Insumos - OPEX'!K$39)*(1+'Insumos - OPEX'!K$38))</f>
        <v>11239.670354697264</v>
      </c>
      <c r="P114" s="211">
        <f>IF(OR($B114="Ce Co No Imputables",$G114="M2 fijo"),$M114*(1+'Insumos - OPEX'!L$38),$M114*(1+'Insumos - OPEX'!L$29*'Insumos - OPEX'!L$39)*(1+'Insumos - OPEX'!L$38))</f>
        <v>11795.56532678131</v>
      </c>
      <c r="Q114" s="211">
        <f>IF(OR($B114="Ce Co No Imputables",$G114="M2 fijo"),$M114*(1+'Insumos - OPEX'!M$38),$M114*(1+'Insumos - OPEX'!M$29*'Insumos - OPEX'!M$39)*(1+'Insumos - OPEX'!M$38))</f>
        <v>12406.666243396203</v>
      </c>
      <c r="R114" s="211">
        <f>IF(OR($B114="Ce Co No Imputables",$G114="M2 fijo"),$M114*(1+'Insumos - OPEX'!N$38),$M114*(1+'Insumos - OPEX'!N$29*'Insumos - OPEX'!N$39)*(1+'Insumos - OPEX'!N$38))</f>
        <v>13029.951728370874</v>
      </c>
      <c r="S114" s="111"/>
    </row>
    <row r="115" spans="1:21" x14ac:dyDescent="0.2">
      <c r="A115" s="8"/>
      <c r="B115" s="8" t="s">
        <v>301</v>
      </c>
      <c r="C115" s="8" t="s">
        <v>173</v>
      </c>
      <c r="D115" s="8">
        <v>6341100002</v>
      </c>
      <c r="E115" s="8" t="s">
        <v>398</v>
      </c>
      <c r="F115" s="89" t="s">
        <v>470</v>
      </c>
      <c r="G115" s="73" t="s">
        <v>136</v>
      </c>
      <c r="H115" s="112" t="s">
        <v>61</v>
      </c>
      <c r="I115" s="13" t="s">
        <v>436</v>
      </c>
      <c r="K115" s="186">
        <v>8157.7441379310349</v>
      </c>
      <c r="L115" s="187"/>
      <c r="M115" s="214">
        <f>IF(OR(E115="Distribución Legal de la Renta",E115="Acopio carros portaequipajes"),0,IF(K115&lt;0,0,K115*(1+SUMIFS('Insumos - OPEX'!$G$82:$G$238,'Insumos - OPEX'!$B$82:$B$238,OPEX!D115))))</f>
        <v>8516.7615301639216</v>
      </c>
      <c r="N115" s="211">
        <f>IF(OR($B115="Ce Co No Imputables",$G115="M2 fijo"),$M115*(1+'Insumos - OPEX'!J$38),$M115*(1+'Insumos - OPEX'!J$29*'Insumos - OPEX'!J$39)*(1+'Insumos - OPEX'!J$38))</f>
        <v>9005.2030932797461</v>
      </c>
      <c r="O115" s="211">
        <f>IF(OR($B115="Ce Co No Imputables",$G115="M2 fijo"),$M115*(1+'Insumos - OPEX'!K$38),$M115*(1+'Insumos - OPEX'!K$29*'Insumos - OPEX'!K$39)*(1+'Insumos - OPEX'!K$38))</f>
        <v>9467.6031880408063</v>
      </c>
      <c r="P115" s="211">
        <f>IF(OR($B115="Ce Co No Imputables",$G115="M2 fijo"),$M115*(1+'Insumos - OPEX'!L$38),$M115*(1+'Insumos - OPEX'!L$29*'Insumos - OPEX'!L$39)*(1+'Insumos - OPEX'!L$38))</f>
        <v>9935.8547331334339</v>
      </c>
      <c r="Q115" s="211">
        <f>IF(OR($B115="Ce Co No Imputables",$G115="M2 fijo"),$M115*(1+'Insumos - OPEX'!M$38),$M115*(1+'Insumos - OPEX'!M$29*'Insumos - OPEX'!M$39)*(1+'Insumos - OPEX'!M$38))</f>
        <v>10450.608351680607</v>
      </c>
      <c r="R115" s="211">
        <f>IF(OR($B115="Ce Co No Imputables",$G115="M2 fijo"),$M115*(1+'Insumos - OPEX'!N$38),$M115*(1+'Insumos - OPEX'!N$29*'Insumos - OPEX'!N$39)*(1+'Insumos - OPEX'!N$38))</f>
        <v>10975.625497057974</v>
      </c>
      <c r="S115" s="111"/>
    </row>
    <row r="116" spans="1:21" x14ac:dyDescent="0.2">
      <c r="A116" s="8"/>
      <c r="B116" s="8" t="s">
        <v>301</v>
      </c>
      <c r="C116" s="8" t="s">
        <v>173</v>
      </c>
      <c r="D116" s="8">
        <v>6341100001</v>
      </c>
      <c r="E116" s="8" t="s">
        <v>399</v>
      </c>
      <c r="F116" s="89" t="s">
        <v>470</v>
      </c>
      <c r="G116" s="73" t="s">
        <v>136</v>
      </c>
      <c r="H116" s="112" t="s">
        <v>61</v>
      </c>
      <c r="I116" s="13" t="s">
        <v>436</v>
      </c>
      <c r="K116" s="186">
        <v>3574.182413793103</v>
      </c>
      <c r="L116" s="187"/>
      <c r="M116" s="214">
        <f>IF(OR(E116="Distribución Legal de la Renta",E116="Acopio carros portaequipajes"),0,IF(K116&lt;0,0,K116*(1+SUMIFS('Insumos - OPEX'!$G$82:$G$238,'Insumos - OPEX'!$B$82:$B$238,OPEX!D116))))</f>
        <v>3731.4800230179599</v>
      </c>
      <c r="N116" s="211">
        <f>IF(OR($B116="Ce Co No Imputables",$G116="M2 fijo"),$M116*(1+'Insumos - OPEX'!J$38),$M116*(1+'Insumos - OPEX'!J$29*'Insumos - OPEX'!J$39)*(1+'Insumos - OPEX'!J$38))</f>
        <v>3945.482719785176</v>
      </c>
      <c r="O116" s="211">
        <f>IF(OR($B116="Ce Co No Imputables",$G116="M2 fijo"),$M116*(1+'Insumos - OPEX'!K$38),$M116*(1+'Insumos - OPEX'!K$29*'Insumos - OPEX'!K$39)*(1+'Insumos - OPEX'!K$38))</f>
        <v>4148.0757723359038</v>
      </c>
      <c r="P116" s="211">
        <f>IF(OR($B116="Ce Co No Imputables",$G116="M2 fijo"),$M116*(1+'Insumos - OPEX'!L$38),$M116*(1+'Insumos - OPEX'!L$29*'Insumos - OPEX'!L$39)*(1+'Insumos - OPEX'!L$38))</f>
        <v>4353.232542320844</v>
      </c>
      <c r="Q116" s="211">
        <f>IF(OR($B116="Ce Co No Imputables",$G116="M2 fijo"),$M116*(1+'Insumos - OPEX'!M$38),$M116*(1+'Insumos - OPEX'!M$29*'Insumos - OPEX'!M$39)*(1+'Insumos - OPEX'!M$38))</f>
        <v>4578.763436614654</v>
      </c>
      <c r="R116" s="211">
        <f>IF(OR($B116="Ce Co No Imputables",$G116="M2 fijo"),$M116*(1+'Insumos - OPEX'!N$38),$M116*(1+'Insumos - OPEX'!N$29*'Insumos - OPEX'!N$39)*(1+'Insumos - OPEX'!N$38))</f>
        <v>4808.7911276306604</v>
      </c>
      <c r="S116" s="111"/>
    </row>
    <row r="117" spans="1:21" x14ac:dyDescent="0.2">
      <c r="A117" s="8"/>
      <c r="B117" s="8" t="s">
        <v>301</v>
      </c>
      <c r="C117" s="8" t="s">
        <v>173</v>
      </c>
      <c r="D117" s="8">
        <v>6341100004</v>
      </c>
      <c r="E117" s="8" t="s">
        <v>400</v>
      </c>
      <c r="F117" s="89" t="s">
        <v>470</v>
      </c>
      <c r="G117" s="73" t="s">
        <v>136</v>
      </c>
      <c r="H117" s="112" t="s">
        <v>61</v>
      </c>
      <c r="I117" s="13" t="s">
        <v>436</v>
      </c>
      <c r="K117" s="186">
        <v>2279.3620689655172</v>
      </c>
      <c r="L117" s="187"/>
      <c r="M117" s="214">
        <f>IF(OR(E117="Distribución Legal de la Renta",E117="Acopio carros portaequipajes"),0,IF(K117&lt;0,0,K117*(1+SUMIFS('Insumos - OPEX'!$G$82:$G$238,'Insumos - OPEX'!$B$82:$B$238,OPEX!D117))))</f>
        <v>2379.6754168860002</v>
      </c>
      <c r="N117" s="211">
        <f>IF(OR($B117="Ce Co No Imputables",$G117="M2 fijo"),$M117*(1+'Insumos - OPEX'!J$38),$M117*(1+'Insumos - OPEX'!J$29*'Insumos - OPEX'!J$39)*(1+'Insumos - OPEX'!J$38))</f>
        <v>2516.1512799491434</v>
      </c>
      <c r="O117" s="211">
        <f>IF(OR($B117="Ce Co No Imputables",$G117="M2 fijo"),$M117*(1+'Insumos - OPEX'!K$38),$M117*(1+'Insumos - OPEX'!K$29*'Insumos - OPEX'!K$39)*(1+'Insumos - OPEX'!K$38))</f>
        <v>2645.3508746978619</v>
      </c>
      <c r="P117" s="211">
        <f>IF(OR($B117="Ce Co No Imputables",$G117="M2 fijo"),$M117*(1+'Insumos - OPEX'!L$38),$M117*(1+'Insumos - OPEX'!L$29*'Insumos - OPEX'!L$39)*(1+'Insumos - OPEX'!L$38))</f>
        <v>2776.1854280464941</v>
      </c>
      <c r="Q117" s="211">
        <f>IF(OR($B117="Ce Co No Imputables",$G117="M2 fijo"),$M117*(1+'Insumos - OPEX'!M$38),$M117*(1+'Insumos - OPEX'!M$29*'Insumos - OPEX'!M$39)*(1+'Insumos - OPEX'!M$38))</f>
        <v>2920.0131643839986</v>
      </c>
      <c r="R117" s="211">
        <f>IF(OR($B117="Ce Co No Imputables",$G117="M2 fijo"),$M117*(1+'Insumos - OPEX'!N$38),$M117*(1+'Insumos - OPEX'!N$29*'Insumos - OPEX'!N$39)*(1+'Insumos - OPEX'!N$38))</f>
        <v>3066.7086412824974</v>
      </c>
      <c r="S117" s="111"/>
    </row>
    <row r="118" spans="1:21" x14ac:dyDescent="0.2">
      <c r="A118" s="8"/>
      <c r="B118" s="8" t="s">
        <v>301</v>
      </c>
      <c r="C118" s="8" t="s">
        <v>173</v>
      </c>
      <c r="D118" s="8">
        <v>6343100015</v>
      </c>
      <c r="E118" s="8" t="s">
        <v>401</v>
      </c>
      <c r="F118" s="89" t="s">
        <v>470</v>
      </c>
      <c r="G118" s="73" t="s">
        <v>136</v>
      </c>
      <c r="H118" s="112" t="s">
        <v>61</v>
      </c>
      <c r="I118" s="13" t="s">
        <v>436</v>
      </c>
      <c r="K118" s="186">
        <v>2049.3580911571257</v>
      </c>
      <c r="L118" s="187"/>
      <c r="M118" s="214">
        <f>IF(OR(E118="Distribución Legal de la Renta",E118="Acopio carros portaequipajes"),0,IF(K118&lt;0,0,K118*(1+SUMIFS('Insumos - OPEX'!$G$82:$G$238,'Insumos - OPEX'!$B$82:$B$238,OPEX!D118))))</f>
        <v>2139.549102936664</v>
      </c>
      <c r="N118" s="211">
        <f>IF(OR($B118="Ce Co No Imputables",$G118="M2 fijo"),$M118*(1+'Insumos - OPEX'!J$38),$M118*(1+'Insumos - OPEX'!J$29*'Insumos - OPEX'!J$39)*(1+'Insumos - OPEX'!J$38))</f>
        <v>2262.2535727636273</v>
      </c>
      <c r="O118" s="211">
        <f>IF(OR($B118="Ce Co No Imputables",$G118="M2 fijo"),$M118*(1+'Insumos - OPEX'!K$38),$M118*(1+'Insumos - OPEX'!K$29*'Insumos - OPEX'!K$39)*(1+'Insumos - OPEX'!K$38))</f>
        <v>2378.4160019263959</v>
      </c>
      <c r="P118" s="211">
        <f>IF(OR($B118="Ce Co No Imputables",$G118="M2 fijo"),$M118*(1+'Insumos - OPEX'!L$38),$M118*(1+'Insumos - OPEX'!L$29*'Insumos - OPEX'!L$39)*(1+'Insumos - OPEX'!L$38))</f>
        <v>2496.0484106422418</v>
      </c>
      <c r="Q118" s="211">
        <f>IF(OR($B118="Ce Co No Imputables",$G118="M2 fijo"),$M118*(1+'Insumos - OPEX'!M$38),$M118*(1+'Insumos - OPEX'!M$29*'Insumos - OPEX'!M$39)*(1+'Insumos - OPEX'!M$38))</f>
        <v>2625.3628970107252</v>
      </c>
      <c r="R118" s="211">
        <f>IF(OR($B118="Ce Co No Imputables",$G118="M2 fijo"),$M118*(1+'Insumos - OPEX'!N$38),$M118*(1+'Insumos - OPEX'!N$29*'Insumos - OPEX'!N$39)*(1+'Insumos - OPEX'!N$38))</f>
        <v>2757.2557483533519</v>
      </c>
      <c r="S118" s="111"/>
    </row>
    <row r="119" spans="1:21" x14ac:dyDescent="0.2">
      <c r="A119" s="8"/>
      <c r="B119" s="8" t="s">
        <v>301</v>
      </c>
      <c r="C119" s="8" t="s">
        <v>173</v>
      </c>
      <c r="D119" s="8">
        <v>6348000001</v>
      </c>
      <c r="E119" s="8" t="s">
        <v>402</v>
      </c>
      <c r="F119" s="89" t="s">
        <v>470</v>
      </c>
      <c r="G119" s="73" t="s">
        <v>136</v>
      </c>
      <c r="H119" s="112" t="s">
        <v>61</v>
      </c>
      <c r="I119" s="13" t="s">
        <v>436</v>
      </c>
      <c r="K119" s="186">
        <v>858.05207552917261</v>
      </c>
      <c r="L119" s="187"/>
      <c r="M119" s="214">
        <f>IF(OR(E119="Distribución Legal de la Renta",E119="Acopio carros portaequipajes"),0,IF(K119&lt;0,0,K119*(1+SUMIFS('Insumos - OPEX'!$G$82:$G$238,'Insumos - OPEX'!$B$82:$B$238,OPEX!D119))))</f>
        <v>895.81442910975795</v>
      </c>
      <c r="N119" s="211">
        <f>IF(OR($B119="Ce Co No Imputables",$G119="M2 fijo"),$M119*(1+'Insumos - OPEX'!J$38),$M119*(1+'Insumos - OPEX'!J$29*'Insumos - OPEX'!J$39)*(1+'Insumos - OPEX'!J$38))</f>
        <v>947.18994296750679</v>
      </c>
      <c r="O119" s="211">
        <f>IF(OR($B119="Ce Co No Imputables",$G119="M2 fijo"),$M119*(1+'Insumos - OPEX'!K$38),$M119*(1+'Insumos - OPEX'!K$29*'Insumos - OPEX'!K$39)*(1+'Insumos - OPEX'!K$38))</f>
        <v>995.82634959244444</v>
      </c>
      <c r="P119" s="211">
        <f>IF(OR($B119="Ce Co No Imputables",$G119="M2 fijo"),$M119*(1+'Insumos - OPEX'!L$38),$M119*(1+'Insumos - OPEX'!L$29*'Insumos - OPEX'!L$39)*(1+'Insumos - OPEX'!L$38))</f>
        <v>1045.0782265014413</v>
      </c>
      <c r="Q119" s="211">
        <f>IF(OR($B119="Ce Co No Imputables",$G119="M2 fijo"),$M119*(1+'Insumos - OPEX'!M$38),$M119*(1+'Insumos - OPEX'!M$29*'Insumos - OPEX'!M$39)*(1+'Insumos - OPEX'!M$38))</f>
        <v>1099.2213086222509</v>
      </c>
      <c r="R119" s="211">
        <f>IF(OR($B119="Ce Co No Imputables",$G119="M2 fijo"),$M119*(1+'Insumos - OPEX'!N$38),$M119*(1+'Insumos - OPEX'!N$29*'Insumos - OPEX'!N$39)*(1+'Insumos - OPEX'!N$38))</f>
        <v>1154.4439343460463</v>
      </c>
      <c r="S119" s="111"/>
    </row>
    <row r="120" spans="1:21" x14ac:dyDescent="0.2">
      <c r="A120" s="8"/>
      <c r="B120" s="8" t="s">
        <v>301</v>
      </c>
      <c r="C120" s="8" t="s">
        <v>173</v>
      </c>
      <c r="D120" s="8">
        <v>6343100017</v>
      </c>
      <c r="E120" s="8" t="s">
        <v>403</v>
      </c>
      <c r="F120" s="89" t="s">
        <v>470</v>
      </c>
      <c r="G120" s="73" t="s">
        <v>136</v>
      </c>
      <c r="H120" s="112" t="s">
        <v>61</v>
      </c>
      <c r="I120" s="13" t="s">
        <v>436</v>
      </c>
      <c r="K120" s="186">
        <v>0</v>
      </c>
      <c r="L120" s="187"/>
      <c r="M120" s="214">
        <f>IF(OR(E120="Distribución Legal de la Renta",E120="Acopio carros portaequipajes"),0,IF(K120&lt;0,0,K120*(1+SUMIFS('Insumos - OPEX'!$G$82:$G$238,'Insumos - OPEX'!$B$82:$B$238,OPEX!D120))))</f>
        <v>0</v>
      </c>
      <c r="N120" s="211">
        <f>IF(OR($B120="Ce Co No Imputables",$G120="M2 fijo"),$M120*(1+'Insumos - OPEX'!J$38),$M120*(1+'Insumos - OPEX'!J$29*'Insumos - OPEX'!J$39)*(1+'Insumos - OPEX'!J$38))</f>
        <v>0</v>
      </c>
      <c r="O120" s="211">
        <f>IF(OR($B120="Ce Co No Imputables",$G120="M2 fijo"),$M120*(1+'Insumos - OPEX'!K$38),$M120*(1+'Insumos - OPEX'!K$29*'Insumos - OPEX'!K$39)*(1+'Insumos - OPEX'!K$38))</f>
        <v>0</v>
      </c>
      <c r="P120" s="211">
        <f>IF(OR($B120="Ce Co No Imputables",$G120="M2 fijo"),$M120*(1+'Insumos - OPEX'!L$38),$M120*(1+'Insumos - OPEX'!L$29*'Insumos - OPEX'!L$39)*(1+'Insumos - OPEX'!L$38))</f>
        <v>0</v>
      </c>
      <c r="Q120" s="211">
        <f>IF(OR($B120="Ce Co No Imputables",$G120="M2 fijo"),$M120*(1+'Insumos - OPEX'!M$38),$M120*(1+'Insumos - OPEX'!M$29*'Insumos - OPEX'!M$39)*(1+'Insumos - OPEX'!M$38))</f>
        <v>0</v>
      </c>
      <c r="R120" s="211">
        <f>IF(OR($B120="Ce Co No Imputables",$G120="M2 fijo"),$M120*(1+'Insumos - OPEX'!N$38),$M120*(1+'Insumos - OPEX'!N$29*'Insumos - OPEX'!N$39)*(1+'Insumos - OPEX'!N$38))</f>
        <v>0</v>
      </c>
      <c r="S120" s="111"/>
    </row>
    <row r="121" spans="1:21" x14ac:dyDescent="0.2">
      <c r="A121" s="8"/>
      <c r="B121" s="8" t="s">
        <v>301</v>
      </c>
      <c r="C121" s="8" t="s">
        <v>173</v>
      </c>
      <c r="D121" s="8">
        <v>6343100013</v>
      </c>
      <c r="E121" s="8" t="s">
        <v>404</v>
      </c>
      <c r="F121" s="89" t="s">
        <v>470</v>
      </c>
      <c r="G121" s="73" t="s">
        <v>136</v>
      </c>
      <c r="H121" s="112" t="s">
        <v>61</v>
      </c>
      <c r="I121" s="13" t="s">
        <v>436</v>
      </c>
      <c r="K121" s="186">
        <v>0</v>
      </c>
      <c r="L121" s="187"/>
      <c r="M121" s="214">
        <f>IF(OR(E121="Distribución Legal de la Renta",E121="Acopio carros portaequipajes"),0,IF(K121&lt;0,0,K121*(1+SUMIFS('Insumos - OPEX'!$G$82:$G$238,'Insumos - OPEX'!$B$82:$B$238,OPEX!D121))))</f>
        <v>0</v>
      </c>
      <c r="N121" s="211">
        <f>IF(OR($B121="Ce Co No Imputables",$G121="M2 fijo"),$M121*(1+'Insumos - OPEX'!J$38),$M121*(1+'Insumos - OPEX'!J$29*'Insumos - OPEX'!J$39)*(1+'Insumos - OPEX'!J$38))</f>
        <v>0</v>
      </c>
      <c r="O121" s="211">
        <f>IF(OR($B121="Ce Co No Imputables",$G121="M2 fijo"),$M121*(1+'Insumos - OPEX'!K$38),$M121*(1+'Insumos - OPEX'!K$29*'Insumos - OPEX'!K$39)*(1+'Insumos - OPEX'!K$38))</f>
        <v>0</v>
      </c>
      <c r="P121" s="211">
        <f>IF(OR($B121="Ce Co No Imputables",$G121="M2 fijo"),$M121*(1+'Insumos - OPEX'!L$38),$M121*(1+'Insumos - OPEX'!L$29*'Insumos - OPEX'!L$39)*(1+'Insumos - OPEX'!L$38))</f>
        <v>0</v>
      </c>
      <c r="Q121" s="211">
        <f>IF(OR($B121="Ce Co No Imputables",$G121="M2 fijo"),$M121*(1+'Insumos - OPEX'!M$38),$M121*(1+'Insumos - OPEX'!M$29*'Insumos - OPEX'!M$39)*(1+'Insumos - OPEX'!M$38))</f>
        <v>0</v>
      </c>
      <c r="R121" s="211">
        <f>IF(OR($B121="Ce Co No Imputables",$G121="M2 fijo"),$M121*(1+'Insumos - OPEX'!N$38),$M121*(1+'Insumos - OPEX'!N$29*'Insumos - OPEX'!N$39)*(1+'Insumos - OPEX'!N$38))</f>
        <v>0</v>
      </c>
      <c r="S121" s="111"/>
    </row>
    <row r="122" spans="1:21" s="3" customFormat="1" x14ac:dyDescent="0.2">
      <c r="A122" s="8"/>
      <c r="B122" s="8" t="s">
        <v>301</v>
      </c>
      <c r="C122" s="8" t="s">
        <v>173</v>
      </c>
      <c r="D122" s="8">
        <v>6345000001</v>
      </c>
      <c r="E122" s="8" t="s">
        <v>405</v>
      </c>
      <c r="F122" s="89" t="s">
        <v>470</v>
      </c>
      <c r="G122" s="73" t="s">
        <v>136</v>
      </c>
      <c r="H122" s="112" t="s">
        <v>61</v>
      </c>
      <c r="I122" s="13" t="s">
        <v>436</v>
      </c>
      <c r="J122" s="11"/>
      <c r="K122" s="186">
        <v>0</v>
      </c>
      <c r="L122" s="187"/>
      <c r="M122" s="214">
        <f>IF(OR(E122="Distribución Legal de la Renta",E122="Acopio carros portaequipajes"),0,IF(K122&lt;0,0,K122*(1+SUMIFS('Insumos - OPEX'!$G$82:$G$238,'Insumos - OPEX'!$B$82:$B$238,OPEX!D122))))</f>
        <v>0</v>
      </c>
      <c r="N122" s="211">
        <f>IF(OR($B122="Ce Co No Imputables",$G122="M2 fijo"),$M122*(1+'Insumos - OPEX'!J$38),$M122*(1+'Insumos - OPEX'!J$29*'Insumos - OPEX'!J$39)*(1+'Insumos - OPEX'!J$38))</f>
        <v>0</v>
      </c>
      <c r="O122" s="211">
        <f>IF(OR($B122="Ce Co No Imputables",$G122="M2 fijo"),$M122*(1+'Insumos - OPEX'!K$38),$M122*(1+'Insumos - OPEX'!K$29*'Insumos - OPEX'!K$39)*(1+'Insumos - OPEX'!K$38))</f>
        <v>0</v>
      </c>
      <c r="P122" s="211">
        <f>IF(OR($B122="Ce Co No Imputables",$G122="M2 fijo"),$M122*(1+'Insumos - OPEX'!L$38),$M122*(1+'Insumos - OPEX'!L$29*'Insumos - OPEX'!L$39)*(1+'Insumos - OPEX'!L$38))</f>
        <v>0</v>
      </c>
      <c r="Q122" s="211">
        <f>IF(OR($B122="Ce Co No Imputables",$G122="M2 fijo"),$M122*(1+'Insumos - OPEX'!M$38),$M122*(1+'Insumos - OPEX'!M$29*'Insumos - OPEX'!M$39)*(1+'Insumos - OPEX'!M$38))</f>
        <v>0</v>
      </c>
      <c r="R122" s="211">
        <f>IF(OR($B122="Ce Co No Imputables",$G122="M2 fijo"),$M122*(1+'Insumos - OPEX'!N$38),$M122*(1+'Insumos - OPEX'!N$29*'Insumos - OPEX'!N$39)*(1+'Insumos - OPEX'!N$38))</f>
        <v>0</v>
      </c>
      <c r="S122" s="111"/>
      <c r="U122" s="1"/>
    </row>
    <row r="123" spans="1:21" s="3" customFormat="1" x14ac:dyDescent="0.2">
      <c r="A123" s="8"/>
      <c r="B123" s="8" t="s">
        <v>301</v>
      </c>
      <c r="C123" s="8" t="s">
        <v>173</v>
      </c>
      <c r="D123" s="8">
        <v>6343100003</v>
      </c>
      <c r="E123" s="8" t="s">
        <v>406</v>
      </c>
      <c r="F123" s="89" t="s">
        <v>470</v>
      </c>
      <c r="G123" s="73" t="s">
        <v>136</v>
      </c>
      <c r="H123" s="112" t="s">
        <v>61</v>
      </c>
      <c r="I123" s="13" t="s">
        <v>436</v>
      </c>
      <c r="J123" s="11"/>
      <c r="K123" s="186">
        <v>0</v>
      </c>
      <c r="L123" s="187"/>
      <c r="M123" s="214">
        <f>IF(OR(E123="Distribución Legal de la Renta",E123="Acopio carros portaequipajes"),0,IF(K123&lt;0,0,K123*(1+SUMIFS('Insumos - OPEX'!$G$82:$G$238,'Insumos - OPEX'!$B$82:$B$238,OPEX!D123))))</f>
        <v>0</v>
      </c>
      <c r="N123" s="211">
        <f>IF(OR($B123="Ce Co No Imputables",$G123="M2 fijo"),$M123*(1+'Insumos - OPEX'!J$38),$M123*(1+'Insumos - OPEX'!J$29*'Insumos - OPEX'!J$39)*(1+'Insumos - OPEX'!J$38))</f>
        <v>0</v>
      </c>
      <c r="O123" s="211">
        <f>IF(OR($B123="Ce Co No Imputables",$G123="M2 fijo"),$M123*(1+'Insumos - OPEX'!K$38),$M123*(1+'Insumos - OPEX'!K$29*'Insumos - OPEX'!K$39)*(1+'Insumos - OPEX'!K$38))</f>
        <v>0</v>
      </c>
      <c r="P123" s="211">
        <f>IF(OR($B123="Ce Co No Imputables",$G123="M2 fijo"),$M123*(1+'Insumos - OPEX'!L$38),$M123*(1+'Insumos - OPEX'!L$29*'Insumos - OPEX'!L$39)*(1+'Insumos - OPEX'!L$38))</f>
        <v>0</v>
      </c>
      <c r="Q123" s="211">
        <f>IF(OR($B123="Ce Co No Imputables",$G123="M2 fijo"),$M123*(1+'Insumos - OPEX'!M$38),$M123*(1+'Insumos - OPEX'!M$29*'Insumos - OPEX'!M$39)*(1+'Insumos - OPEX'!M$38))</f>
        <v>0</v>
      </c>
      <c r="R123" s="211">
        <f>IF(OR($B123="Ce Co No Imputables",$G123="M2 fijo"),$M123*(1+'Insumos - OPEX'!N$38),$M123*(1+'Insumos - OPEX'!N$29*'Insumos - OPEX'!N$39)*(1+'Insumos - OPEX'!N$38))</f>
        <v>0</v>
      </c>
      <c r="S123" s="111"/>
      <c r="U123" s="1"/>
    </row>
    <row r="124" spans="1:21" x14ac:dyDescent="0.2">
      <c r="A124" s="8"/>
      <c r="B124" s="8" t="s">
        <v>301</v>
      </c>
      <c r="C124" s="8" t="s">
        <v>173</v>
      </c>
      <c r="D124" s="8">
        <v>6341100009</v>
      </c>
      <c r="E124" s="8" t="s">
        <v>407</v>
      </c>
      <c r="F124" s="89" t="s">
        <v>470</v>
      </c>
      <c r="G124" s="73" t="s">
        <v>136</v>
      </c>
      <c r="H124" s="112" t="s">
        <v>61</v>
      </c>
      <c r="I124" s="13" t="s">
        <v>436</v>
      </c>
      <c r="K124" s="186">
        <v>0</v>
      </c>
      <c r="L124" s="187"/>
      <c r="M124" s="214">
        <f>IF(OR(E124="Distribución Legal de la Renta",E124="Acopio carros portaequipajes"),0,IF(K124&lt;0,0,K124*(1+SUMIFS('Insumos - OPEX'!$G$82:$G$238,'Insumos - OPEX'!$B$82:$B$238,OPEX!D124))))</f>
        <v>0</v>
      </c>
      <c r="N124" s="211">
        <f>IF(OR($B124="Ce Co No Imputables",$G124="M2 fijo"),$M124*(1+'Insumos - OPEX'!J$38),$M124*(1+'Insumos - OPEX'!J$29*'Insumos - OPEX'!J$39)*(1+'Insumos - OPEX'!J$38))</f>
        <v>0</v>
      </c>
      <c r="O124" s="211">
        <f>IF(OR($B124="Ce Co No Imputables",$G124="M2 fijo"),$M124*(1+'Insumos - OPEX'!K$38),$M124*(1+'Insumos - OPEX'!K$29*'Insumos - OPEX'!K$39)*(1+'Insumos - OPEX'!K$38))</f>
        <v>0</v>
      </c>
      <c r="P124" s="211">
        <f>IF(OR($B124="Ce Co No Imputables",$G124="M2 fijo"),$M124*(1+'Insumos - OPEX'!L$38),$M124*(1+'Insumos - OPEX'!L$29*'Insumos - OPEX'!L$39)*(1+'Insumos - OPEX'!L$38))</f>
        <v>0</v>
      </c>
      <c r="Q124" s="211">
        <f>IF(OR($B124="Ce Co No Imputables",$G124="M2 fijo"),$M124*(1+'Insumos - OPEX'!M$38),$M124*(1+'Insumos - OPEX'!M$29*'Insumos - OPEX'!M$39)*(1+'Insumos - OPEX'!M$38))</f>
        <v>0</v>
      </c>
      <c r="R124" s="211">
        <f>IF(OR($B124="Ce Co No Imputables",$G124="M2 fijo"),$M124*(1+'Insumos - OPEX'!N$38),$M124*(1+'Insumos - OPEX'!N$29*'Insumos - OPEX'!N$39)*(1+'Insumos - OPEX'!N$38))</f>
        <v>0</v>
      </c>
      <c r="S124" s="111"/>
    </row>
    <row r="125" spans="1:21" x14ac:dyDescent="0.2">
      <c r="A125" s="8"/>
      <c r="B125" s="8" t="s">
        <v>301</v>
      </c>
      <c r="C125" s="8" t="s">
        <v>173</v>
      </c>
      <c r="D125" s="8">
        <v>6343100004</v>
      </c>
      <c r="E125" s="8" t="s">
        <v>408</v>
      </c>
      <c r="F125" s="89" t="s">
        <v>470</v>
      </c>
      <c r="G125" s="73" t="s">
        <v>136</v>
      </c>
      <c r="H125" s="112" t="s">
        <v>61</v>
      </c>
      <c r="I125" s="13" t="s">
        <v>436</v>
      </c>
      <c r="K125" s="186">
        <v>0</v>
      </c>
      <c r="L125" s="187"/>
      <c r="M125" s="214">
        <f>IF(OR(E125="Distribución Legal de la Renta",E125="Acopio carros portaequipajes"),0,IF(K125&lt;0,0,K125*(1+SUMIFS('Insumos - OPEX'!$G$82:$G$238,'Insumos - OPEX'!$B$82:$B$238,OPEX!D125))))</f>
        <v>0</v>
      </c>
      <c r="N125" s="211">
        <f>IF(OR($B125="Ce Co No Imputables",$G125="M2 fijo"),$M125*(1+'Insumos - OPEX'!J$38),$M125*(1+'Insumos - OPEX'!J$29*'Insumos - OPEX'!J$39)*(1+'Insumos - OPEX'!J$38))</f>
        <v>0</v>
      </c>
      <c r="O125" s="211">
        <f>IF(OR($B125="Ce Co No Imputables",$G125="M2 fijo"),$M125*(1+'Insumos - OPEX'!K$38),$M125*(1+'Insumos - OPEX'!K$29*'Insumos - OPEX'!K$39)*(1+'Insumos - OPEX'!K$38))</f>
        <v>0</v>
      </c>
      <c r="P125" s="211">
        <f>IF(OR($B125="Ce Co No Imputables",$G125="M2 fijo"),$M125*(1+'Insumos - OPEX'!L$38),$M125*(1+'Insumos - OPEX'!L$29*'Insumos - OPEX'!L$39)*(1+'Insumos - OPEX'!L$38))</f>
        <v>0</v>
      </c>
      <c r="Q125" s="211">
        <f>IF(OR($B125="Ce Co No Imputables",$G125="M2 fijo"),$M125*(1+'Insumos - OPEX'!M$38),$M125*(1+'Insumos - OPEX'!M$29*'Insumos - OPEX'!M$39)*(1+'Insumos - OPEX'!M$38))</f>
        <v>0</v>
      </c>
      <c r="R125" s="211">
        <f>IF(OR($B125="Ce Co No Imputables",$G125="M2 fijo"),$M125*(1+'Insumos - OPEX'!N$38),$M125*(1+'Insumos - OPEX'!N$29*'Insumos - OPEX'!N$39)*(1+'Insumos - OPEX'!N$38))</f>
        <v>0</v>
      </c>
      <c r="S125" s="111"/>
    </row>
    <row r="126" spans="1:21" x14ac:dyDescent="0.2">
      <c r="A126" s="8"/>
      <c r="B126" s="8" t="s">
        <v>301</v>
      </c>
      <c r="C126" s="8" t="s">
        <v>173</v>
      </c>
      <c r="D126" s="8">
        <v>6344000002</v>
      </c>
      <c r="E126" s="8" t="s">
        <v>409</v>
      </c>
      <c r="F126" s="89" t="s">
        <v>470</v>
      </c>
      <c r="G126" s="73" t="s">
        <v>136</v>
      </c>
      <c r="H126" s="112" t="s">
        <v>61</v>
      </c>
      <c r="I126" s="13" t="s">
        <v>436</v>
      </c>
      <c r="K126" s="186">
        <v>0</v>
      </c>
      <c r="L126" s="187"/>
      <c r="M126" s="214">
        <f>IF(OR(E126="Distribución Legal de la Renta",E126="Acopio carros portaequipajes"),0,IF(K126&lt;0,0,K126*(1+SUMIFS('Insumos - OPEX'!$G$82:$G$238,'Insumos - OPEX'!$B$82:$B$238,OPEX!D126))))</f>
        <v>0</v>
      </c>
      <c r="N126" s="211">
        <f>IF(OR($B126="Ce Co No Imputables",$G126="M2 fijo"),$M126*(1+'Insumos - OPEX'!J$38),$M126*(1+'Insumos - OPEX'!J$29*'Insumos - OPEX'!J$39)*(1+'Insumos - OPEX'!J$38))</f>
        <v>0</v>
      </c>
      <c r="O126" s="211">
        <f>IF(OR($B126="Ce Co No Imputables",$G126="M2 fijo"),$M126*(1+'Insumos - OPEX'!K$38),$M126*(1+'Insumos - OPEX'!K$29*'Insumos - OPEX'!K$39)*(1+'Insumos - OPEX'!K$38))</f>
        <v>0</v>
      </c>
      <c r="P126" s="211">
        <f>IF(OR($B126="Ce Co No Imputables",$G126="M2 fijo"),$M126*(1+'Insumos - OPEX'!L$38),$M126*(1+'Insumos - OPEX'!L$29*'Insumos - OPEX'!L$39)*(1+'Insumos - OPEX'!L$38))</f>
        <v>0</v>
      </c>
      <c r="Q126" s="211">
        <f>IF(OR($B126="Ce Co No Imputables",$G126="M2 fijo"),$M126*(1+'Insumos - OPEX'!M$38),$M126*(1+'Insumos - OPEX'!M$29*'Insumos - OPEX'!M$39)*(1+'Insumos - OPEX'!M$38))</f>
        <v>0</v>
      </c>
      <c r="R126" s="211">
        <f>IF(OR($B126="Ce Co No Imputables",$G126="M2 fijo"),$M126*(1+'Insumos - OPEX'!N$38),$M126*(1+'Insumos - OPEX'!N$29*'Insumos - OPEX'!N$39)*(1+'Insumos - OPEX'!N$38))</f>
        <v>0</v>
      </c>
      <c r="S126" s="111"/>
    </row>
    <row r="127" spans="1:21" x14ac:dyDescent="0.2">
      <c r="A127" s="8"/>
      <c r="B127" s="8" t="s">
        <v>301</v>
      </c>
      <c r="C127" s="8" t="s">
        <v>173</v>
      </c>
      <c r="D127" s="8">
        <v>6342000001</v>
      </c>
      <c r="E127" s="8" t="s">
        <v>410</v>
      </c>
      <c r="F127" s="89" t="s">
        <v>470</v>
      </c>
      <c r="G127" s="73" t="s">
        <v>136</v>
      </c>
      <c r="H127" s="112" t="s">
        <v>61</v>
      </c>
      <c r="I127" s="13" t="s">
        <v>436</v>
      </c>
      <c r="K127" s="186">
        <v>0</v>
      </c>
      <c r="L127" s="187"/>
      <c r="M127" s="214">
        <f>IF(OR(E127="Distribución Legal de la Renta",E127="Acopio carros portaequipajes"),0,IF(K127&lt;0,0,K127*(1+SUMIFS('Insumos - OPEX'!$G$82:$G$238,'Insumos - OPEX'!$B$82:$B$238,OPEX!D127))))</f>
        <v>0</v>
      </c>
      <c r="N127" s="211">
        <f>IF(OR($B127="Ce Co No Imputables",$G127="M2 fijo"),$M127*(1+'Insumos - OPEX'!J$38),$M127*(1+'Insumos - OPEX'!J$29*'Insumos - OPEX'!J$39)*(1+'Insumos - OPEX'!J$38))</f>
        <v>0</v>
      </c>
      <c r="O127" s="211">
        <f>IF(OR($B127="Ce Co No Imputables",$G127="M2 fijo"),$M127*(1+'Insumos - OPEX'!K$38),$M127*(1+'Insumos - OPEX'!K$29*'Insumos - OPEX'!K$39)*(1+'Insumos - OPEX'!K$38))</f>
        <v>0</v>
      </c>
      <c r="P127" s="211">
        <f>IF(OR($B127="Ce Co No Imputables",$G127="M2 fijo"),$M127*(1+'Insumos - OPEX'!L$38),$M127*(1+'Insumos - OPEX'!L$29*'Insumos - OPEX'!L$39)*(1+'Insumos - OPEX'!L$38))</f>
        <v>0</v>
      </c>
      <c r="Q127" s="211">
        <f>IF(OR($B127="Ce Co No Imputables",$G127="M2 fijo"),$M127*(1+'Insumos - OPEX'!M$38),$M127*(1+'Insumos - OPEX'!M$29*'Insumos - OPEX'!M$39)*(1+'Insumos - OPEX'!M$38))</f>
        <v>0</v>
      </c>
      <c r="R127" s="211">
        <f>IF(OR($B127="Ce Co No Imputables",$G127="M2 fijo"),$M127*(1+'Insumos - OPEX'!N$38),$M127*(1+'Insumos - OPEX'!N$29*'Insumos - OPEX'!N$39)*(1+'Insumos - OPEX'!N$38))</f>
        <v>0</v>
      </c>
      <c r="S127" s="111"/>
    </row>
    <row r="128" spans="1:21" x14ac:dyDescent="0.2">
      <c r="A128" s="8"/>
      <c r="B128" s="8" t="s">
        <v>301</v>
      </c>
      <c r="C128" s="8" t="s">
        <v>173</v>
      </c>
      <c r="D128" s="8">
        <v>6341100005</v>
      </c>
      <c r="E128" s="8" t="s">
        <v>411</v>
      </c>
      <c r="F128" s="89" t="s">
        <v>470</v>
      </c>
      <c r="G128" s="73" t="s">
        <v>136</v>
      </c>
      <c r="H128" s="112" t="s">
        <v>61</v>
      </c>
      <c r="I128" s="13" t="s">
        <v>436</v>
      </c>
      <c r="K128" s="186">
        <v>0</v>
      </c>
      <c r="L128" s="187"/>
      <c r="M128" s="214">
        <f>IF(OR(E128="Distribución Legal de la Renta",E128="Acopio carros portaequipajes"),0,IF(K128&lt;0,0,K128*(1+SUMIFS('Insumos - OPEX'!$G$82:$G$238,'Insumos - OPEX'!$B$82:$B$238,OPEX!D128))))</f>
        <v>0</v>
      </c>
      <c r="N128" s="211">
        <f>IF(OR($B128="Ce Co No Imputables",$G128="M2 fijo"),$M128*(1+'Insumos - OPEX'!J$38),$M128*(1+'Insumos - OPEX'!J$29*'Insumos - OPEX'!J$39)*(1+'Insumos - OPEX'!J$38))</f>
        <v>0</v>
      </c>
      <c r="O128" s="211">
        <f>IF(OR($B128="Ce Co No Imputables",$G128="M2 fijo"),$M128*(1+'Insumos - OPEX'!K$38),$M128*(1+'Insumos - OPEX'!K$29*'Insumos - OPEX'!K$39)*(1+'Insumos - OPEX'!K$38))</f>
        <v>0</v>
      </c>
      <c r="P128" s="211">
        <f>IF(OR($B128="Ce Co No Imputables",$G128="M2 fijo"),$M128*(1+'Insumos - OPEX'!L$38),$M128*(1+'Insumos - OPEX'!L$29*'Insumos - OPEX'!L$39)*(1+'Insumos - OPEX'!L$38))</f>
        <v>0</v>
      </c>
      <c r="Q128" s="211">
        <f>IF(OR($B128="Ce Co No Imputables",$G128="M2 fijo"),$M128*(1+'Insumos - OPEX'!M$38),$M128*(1+'Insumos - OPEX'!M$29*'Insumos - OPEX'!M$39)*(1+'Insumos - OPEX'!M$38))</f>
        <v>0</v>
      </c>
      <c r="R128" s="211">
        <f>IF(OR($B128="Ce Co No Imputables",$G128="M2 fijo"),$M128*(1+'Insumos - OPEX'!N$38),$M128*(1+'Insumos - OPEX'!N$29*'Insumos - OPEX'!N$39)*(1+'Insumos - OPEX'!N$38))</f>
        <v>0</v>
      </c>
      <c r="S128" s="111"/>
    </row>
    <row r="129" spans="1:21" x14ac:dyDescent="0.2">
      <c r="A129" s="8"/>
      <c r="B129" s="8" t="s">
        <v>301</v>
      </c>
      <c r="C129" s="8" t="s">
        <v>173</v>
      </c>
      <c r="D129" s="8">
        <v>6342000002</v>
      </c>
      <c r="E129" s="8" t="s">
        <v>412</v>
      </c>
      <c r="F129" s="89" t="s">
        <v>470</v>
      </c>
      <c r="G129" s="73" t="s">
        <v>136</v>
      </c>
      <c r="H129" s="112" t="s">
        <v>61</v>
      </c>
      <c r="I129" s="13" t="s">
        <v>436</v>
      </c>
      <c r="K129" s="186">
        <v>0</v>
      </c>
      <c r="L129" s="187"/>
      <c r="M129" s="214">
        <f>IF(OR(E129="Distribución Legal de la Renta",E129="Acopio carros portaequipajes"),0,IF(K129&lt;0,0,K129*(1+SUMIFS('Insumos - OPEX'!$G$82:$G$238,'Insumos - OPEX'!$B$82:$B$238,OPEX!D129))))</f>
        <v>0</v>
      </c>
      <c r="N129" s="211">
        <f>IF(OR($B129="Ce Co No Imputables",$G129="M2 fijo"),$M129*(1+'Insumos - OPEX'!J$38),$M129*(1+'Insumos - OPEX'!J$29*'Insumos - OPEX'!J$39)*(1+'Insumos - OPEX'!J$38))</f>
        <v>0</v>
      </c>
      <c r="O129" s="211">
        <f>IF(OR($B129="Ce Co No Imputables",$G129="M2 fijo"),$M129*(1+'Insumos - OPEX'!K$38),$M129*(1+'Insumos - OPEX'!K$29*'Insumos - OPEX'!K$39)*(1+'Insumos - OPEX'!K$38))</f>
        <v>0</v>
      </c>
      <c r="P129" s="211">
        <f>IF(OR($B129="Ce Co No Imputables",$G129="M2 fijo"),$M129*(1+'Insumos - OPEX'!L$38),$M129*(1+'Insumos - OPEX'!L$29*'Insumos - OPEX'!L$39)*(1+'Insumos - OPEX'!L$38))</f>
        <v>0</v>
      </c>
      <c r="Q129" s="211">
        <f>IF(OR($B129="Ce Co No Imputables",$G129="M2 fijo"),$M129*(1+'Insumos - OPEX'!M$38),$M129*(1+'Insumos - OPEX'!M$29*'Insumos - OPEX'!M$39)*(1+'Insumos - OPEX'!M$38))</f>
        <v>0</v>
      </c>
      <c r="R129" s="211">
        <f>IF(OR($B129="Ce Co No Imputables",$G129="M2 fijo"),$M129*(1+'Insumos - OPEX'!N$38),$M129*(1+'Insumos - OPEX'!N$29*'Insumos - OPEX'!N$39)*(1+'Insumos - OPEX'!N$38))</f>
        <v>0</v>
      </c>
      <c r="S129" s="111"/>
    </row>
    <row r="130" spans="1:21" x14ac:dyDescent="0.2">
      <c r="A130" s="8"/>
      <c r="B130" s="8" t="s">
        <v>301</v>
      </c>
      <c r="C130" s="8" t="s">
        <v>173</v>
      </c>
      <c r="D130" s="8">
        <v>6343100014</v>
      </c>
      <c r="E130" s="8" t="s">
        <v>413</v>
      </c>
      <c r="F130" s="89" t="s">
        <v>470</v>
      </c>
      <c r="G130" s="73" t="s">
        <v>136</v>
      </c>
      <c r="H130" s="112" t="s">
        <v>61</v>
      </c>
      <c r="I130" s="13" t="s">
        <v>436</v>
      </c>
      <c r="K130" s="186">
        <v>0</v>
      </c>
      <c r="L130" s="187"/>
      <c r="M130" s="214">
        <f>IF(OR(E130="Distribución Legal de la Renta",E130="Acopio carros portaequipajes"),0,IF(K130&lt;0,0,K130*(1+SUMIFS('Insumos - OPEX'!$G$82:$G$238,'Insumos - OPEX'!$B$82:$B$238,OPEX!D130))))</f>
        <v>0</v>
      </c>
      <c r="N130" s="211">
        <f>IF(OR($B130="Ce Co No Imputables",$G130="M2 fijo"),$M130*(1+'Insumos - OPEX'!J$38),$M130*(1+'Insumos - OPEX'!J$29*'Insumos - OPEX'!J$39)*(1+'Insumos - OPEX'!J$38))</f>
        <v>0</v>
      </c>
      <c r="O130" s="211">
        <f>IF(OR($B130="Ce Co No Imputables",$G130="M2 fijo"),$M130*(1+'Insumos - OPEX'!K$38),$M130*(1+'Insumos - OPEX'!K$29*'Insumos - OPEX'!K$39)*(1+'Insumos - OPEX'!K$38))</f>
        <v>0</v>
      </c>
      <c r="P130" s="211">
        <f>IF(OR($B130="Ce Co No Imputables",$G130="M2 fijo"),$M130*(1+'Insumos - OPEX'!L$38),$M130*(1+'Insumos - OPEX'!L$29*'Insumos - OPEX'!L$39)*(1+'Insumos - OPEX'!L$38))</f>
        <v>0</v>
      </c>
      <c r="Q130" s="211">
        <f>IF(OR($B130="Ce Co No Imputables",$G130="M2 fijo"),$M130*(1+'Insumos - OPEX'!M$38),$M130*(1+'Insumos - OPEX'!M$29*'Insumos - OPEX'!M$39)*(1+'Insumos - OPEX'!M$38))</f>
        <v>0</v>
      </c>
      <c r="R130" s="211">
        <f>IF(OR($B130="Ce Co No Imputables",$G130="M2 fijo"),$M130*(1+'Insumos - OPEX'!N$38),$M130*(1+'Insumos - OPEX'!N$29*'Insumos - OPEX'!N$39)*(1+'Insumos - OPEX'!N$38))</f>
        <v>0</v>
      </c>
      <c r="S130" s="111"/>
    </row>
    <row r="131" spans="1:21" s="3" customFormat="1" x14ac:dyDescent="0.2">
      <c r="A131" s="8"/>
      <c r="B131" s="8" t="s">
        <v>301</v>
      </c>
      <c r="C131" s="8" t="s">
        <v>173</v>
      </c>
      <c r="D131" s="8">
        <v>6341100007</v>
      </c>
      <c r="E131" s="8" t="s">
        <v>414</v>
      </c>
      <c r="F131" s="89" t="s">
        <v>470</v>
      </c>
      <c r="G131" s="73" t="s">
        <v>136</v>
      </c>
      <c r="H131" s="112" t="s">
        <v>61</v>
      </c>
      <c r="I131" s="13" t="s">
        <v>436</v>
      </c>
      <c r="J131" s="11"/>
      <c r="K131" s="186">
        <v>0</v>
      </c>
      <c r="L131" s="187"/>
      <c r="M131" s="214">
        <f>IF(OR(E131="Distribución Legal de la Renta",E131="Acopio carros portaequipajes"),0,IF(K131&lt;0,0,K131*(1+SUMIFS('Insumos - OPEX'!$G$82:$G$238,'Insumos - OPEX'!$B$82:$B$238,OPEX!D131))))</f>
        <v>0</v>
      </c>
      <c r="N131" s="211">
        <f>IF(OR($B131="Ce Co No Imputables",$G131="M2 fijo"),$M131*(1+'Insumos - OPEX'!J$38),$M131*(1+'Insumos - OPEX'!J$29*'Insumos - OPEX'!J$39)*(1+'Insumos - OPEX'!J$38))</f>
        <v>0</v>
      </c>
      <c r="O131" s="211">
        <f>IF(OR($B131="Ce Co No Imputables",$G131="M2 fijo"),$M131*(1+'Insumos - OPEX'!K$38),$M131*(1+'Insumos - OPEX'!K$29*'Insumos - OPEX'!K$39)*(1+'Insumos - OPEX'!K$38))</f>
        <v>0</v>
      </c>
      <c r="P131" s="211">
        <f>IF(OR($B131="Ce Co No Imputables",$G131="M2 fijo"),$M131*(1+'Insumos - OPEX'!L$38),$M131*(1+'Insumos - OPEX'!L$29*'Insumos - OPEX'!L$39)*(1+'Insumos - OPEX'!L$38))</f>
        <v>0</v>
      </c>
      <c r="Q131" s="211">
        <f>IF(OR($B131="Ce Co No Imputables",$G131="M2 fijo"),$M131*(1+'Insumos - OPEX'!M$38),$M131*(1+'Insumos - OPEX'!M$29*'Insumos - OPEX'!M$39)*(1+'Insumos - OPEX'!M$38))</f>
        <v>0</v>
      </c>
      <c r="R131" s="211">
        <f>IF(OR($B131="Ce Co No Imputables",$G131="M2 fijo"),$M131*(1+'Insumos - OPEX'!N$38),$M131*(1+'Insumos - OPEX'!N$29*'Insumos - OPEX'!N$39)*(1+'Insumos - OPEX'!N$38))</f>
        <v>0</v>
      </c>
      <c r="S131" s="111"/>
      <c r="U131" s="1"/>
    </row>
    <row r="132" spans="1:21" x14ac:dyDescent="0.2">
      <c r="A132" s="8"/>
      <c r="B132" s="8" t="s">
        <v>301</v>
      </c>
      <c r="C132" s="8" t="s">
        <v>173</v>
      </c>
      <c r="D132" s="8">
        <v>6343100016</v>
      </c>
      <c r="E132" s="8" t="s">
        <v>415</v>
      </c>
      <c r="F132" s="89" t="s">
        <v>470</v>
      </c>
      <c r="G132" s="73" t="s">
        <v>136</v>
      </c>
      <c r="H132" s="112" t="s">
        <v>61</v>
      </c>
      <c r="I132" s="13" t="s">
        <v>436</v>
      </c>
      <c r="K132" s="186">
        <v>0</v>
      </c>
      <c r="L132" s="187"/>
      <c r="M132" s="214">
        <f>IF(OR(E132="Distribución Legal de la Renta",E132="Acopio carros portaequipajes"),0,IF(K132&lt;0,0,K132*(1+SUMIFS('Insumos - OPEX'!$G$82:$G$238,'Insumos - OPEX'!$B$82:$B$238,OPEX!D132))))</f>
        <v>0</v>
      </c>
      <c r="N132" s="211">
        <f>IF(OR($B132="Ce Co No Imputables",$G132="M2 fijo"),$M132*(1+'Insumos - OPEX'!J$38),$M132*(1+'Insumos - OPEX'!J$29*'Insumos - OPEX'!J$39)*(1+'Insumos - OPEX'!J$38))</f>
        <v>0</v>
      </c>
      <c r="O132" s="211">
        <f>IF(OR($B132="Ce Co No Imputables",$G132="M2 fijo"),$M132*(1+'Insumos - OPEX'!K$38),$M132*(1+'Insumos - OPEX'!K$29*'Insumos - OPEX'!K$39)*(1+'Insumos - OPEX'!K$38))</f>
        <v>0</v>
      </c>
      <c r="P132" s="211">
        <f>IF(OR($B132="Ce Co No Imputables",$G132="M2 fijo"),$M132*(1+'Insumos - OPEX'!L$38),$M132*(1+'Insumos - OPEX'!L$29*'Insumos - OPEX'!L$39)*(1+'Insumos - OPEX'!L$38))</f>
        <v>0</v>
      </c>
      <c r="Q132" s="211">
        <f>IF(OR($B132="Ce Co No Imputables",$G132="M2 fijo"),$M132*(1+'Insumos - OPEX'!M$38),$M132*(1+'Insumos - OPEX'!M$29*'Insumos - OPEX'!M$39)*(1+'Insumos - OPEX'!M$38))</f>
        <v>0</v>
      </c>
      <c r="R132" s="211">
        <f>IF(OR($B132="Ce Co No Imputables",$G132="M2 fijo"),$M132*(1+'Insumos - OPEX'!N$38),$M132*(1+'Insumos - OPEX'!N$29*'Insumos - OPEX'!N$39)*(1+'Insumos - OPEX'!N$38))</f>
        <v>0</v>
      </c>
      <c r="S132" s="111"/>
    </row>
    <row r="133" spans="1:21" x14ac:dyDescent="0.2">
      <c r="A133" s="8"/>
      <c r="B133" s="8" t="s">
        <v>301</v>
      </c>
      <c r="C133" s="8" t="s">
        <v>173</v>
      </c>
      <c r="D133" s="8">
        <v>6341100008</v>
      </c>
      <c r="E133" s="8" t="s">
        <v>416</v>
      </c>
      <c r="F133" s="89" t="s">
        <v>470</v>
      </c>
      <c r="G133" s="73" t="s">
        <v>136</v>
      </c>
      <c r="H133" s="112" t="s">
        <v>61</v>
      </c>
      <c r="I133" s="13" t="s">
        <v>436</v>
      </c>
      <c r="J133" s="40"/>
      <c r="K133" s="186">
        <v>0</v>
      </c>
      <c r="L133" s="187"/>
      <c r="M133" s="214">
        <f>IF(OR(E133="Distribución Legal de la Renta",E133="Acopio carros portaequipajes"),0,IF(K133&lt;0,0,K133*(1+SUMIFS('Insumos - OPEX'!$G$82:$G$238,'Insumos - OPEX'!$B$82:$B$238,OPEX!D133))))</f>
        <v>0</v>
      </c>
      <c r="N133" s="211">
        <f>IF(OR($B133="Ce Co No Imputables",$G133="M2 fijo"),$M133*(1+'Insumos - OPEX'!J$38),$M133*(1+'Insumos - OPEX'!J$29*'Insumos - OPEX'!J$39)*(1+'Insumos - OPEX'!J$38))</f>
        <v>0</v>
      </c>
      <c r="O133" s="211">
        <f>IF(OR($B133="Ce Co No Imputables",$G133="M2 fijo"),$M133*(1+'Insumos - OPEX'!K$38),$M133*(1+'Insumos - OPEX'!K$29*'Insumos - OPEX'!K$39)*(1+'Insumos - OPEX'!K$38))</f>
        <v>0</v>
      </c>
      <c r="P133" s="211">
        <f>IF(OR($B133="Ce Co No Imputables",$G133="M2 fijo"),$M133*(1+'Insumos - OPEX'!L$38),$M133*(1+'Insumos - OPEX'!L$29*'Insumos - OPEX'!L$39)*(1+'Insumos - OPEX'!L$38))</f>
        <v>0</v>
      </c>
      <c r="Q133" s="211">
        <f>IF(OR($B133="Ce Co No Imputables",$G133="M2 fijo"),$M133*(1+'Insumos - OPEX'!M$38),$M133*(1+'Insumos - OPEX'!M$29*'Insumos - OPEX'!M$39)*(1+'Insumos - OPEX'!M$38))</f>
        <v>0</v>
      </c>
      <c r="R133" s="211">
        <f>IF(OR($B133="Ce Co No Imputables",$G133="M2 fijo"),$M133*(1+'Insumos - OPEX'!N$38),$M133*(1+'Insumos - OPEX'!N$29*'Insumos - OPEX'!N$39)*(1+'Insumos - OPEX'!N$38))</f>
        <v>0</v>
      </c>
      <c r="S133" s="111"/>
    </row>
    <row r="134" spans="1:21" x14ac:dyDescent="0.2">
      <c r="A134" s="8"/>
      <c r="B134" s="8" t="s">
        <v>301</v>
      </c>
      <c r="C134" s="8" t="s">
        <v>173</v>
      </c>
      <c r="D134" s="8">
        <v>6344000001</v>
      </c>
      <c r="E134" s="8" t="s">
        <v>417</v>
      </c>
      <c r="F134" s="89" t="s">
        <v>470</v>
      </c>
      <c r="G134" s="73" t="s">
        <v>136</v>
      </c>
      <c r="H134" s="112" t="s">
        <v>61</v>
      </c>
      <c r="I134" s="13" t="s">
        <v>436</v>
      </c>
      <c r="K134" s="186">
        <v>0</v>
      </c>
      <c r="L134" s="187"/>
      <c r="M134" s="214">
        <f>IF(OR(E134="Distribución Legal de la Renta",E134="Acopio carros portaequipajes"),0,IF(K134&lt;0,0,K134*(1+SUMIFS('Insumos - OPEX'!$G$82:$G$238,'Insumos - OPEX'!$B$82:$B$238,OPEX!D134))))</f>
        <v>0</v>
      </c>
      <c r="N134" s="211">
        <f>IF(OR($B134="Ce Co No Imputables",$G134="M2 fijo"),$M134*(1+'Insumos - OPEX'!J$38),$M134*(1+'Insumos - OPEX'!J$29*'Insumos - OPEX'!J$39)*(1+'Insumos - OPEX'!J$38))</f>
        <v>0</v>
      </c>
      <c r="O134" s="211">
        <f>IF(OR($B134="Ce Co No Imputables",$G134="M2 fijo"),$M134*(1+'Insumos - OPEX'!K$38),$M134*(1+'Insumos - OPEX'!K$29*'Insumos - OPEX'!K$39)*(1+'Insumos - OPEX'!K$38))</f>
        <v>0</v>
      </c>
      <c r="P134" s="211">
        <f>IF(OR($B134="Ce Co No Imputables",$G134="M2 fijo"),$M134*(1+'Insumos - OPEX'!L$38),$M134*(1+'Insumos - OPEX'!L$29*'Insumos - OPEX'!L$39)*(1+'Insumos - OPEX'!L$38))</f>
        <v>0</v>
      </c>
      <c r="Q134" s="211">
        <f>IF(OR($B134="Ce Co No Imputables",$G134="M2 fijo"),$M134*(1+'Insumos - OPEX'!M$38),$M134*(1+'Insumos - OPEX'!M$29*'Insumos - OPEX'!M$39)*(1+'Insumos - OPEX'!M$38))</f>
        <v>0</v>
      </c>
      <c r="R134" s="211">
        <f>IF(OR($B134="Ce Co No Imputables",$G134="M2 fijo"),$M134*(1+'Insumos - OPEX'!N$38),$M134*(1+'Insumos - OPEX'!N$29*'Insumos - OPEX'!N$39)*(1+'Insumos - OPEX'!N$38))</f>
        <v>0</v>
      </c>
      <c r="S134" s="111"/>
    </row>
    <row r="135" spans="1:21" x14ac:dyDescent="0.2">
      <c r="A135" s="8"/>
      <c r="B135" s="8" t="s">
        <v>301</v>
      </c>
      <c r="C135" s="8" t="s">
        <v>173</v>
      </c>
      <c r="D135" s="8">
        <v>6343100009</v>
      </c>
      <c r="E135" s="8" t="s">
        <v>418</v>
      </c>
      <c r="F135" s="89" t="s">
        <v>470</v>
      </c>
      <c r="G135" s="73" t="s">
        <v>136</v>
      </c>
      <c r="H135" s="112" t="s">
        <v>61</v>
      </c>
      <c r="I135" s="13" t="s">
        <v>436</v>
      </c>
      <c r="K135" s="186">
        <v>0</v>
      </c>
      <c r="L135" s="187"/>
      <c r="M135" s="214">
        <f>IF(OR(E135="Distribución Legal de la Renta",E135="Acopio carros portaequipajes"),0,IF(K135&lt;0,0,K135*(1+SUMIFS('Insumos - OPEX'!$G$82:$G$238,'Insumos - OPEX'!$B$82:$B$238,OPEX!D135))))</f>
        <v>0</v>
      </c>
      <c r="N135" s="211">
        <f>IF(OR($B135="Ce Co No Imputables",$G135="M2 fijo"),$M135*(1+'Insumos - OPEX'!J$38),$M135*(1+'Insumos - OPEX'!J$29*'Insumos - OPEX'!J$39)*(1+'Insumos - OPEX'!J$38))</f>
        <v>0</v>
      </c>
      <c r="O135" s="211">
        <f>IF(OR($B135="Ce Co No Imputables",$G135="M2 fijo"),$M135*(1+'Insumos - OPEX'!K$38),$M135*(1+'Insumos - OPEX'!K$29*'Insumos - OPEX'!K$39)*(1+'Insumos - OPEX'!K$38))</f>
        <v>0</v>
      </c>
      <c r="P135" s="211">
        <f>IF(OR($B135="Ce Co No Imputables",$G135="M2 fijo"),$M135*(1+'Insumos - OPEX'!L$38),$M135*(1+'Insumos - OPEX'!L$29*'Insumos - OPEX'!L$39)*(1+'Insumos - OPEX'!L$38))</f>
        <v>0</v>
      </c>
      <c r="Q135" s="211">
        <f>IF(OR($B135="Ce Co No Imputables",$G135="M2 fijo"),$M135*(1+'Insumos - OPEX'!M$38),$M135*(1+'Insumos - OPEX'!M$29*'Insumos - OPEX'!M$39)*(1+'Insumos - OPEX'!M$38))</f>
        <v>0</v>
      </c>
      <c r="R135" s="211">
        <f>IF(OR($B135="Ce Co No Imputables",$G135="M2 fijo"),$M135*(1+'Insumos - OPEX'!N$38),$M135*(1+'Insumos - OPEX'!N$29*'Insumos - OPEX'!N$39)*(1+'Insumos - OPEX'!N$38))</f>
        <v>0</v>
      </c>
      <c r="S135" s="111"/>
    </row>
    <row r="136" spans="1:21" x14ac:dyDescent="0.2">
      <c r="A136" s="8"/>
      <c r="B136" s="8" t="s">
        <v>301</v>
      </c>
      <c r="C136" s="8" t="s">
        <v>173</v>
      </c>
      <c r="D136" s="8">
        <v>6344000003</v>
      </c>
      <c r="E136" s="8" t="s">
        <v>419</v>
      </c>
      <c r="F136" s="89" t="s">
        <v>470</v>
      </c>
      <c r="G136" s="73" t="s">
        <v>136</v>
      </c>
      <c r="H136" s="112" t="s">
        <v>61</v>
      </c>
      <c r="I136" s="13" t="s">
        <v>436</v>
      </c>
      <c r="K136" s="186">
        <v>0</v>
      </c>
      <c r="L136" s="187"/>
      <c r="M136" s="214">
        <f>IF(OR(E136="Distribución Legal de la Renta",E136="Acopio carros portaequipajes"),0,IF(K136&lt;0,0,K136*(1+SUMIFS('Insumos - OPEX'!$G$82:$G$238,'Insumos - OPEX'!$B$82:$B$238,OPEX!D136))))</f>
        <v>0</v>
      </c>
      <c r="N136" s="211">
        <f>IF(OR($B136="Ce Co No Imputables",$G136="M2 fijo"),$M136*(1+'Insumos - OPEX'!J$38),$M136*(1+'Insumos - OPEX'!J$29*'Insumos - OPEX'!J$39)*(1+'Insumos - OPEX'!J$38))</f>
        <v>0</v>
      </c>
      <c r="O136" s="211">
        <f>IF(OR($B136="Ce Co No Imputables",$G136="M2 fijo"),$M136*(1+'Insumos - OPEX'!K$38),$M136*(1+'Insumos - OPEX'!K$29*'Insumos - OPEX'!K$39)*(1+'Insumos - OPEX'!K$38))</f>
        <v>0</v>
      </c>
      <c r="P136" s="211">
        <f>IF(OR($B136="Ce Co No Imputables",$G136="M2 fijo"),$M136*(1+'Insumos - OPEX'!L$38),$M136*(1+'Insumos - OPEX'!L$29*'Insumos - OPEX'!L$39)*(1+'Insumos - OPEX'!L$38))</f>
        <v>0</v>
      </c>
      <c r="Q136" s="211">
        <f>IF(OR($B136="Ce Co No Imputables",$G136="M2 fijo"),$M136*(1+'Insumos - OPEX'!M$38),$M136*(1+'Insumos - OPEX'!M$29*'Insumos - OPEX'!M$39)*(1+'Insumos - OPEX'!M$38))</f>
        <v>0</v>
      </c>
      <c r="R136" s="211">
        <f>IF(OR($B136="Ce Co No Imputables",$G136="M2 fijo"),$M136*(1+'Insumos - OPEX'!N$38),$M136*(1+'Insumos - OPEX'!N$29*'Insumos - OPEX'!N$39)*(1+'Insumos - OPEX'!N$38))</f>
        <v>0</v>
      </c>
      <c r="S136" s="111"/>
    </row>
    <row r="137" spans="1:21" x14ac:dyDescent="0.2">
      <c r="A137" s="8"/>
      <c r="B137" s="8" t="s">
        <v>301</v>
      </c>
      <c r="C137" s="8" t="s">
        <v>173</v>
      </c>
      <c r="D137" s="8">
        <v>6343100010</v>
      </c>
      <c r="E137" s="8" t="s">
        <v>420</v>
      </c>
      <c r="F137" s="89" t="s">
        <v>470</v>
      </c>
      <c r="G137" s="73" t="s">
        <v>136</v>
      </c>
      <c r="H137" s="112" t="s">
        <v>61</v>
      </c>
      <c r="I137" s="13" t="s">
        <v>436</v>
      </c>
      <c r="K137" s="186">
        <v>0</v>
      </c>
      <c r="L137" s="187"/>
      <c r="M137" s="214">
        <f>IF(OR(E137="Distribución Legal de la Renta",E137="Acopio carros portaequipajes"),0,IF(K137&lt;0,0,K137*(1+SUMIFS('Insumos - OPEX'!$G$82:$G$238,'Insumos - OPEX'!$B$82:$B$238,OPEX!D137))))</f>
        <v>0</v>
      </c>
      <c r="N137" s="211">
        <f>IF(OR($B137="Ce Co No Imputables",$G137="M2 fijo"),$M137*(1+'Insumos - OPEX'!J$38),$M137*(1+'Insumos - OPEX'!J$29*'Insumos - OPEX'!J$39)*(1+'Insumos - OPEX'!J$38))</f>
        <v>0</v>
      </c>
      <c r="O137" s="211">
        <f>IF(OR($B137="Ce Co No Imputables",$G137="M2 fijo"),$M137*(1+'Insumos - OPEX'!K$38),$M137*(1+'Insumos - OPEX'!K$29*'Insumos - OPEX'!K$39)*(1+'Insumos - OPEX'!K$38))</f>
        <v>0</v>
      </c>
      <c r="P137" s="211">
        <f>IF(OR($B137="Ce Co No Imputables",$G137="M2 fijo"),$M137*(1+'Insumos - OPEX'!L$38),$M137*(1+'Insumos - OPEX'!L$29*'Insumos - OPEX'!L$39)*(1+'Insumos - OPEX'!L$38))</f>
        <v>0</v>
      </c>
      <c r="Q137" s="211">
        <f>IF(OR($B137="Ce Co No Imputables",$G137="M2 fijo"),$M137*(1+'Insumos - OPEX'!M$38),$M137*(1+'Insumos - OPEX'!M$29*'Insumos - OPEX'!M$39)*(1+'Insumos - OPEX'!M$38))</f>
        <v>0</v>
      </c>
      <c r="R137" s="211">
        <f>IF(OR($B137="Ce Co No Imputables",$G137="M2 fijo"),$M137*(1+'Insumos - OPEX'!N$38),$M137*(1+'Insumos - OPEX'!N$29*'Insumos - OPEX'!N$39)*(1+'Insumos - OPEX'!N$38))</f>
        <v>0</v>
      </c>
      <c r="S137" s="111"/>
    </row>
    <row r="138" spans="1:21" x14ac:dyDescent="0.2">
      <c r="A138" s="8"/>
      <c r="B138" s="8" t="s">
        <v>301</v>
      </c>
      <c r="C138" s="8" t="s">
        <v>173</v>
      </c>
      <c r="D138" s="8">
        <v>6346000001</v>
      </c>
      <c r="E138" s="8" t="s">
        <v>421</v>
      </c>
      <c r="F138" s="89" t="s">
        <v>470</v>
      </c>
      <c r="G138" s="73" t="s">
        <v>136</v>
      </c>
      <c r="H138" s="112" t="s">
        <v>61</v>
      </c>
      <c r="I138" s="13" t="s">
        <v>436</v>
      </c>
      <c r="J138" s="11"/>
      <c r="K138" s="186">
        <v>0</v>
      </c>
      <c r="L138" s="187"/>
      <c r="M138" s="214">
        <f>IF(OR(E138="Distribución Legal de la Renta",E138="Acopio carros portaequipajes"),0,IF(K138&lt;0,0,K138*(1+SUMIFS('Insumos - OPEX'!$G$82:$G$238,'Insumos - OPEX'!$B$82:$B$238,OPEX!D138))))</f>
        <v>0</v>
      </c>
      <c r="N138" s="211">
        <f>IF(OR($B138="Ce Co No Imputables",$G138="M2 fijo"),$M138*(1+'Insumos - OPEX'!J$38),$M138*(1+'Insumos - OPEX'!J$29*'Insumos - OPEX'!J$39)*(1+'Insumos - OPEX'!J$38))</f>
        <v>0</v>
      </c>
      <c r="O138" s="211">
        <f>IF(OR($B138="Ce Co No Imputables",$G138="M2 fijo"),$M138*(1+'Insumos - OPEX'!K$38),$M138*(1+'Insumos - OPEX'!K$29*'Insumos - OPEX'!K$39)*(1+'Insumos - OPEX'!K$38))</f>
        <v>0</v>
      </c>
      <c r="P138" s="211">
        <f>IF(OR($B138="Ce Co No Imputables",$G138="M2 fijo"),$M138*(1+'Insumos - OPEX'!L$38),$M138*(1+'Insumos - OPEX'!L$29*'Insumos - OPEX'!L$39)*(1+'Insumos - OPEX'!L$38))</f>
        <v>0</v>
      </c>
      <c r="Q138" s="211">
        <f>IF(OR($B138="Ce Co No Imputables",$G138="M2 fijo"),$M138*(1+'Insumos - OPEX'!M$38),$M138*(1+'Insumos - OPEX'!M$29*'Insumos - OPEX'!M$39)*(1+'Insumos - OPEX'!M$38))</f>
        <v>0</v>
      </c>
      <c r="R138" s="211">
        <f>IF(OR($B138="Ce Co No Imputables",$G138="M2 fijo"),$M138*(1+'Insumos - OPEX'!N$38),$M138*(1+'Insumos - OPEX'!N$29*'Insumos - OPEX'!N$39)*(1+'Insumos - OPEX'!N$38))</f>
        <v>0</v>
      </c>
      <c r="S138" s="111"/>
    </row>
    <row r="139" spans="1:21" x14ac:dyDescent="0.2">
      <c r="A139" s="8"/>
      <c r="B139" s="8" t="s">
        <v>301</v>
      </c>
      <c r="C139" s="8" t="s">
        <v>173</v>
      </c>
      <c r="D139" s="8">
        <v>6343100011</v>
      </c>
      <c r="E139" s="8" t="s">
        <v>422</v>
      </c>
      <c r="F139" s="89" t="s">
        <v>470</v>
      </c>
      <c r="G139" s="73" t="s">
        <v>136</v>
      </c>
      <c r="H139" s="112" t="s">
        <v>61</v>
      </c>
      <c r="I139" s="13" t="s">
        <v>436</v>
      </c>
      <c r="K139" s="186">
        <v>0</v>
      </c>
      <c r="L139" s="187"/>
      <c r="M139" s="214">
        <f>IF(OR(E139="Distribución Legal de la Renta",E139="Acopio carros portaequipajes"),0,IF(K139&lt;0,0,K139*(1+SUMIFS('Insumos - OPEX'!$G$82:$G$238,'Insumos - OPEX'!$B$82:$B$238,OPEX!D139))))</f>
        <v>0</v>
      </c>
      <c r="N139" s="211">
        <f>IF(OR($B139="Ce Co No Imputables",$G139="M2 fijo"),$M139*(1+'Insumos - OPEX'!J$38),$M139*(1+'Insumos - OPEX'!J$29*'Insumos - OPEX'!J$39)*(1+'Insumos - OPEX'!J$38))</f>
        <v>0</v>
      </c>
      <c r="O139" s="211">
        <f>IF(OR($B139="Ce Co No Imputables",$G139="M2 fijo"),$M139*(1+'Insumos - OPEX'!K$38),$M139*(1+'Insumos - OPEX'!K$29*'Insumos - OPEX'!K$39)*(1+'Insumos - OPEX'!K$38))</f>
        <v>0</v>
      </c>
      <c r="P139" s="211">
        <f>IF(OR($B139="Ce Co No Imputables",$G139="M2 fijo"),$M139*(1+'Insumos - OPEX'!L$38),$M139*(1+'Insumos - OPEX'!L$29*'Insumos - OPEX'!L$39)*(1+'Insumos - OPEX'!L$38))</f>
        <v>0</v>
      </c>
      <c r="Q139" s="211">
        <f>IF(OR($B139="Ce Co No Imputables",$G139="M2 fijo"),$M139*(1+'Insumos - OPEX'!M$38),$M139*(1+'Insumos - OPEX'!M$29*'Insumos - OPEX'!M$39)*(1+'Insumos - OPEX'!M$38))</f>
        <v>0</v>
      </c>
      <c r="R139" s="211">
        <f>IF(OR($B139="Ce Co No Imputables",$G139="M2 fijo"),$M139*(1+'Insumos - OPEX'!N$38),$M139*(1+'Insumos - OPEX'!N$29*'Insumos - OPEX'!N$39)*(1+'Insumos - OPEX'!N$38))</f>
        <v>0</v>
      </c>
      <c r="S139" s="111"/>
    </row>
    <row r="140" spans="1:21" x14ac:dyDescent="0.2">
      <c r="A140" s="8"/>
      <c r="B140" s="8" t="s">
        <v>301</v>
      </c>
      <c r="C140" s="8" t="s">
        <v>173</v>
      </c>
      <c r="D140" s="8">
        <v>6343100012</v>
      </c>
      <c r="E140" s="8" t="s">
        <v>423</v>
      </c>
      <c r="F140" s="89" t="s">
        <v>470</v>
      </c>
      <c r="G140" s="73" t="s">
        <v>136</v>
      </c>
      <c r="H140" s="112" t="s">
        <v>61</v>
      </c>
      <c r="I140" s="13" t="s">
        <v>436</v>
      </c>
      <c r="K140" s="186">
        <v>0</v>
      </c>
      <c r="L140" s="187"/>
      <c r="M140" s="214">
        <f>IF(OR(E140="Distribución Legal de la Renta",E140="Acopio carros portaequipajes"),0,IF(K140&lt;0,0,K140*(1+SUMIFS('Insumos - OPEX'!$G$82:$G$238,'Insumos - OPEX'!$B$82:$B$238,OPEX!D140))))</f>
        <v>0</v>
      </c>
      <c r="N140" s="211">
        <f>IF(OR($B140="Ce Co No Imputables",$G140="M2 fijo"),$M140*(1+'Insumos - OPEX'!J$38),$M140*(1+'Insumos - OPEX'!J$29*'Insumos - OPEX'!J$39)*(1+'Insumos - OPEX'!J$38))</f>
        <v>0</v>
      </c>
      <c r="O140" s="211">
        <f>IF(OR($B140="Ce Co No Imputables",$G140="M2 fijo"),$M140*(1+'Insumos - OPEX'!K$38),$M140*(1+'Insumos - OPEX'!K$29*'Insumos - OPEX'!K$39)*(1+'Insumos - OPEX'!K$38))</f>
        <v>0</v>
      </c>
      <c r="P140" s="211">
        <f>IF(OR($B140="Ce Co No Imputables",$G140="M2 fijo"),$M140*(1+'Insumos - OPEX'!L$38),$M140*(1+'Insumos - OPEX'!L$29*'Insumos - OPEX'!L$39)*(1+'Insumos - OPEX'!L$38))</f>
        <v>0</v>
      </c>
      <c r="Q140" s="211">
        <f>IF(OR($B140="Ce Co No Imputables",$G140="M2 fijo"),$M140*(1+'Insumos - OPEX'!M$38),$M140*(1+'Insumos - OPEX'!M$29*'Insumos - OPEX'!M$39)*(1+'Insumos - OPEX'!M$38))</f>
        <v>0</v>
      </c>
      <c r="R140" s="211">
        <f>IF(OR($B140="Ce Co No Imputables",$G140="M2 fijo"),$M140*(1+'Insumos - OPEX'!N$38),$M140*(1+'Insumos - OPEX'!N$29*'Insumos - OPEX'!N$39)*(1+'Insumos - OPEX'!N$38))</f>
        <v>0</v>
      </c>
      <c r="S140" s="111"/>
    </row>
    <row r="141" spans="1:21" x14ac:dyDescent="0.2">
      <c r="A141" s="8"/>
      <c r="B141" s="8" t="s">
        <v>301</v>
      </c>
      <c r="C141" s="8" t="s">
        <v>173</v>
      </c>
      <c r="D141" s="8">
        <v>6343100005</v>
      </c>
      <c r="E141" s="8" t="s">
        <v>424</v>
      </c>
      <c r="F141" s="89" t="s">
        <v>470</v>
      </c>
      <c r="G141" s="73" t="s">
        <v>136</v>
      </c>
      <c r="H141" s="112" t="s">
        <v>61</v>
      </c>
      <c r="I141" s="13" t="s">
        <v>436</v>
      </c>
      <c r="K141" s="186">
        <v>0</v>
      </c>
      <c r="L141" s="187"/>
      <c r="M141" s="214">
        <f>IF(OR(E141="Distribución Legal de la Renta",E141="Acopio carros portaequipajes"),0,IF(K141&lt;0,0,K141*(1+SUMIFS('Insumos - OPEX'!$G$82:$G$238,'Insumos - OPEX'!$B$82:$B$238,OPEX!D141))))</f>
        <v>0</v>
      </c>
      <c r="N141" s="211">
        <f>IF(OR($B141="Ce Co No Imputables",$G141="M2 fijo"),$M141*(1+'Insumos - OPEX'!J$38),$M141*(1+'Insumos - OPEX'!J$29*'Insumos - OPEX'!J$39)*(1+'Insumos - OPEX'!J$38))</f>
        <v>0</v>
      </c>
      <c r="O141" s="211">
        <f>IF(OR($B141="Ce Co No Imputables",$G141="M2 fijo"),$M141*(1+'Insumos - OPEX'!K$38),$M141*(1+'Insumos - OPEX'!K$29*'Insumos - OPEX'!K$39)*(1+'Insumos - OPEX'!K$38))</f>
        <v>0</v>
      </c>
      <c r="P141" s="211">
        <f>IF(OR($B141="Ce Co No Imputables",$G141="M2 fijo"),$M141*(1+'Insumos - OPEX'!L$38),$M141*(1+'Insumos - OPEX'!L$29*'Insumos - OPEX'!L$39)*(1+'Insumos - OPEX'!L$38))</f>
        <v>0</v>
      </c>
      <c r="Q141" s="211">
        <f>IF(OR($B141="Ce Co No Imputables",$G141="M2 fijo"),$M141*(1+'Insumos - OPEX'!M$38),$M141*(1+'Insumos - OPEX'!M$29*'Insumos - OPEX'!M$39)*(1+'Insumos - OPEX'!M$38))</f>
        <v>0</v>
      </c>
      <c r="R141" s="211">
        <f>IF(OR($B141="Ce Co No Imputables",$G141="M2 fijo"),$M141*(1+'Insumos - OPEX'!N$38),$M141*(1+'Insumos - OPEX'!N$29*'Insumos - OPEX'!N$39)*(1+'Insumos - OPEX'!N$38))</f>
        <v>0</v>
      </c>
      <c r="S141" s="111"/>
    </row>
    <row r="142" spans="1:21" x14ac:dyDescent="0.2">
      <c r="A142" s="8"/>
      <c r="B142" s="8" t="s">
        <v>301</v>
      </c>
      <c r="C142" s="8" t="s">
        <v>173</v>
      </c>
      <c r="D142" s="8">
        <v>6343100006</v>
      </c>
      <c r="E142" s="8" t="s">
        <v>425</v>
      </c>
      <c r="F142" s="89" t="s">
        <v>470</v>
      </c>
      <c r="G142" s="73" t="s">
        <v>136</v>
      </c>
      <c r="H142" s="112" t="s">
        <v>61</v>
      </c>
      <c r="I142" s="13" t="s">
        <v>436</v>
      </c>
      <c r="J142" s="52"/>
      <c r="K142" s="186">
        <v>0</v>
      </c>
      <c r="L142" s="187"/>
      <c r="M142" s="214">
        <f>IF(OR(E142="Distribución Legal de la Renta",E142="Acopio carros portaequipajes"),0,IF(K142&lt;0,0,K142*(1+SUMIFS('Insumos - OPEX'!$G$82:$G$238,'Insumos - OPEX'!$B$82:$B$238,OPEX!D142))))</f>
        <v>0</v>
      </c>
      <c r="N142" s="211">
        <f>IF(OR($B142="Ce Co No Imputables",$G142="M2 fijo"),$M142*(1+'Insumos - OPEX'!J$38),$M142*(1+'Insumos - OPEX'!J$29*'Insumos - OPEX'!J$39)*(1+'Insumos - OPEX'!J$38))</f>
        <v>0</v>
      </c>
      <c r="O142" s="211">
        <f>IF(OR($B142="Ce Co No Imputables",$G142="M2 fijo"),$M142*(1+'Insumos - OPEX'!K$38),$M142*(1+'Insumos - OPEX'!K$29*'Insumos - OPEX'!K$39)*(1+'Insumos - OPEX'!K$38))</f>
        <v>0</v>
      </c>
      <c r="P142" s="211">
        <f>IF(OR($B142="Ce Co No Imputables",$G142="M2 fijo"),$M142*(1+'Insumos - OPEX'!L$38),$M142*(1+'Insumos - OPEX'!L$29*'Insumos - OPEX'!L$39)*(1+'Insumos - OPEX'!L$38))</f>
        <v>0</v>
      </c>
      <c r="Q142" s="211">
        <f>IF(OR($B142="Ce Co No Imputables",$G142="M2 fijo"),$M142*(1+'Insumos - OPEX'!M$38),$M142*(1+'Insumos - OPEX'!M$29*'Insumos - OPEX'!M$39)*(1+'Insumos - OPEX'!M$38))</f>
        <v>0</v>
      </c>
      <c r="R142" s="211">
        <f>IF(OR($B142="Ce Co No Imputables",$G142="M2 fijo"),$M142*(1+'Insumos - OPEX'!N$38),$M142*(1+'Insumos - OPEX'!N$29*'Insumos - OPEX'!N$39)*(1+'Insumos - OPEX'!N$38))</f>
        <v>0</v>
      </c>
      <c r="S142" s="111"/>
    </row>
    <row r="143" spans="1:21" x14ac:dyDescent="0.2">
      <c r="A143" s="8"/>
      <c r="B143" s="8" t="s">
        <v>301</v>
      </c>
      <c r="C143" s="8" t="s">
        <v>170</v>
      </c>
      <c r="D143" s="8">
        <v>6211000001</v>
      </c>
      <c r="E143" s="8" t="s">
        <v>253</v>
      </c>
      <c r="F143" s="89" t="s">
        <v>469</v>
      </c>
      <c r="G143" s="73" t="s">
        <v>136</v>
      </c>
      <c r="H143" s="112" t="s">
        <v>61</v>
      </c>
      <c r="I143" s="13" t="s">
        <v>436</v>
      </c>
      <c r="K143" s="186">
        <v>373681.5633588424</v>
      </c>
      <c r="L143" s="187"/>
      <c r="M143" s="214">
        <f>IF(OR(E143="Distribución Legal de la Renta",E143="Acopio carros portaequipajes"),0,IF(K143&lt;0,0,K143*(1+SUMIFS('Insumos - OPEX'!$G$82:$G$238,'Insumos - OPEX'!$B$82:$B$238,OPEX!D143))))</f>
        <v>536669.92604651512</v>
      </c>
      <c r="N143" s="211">
        <f>IF(OR($B143="Ce Co No Imputables",$G143="M2 fijo"),$M143*(1+'Insumos - OPEX'!J$38),$M143*(1+'Insumos - OPEX'!J$29*'Insumos - OPEX'!J$39)*(1+'Insumos - OPEX'!J$38))</f>
        <v>567448.27960578969</v>
      </c>
      <c r="O143" s="211">
        <f>IF(OR($B143="Ce Co No Imputables",$G143="M2 fijo"),$M143*(1+'Insumos - OPEX'!K$38),$M143*(1+'Insumos - OPEX'!K$29*'Insumos - OPEX'!K$39)*(1+'Insumos - OPEX'!K$38))</f>
        <v>596585.67223800346</v>
      </c>
      <c r="P143" s="211">
        <f>IF(OR($B143="Ce Co No Imputables",$G143="M2 fijo"),$M143*(1+'Insumos - OPEX'!L$38),$M143*(1+'Insumos - OPEX'!L$29*'Insumos - OPEX'!L$39)*(1+'Insumos - OPEX'!L$38))</f>
        <v>626091.78453033511</v>
      </c>
      <c r="Q143" s="211">
        <f>IF(OR($B143="Ce Co No Imputables",$G143="M2 fijo"),$M143*(1+'Insumos - OPEX'!M$38),$M143*(1+'Insumos - OPEX'!M$29*'Insumos - OPEX'!M$39)*(1+'Insumos - OPEX'!M$38))</f>
        <v>658528.14962280355</v>
      </c>
      <c r="R143" s="211">
        <f>IF(OR($B143="Ce Co No Imputables",$G143="M2 fijo"),$M143*(1+'Insumos - OPEX'!N$38),$M143*(1+'Insumos - OPEX'!N$29*'Insumos - OPEX'!N$39)*(1+'Insumos - OPEX'!N$38))</f>
        <v>691611.2542259919</v>
      </c>
      <c r="S143" s="111"/>
    </row>
    <row r="144" spans="1:21" x14ac:dyDescent="0.2">
      <c r="A144" s="8"/>
      <c r="B144" s="8" t="s">
        <v>301</v>
      </c>
      <c r="C144" s="8" t="s">
        <v>170</v>
      </c>
      <c r="D144" s="8">
        <v>6212000001</v>
      </c>
      <c r="E144" s="8" t="s">
        <v>254</v>
      </c>
      <c r="F144" s="89" t="s">
        <v>469</v>
      </c>
      <c r="G144" s="73" t="s">
        <v>136</v>
      </c>
      <c r="H144" s="112" t="s">
        <v>61</v>
      </c>
      <c r="I144" s="13" t="s">
        <v>436</v>
      </c>
      <c r="K144" s="186">
        <v>79946.028028718283</v>
      </c>
      <c r="L144" s="187"/>
      <c r="M144" s="214">
        <f>IF(OR(E144="Distribución Legal de la Renta",E144="Acopio carros portaequipajes"),0,IF(K144&lt;0,0,K144*(1+SUMIFS('Insumos - OPEX'!$G$82:$G$238,'Insumos - OPEX'!$B$82:$B$238,OPEX!D144))))</f>
        <v>114816.01758522942</v>
      </c>
      <c r="N144" s="211">
        <f>IF(OR($B144="Ce Co No Imputables",$G144="M2 fijo"),$M144*(1+'Insumos - OPEX'!J$38),$M144*(1+'Insumos - OPEX'!J$29*'Insumos - OPEX'!J$39)*(1+'Insumos - OPEX'!J$38))</f>
        <v>121400.78750058291</v>
      </c>
      <c r="O144" s="211">
        <f>IF(OR($B144="Ce Co No Imputables",$G144="M2 fijo"),$M144*(1+'Insumos - OPEX'!K$38),$M144*(1+'Insumos - OPEX'!K$29*'Insumos - OPEX'!K$39)*(1+'Insumos - OPEX'!K$38))</f>
        <v>127634.4876251508</v>
      </c>
      <c r="P144" s="211">
        <f>IF(OR($B144="Ce Co No Imputables",$G144="M2 fijo"),$M144*(1+'Insumos - OPEX'!L$38),$M144*(1+'Insumos - OPEX'!L$29*'Insumos - OPEX'!L$39)*(1+'Insumos - OPEX'!L$38))</f>
        <v>133947.07222027579</v>
      </c>
      <c r="Q144" s="211">
        <f>IF(OR($B144="Ce Co No Imputables",$G144="M2 fijo"),$M144*(1+'Insumos - OPEX'!M$38),$M144*(1+'Insumos - OPEX'!M$29*'Insumos - OPEX'!M$39)*(1+'Insumos - OPEX'!M$38))</f>
        <v>140886.55976021104</v>
      </c>
      <c r="R144" s="211">
        <f>IF(OR($B144="Ce Co No Imputables",$G144="M2 fijo"),$M144*(1+'Insumos - OPEX'!N$38),$M144*(1+'Insumos - OPEX'!N$29*'Insumos - OPEX'!N$39)*(1+'Insumos - OPEX'!N$38))</f>
        <v>147964.41177974909</v>
      </c>
      <c r="S144" s="111"/>
    </row>
    <row r="145" spans="1:19" x14ac:dyDescent="0.2">
      <c r="A145" s="8"/>
      <c r="B145" s="8" t="s">
        <v>301</v>
      </c>
      <c r="C145" s="8" t="s">
        <v>170</v>
      </c>
      <c r="D145" s="8">
        <v>6290000001</v>
      </c>
      <c r="E145" s="8" t="s">
        <v>426</v>
      </c>
      <c r="F145" s="89" t="s">
        <v>469</v>
      </c>
      <c r="G145" s="73" t="s">
        <v>136</v>
      </c>
      <c r="H145" s="112" t="s">
        <v>61</v>
      </c>
      <c r="I145" s="13" t="s">
        <v>436</v>
      </c>
      <c r="K145" s="186">
        <v>38677.573685149691</v>
      </c>
      <c r="L145" s="187"/>
      <c r="M145" s="214">
        <f>IF(OR(E145="Distribución Legal de la Renta",E145="Acopio carros portaequipajes"),0,IF(K145&lt;0,0,K145*(1+SUMIFS('Insumos - OPEX'!$G$82:$G$238,'Insumos - OPEX'!$B$82:$B$238,OPEX!D145))))</f>
        <v>55547.537381005641</v>
      </c>
      <c r="N145" s="211">
        <f>IF(OR($B145="Ce Co No Imputables",$G145="M2 fijo"),$M145*(1+'Insumos - OPEX'!J$38),$M145*(1+'Insumos - OPEX'!J$29*'Insumos - OPEX'!J$39)*(1+'Insumos - OPEX'!J$38))</f>
        <v>58733.223147775119</v>
      </c>
      <c r="O145" s="211">
        <f>IF(OR($B145="Ce Co No Imputables",$G145="M2 fijo"),$M145*(1+'Insumos - OPEX'!K$38),$M145*(1+'Insumos - OPEX'!K$29*'Insumos - OPEX'!K$39)*(1+'Insumos - OPEX'!K$38))</f>
        <v>61749.062731606493</v>
      </c>
      <c r="P145" s="211">
        <f>IF(OR($B145="Ce Co No Imputables",$G145="M2 fijo"),$M145*(1+'Insumos - OPEX'!L$38),$M145*(1+'Insumos - OPEX'!L$29*'Insumos - OPEX'!L$39)*(1+'Insumos - OPEX'!L$38))</f>
        <v>64803.06631179664</v>
      </c>
      <c r="Q145" s="211">
        <f>IF(OR($B145="Ce Co No Imputables",$G145="M2 fijo"),$M145*(1+'Insumos - OPEX'!M$38),$M145*(1+'Insumos - OPEX'!M$29*'Insumos - OPEX'!M$39)*(1+'Insumos - OPEX'!M$38))</f>
        <v>68160.363069136583</v>
      </c>
      <c r="R145" s="211">
        <f>IF(OR($B145="Ce Co No Imputables",$G145="M2 fijo"),$M145*(1+'Insumos - OPEX'!N$38),$M145*(1+'Insumos - OPEX'!N$29*'Insumos - OPEX'!N$39)*(1+'Insumos - OPEX'!N$38))</f>
        <v>71584.600017092656</v>
      </c>
      <c r="S145" s="111"/>
    </row>
    <row r="146" spans="1:19" x14ac:dyDescent="0.2">
      <c r="A146" s="8"/>
      <c r="B146" s="8" t="s">
        <v>301</v>
      </c>
      <c r="C146" s="8" t="s">
        <v>170</v>
      </c>
      <c r="D146" s="8">
        <v>6213000001</v>
      </c>
      <c r="E146" s="8" t="s">
        <v>255</v>
      </c>
      <c r="F146" s="89" t="s">
        <v>469</v>
      </c>
      <c r="G146" s="73" t="s">
        <v>136</v>
      </c>
      <c r="H146" s="112" t="s">
        <v>61</v>
      </c>
      <c r="I146" s="13" t="s">
        <v>436</v>
      </c>
      <c r="K146" s="186">
        <v>36801.862419904508</v>
      </c>
      <c r="L146" s="187"/>
      <c r="M146" s="214">
        <f>IF(OR(E146="Distribución Legal de la Renta",E146="Acopio carros portaequipajes"),0,IF(K146&lt;0,0,K146*(1+SUMIFS('Insumos - OPEX'!$G$82:$G$238,'Insumos - OPEX'!$B$82:$B$238,OPEX!D146))))</f>
        <v>52853.698763559361</v>
      </c>
      <c r="N146" s="211">
        <f>IF(OR($B146="Ce Co No Imputables",$G146="M2 fijo"),$M146*(1+'Insumos - OPEX'!J$38),$M146*(1+'Insumos - OPEX'!J$29*'Insumos - OPEX'!J$39)*(1+'Insumos - OPEX'!J$38))</f>
        <v>55884.891212601542</v>
      </c>
      <c r="O146" s="211">
        <f>IF(OR($B146="Ce Co No Imputables",$G146="M2 fijo"),$M146*(1+'Insumos - OPEX'!K$38),$M146*(1+'Insumos - OPEX'!K$29*'Insumos - OPEX'!K$39)*(1+'Insumos - OPEX'!K$38))</f>
        <v>58754.474355229708</v>
      </c>
      <c r="P146" s="211">
        <f>IF(OR($B146="Ce Co No Imputables",$G146="M2 fijo"),$M146*(1+'Insumos - OPEX'!L$38),$M146*(1+'Insumos - OPEX'!L$29*'Insumos - OPEX'!L$39)*(1+'Insumos - OPEX'!L$38))</f>
        <v>61660.370689445917</v>
      </c>
      <c r="Q146" s="211">
        <f>IF(OR($B146="Ce Co No Imputables",$G146="M2 fijo"),$M146*(1+'Insumos - OPEX'!M$38),$M146*(1+'Insumos - OPEX'!M$29*'Insumos - OPEX'!M$39)*(1+'Insumos - OPEX'!M$38))</f>
        <v>64854.851666256909</v>
      </c>
      <c r="R146" s="211">
        <f>IF(OR($B146="Ce Co No Imputables",$G146="M2 fijo"),$M146*(1+'Insumos - OPEX'!N$38),$M146*(1+'Insumos - OPEX'!N$29*'Insumos - OPEX'!N$39)*(1+'Insumos - OPEX'!N$38))</f>
        <v>68113.026495879632</v>
      </c>
      <c r="S146" s="111"/>
    </row>
    <row r="147" spans="1:19" x14ac:dyDescent="0.2">
      <c r="A147" s="8"/>
      <c r="B147" s="8" t="s">
        <v>301</v>
      </c>
      <c r="C147" s="8" t="s">
        <v>170</v>
      </c>
      <c r="D147" s="8">
        <v>6270000002</v>
      </c>
      <c r="E147" s="8" t="s">
        <v>427</v>
      </c>
      <c r="F147" s="89" t="s">
        <v>469</v>
      </c>
      <c r="G147" s="73" t="s">
        <v>136</v>
      </c>
      <c r="H147" s="112" t="s">
        <v>61</v>
      </c>
      <c r="I147" s="13" t="s">
        <v>436</v>
      </c>
      <c r="J147" s="11"/>
      <c r="K147" s="186">
        <v>33366.88714961888</v>
      </c>
      <c r="L147" s="187"/>
      <c r="M147" s="214">
        <f>IF(OR(E147="Distribución Legal de la Renta",E147="Acopio carros portaequipajes"),0,IF(K147&lt;0,0,K147*(1+SUMIFS('Insumos - OPEX'!$G$82:$G$238,'Insumos - OPEX'!$B$82:$B$238,OPEX!D147))))</f>
        <v>47920.493315300322</v>
      </c>
      <c r="N147" s="211">
        <f>IF(OR($B147="Ce Co No Imputables",$G147="M2 fijo"),$M147*(1+'Insumos - OPEX'!J$38),$M147*(1+'Insumos - OPEX'!J$29*'Insumos - OPEX'!J$39)*(1+'Insumos - OPEX'!J$38))</f>
        <v>50668.763368102445</v>
      </c>
      <c r="O147" s="211">
        <f>IF(OR($B147="Ce Co No Imputables",$G147="M2 fijo"),$M147*(1+'Insumos - OPEX'!K$38),$M147*(1+'Insumos - OPEX'!K$29*'Insumos - OPEX'!K$39)*(1+'Insumos - OPEX'!K$38))</f>
        <v>53270.508241610158</v>
      </c>
      <c r="P147" s="211">
        <f>IF(OR($B147="Ce Co No Imputables",$G147="M2 fijo"),$M147*(1+'Insumos - OPEX'!L$38),$M147*(1+'Insumos - OPEX'!L$29*'Insumos - OPEX'!L$39)*(1+'Insumos - OPEX'!L$38))</f>
        <v>55905.176942502905</v>
      </c>
      <c r="Q147" s="211">
        <f>IF(OR($B147="Ce Co No Imputables",$G147="M2 fijo"),$M147*(1+'Insumos - OPEX'!M$38),$M147*(1+'Insumos - OPEX'!M$29*'Insumos - OPEX'!M$39)*(1+'Insumos - OPEX'!M$38))</f>
        <v>58801.49466247805</v>
      </c>
      <c r="R147" s="211">
        <f>IF(OR($B147="Ce Co No Imputables",$G147="M2 fijo"),$M147*(1+'Insumos - OPEX'!N$38),$M147*(1+'Insumos - OPEX'!N$29*'Insumos - OPEX'!N$39)*(1+'Insumos - OPEX'!N$38))</f>
        <v>61755.561242406104</v>
      </c>
      <c r="S147" s="111"/>
    </row>
    <row r="148" spans="1:19" x14ac:dyDescent="0.2">
      <c r="A148" s="8"/>
      <c r="B148" s="8" t="s">
        <v>301</v>
      </c>
      <c r="C148" s="8" t="s">
        <v>170</v>
      </c>
      <c r="D148" s="8">
        <v>8710000001</v>
      </c>
      <c r="E148" s="8" t="s">
        <v>268</v>
      </c>
      <c r="F148" s="89" t="s">
        <v>469</v>
      </c>
      <c r="G148" s="73" t="s">
        <v>136</v>
      </c>
      <c r="H148" s="112" t="s">
        <v>61</v>
      </c>
      <c r="I148" s="13" t="s">
        <v>436</v>
      </c>
      <c r="J148" s="11"/>
      <c r="K148" s="186">
        <v>24126.351284014949</v>
      </c>
      <c r="L148" s="187"/>
      <c r="M148" s="214">
        <f>IF(OR(E148="Distribución Legal de la Renta",E148="Acopio carros portaequipajes"),0,IF(K148&lt;0,0,K148*(1+SUMIFS('Insumos - OPEX'!$G$82:$G$238,'Insumos - OPEX'!$B$82:$B$238,OPEX!D148))))</f>
        <v>0</v>
      </c>
      <c r="N148" s="211">
        <f>IF(OR($B148="Ce Co No Imputables",$G148="M2 fijo"),$M148*(1+'Insumos - OPEX'!J$38),$M148*(1+'Insumos - OPEX'!J$29*'Insumos - OPEX'!J$39)*(1+'Insumos - OPEX'!J$38))</f>
        <v>0</v>
      </c>
      <c r="O148" s="211">
        <f>IF(OR($B148="Ce Co No Imputables",$G148="M2 fijo"),$M148*(1+'Insumos - OPEX'!K$38),$M148*(1+'Insumos - OPEX'!K$29*'Insumos - OPEX'!K$39)*(1+'Insumos - OPEX'!K$38))</f>
        <v>0</v>
      </c>
      <c r="P148" s="211">
        <f>IF(OR($B148="Ce Co No Imputables",$G148="M2 fijo"),$M148*(1+'Insumos - OPEX'!L$38),$M148*(1+'Insumos - OPEX'!L$29*'Insumos - OPEX'!L$39)*(1+'Insumos - OPEX'!L$38))</f>
        <v>0</v>
      </c>
      <c r="Q148" s="211">
        <f>IF(OR($B148="Ce Co No Imputables",$G148="M2 fijo"),$M148*(1+'Insumos - OPEX'!M$38),$M148*(1+'Insumos - OPEX'!M$29*'Insumos - OPEX'!M$39)*(1+'Insumos - OPEX'!M$38))</f>
        <v>0</v>
      </c>
      <c r="R148" s="211">
        <f>IF(OR($B148="Ce Co No Imputables",$G148="M2 fijo"),$M148*(1+'Insumos - OPEX'!N$38),$M148*(1+'Insumos - OPEX'!N$29*'Insumos - OPEX'!N$39)*(1+'Insumos - OPEX'!N$38))</f>
        <v>0</v>
      </c>
      <c r="S148" s="111"/>
    </row>
    <row r="149" spans="1:19" x14ac:dyDescent="0.2">
      <c r="A149" s="8"/>
      <c r="B149" s="8" t="s">
        <v>301</v>
      </c>
      <c r="C149" s="8" t="s">
        <v>170</v>
      </c>
      <c r="D149" s="8">
        <v>6270000001</v>
      </c>
      <c r="E149" s="8" t="s">
        <v>259</v>
      </c>
      <c r="F149" s="89" t="s">
        <v>469</v>
      </c>
      <c r="G149" s="73" t="s">
        <v>136</v>
      </c>
      <c r="H149" s="112" t="s">
        <v>61</v>
      </c>
      <c r="I149" s="13" t="s">
        <v>436</v>
      </c>
      <c r="J149" s="11"/>
      <c r="K149" s="186">
        <v>12950.965261780868</v>
      </c>
      <c r="L149" s="187"/>
      <c r="M149" s="214">
        <f>IF(OR(E149="Distribución Legal de la Renta",E149="Acopio carros portaequipajes"),0,IF(K149&lt;0,0,K149*(1+SUMIFS('Insumos - OPEX'!$G$82:$G$238,'Insumos - OPEX'!$B$82:$B$238,OPEX!D149))))</f>
        <v>18599.77652308347</v>
      </c>
      <c r="N149" s="211">
        <f>IF(OR($B149="Ce Co No Imputables",$G149="M2 fijo"),$M149*(1+'Insumos - OPEX'!J$38),$M149*(1+'Insumos - OPEX'!J$29*'Insumos - OPEX'!J$39)*(1+'Insumos - OPEX'!J$38))</f>
        <v>19666.485258130677</v>
      </c>
      <c r="O149" s="211">
        <f>IF(OR($B149="Ce Co No Imputables",$G149="M2 fijo"),$M149*(1+'Insumos - OPEX'!K$38),$M149*(1+'Insumos - OPEX'!K$29*'Insumos - OPEX'!K$39)*(1+'Insumos - OPEX'!K$38))</f>
        <v>20676.321966173724</v>
      </c>
      <c r="P149" s="211">
        <f>IF(OR($B149="Ce Co No Imputables",$G149="M2 fijo"),$M149*(1+'Insumos - OPEX'!L$38),$M149*(1+'Insumos - OPEX'!L$29*'Insumos - OPEX'!L$39)*(1+'Insumos - OPEX'!L$38))</f>
        <v>21698.93767103587</v>
      </c>
      <c r="Q149" s="211">
        <f>IF(OR($B149="Ce Co No Imputables",$G149="M2 fijo"),$M149*(1+'Insumos - OPEX'!M$38),$M149*(1+'Insumos - OPEX'!M$29*'Insumos - OPEX'!M$39)*(1+'Insumos - OPEX'!M$38))</f>
        <v>22823.109368871548</v>
      </c>
      <c r="R149" s="211">
        <f>IF(OR($B149="Ce Co No Imputables",$G149="M2 fijo"),$M149*(1+'Insumos - OPEX'!N$38),$M149*(1+'Insumos - OPEX'!N$29*'Insumos - OPEX'!N$39)*(1+'Insumos - OPEX'!N$38))</f>
        <v>23969.69560827965</v>
      </c>
      <c r="S149" s="111"/>
    </row>
    <row r="150" spans="1:19" x14ac:dyDescent="0.2">
      <c r="A150" s="8"/>
      <c r="B150" s="8" t="s">
        <v>301</v>
      </c>
      <c r="C150" s="8" t="s">
        <v>170</v>
      </c>
      <c r="D150" s="8">
        <v>6270000006</v>
      </c>
      <c r="E150" s="8" t="s">
        <v>261</v>
      </c>
      <c r="F150" s="89" t="s">
        <v>469</v>
      </c>
      <c r="G150" s="73" t="s">
        <v>136</v>
      </c>
      <c r="H150" s="112" t="s">
        <v>61</v>
      </c>
      <c r="I150" s="13" t="s">
        <v>436</v>
      </c>
      <c r="K150" s="186">
        <v>10116.258293828994</v>
      </c>
      <c r="L150" s="187"/>
      <c r="M150" s="214">
        <f>IF(OR(E150="Distribución Legal de la Renta",E150="Acopio carros portaequipajes"),0,IF(K150&lt;0,0,K150*(1+SUMIFS('Insumos - OPEX'!$G$82:$G$238,'Insumos - OPEX'!$B$82:$B$238,OPEX!D150))))</f>
        <v>14528.657880836239</v>
      </c>
      <c r="N150" s="211">
        <f>IF(OR($B150="Ce Co No Imputables",$G150="M2 fijo"),$M150*(1+'Insumos - OPEX'!J$38),$M150*(1+'Insumos - OPEX'!J$29*'Insumos - OPEX'!J$39)*(1+'Insumos - OPEX'!J$38))</f>
        <v>15361.885433369825</v>
      </c>
      <c r="O150" s="211">
        <f>IF(OR($B150="Ce Co No Imputables",$G150="M2 fijo"),$M150*(1+'Insumos - OPEX'!K$38),$M150*(1+'Insumos - OPEX'!K$29*'Insumos - OPEX'!K$39)*(1+'Insumos - OPEX'!K$38))</f>
        <v>16150.689106814985</v>
      </c>
      <c r="P150" s="211">
        <f>IF(OR($B150="Ce Co No Imputables",$G150="M2 fijo"),$M150*(1+'Insumos - OPEX'!L$38),$M150*(1+'Insumos - OPEX'!L$29*'Insumos - OPEX'!L$39)*(1+'Insumos - OPEX'!L$38))</f>
        <v>16949.474710559934</v>
      </c>
      <c r="Q150" s="211">
        <f>IF(OR($B150="Ce Co No Imputables",$G150="M2 fijo"),$M150*(1+'Insumos - OPEX'!M$38),$M150*(1+'Insumos - OPEX'!M$29*'Insumos - OPEX'!M$39)*(1+'Insumos - OPEX'!M$38))</f>
        <v>17827.587733955857</v>
      </c>
      <c r="R150" s="211">
        <f>IF(OR($B150="Ce Co No Imputables",$G150="M2 fijo"),$M150*(1+'Insumos - OPEX'!N$38),$M150*(1+'Insumos - OPEX'!N$29*'Insumos - OPEX'!N$39)*(1+'Insumos - OPEX'!N$38))</f>
        <v>18723.209204598843</v>
      </c>
      <c r="S150" s="111"/>
    </row>
    <row r="151" spans="1:19" x14ac:dyDescent="0.2">
      <c r="A151" s="8"/>
      <c r="B151" s="8" t="s">
        <v>301</v>
      </c>
      <c r="C151" s="8" t="s">
        <v>170</v>
      </c>
      <c r="D151" s="8">
        <v>6250000005</v>
      </c>
      <c r="E151" s="8" t="s">
        <v>266</v>
      </c>
      <c r="F151" s="89" t="s">
        <v>469</v>
      </c>
      <c r="G151" s="73" t="s">
        <v>136</v>
      </c>
      <c r="H151" s="112" t="s">
        <v>61</v>
      </c>
      <c r="I151" s="13" t="s">
        <v>436</v>
      </c>
      <c r="K151" s="186">
        <v>7057.965299526235</v>
      </c>
      <c r="L151" s="187"/>
      <c r="M151" s="214">
        <f>IF(OR(E151="Distribución Legal de la Renta",E151="Acopio carros portaequipajes"),0,IF(K151&lt;0,0,K151*(1+SUMIFS('Insumos - OPEX'!$G$82:$G$238,'Insumos - OPEX'!$B$82:$B$238,OPEX!D151))))</f>
        <v>10136.431889464755</v>
      </c>
      <c r="N151" s="211">
        <f>IF(OR($B151="Ce Co No Imputables",$G151="M2 fijo"),$M151*(1+'Insumos - OPEX'!J$38),$M151*(1+'Insumos - OPEX'!J$29*'Insumos - OPEX'!J$39)*(1+'Insumos - OPEX'!J$38))</f>
        <v>10717.762553587736</v>
      </c>
      <c r="O151" s="211">
        <f>IF(OR($B151="Ce Co No Imputables",$G151="M2 fijo"),$M151*(1+'Insumos - OPEX'!K$38),$M151*(1+'Insumos - OPEX'!K$29*'Insumos - OPEX'!K$39)*(1+'Insumos - OPEX'!K$38))</f>
        <v>11268.099327680475</v>
      </c>
      <c r="P151" s="211">
        <f>IF(OR($B151="Ce Co No Imputables",$G151="M2 fijo"),$M151*(1+'Insumos - OPEX'!L$38),$M151*(1+'Insumos - OPEX'!L$29*'Insumos - OPEX'!L$39)*(1+'Insumos - OPEX'!L$38))</f>
        <v>11825.400348397992</v>
      </c>
      <c r="Q151" s="211">
        <f>IF(OR($B151="Ce Co No Imputables",$G151="M2 fijo"),$M151*(1+'Insumos - OPEX'!M$38),$M151*(1+'Insumos - OPEX'!M$29*'Insumos - OPEX'!M$39)*(1+'Insumos - OPEX'!M$38))</f>
        <v>12438.046948373711</v>
      </c>
      <c r="R151" s="211">
        <f>IF(OR($B151="Ce Co No Imputables",$G151="M2 fijo"),$M151*(1+'Insumos - OPEX'!N$38),$M151*(1+'Insumos - OPEX'!N$29*'Insumos - OPEX'!N$39)*(1+'Insumos - OPEX'!N$38))</f>
        <v>13062.908935652635</v>
      </c>
      <c r="S151" s="111"/>
    </row>
    <row r="152" spans="1:19" x14ac:dyDescent="0.2">
      <c r="A152" s="8"/>
      <c r="B152" s="8" t="s">
        <v>301</v>
      </c>
      <c r="C152" s="8" t="s">
        <v>170</v>
      </c>
      <c r="D152" s="8">
        <v>6250000003</v>
      </c>
      <c r="E152" s="8" t="s">
        <v>428</v>
      </c>
      <c r="F152" s="89" t="s">
        <v>469</v>
      </c>
      <c r="G152" s="73" t="s">
        <v>136</v>
      </c>
      <c r="H152" s="112" t="s">
        <v>61</v>
      </c>
      <c r="I152" s="13" t="s">
        <v>436</v>
      </c>
      <c r="K152" s="186">
        <v>6863.7478164677841</v>
      </c>
      <c r="L152" s="187"/>
      <c r="M152" s="214">
        <f>IF(OR(E152="Distribución Legal de la Renta",E152="Acopio carros portaequipajes"),0,IF(K152&lt;0,0,K152*(1+SUMIFS('Insumos - OPEX'!$G$82:$G$238,'Insumos - OPEX'!$B$82:$B$238,OPEX!D152))))</f>
        <v>9857.5027356337778</v>
      </c>
      <c r="N152" s="211">
        <f>IF(OR($B152="Ce Co No Imputables",$G152="M2 fijo"),$M152*(1+'Insumos - OPEX'!J$38),$M152*(1+'Insumos - OPEX'!J$29*'Insumos - OPEX'!J$39)*(1+'Insumos - OPEX'!J$38))</f>
        <v>10422.836639554744</v>
      </c>
      <c r="O152" s="211">
        <f>IF(OR($B152="Ce Co No Imputables",$G152="M2 fijo"),$M152*(1+'Insumos - OPEX'!K$38),$M152*(1+'Insumos - OPEX'!K$29*'Insumos - OPEX'!K$39)*(1+'Insumos - OPEX'!K$38))</f>
        <v>10958.02952747593</v>
      </c>
      <c r="P152" s="211">
        <f>IF(OR($B152="Ce Co No Imputables",$G152="M2 fijo"),$M152*(1+'Insumos - OPEX'!L$38),$M152*(1+'Insumos - OPEX'!L$29*'Insumos - OPEX'!L$39)*(1+'Insumos - OPEX'!L$38))</f>
        <v>11499.995023441445</v>
      </c>
      <c r="Q152" s="211">
        <f>IF(OR($B152="Ce Co No Imputables",$G152="M2 fijo"),$M152*(1+'Insumos - OPEX'!M$38),$M152*(1+'Insumos - OPEX'!M$29*'Insumos - OPEX'!M$39)*(1+'Insumos - OPEX'!M$38))</f>
        <v>12095.783127292285</v>
      </c>
      <c r="R152" s="211">
        <f>IF(OR($B152="Ce Co No Imputables",$G152="M2 fijo"),$M152*(1+'Insumos - OPEX'!N$38),$M152*(1+'Insumos - OPEX'!N$29*'Insumos - OPEX'!N$39)*(1+'Insumos - OPEX'!N$38))</f>
        <v>12703.450481659598</v>
      </c>
      <c r="S152" s="111"/>
    </row>
    <row r="153" spans="1:19" x14ac:dyDescent="0.2">
      <c r="A153" s="8"/>
      <c r="B153" s="8" t="s">
        <v>301</v>
      </c>
      <c r="C153" s="8" t="s">
        <v>170</v>
      </c>
      <c r="D153" s="8">
        <v>6214000001</v>
      </c>
      <c r="E153" s="8" t="s">
        <v>256</v>
      </c>
      <c r="F153" s="89" t="s">
        <v>469</v>
      </c>
      <c r="G153" s="73" t="s">
        <v>136</v>
      </c>
      <c r="H153" s="112" t="s">
        <v>61</v>
      </c>
      <c r="I153" s="13" t="s">
        <v>436</v>
      </c>
      <c r="K153" s="186">
        <v>5378.2155920651639</v>
      </c>
      <c r="L153" s="187"/>
      <c r="M153" s="214">
        <f>IF(OR(E153="Distribución Legal de la Renta",E153="Acopio carros portaequipajes"),0,IF(K153&lt;0,0,K153*(1+SUMIFS('Insumos - OPEX'!$G$82:$G$238,'Insumos - OPEX'!$B$82:$B$238,OPEX!D153))))</f>
        <v>7724.027212132266</v>
      </c>
      <c r="N153" s="211">
        <f>IF(OR($B153="Ce Co No Imputables",$G153="M2 fijo"),$M153*(1+'Insumos - OPEX'!J$38),$M153*(1+'Insumos - OPEX'!J$29*'Insumos - OPEX'!J$39)*(1+'Insumos - OPEX'!J$38))</f>
        <v>8167.0049697788891</v>
      </c>
      <c r="O153" s="211">
        <f>IF(OR($B153="Ce Co No Imputables",$G153="M2 fijo"),$M153*(1+'Insumos - OPEX'!K$38),$M153*(1+'Insumos - OPEX'!K$29*'Insumos - OPEX'!K$39)*(1+'Insumos - OPEX'!K$38))</f>
        <v>8586.3651810725169</v>
      </c>
      <c r="P153" s="211">
        <f>IF(OR($B153="Ce Co No Imputables",$G153="M2 fijo"),$M153*(1+'Insumos - OPEX'!L$38),$M153*(1+'Insumos - OPEX'!L$29*'Insumos - OPEX'!L$39)*(1+'Insumos - OPEX'!L$38))</f>
        <v>9011.0321937167955</v>
      </c>
      <c r="Q153" s="211">
        <f>IF(OR($B153="Ce Co No Imputables",$G153="M2 fijo"),$M153*(1+'Insumos - OPEX'!M$38),$M153*(1+'Insumos - OPEX'!M$29*'Insumos - OPEX'!M$39)*(1+'Insumos - OPEX'!M$38))</f>
        <v>9477.8728987336217</v>
      </c>
      <c r="R153" s="211">
        <f>IF(OR($B153="Ce Co No Imputables",$G153="M2 fijo"),$M153*(1+'Insumos - OPEX'!N$38),$M153*(1+'Insumos - OPEX'!N$29*'Insumos - OPEX'!N$39)*(1+'Insumos - OPEX'!N$38))</f>
        <v>9954.0218085473189</v>
      </c>
      <c r="S153" s="111"/>
    </row>
    <row r="154" spans="1:19" x14ac:dyDescent="0.2">
      <c r="A154" s="8"/>
      <c r="B154" s="8" t="s">
        <v>301</v>
      </c>
      <c r="C154" s="8" t="s">
        <v>170</v>
      </c>
      <c r="D154" s="8">
        <v>6240000001</v>
      </c>
      <c r="E154" s="8" t="s">
        <v>265</v>
      </c>
      <c r="F154" s="89" t="s">
        <v>469</v>
      </c>
      <c r="G154" s="73" t="s">
        <v>136</v>
      </c>
      <c r="H154" s="112" t="s">
        <v>61</v>
      </c>
      <c r="I154" s="13" t="s">
        <v>436</v>
      </c>
      <c r="J154" s="11"/>
      <c r="K154" s="186">
        <v>4782.1442305436194</v>
      </c>
      <c r="L154" s="187"/>
      <c r="M154" s="214">
        <f>IF(OR(E154="Distribución Legal de la Renta",E154="Acopio carros portaequipajes"),0,IF(K154&lt;0,0,K154*(1+SUMIFS('Insumos - OPEX'!$G$82:$G$238,'Insumos - OPEX'!$B$82:$B$238,OPEX!D154))))</f>
        <v>6867.9679229587655</v>
      </c>
      <c r="N154" s="211">
        <f>IF(OR($B154="Ce Co No Imputables",$G154="M2 fijo"),$M154*(1+'Insumos - OPEX'!J$38),$M154*(1+'Insumos - OPEX'!J$29*'Insumos - OPEX'!J$39)*(1+'Insumos - OPEX'!J$38))</f>
        <v>7261.8501487130361</v>
      </c>
      <c r="O154" s="211">
        <f>IF(OR($B154="Ce Co No Imputables",$G154="M2 fijo"),$M154*(1+'Insumos - OPEX'!K$38),$M154*(1+'Insumos - OPEX'!K$29*'Insumos - OPEX'!K$39)*(1+'Insumos - OPEX'!K$38))</f>
        <v>7634.7323771451083</v>
      </c>
      <c r="P154" s="211">
        <f>IF(OR($B154="Ce Co No Imputables",$G154="M2 fijo"),$M154*(1+'Insumos - OPEX'!L$38),$M154*(1+'Insumos - OPEX'!L$29*'Insumos - OPEX'!L$39)*(1+'Insumos - OPEX'!L$38))</f>
        <v>8012.3332504561813</v>
      </c>
      <c r="Q154" s="211">
        <f>IF(OR($B154="Ce Co No Imputables",$G154="M2 fijo"),$M154*(1+'Insumos - OPEX'!M$38),$M154*(1+'Insumos - OPEX'!M$29*'Insumos - OPEX'!M$39)*(1+'Insumos - OPEX'!M$38))</f>
        <v>8427.4336765850421</v>
      </c>
      <c r="R154" s="211">
        <f>IF(OR($B154="Ce Co No Imputables",$G154="M2 fijo"),$M154*(1+'Insumos - OPEX'!N$38),$M154*(1+'Insumos - OPEX'!N$29*'Insumos - OPEX'!N$39)*(1+'Insumos - OPEX'!N$38))</f>
        <v>8850.8106727219438</v>
      </c>
      <c r="S154" s="111"/>
    </row>
    <row r="155" spans="1:19" x14ac:dyDescent="0.2">
      <c r="A155" s="8"/>
      <c r="B155" s="8" t="s">
        <v>301</v>
      </c>
      <c r="C155" s="8" t="s">
        <v>170</v>
      </c>
      <c r="D155" s="8">
        <v>6250000004</v>
      </c>
      <c r="E155" s="8" t="s">
        <v>264</v>
      </c>
      <c r="F155" s="89" t="s">
        <v>469</v>
      </c>
      <c r="G155" s="73" t="s">
        <v>136</v>
      </c>
      <c r="H155" s="112" t="s">
        <v>61</v>
      </c>
      <c r="I155" s="13" t="s">
        <v>436</v>
      </c>
      <c r="K155" s="186">
        <v>3397.8274608768606</v>
      </c>
      <c r="L155" s="187"/>
      <c r="M155" s="214">
        <f>IF(OR(E155="Distribución Legal de la Renta",E155="Acopio carros portaequipajes"),0,IF(K155&lt;0,0,K155*(1+SUMIFS('Insumos - OPEX'!$G$82:$G$238,'Insumos - OPEX'!$B$82:$B$238,OPEX!D155))))</f>
        <v>4879.8549111091797</v>
      </c>
      <c r="N155" s="211">
        <f>IF(OR($B155="Ce Co No Imputables",$G155="M2 fijo"),$M155*(1+'Insumos - OPEX'!J$38),$M155*(1+'Insumos - OPEX'!J$29*'Insumos - OPEX'!J$39)*(1+'Insumos - OPEX'!J$38))</f>
        <v>5159.7176209101808</v>
      </c>
      <c r="O155" s="211">
        <f>IF(OR($B155="Ce Co No Imputables",$G155="M2 fijo"),$M155*(1+'Insumos - OPEX'!K$38),$M155*(1+'Insumos - OPEX'!K$29*'Insumos - OPEX'!K$39)*(1+'Insumos - OPEX'!K$38))</f>
        <v>5424.6593320671082</v>
      </c>
      <c r="P155" s="211">
        <f>IF(OR($B155="Ce Co No Imputables",$G155="M2 fijo"),$M155*(1+'Insumos - OPEX'!L$38),$M155*(1+'Insumos - OPEX'!L$29*'Insumos - OPEX'!L$39)*(1+'Insumos - OPEX'!L$38))</f>
        <v>5692.9537528820974</v>
      </c>
      <c r="Q155" s="211">
        <f>IF(OR($B155="Ce Co No Imputables",$G155="M2 fijo"),$M155*(1+'Insumos - OPEX'!M$38),$M155*(1+'Insumos - OPEX'!M$29*'Insumos - OPEX'!M$39)*(1+'Insumos - OPEX'!M$38))</f>
        <v>5987.8924997968879</v>
      </c>
      <c r="R155" s="211">
        <f>IF(OR($B155="Ce Co No Imputables",$G155="M2 fijo"),$M155*(1+'Insumos - OPEX'!N$38),$M155*(1+'Insumos - OPEX'!N$29*'Insumos - OPEX'!N$39)*(1+'Insumos - OPEX'!N$38))</f>
        <v>6288.7119469790559</v>
      </c>
      <c r="S155" s="111"/>
    </row>
    <row r="156" spans="1:19" x14ac:dyDescent="0.2">
      <c r="A156" s="8"/>
      <c r="B156" s="8" t="s">
        <v>301</v>
      </c>
      <c r="C156" s="8" t="s">
        <v>170</v>
      </c>
      <c r="D156" s="8">
        <v>6250000008</v>
      </c>
      <c r="E156" s="8" t="s">
        <v>267</v>
      </c>
      <c r="F156" s="89" t="s">
        <v>469</v>
      </c>
      <c r="G156" s="73" t="s">
        <v>136</v>
      </c>
      <c r="H156" s="112" t="s">
        <v>61</v>
      </c>
      <c r="I156" s="13" t="s">
        <v>436</v>
      </c>
      <c r="K156" s="186">
        <v>3187.0455172413795</v>
      </c>
      <c r="L156" s="187"/>
      <c r="M156" s="214">
        <f>IF(OR(E156="Distribución Legal de la Renta",E156="Acopio carros portaequipajes"),0,IF(K156&lt;0,0,K156*(1+SUMIFS('Insumos - OPEX'!$G$82:$G$238,'Insumos - OPEX'!$B$82:$B$238,OPEX!D156))))</f>
        <v>4577.1363903290521</v>
      </c>
      <c r="N156" s="211">
        <f>IF(OR($B156="Ce Co No Imputables",$G156="M2 fijo"),$M156*(1+'Insumos - OPEX'!J$38),$M156*(1+'Insumos - OPEX'!J$29*'Insumos - OPEX'!J$39)*(1+'Insumos - OPEX'!J$38))</f>
        <v>4839.6380049590452</v>
      </c>
      <c r="O156" s="211">
        <f>IF(OR($B156="Ce Co No Imputables",$G156="M2 fijo"),$M156*(1+'Insumos - OPEX'!K$38),$M156*(1+'Insumos - OPEX'!K$29*'Insumos - OPEX'!K$39)*(1+'Insumos - OPEX'!K$38))</f>
        <v>5088.1442350708712</v>
      </c>
      <c r="P156" s="211">
        <f>IF(OR($B156="Ce Co No Imputables",$G156="M2 fijo"),$M156*(1+'Insumos - OPEX'!L$38),$M156*(1+'Insumos - OPEX'!L$29*'Insumos - OPEX'!L$39)*(1+'Insumos - OPEX'!L$38))</f>
        <v>5339.7951917497085</v>
      </c>
      <c r="Q156" s="211">
        <f>IF(OR($B156="Ce Co No Imputables",$G156="M2 fijo"),$M156*(1+'Insumos - OPEX'!M$38),$M156*(1+'Insumos - OPEX'!M$29*'Insumos - OPEX'!M$39)*(1+'Insumos - OPEX'!M$38))</f>
        <v>5616.4376116602807</v>
      </c>
      <c r="R156" s="211">
        <f>IF(OR($B156="Ce Co No Imputables",$G156="M2 fijo"),$M156*(1+'Insumos - OPEX'!N$38),$M156*(1+'Insumos - OPEX'!N$29*'Insumos - OPEX'!N$39)*(1+'Insumos - OPEX'!N$38))</f>
        <v>5898.5959265482134</v>
      </c>
      <c r="S156" s="111"/>
    </row>
    <row r="157" spans="1:19" x14ac:dyDescent="0.2">
      <c r="A157" s="8"/>
      <c r="B157" s="8" t="s">
        <v>301</v>
      </c>
      <c r="C157" s="8" t="s">
        <v>170</v>
      </c>
      <c r="D157" s="8">
        <v>6221000001</v>
      </c>
      <c r="E157" s="8" t="s">
        <v>257</v>
      </c>
      <c r="F157" s="89" t="s">
        <v>469</v>
      </c>
      <c r="G157" s="73" t="s">
        <v>136</v>
      </c>
      <c r="H157" s="112" t="s">
        <v>61</v>
      </c>
      <c r="I157" s="13" t="s">
        <v>436</v>
      </c>
      <c r="K157" s="186">
        <v>2224.8153566789711</v>
      </c>
      <c r="L157" s="187"/>
      <c r="M157" s="214">
        <f>IF(OR(E157="Distribución Legal de la Renta",E157="Acopio carros portaequipajes"),0,IF(K157&lt;0,0,K157*(1+SUMIFS('Insumos - OPEX'!$G$82:$G$238,'Insumos - OPEX'!$B$82:$B$238,OPEX!D157))))</f>
        <v>3195.2111370008301</v>
      </c>
      <c r="N157" s="211">
        <f>IF(OR($B157="Ce Co No Imputables",$G157="M2 fijo"),$M157*(1+'Insumos - OPEX'!J$38),$M157*(1+'Insumos - OPEX'!J$29*'Insumos - OPEX'!J$39)*(1+'Insumos - OPEX'!J$38))</f>
        <v>3378.4584801035244</v>
      </c>
      <c r="O157" s="211">
        <f>IF(OR($B157="Ce Co No Imputables",$G157="M2 fijo"),$M157*(1+'Insumos - OPEX'!K$38),$M157*(1+'Insumos - OPEX'!K$29*'Insumos - OPEX'!K$39)*(1+'Insumos - OPEX'!K$38))</f>
        <v>3551.9359136676821</v>
      </c>
      <c r="P157" s="211">
        <f>IF(OR($B157="Ce Co No Imputables",$G157="M2 fijo"),$M157*(1+'Insumos - OPEX'!L$38),$M157*(1+'Insumos - OPEX'!L$29*'Insumos - OPEX'!L$39)*(1+'Insumos - OPEX'!L$38))</f>
        <v>3727.608620540926</v>
      </c>
      <c r="Q157" s="211">
        <f>IF(OR($B157="Ce Co No Imputables",$G157="M2 fijo"),$M157*(1+'Insumos - OPEX'!M$38),$M157*(1+'Insumos - OPEX'!M$29*'Insumos - OPEX'!M$39)*(1+'Insumos - OPEX'!M$38))</f>
        <v>3920.7273886276193</v>
      </c>
      <c r="R157" s="211">
        <f>IF(OR($B157="Ce Co No Imputables",$G157="M2 fijo"),$M157*(1+'Insumos - OPEX'!N$38),$M157*(1+'Insumos - OPEX'!N$29*'Insumos - OPEX'!N$39)*(1+'Insumos - OPEX'!N$38))</f>
        <v>4117.6966972180708</v>
      </c>
      <c r="S157" s="111"/>
    </row>
    <row r="158" spans="1:19" x14ac:dyDescent="0.2">
      <c r="A158" s="8"/>
      <c r="B158" s="8" t="s">
        <v>301</v>
      </c>
      <c r="C158" s="8" t="s">
        <v>170</v>
      </c>
      <c r="D158" s="8">
        <v>6250000006</v>
      </c>
      <c r="E158" s="8" t="s">
        <v>429</v>
      </c>
      <c r="F158" s="89" t="s">
        <v>469</v>
      </c>
      <c r="G158" s="73" t="s">
        <v>136</v>
      </c>
      <c r="H158" s="112" t="s">
        <v>61</v>
      </c>
      <c r="I158" s="13" t="s">
        <v>436</v>
      </c>
      <c r="K158" s="186">
        <v>2053.773557139149</v>
      </c>
      <c r="L158" s="187"/>
      <c r="M158" s="214">
        <f>IF(OR(E158="Distribución Legal de la Renta",E158="Acopio carros portaequipajes"),0,IF(K158&lt;0,0,K158*(1+SUMIFS('Insumos - OPEX'!$G$82:$G$238,'Insumos - OPEX'!$B$82:$B$238,OPEX!D158))))</f>
        <v>2949.5661844245874</v>
      </c>
      <c r="N158" s="211">
        <f>IF(OR($B158="Ce Co No Imputables",$G158="M2 fijo"),$M158*(1+'Insumos - OPEX'!J$38),$M158*(1+'Insumos - OPEX'!J$29*'Insumos - OPEX'!J$39)*(1+'Insumos - OPEX'!J$38))</f>
        <v>3118.7256369384813</v>
      </c>
      <c r="O158" s="211">
        <f>IF(OR($B158="Ce Co No Imputables",$G158="M2 fijo"),$M158*(1+'Insumos - OPEX'!K$38),$M158*(1+'Insumos - OPEX'!K$29*'Insumos - OPEX'!K$39)*(1+'Insumos - OPEX'!K$38))</f>
        <v>3278.8662817541758</v>
      </c>
      <c r="P158" s="211">
        <f>IF(OR($B158="Ce Co No Imputables",$G158="M2 fijo"),$M158*(1+'Insumos - OPEX'!L$38),$M158*(1+'Insumos - OPEX'!L$29*'Insumos - OPEX'!L$39)*(1+'Insumos - OPEX'!L$38))</f>
        <v>3441.0334292454118</v>
      </c>
      <c r="Q158" s="211">
        <f>IF(OR($B158="Ce Co No Imputables",$G158="M2 fijo"),$M158*(1+'Insumos - OPEX'!M$38),$M158*(1+'Insumos - OPEX'!M$29*'Insumos - OPEX'!M$39)*(1+'Insumos - OPEX'!M$38))</f>
        <v>3619.30540048701</v>
      </c>
      <c r="R158" s="211">
        <f>IF(OR($B158="Ce Co No Imputables",$G158="M2 fijo"),$M158*(1+'Insumos - OPEX'!N$38),$M158*(1+'Insumos - OPEX'!N$29*'Insumos - OPEX'!N$39)*(1+'Insumos - OPEX'!N$38))</f>
        <v>3801.1318861486793</v>
      </c>
      <c r="S158" s="111"/>
    </row>
    <row r="159" spans="1:19" x14ac:dyDescent="0.2">
      <c r="A159" s="8"/>
      <c r="B159" s="8" t="s">
        <v>301</v>
      </c>
      <c r="C159" s="8" t="s">
        <v>170</v>
      </c>
      <c r="D159" s="8">
        <v>6270000005</v>
      </c>
      <c r="E159" s="8" t="s">
        <v>430</v>
      </c>
      <c r="F159" s="89" t="s">
        <v>469</v>
      </c>
      <c r="G159" s="73" t="s">
        <v>136</v>
      </c>
      <c r="H159" s="112" t="s">
        <v>61</v>
      </c>
      <c r="I159" s="13" t="s">
        <v>436</v>
      </c>
      <c r="J159" s="11"/>
      <c r="K159" s="186">
        <v>1923.0055777206956</v>
      </c>
      <c r="L159" s="187"/>
      <c r="M159" s="214">
        <f>IF(OR(E159="Distribución Legal de la Renta",E159="Acopio carros portaequipajes"),0,IF(K159&lt;0,0,K159*(1+SUMIFS('Insumos - OPEX'!$G$82:$G$238,'Insumos - OPEX'!$B$82:$B$238,OPEX!D159))))</f>
        <v>2761.7612490862034</v>
      </c>
      <c r="N159" s="211">
        <f>IF(OR($B159="Ce Co No Imputables",$G159="M2 fijo"),$M159*(1+'Insumos - OPEX'!J$38),$M159*(1+'Insumos - OPEX'!J$29*'Insumos - OPEX'!J$39)*(1+'Insumos - OPEX'!J$38))</f>
        <v>2920.1499719216085</v>
      </c>
      <c r="O159" s="211">
        <f>IF(OR($B159="Ce Co No Imputables",$G159="M2 fijo"),$M159*(1+'Insumos - OPEX'!K$38),$M159*(1+'Insumos - OPEX'!K$29*'Insumos - OPEX'!K$39)*(1+'Insumos - OPEX'!K$38))</f>
        <v>3070.0941330633741</v>
      </c>
      <c r="P159" s="211">
        <f>IF(OR($B159="Ce Co No Imputables",$G159="M2 fijo"),$M159*(1+'Insumos - OPEX'!L$38),$M159*(1+'Insumos - OPEX'!L$29*'Insumos - OPEX'!L$39)*(1+'Insumos - OPEX'!L$38))</f>
        <v>3221.9357652942895</v>
      </c>
      <c r="Q159" s="211">
        <f>IF(OR($B159="Ce Co No Imputables",$G159="M2 fijo"),$M159*(1+'Insumos - OPEX'!M$38),$M159*(1+'Insumos - OPEX'!M$29*'Insumos - OPEX'!M$39)*(1+'Insumos - OPEX'!M$38))</f>
        <v>3388.8567940791731</v>
      </c>
      <c r="R159" s="211">
        <f>IF(OR($B159="Ce Co No Imputables",$G159="M2 fijo"),$M159*(1+'Insumos - OPEX'!N$38),$M159*(1+'Insumos - OPEX'!N$29*'Insumos - OPEX'!N$39)*(1+'Insumos - OPEX'!N$38))</f>
        <v>3559.1060140524792</v>
      </c>
      <c r="S159" s="111"/>
    </row>
    <row r="160" spans="1:19" x14ac:dyDescent="0.2">
      <c r="A160" s="8"/>
      <c r="B160" s="8" t="s">
        <v>301</v>
      </c>
      <c r="C160" s="8" t="s">
        <v>170</v>
      </c>
      <c r="D160" s="8">
        <v>6270000004</v>
      </c>
      <c r="E160" s="8" t="s">
        <v>431</v>
      </c>
      <c r="F160" s="89" t="s">
        <v>469</v>
      </c>
      <c r="G160" s="73" t="s">
        <v>136</v>
      </c>
      <c r="H160" s="112" t="s">
        <v>61</v>
      </c>
      <c r="I160" s="13" t="s">
        <v>436</v>
      </c>
      <c r="K160" s="186">
        <v>1042.9680058637703</v>
      </c>
      <c r="L160" s="187"/>
      <c r="M160" s="214">
        <f>IF(OR(E160="Distribución Legal de la Renta",E160="Acopio carros portaequipajes"),0,IF(K160&lt;0,0,K160*(1+SUMIFS('Insumos - OPEX'!$G$82:$G$238,'Insumos - OPEX'!$B$82:$B$238,OPEX!D160))))</f>
        <v>1497.8784544376588</v>
      </c>
      <c r="N160" s="211">
        <f>IF(OR($B160="Ce Co No Imputables",$G160="M2 fijo"),$M160*(1+'Insumos - OPEX'!J$38),$M160*(1+'Insumos - OPEX'!J$29*'Insumos - OPEX'!J$39)*(1+'Insumos - OPEX'!J$38))</f>
        <v>1583.782714061676</v>
      </c>
      <c r="O160" s="211">
        <f>IF(OR($B160="Ce Co No Imputables",$G160="M2 fijo"),$M160*(1+'Insumos - OPEX'!K$38),$M160*(1+'Insumos - OPEX'!K$29*'Insumos - OPEX'!K$39)*(1+'Insumos - OPEX'!K$38))</f>
        <v>1665.1069517803755</v>
      </c>
      <c r="P160" s="211">
        <f>IF(OR($B160="Ce Co No Imputables",$G160="M2 fijo"),$M160*(1+'Insumos - OPEX'!L$38),$M160*(1+'Insumos - OPEX'!L$29*'Insumos - OPEX'!L$39)*(1+'Insumos - OPEX'!L$38))</f>
        <v>1747.4603085307424</v>
      </c>
      <c r="Q160" s="211">
        <f>IF(OR($B160="Ce Co No Imputables",$G160="M2 fijo"),$M160*(1+'Insumos - OPEX'!M$38),$M160*(1+'Insumos - OPEX'!M$29*'Insumos - OPEX'!M$39)*(1+'Insumos - OPEX'!M$38))</f>
        <v>1837.9921793404196</v>
      </c>
      <c r="R160" s="211">
        <f>IF(OR($B160="Ce Co No Imputables",$G160="M2 fijo"),$M160*(1+'Insumos - OPEX'!N$38),$M160*(1+'Insumos - OPEX'!N$29*'Insumos - OPEX'!N$39)*(1+'Insumos - OPEX'!N$38))</f>
        <v>1930.3291395201638</v>
      </c>
      <c r="S160" s="111"/>
    </row>
    <row r="161" spans="1:19" x14ac:dyDescent="0.2">
      <c r="A161" s="8"/>
      <c r="B161" s="8" t="s">
        <v>301</v>
      </c>
      <c r="C161" s="8" t="s">
        <v>170</v>
      </c>
      <c r="D161" s="8">
        <v>6250000001</v>
      </c>
      <c r="E161" s="8" t="s">
        <v>262</v>
      </c>
      <c r="F161" s="89" t="s">
        <v>469</v>
      </c>
      <c r="G161" s="73" t="s">
        <v>136</v>
      </c>
      <c r="H161" s="112" t="s">
        <v>61</v>
      </c>
      <c r="I161" s="13" t="s">
        <v>436</v>
      </c>
      <c r="K161" s="186">
        <v>874.59969502647687</v>
      </c>
      <c r="L161" s="187"/>
      <c r="M161" s="214">
        <f>IF(OR(E161="Distribución Legal de la Renta",E161="Acopio carros portaequipajes"),0,IF(K161&lt;0,0,K161*(1+SUMIFS('Insumos - OPEX'!$G$82:$G$238,'Insumos - OPEX'!$B$82:$B$238,OPEX!D161))))</f>
        <v>1256.0730838075406</v>
      </c>
      <c r="N161" s="211">
        <f>IF(OR($B161="Ce Co No Imputables",$G161="M2 fijo"),$M161*(1+'Insumos - OPEX'!J$38),$M161*(1+'Insumos - OPEX'!J$29*'Insumos - OPEX'!J$39)*(1+'Insumos - OPEX'!J$38))</f>
        <v>1328.1096552519518</v>
      </c>
      <c r="O161" s="211">
        <f>IF(OR($B161="Ce Co No Imputables",$G161="M2 fijo"),$M161*(1+'Insumos - OPEX'!K$38),$M161*(1+'Insumos - OPEX'!K$29*'Insumos - OPEX'!K$39)*(1+'Insumos - OPEX'!K$38))</f>
        <v>1396.3055664468784</v>
      </c>
      <c r="P161" s="211">
        <f>IF(OR($B161="Ce Co No Imputables",$G161="M2 fijo"),$M161*(1+'Insumos - OPEX'!L$38),$M161*(1+'Insumos - OPEX'!L$29*'Insumos - OPEX'!L$39)*(1+'Insumos - OPEX'!L$38))</f>
        <v>1465.364464028906</v>
      </c>
      <c r="Q161" s="211">
        <f>IF(OR($B161="Ce Co No Imputables",$G161="M2 fijo"),$M161*(1+'Insumos - OPEX'!M$38),$M161*(1+'Insumos - OPEX'!M$29*'Insumos - OPEX'!M$39)*(1+'Insumos - OPEX'!M$38))</f>
        <v>1541.2816025750162</v>
      </c>
      <c r="R161" s="211">
        <f>IF(OR($B161="Ce Co No Imputables",$G161="M2 fijo"),$M161*(1+'Insumos - OPEX'!N$38),$M161*(1+'Insumos - OPEX'!N$29*'Insumos - OPEX'!N$39)*(1+'Insumos - OPEX'!N$38))</f>
        <v>1618.7124314775708</v>
      </c>
      <c r="S161" s="111"/>
    </row>
    <row r="162" spans="1:19" x14ac:dyDescent="0.2">
      <c r="A162" s="8"/>
      <c r="B162" s="8" t="s">
        <v>301</v>
      </c>
      <c r="C162" s="8" t="s">
        <v>170</v>
      </c>
      <c r="D162" s="8">
        <v>6270000003</v>
      </c>
      <c r="E162" s="8" t="s">
        <v>432</v>
      </c>
      <c r="F162" s="89" t="s">
        <v>469</v>
      </c>
      <c r="G162" s="73" t="s">
        <v>136</v>
      </c>
      <c r="H162" s="112" t="s">
        <v>61</v>
      </c>
      <c r="I162" s="13" t="s">
        <v>436</v>
      </c>
      <c r="J162" s="11"/>
      <c r="K162" s="186">
        <v>850.13152213777516</v>
      </c>
      <c r="L162" s="187"/>
      <c r="M162" s="214">
        <f>IF(OR(E162="Distribución Legal de la Renta",E162="Acopio carros portaequipajes"),0,IF(K162&lt;0,0,K162*(1+SUMIFS('Insumos - OPEX'!$G$82:$G$238,'Insumos - OPEX'!$B$82:$B$238,OPEX!D162))))</f>
        <v>1220.932649217614</v>
      </c>
      <c r="N162" s="211">
        <f>IF(OR($B162="Ce Co No Imputables",$G162="M2 fijo"),$M162*(1+'Insumos - OPEX'!J$38),$M162*(1+'Insumos - OPEX'!J$29*'Insumos - OPEX'!J$39)*(1+'Insumos - OPEX'!J$38))</f>
        <v>1290.9538949142182</v>
      </c>
      <c r="O162" s="211">
        <f>IF(OR($B162="Ce Co No Imputables",$G162="M2 fijo"),$M162*(1+'Insumos - OPEX'!K$38),$M162*(1+'Insumos - OPEX'!K$29*'Insumos - OPEX'!K$39)*(1+'Insumos - OPEX'!K$38))</f>
        <v>1357.2419283052661</v>
      </c>
      <c r="P162" s="211">
        <f>IF(OR($B162="Ce Co No Imputables",$G162="M2 fijo"),$M162*(1+'Insumos - OPEX'!L$38),$M162*(1+'Insumos - OPEX'!L$29*'Insumos - OPEX'!L$39)*(1+'Insumos - OPEX'!L$38))</f>
        <v>1424.3688048093661</v>
      </c>
      <c r="Q162" s="211">
        <f>IF(OR($B162="Ce Co No Imputables",$G162="M2 fijo"),$M162*(1+'Insumos - OPEX'!M$38),$M162*(1+'Insumos - OPEX'!M$29*'Insumos - OPEX'!M$39)*(1+'Insumos - OPEX'!M$38))</f>
        <v>1498.1620532126772</v>
      </c>
      <c r="R162" s="211">
        <f>IF(OR($B162="Ce Co No Imputables",$G162="M2 fijo"),$M162*(1+'Insumos - OPEX'!N$38),$M162*(1+'Insumos - OPEX'!N$29*'Insumos - OPEX'!N$39)*(1+'Insumos - OPEX'!N$38))</f>
        <v>1573.4266443275021</v>
      </c>
      <c r="S162" s="111"/>
    </row>
    <row r="163" spans="1:19" x14ac:dyDescent="0.2">
      <c r="A163" s="8"/>
      <c r="B163" s="8" t="s">
        <v>301</v>
      </c>
      <c r="C163" s="8" t="s">
        <v>170</v>
      </c>
      <c r="D163" s="8">
        <v>6270000007</v>
      </c>
      <c r="E163" s="8" t="s">
        <v>263</v>
      </c>
      <c r="F163" s="89" t="s">
        <v>469</v>
      </c>
      <c r="G163" s="73" t="s">
        <v>136</v>
      </c>
      <c r="H163" s="112" t="s">
        <v>61</v>
      </c>
      <c r="I163" s="13" t="s">
        <v>436</v>
      </c>
      <c r="J163" s="11"/>
      <c r="K163" s="186">
        <v>0.24696403834432315</v>
      </c>
      <c r="L163" s="187"/>
      <c r="M163" s="214">
        <f>IF(OR(E163="Distribución Legal de la Renta",E163="Acopio carros portaequipajes"),0,IF(K163&lt;0,0,K163*(1+SUMIFS('Insumos - OPEX'!$G$82:$G$238,'Insumos - OPEX'!$B$82:$B$238,OPEX!D163))))</f>
        <v>0.35468212828879025</v>
      </c>
      <c r="N163" s="211">
        <f>IF(OR($B163="Ce Co No Imputables",$G163="M2 fijo"),$M163*(1+'Insumos - OPEX'!J$38),$M163*(1+'Insumos - OPEX'!J$29*'Insumos - OPEX'!J$39)*(1+'Insumos - OPEX'!J$38))</f>
        <v>0.37502336862257818</v>
      </c>
      <c r="O163" s="211">
        <f>IF(OR($B163="Ce Co No Imputables",$G163="M2 fijo"),$M163*(1+'Insumos - OPEX'!K$38),$M163*(1+'Insumos - OPEX'!K$29*'Insumos - OPEX'!K$39)*(1+'Insumos - OPEX'!K$38))</f>
        <v>0.3942801071316856</v>
      </c>
      <c r="P163" s="211">
        <f>IF(OR($B163="Ce Co No Imputables",$G163="M2 fijo"),$M163*(1+'Insumos - OPEX'!L$38),$M163*(1+'Insumos - OPEX'!L$29*'Insumos - OPEX'!L$39)*(1+'Insumos - OPEX'!L$38))</f>
        <v>0.41378053038526125</v>
      </c>
      <c r="Q163" s="211">
        <f>IF(OR($B163="Ce Co No Imputables",$G163="M2 fijo"),$M163*(1+'Insumos - OPEX'!M$38),$M163*(1+'Insumos - OPEX'!M$29*'Insumos - OPEX'!M$39)*(1+'Insumos - OPEX'!M$38))</f>
        <v>0.43521754119318895</v>
      </c>
      <c r="R163" s="211">
        <f>IF(OR($B163="Ce Co No Imputables",$G163="M2 fijo"),$M163*(1+'Insumos - OPEX'!N$38),$M163*(1+'Insumos - OPEX'!N$29*'Insumos - OPEX'!N$39)*(1+'Insumos - OPEX'!N$38))</f>
        <v>0.45708197849732535</v>
      </c>
      <c r="S163" s="111"/>
    </row>
    <row r="164" spans="1:19" x14ac:dyDescent="0.2">
      <c r="A164" s="8"/>
      <c r="B164" s="8" t="s">
        <v>301</v>
      </c>
      <c r="C164" s="8" t="s">
        <v>170</v>
      </c>
      <c r="D164" s="8">
        <v>6250000009</v>
      </c>
      <c r="E164" s="8" t="s">
        <v>433</v>
      </c>
      <c r="F164" s="89" t="s">
        <v>469</v>
      </c>
      <c r="G164" s="73" t="s">
        <v>136</v>
      </c>
      <c r="H164" s="112" t="s">
        <v>61</v>
      </c>
      <c r="I164" s="13" t="s">
        <v>436</v>
      </c>
      <c r="J164" s="11"/>
      <c r="K164" s="186">
        <v>0</v>
      </c>
      <c r="L164" s="187"/>
      <c r="M164" s="214">
        <f>IF(OR(E164="Distribución Legal de la Renta",E164="Acopio carros portaequipajes"),0,IF(K164&lt;0,0,K164*(1+SUMIFS('Insumos - OPEX'!$G$82:$G$238,'Insumos - OPEX'!$B$82:$B$238,OPEX!D164))))</f>
        <v>0</v>
      </c>
      <c r="N164" s="211">
        <f>IF(OR($B164="Ce Co No Imputables",$G164="M2 fijo"),$M164*(1+'Insumos - OPEX'!J$38),$M164*(1+'Insumos - OPEX'!J$29*'Insumos - OPEX'!J$39)*(1+'Insumos - OPEX'!J$38))</f>
        <v>0</v>
      </c>
      <c r="O164" s="211">
        <f>IF(OR($B164="Ce Co No Imputables",$G164="M2 fijo"),$M164*(1+'Insumos - OPEX'!K$38),$M164*(1+'Insumos - OPEX'!K$29*'Insumos - OPEX'!K$39)*(1+'Insumos - OPEX'!K$38))</f>
        <v>0</v>
      </c>
      <c r="P164" s="211">
        <f>IF(OR($B164="Ce Co No Imputables",$G164="M2 fijo"),$M164*(1+'Insumos - OPEX'!L$38),$M164*(1+'Insumos - OPEX'!L$29*'Insumos - OPEX'!L$39)*(1+'Insumos - OPEX'!L$38))</f>
        <v>0</v>
      </c>
      <c r="Q164" s="211">
        <f>IF(OR($B164="Ce Co No Imputables",$G164="M2 fijo"),$M164*(1+'Insumos - OPEX'!M$38),$M164*(1+'Insumos - OPEX'!M$29*'Insumos - OPEX'!M$39)*(1+'Insumos - OPEX'!M$38))</f>
        <v>0</v>
      </c>
      <c r="R164" s="211">
        <f>IF(OR($B164="Ce Co No Imputables",$G164="M2 fijo"),$M164*(1+'Insumos - OPEX'!N$38),$M164*(1+'Insumos - OPEX'!N$29*'Insumos - OPEX'!N$39)*(1+'Insumos - OPEX'!N$38))</f>
        <v>0</v>
      </c>
      <c r="S164" s="111"/>
    </row>
    <row r="165" spans="1:19" x14ac:dyDescent="0.2">
      <c r="A165" s="8"/>
      <c r="B165" s="8" t="s">
        <v>301</v>
      </c>
      <c r="C165" s="8" t="s">
        <v>170</v>
      </c>
      <c r="D165" s="8">
        <v>6250000007</v>
      </c>
      <c r="E165" s="8" t="s">
        <v>260</v>
      </c>
      <c r="F165" s="89" t="s">
        <v>469</v>
      </c>
      <c r="G165" s="73" t="s">
        <v>136</v>
      </c>
      <c r="H165" s="112" t="s">
        <v>61</v>
      </c>
      <c r="I165" s="13" t="s">
        <v>436</v>
      </c>
      <c r="K165" s="186">
        <v>0</v>
      </c>
      <c r="L165" s="187"/>
      <c r="M165" s="214">
        <f>IF(OR(E165="Distribución Legal de la Renta",E165="Acopio carros portaequipajes"),0,IF(K165&lt;0,0,K165*(1+SUMIFS('Insumos - OPEX'!$G$82:$G$238,'Insumos - OPEX'!$B$82:$B$238,OPEX!D165))))</f>
        <v>0</v>
      </c>
      <c r="N165" s="211">
        <f>IF(OR($B165="Ce Co No Imputables",$G165="M2 fijo"),$M165*(1+'Insumos - OPEX'!J$38),$M165*(1+'Insumos - OPEX'!J$29*'Insumos - OPEX'!J$39)*(1+'Insumos - OPEX'!J$38))</f>
        <v>0</v>
      </c>
      <c r="O165" s="211">
        <f>IF(OR($B165="Ce Co No Imputables",$G165="M2 fijo"),$M165*(1+'Insumos - OPEX'!K$38),$M165*(1+'Insumos - OPEX'!K$29*'Insumos - OPEX'!K$39)*(1+'Insumos - OPEX'!K$38))</f>
        <v>0</v>
      </c>
      <c r="P165" s="211">
        <f>IF(OR($B165="Ce Co No Imputables",$G165="M2 fijo"),$M165*(1+'Insumos - OPEX'!L$38),$M165*(1+'Insumos - OPEX'!L$29*'Insumos - OPEX'!L$39)*(1+'Insumos - OPEX'!L$38))</f>
        <v>0</v>
      </c>
      <c r="Q165" s="211">
        <f>IF(OR($B165="Ce Co No Imputables",$G165="M2 fijo"),$M165*(1+'Insumos - OPEX'!M$38),$M165*(1+'Insumos - OPEX'!M$29*'Insumos - OPEX'!M$39)*(1+'Insumos - OPEX'!M$38))</f>
        <v>0</v>
      </c>
      <c r="R165" s="211">
        <f>IF(OR($B165="Ce Co No Imputables",$G165="M2 fijo"),$M165*(1+'Insumos - OPEX'!N$38),$M165*(1+'Insumos - OPEX'!N$29*'Insumos - OPEX'!N$39)*(1+'Insumos - OPEX'!N$38))</f>
        <v>0</v>
      </c>
      <c r="S165" s="111"/>
    </row>
    <row r="166" spans="1:19" x14ac:dyDescent="0.2">
      <c r="A166" s="8"/>
      <c r="B166" s="8" t="s">
        <v>301</v>
      </c>
      <c r="C166" s="8" t="s">
        <v>170</v>
      </c>
      <c r="D166" s="8">
        <v>6231000001</v>
      </c>
      <c r="E166" s="8" t="s">
        <v>258</v>
      </c>
      <c r="F166" s="89" t="s">
        <v>469</v>
      </c>
      <c r="G166" s="73" t="s">
        <v>136</v>
      </c>
      <c r="H166" s="112" t="s">
        <v>61</v>
      </c>
      <c r="I166" s="13" t="s">
        <v>436</v>
      </c>
      <c r="J166" s="11"/>
      <c r="K166" s="186">
        <v>0</v>
      </c>
      <c r="L166" s="187"/>
      <c r="M166" s="214">
        <f>IF(OR(E166="Distribución Legal de la Renta",E166="Acopio carros portaequipajes"),0,IF(K166&lt;0,0,K166*(1+SUMIFS('Insumos - OPEX'!$G$82:$G$238,'Insumos - OPEX'!$B$82:$B$238,OPEX!D166))))</f>
        <v>0</v>
      </c>
      <c r="N166" s="211">
        <f>IF(OR($B166="Ce Co No Imputables",$G166="M2 fijo"),$M166*(1+'Insumos - OPEX'!J$38),$M166*(1+'Insumos - OPEX'!J$29*'Insumos - OPEX'!J$39)*(1+'Insumos - OPEX'!J$38))</f>
        <v>0</v>
      </c>
      <c r="O166" s="211">
        <f>IF(OR($B166="Ce Co No Imputables",$G166="M2 fijo"),$M166*(1+'Insumos - OPEX'!K$38),$M166*(1+'Insumos - OPEX'!K$29*'Insumos - OPEX'!K$39)*(1+'Insumos - OPEX'!K$38))</f>
        <v>0</v>
      </c>
      <c r="P166" s="211">
        <f>IF(OR($B166="Ce Co No Imputables",$G166="M2 fijo"),$M166*(1+'Insumos - OPEX'!L$38),$M166*(1+'Insumos - OPEX'!L$29*'Insumos - OPEX'!L$39)*(1+'Insumos - OPEX'!L$38))</f>
        <v>0</v>
      </c>
      <c r="Q166" s="211">
        <f>IF(OR($B166="Ce Co No Imputables",$G166="M2 fijo"),$M166*(1+'Insumos - OPEX'!M$38),$M166*(1+'Insumos - OPEX'!M$29*'Insumos - OPEX'!M$39)*(1+'Insumos - OPEX'!M$38))</f>
        <v>0</v>
      </c>
      <c r="R166" s="211">
        <f>IF(OR($B166="Ce Co No Imputables",$G166="M2 fijo"),$M166*(1+'Insumos - OPEX'!N$38),$M166*(1+'Insumos - OPEX'!N$29*'Insumos - OPEX'!N$39)*(1+'Insumos - OPEX'!N$38))</f>
        <v>0</v>
      </c>
      <c r="S166" s="111"/>
    </row>
    <row r="167" spans="1:19" x14ac:dyDescent="0.2">
      <c r="A167" s="8"/>
      <c r="B167" s="8" t="s">
        <v>434</v>
      </c>
      <c r="C167" s="8" t="s">
        <v>170</v>
      </c>
      <c r="D167" s="8">
        <v>6211000001</v>
      </c>
      <c r="E167" s="8" t="s">
        <v>253</v>
      </c>
      <c r="F167" s="89" t="s">
        <v>469</v>
      </c>
      <c r="G167" s="73" t="s">
        <v>136</v>
      </c>
      <c r="H167" s="112" t="s">
        <v>61</v>
      </c>
      <c r="I167" s="13" t="s">
        <v>436</v>
      </c>
      <c r="J167" s="11"/>
      <c r="K167" s="186">
        <v>5610675.7894375483</v>
      </c>
      <c r="L167" s="187"/>
      <c r="M167" s="214">
        <f>IF(OR(E167="Distribución Legal de la Renta",E167="Acopio carros portaequipajes"),0,IF(K167&lt;0,0,K167*(1+SUMIFS('Insumos - OPEX'!$G$82:$G$238,'Insumos - OPEX'!$B$82:$B$238,OPEX!D167))))</f>
        <v>8057879.371739069</v>
      </c>
      <c r="N167" s="211">
        <f>IF(OR($B167="Ce Co No Imputables",$G167="M2 fijo"),$M167*(1+'Insumos - OPEX'!J$38),$M167*(1+'Insumos - OPEX'!J$29*'Insumos - OPEX'!J$39)*(1+'Insumos - OPEX'!J$38))</f>
        <v>8520003.758079052</v>
      </c>
      <c r="O167" s="211">
        <f>IF(OR($B167="Ce Co No Imputables",$G167="M2 fijo"),$M167*(1+'Insumos - OPEX'!K$38),$M167*(1+'Insumos - OPEX'!K$29*'Insumos - OPEX'!K$39)*(1+'Insumos - OPEX'!K$38))</f>
        <v>8957489.7874658164</v>
      </c>
      <c r="P167" s="211">
        <f>IF(OR($B167="Ce Co No Imputables",$G167="M2 fijo"),$M167*(1+'Insumos - OPEX'!L$38),$M167*(1+'Insumos - OPEX'!L$29*'Insumos - OPEX'!L$39)*(1+'Insumos - OPEX'!L$38))</f>
        <v>9400511.991694916</v>
      </c>
      <c r="Q167" s="211">
        <f>IF(OR($B167="Ce Co No Imputables",$G167="M2 fijo"),$M167*(1+'Insumos - OPEX'!M$38),$M167*(1+'Insumos - OPEX'!M$29*'Insumos - OPEX'!M$39)*(1+'Insumos - OPEX'!M$38))</f>
        <v>9887530.7428632919</v>
      </c>
      <c r="R167" s="211">
        <f>IF(OR($B167="Ce Co No Imputables",$G167="M2 fijo"),$M167*(1+'Insumos - OPEX'!N$38),$M167*(1+'Insumos - OPEX'!N$29*'Insumos - OPEX'!N$39)*(1+'Insumos - OPEX'!N$38))</f>
        <v>10384260.023184493</v>
      </c>
      <c r="S167" s="111"/>
    </row>
    <row r="168" spans="1:19" x14ac:dyDescent="0.2">
      <c r="A168" s="8"/>
      <c r="B168" s="8" t="s">
        <v>434</v>
      </c>
      <c r="C168" s="8" t="s">
        <v>170</v>
      </c>
      <c r="D168" s="8">
        <v>6212000001</v>
      </c>
      <c r="E168" s="8" t="s">
        <v>254</v>
      </c>
      <c r="F168" s="89" t="s">
        <v>469</v>
      </c>
      <c r="G168" s="73" t="s">
        <v>136</v>
      </c>
      <c r="H168" s="112" t="s">
        <v>61</v>
      </c>
      <c r="I168" s="13" t="s">
        <v>436</v>
      </c>
      <c r="K168" s="186">
        <v>1067617.7738845646</v>
      </c>
      <c r="L168" s="187"/>
      <c r="M168" s="214">
        <f>IF(OR(E168="Distribución Legal de la Renta",E168="Acopio carros portaequipajes"),0,IF(K168&lt;0,0,K168*(1+SUMIFS('Insumos - OPEX'!$G$82:$G$238,'Insumos - OPEX'!$B$82:$B$238,OPEX!D168))))</f>
        <v>1533279.6903506012</v>
      </c>
      <c r="N168" s="211">
        <f>IF(OR($B168="Ce Co No Imputables",$G168="M2 fijo"),$M168*(1+'Insumos - OPEX'!J$38),$M168*(1+'Insumos - OPEX'!J$29*'Insumos - OPEX'!J$39)*(1+'Insumos - OPEX'!J$38))</f>
        <v>1621214.2328402721</v>
      </c>
      <c r="O168" s="211">
        <f>IF(OR($B168="Ce Co No Imputables",$G168="M2 fijo"),$M168*(1+'Insumos - OPEX'!K$38),$M168*(1+'Insumos - OPEX'!K$29*'Insumos - OPEX'!K$39)*(1+'Insumos - OPEX'!K$38))</f>
        <v>1704460.5080356379</v>
      </c>
      <c r="P168" s="211">
        <f>IF(OR($B168="Ce Co No Imputables",$G168="M2 fijo"),$M168*(1+'Insumos - OPEX'!L$38),$M168*(1+'Insumos - OPEX'!L$29*'Insumos - OPEX'!L$39)*(1+'Insumos - OPEX'!L$38))</f>
        <v>1788760.2247205542</v>
      </c>
      <c r="Q168" s="211">
        <f>IF(OR($B168="Ce Co No Imputables",$G168="M2 fijo"),$M168*(1+'Insumos - OPEX'!M$38),$M168*(1+'Insumos - OPEX'!M$29*'Insumos - OPEX'!M$39)*(1+'Insumos - OPEX'!M$38))</f>
        <v>1881431.7485218865</v>
      </c>
      <c r="R168" s="211">
        <f>IF(OR($B168="Ce Co No Imputables",$G168="M2 fijo"),$M168*(1+'Insumos - OPEX'!N$38),$M168*(1+'Insumos - OPEX'!N$29*'Insumos - OPEX'!N$39)*(1+'Insumos - OPEX'!N$38))</f>
        <v>1975951.023629202</v>
      </c>
      <c r="S168" s="111"/>
    </row>
    <row r="169" spans="1:19" x14ac:dyDescent="0.2">
      <c r="A169" s="8"/>
      <c r="B169" s="8" t="s">
        <v>434</v>
      </c>
      <c r="C169" s="8" t="s">
        <v>170</v>
      </c>
      <c r="D169" s="8">
        <v>6290000001</v>
      </c>
      <c r="E169" s="8" t="s">
        <v>426</v>
      </c>
      <c r="F169" s="89" t="s">
        <v>469</v>
      </c>
      <c r="G169" s="73" t="s">
        <v>136</v>
      </c>
      <c r="H169" s="112" t="s">
        <v>61</v>
      </c>
      <c r="I169" s="13" t="s">
        <v>436</v>
      </c>
      <c r="K169" s="186">
        <v>575906.2731901143</v>
      </c>
      <c r="L169" s="187"/>
      <c r="M169" s="214">
        <f>IF(OR(E169="Distribución Legal de la Renta",E169="Acopio carros portaequipajes"),0,IF(K169&lt;0,0,K169*(1+SUMIFS('Insumos - OPEX'!$G$82:$G$238,'Insumos - OPEX'!$B$82:$B$238,OPEX!D169))))</f>
        <v>827098.81179196597</v>
      </c>
      <c r="N169" s="211">
        <f>IF(OR($B169="Ce Co No Imputables",$G169="M2 fijo"),$M169*(1+'Insumos - OPEX'!J$38),$M169*(1+'Insumos - OPEX'!J$29*'Insumos - OPEX'!J$39)*(1+'Insumos - OPEX'!J$38))</f>
        <v>874533.4423204941</v>
      </c>
      <c r="O169" s="211">
        <f>IF(OR($B169="Ce Co No Imputables",$G169="M2 fijo"),$M169*(1+'Insumos - OPEX'!K$38),$M169*(1+'Insumos - OPEX'!K$29*'Insumos - OPEX'!K$39)*(1+'Insumos - OPEX'!K$38))</f>
        <v>919439.07547634072</v>
      </c>
      <c r="P169" s="211">
        <f>IF(OR($B169="Ce Co No Imputables",$G169="M2 fijo"),$M169*(1+'Insumos - OPEX'!L$38),$M169*(1+'Insumos - OPEX'!L$29*'Insumos - OPEX'!L$39)*(1+'Insumos - OPEX'!L$38))</f>
        <v>964912.96777615359</v>
      </c>
      <c r="Q169" s="211">
        <f>IF(OR($B169="Ce Co No Imputables",$G169="M2 fijo"),$M169*(1+'Insumos - OPEX'!M$38),$M169*(1+'Insumos - OPEX'!M$29*'Insumos - OPEX'!M$39)*(1+'Insumos - OPEX'!M$38))</f>
        <v>1014902.8735352956</v>
      </c>
      <c r="R169" s="211">
        <f>IF(OR($B169="Ce Co No Imputables",$G169="M2 fijo"),$M169*(1+'Insumos - OPEX'!N$38),$M169*(1+'Insumos - OPEX'!N$29*'Insumos - OPEX'!N$39)*(1+'Insumos - OPEX'!N$38))</f>
        <v>1065889.5138884478</v>
      </c>
      <c r="S169" s="111"/>
    </row>
    <row r="170" spans="1:19" x14ac:dyDescent="0.2">
      <c r="A170" s="8"/>
      <c r="B170" s="8" t="s">
        <v>434</v>
      </c>
      <c r="C170" s="8" t="s">
        <v>170</v>
      </c>
      <c r="D170" s="8">
        <v>6213000001</v>
      </c>
      <c r="E170" s="8" t="s">
        <v>255</v>
      </c>
      <c r="F170" s="89" t="s">
        <v>469</v>
      </c>
      <c r="G170" s="73" t="s">
        <v>136</v>
      </c>
      <c r="H170" s="112" t="s">
        <v>61</v>
      </c>
      <c r="I170" s="13" t="s">
        <v>436</v>
      </c>
      <c r="K170" s="186">
        <v>566810.7486170067</v>
      </c>
      <c r="L170" s="187"/>
      <c r="M170" s="214">
        <f>IF(OR(E170="Distribución Legal de la Renta",E170="Acopio carros portaequipajes"),0,IF(K170&lt;0,0,K170*(1+SUMIFS('Insumos - OPEX'!$G$82:$G$238,'Insumos - OPEX'!$B$82:$B$238,OPEX!D170))))</f>
        <v>814036.10017160035</v>
      </c>
      <c r="N170" s="211">
        <f>IF(OR($B170="Ce Co No Imputables",$G170="M2 fijo"),$M170*(1+'Insumos - OPEX'!J$38),$M170*(1+'Insumos - OPEX'!J$29*'Insumos - OPEX'!J$39)*(1+'Insumos - OPEX'!J$38))</f>
        <v>860721.57607606344</v>
      </c>
      <c r="O170" s="211">
        <f>IF(OR($B170="Ce Co No Imputables",$G170="M2 fijo"),$M170*(1+'Insumos - OPEX'!K$38),$M170*(1+'Insumos - OPEX'!K$29*'Insumos - OPEX'!K$39)*(1+'Insumos - OPEX'!K$38))</f>
        <v>904917.99610322225</v>
      </c>
      <c r="P170" s="211">
        <f>IF(OR($B170="Ce Co No Imputables",$G170="M2 fijo"),$M170*(1+'Insumos - OPEX'!L$38),$M170*(1+'Insumos - OPEX'!L$29*'Insumos - OPEX'!L$39)*(1+'Insumos - OPEX'!L$38))</f>
        <v>949673.70052403072</v>
      </c>
      <c r="Q170" s="211">
        <f>IF(OR($B170="Ce Co No Imputables",$G170="M2 fijo"),$M170*(1+'Insumos - OPEX'!M$38),$M170*(1+'Insumos - OPEX'!M$29*'Insumos - OPEX'!M$39)*(1+'Insumos - OPEX'!M$38))</f>
        <v>998874.09514671471</v>
      </c>
      <c r="R170" s="211">
        <f>IF(OR($B170="Ce Co No Imputables",$G170="M2 fijo"),$M170*(1+'Insumos - OPEX'!N$38),$M170*(1+'Insumos - OPEX'!N$29*'Insumos - OPEX'!N$39)*(1+'Insumos - OPEX'!N$38))</f>
        <v>1049055.4825241293</v>
      </c>
      <c r="S170" s="111"/>
    </row>
    <row r="171" spans="1:19" x14ac:dyDescent="0.2">
      <c r="A171" s="8"/>
      <c r="B171" s="8" t="s">
        <v>434</v>
      </c>
      <c r="C171" s="8" t="s">
        <v>170</v>
      </c>
      <c r="D171" s="8">
        <v>6270000002</v>
      </c>
      <c r="E171" s="8" t="s">
        <v>427</v>
      </c>
      <c r="F171" s="89" t="s">
        <v>469</v>
      </c>
      <c r="G171" s="73" t="s">
        <v>136</v>
      </c>
      <c r="H171" s="112" t="s">
        <v>61</v>
      </c>
      <c r="I171" s="13" t="s">
        <v>436</v>
      </c>
      <c r="J171" s="11"/>
      <c r="K171" s="186">
        <v>503996.0508754875</v>
      </c>
      <c r="L171" s="187"/>
      <c r="M171" s="214">
        <f>IF(OR(E171="Distribución Legal de la Renta",E171="Acopio carros portaequipajes"),0,IF(K171&lt;0,0,K171*(1+SUMIFS('Insumos - OPEX'!$G$82:$G$238,'Insumos - OPEX'!$B$82:$B$238,OPEX!D171))))</f>
        <v>723823.5703144524</v>
      </c>
      <c r="N171" s="211">
        <f>IF(OR($B171="Ce Co No Imputables",$G171="M2 fijo"),$M171*(1+'Insumos - OPEX'!J$38),$M171*(1+'Insumos - OPEX'!J$29*'Insumos - OPEX'!J$39)*(1+'Insumos - OPEX'!J$38))</f>
        <v>765335.30160483904</v>
      </c>
      <c r="O171" s="211">
        <f>IF(OR($B171="Ce Co No Imputables",$G171="M2 fijo"),$M171*(1+'Insumos - OPEX'!K$38),$M171*(1+'Insumos - OPEX'!K$29*'Insumos - OPEX'!K$39)*(1+'Insumos - OPEX'!K$38))</f>
        <v>804633.81739846501</v>
      </c>
      <c r="P171" s="211">
        <f>IF(OR($B171="Ce Co No Imputables",$G171="M2 fijo"),$M171*(1+'Insumos - OPEX'!L$38),$M171*(1+'Insumos - OPEX'!L$29*'Insumos - OPEX'!L$39)*(1+'Insumos - OPEX'!L$38))</f>
        <v>844429.63696835749</v>
      </c>
      <c r="Q171" s="211">
        <f>IF(OR($B171="Ce Co No Imputables",$G171="M2 fijo"),$M171*(1+'Insumos - OPEX'!M$38),$M171*(1+'Insumos - OPEX'!M$29*'Insumos - OPEX'!M$39)*(1+'Insumos - OPEX'!M$38))</f>
        <v>888177.58044305595</v>
      </c>
      <c r="R171" s="211">
        <f>IF(OR($B171="Ce Co No Imputables",$G171="M2 fijo"),$M171*(1+'Insumos - OPEX'!N$38),$M171*(1+'Insumos - OPEX'!N$29*'Insumos - OPEX'!N$39)*(1+'Insumos - OPEX'!N$38))</f>
        <v>932797.80179097399</v>
      </c>
      <c r="S171" s="111"/>
    </row>
    <row r="172" spans="1:19" x14ac:dyDescent="0.2">
      <c r="A172" s="8"/>
      <c r="B172" s="8" t="s">
        <v>434</v>
      </c>
      <c r="C172" s="8" t="s">
        <v>170</v>
      </c>
      <c r="D172" s="8">
        <v>8710000001</v>
      </c>
      <c r="E172" s="8" t="s">
        <v>268</v>
      </c>
      <c r="F172" s="89" t="s">
        <v>469</v>
      </c>
      <c r="G172" s="73" t="s">
        <v>136</v>
      </c>
      <c r="H172" s="112" t="s">
        <v>61</v>
      </c>
      <c r="I172" s="13" t="s">
        <v>436</v>
      </c>
      <c r="K172" s="186">
        <v>270813.56769829901</v>
      </c>
      <c r="L172" s="187"/>
      <c r="M172" s="214">
        <f>IF(OR(E172="Distribución Legal de la Renta",E172="Acopio carros portaequipajes"),0,IF(K172&lt;0,0,K172*(1+SUMIFS('Insumos - OPEX'!$G$82:$G$238,'Insumos - OPEX'!$B$82:$B$238,OPEX!D172))))</f>
        <v>0</v>
      </c>
      <c r="N172" s="211">
        <f>IF(OR($B172="Ce Co No Imputables",$G172="M2 fijo"),$M172*(1+'Insumos - OPEX'!J$38),$M172*(1+'Insumos - OPEX'!J$29*'Insumos - OPEX'!J$39)*(1+'Insumos - OPEX'!J$38))</f>
        <v>0</v>
      </c>
      <c r="O172" s="211">
        <f>IF(OR($B172="Ce Co No Imputables",$G172="M2 fijo"),$M172*(1+'Insumos - OPEX'!K$38),$M172*(1+'Insumos - OPEX'!K$29*'Insumos - OPEX'!K$39)*(1+'Insumos - OPEX'!K$38))</f>
        <v>0</v>
      </c>
      <c r="P172" s="211">
        <f>IF(OR($B172="Ce Co No Imputables",$G172="M2 fijo"),$M172*(1+'Insumos - OPEX'!L$38),$M172*(1+'Insumos - OPEX'!L$29*'Insumos - OPEX'!L$39)*(1+'Insumos - OPEX'!L$38))</f>
        <v>0</v>
      </c>
      <c r="Q172" s="211">
        <f>IF(OR($B172="Ce Co No Imputables",$G172="M2 fijo"),$M172*(1+'Insumos - OPEX'!M$38),$M172*(1+'Insumos - OPEX'!M$29*'Insumos - OPEX'!M$39)*(1+'Insumos - OPEX'!M$38))</f>
        <v>0</v>
      </c>
      <c r="R172" s="211">
        <f>IF(OR($B172="Ce Co No Imputables",$G172="M2 fijo"),$M172*(1+'Insumos - OPEX'!N$38),$M172*(1+'Insumos - OPEX'!N$29*'Insumos - OPEX'!N$39)*(1+'Insumos - OPEX'!N$38))</f>
        <v>0</v>
      </c>
      <c r="S172" s="111"/>
    </row>
    <row r="173" spans="1:19" x14ac:dyDescent="0.2">
      <c r="A173" s="8"/>
      <c r="B173" s="8" t="s">
        <v>434</v>
      </c>
      <c r="C173" s="8" t="s">
        <v>170</v>
      </c>
      <c r="D173" s="8">
        <v>6270000001</v>
      </c>
      <c r="E173" s="8" t="s">
        <v>259</v>
      </c>
      <c r="F173" s="89" t="s">
        <v>469</v>
      </c>
      <c r="G173" s="73" t="s">
        <v>136</v>
      </c>
      <c r="H173" s="112" t="s">
        <v>61</v>
      </c>
      <c r="I173" s="13" t="s">
        <v>436</v>
      </c>
      <c r="J173" s="40"/>
      <c r="K173" s="186">
        <v>247905.62686987402</v>
      </c>
      <c r="L173" s="187"/>
      <c r="M173" s="214">
        <f>IF(OR(E173="Distribución Legal de la Renta",E173="Acopio carros portaequipajes"),0,IF(K173&lt;0,0,K173*(1+SUMIFS('Insumos - OPEX'!$G$82:$G$238,'Insumos - OPEX'!$B$82:$B$238,OPEX!D173))))</f>
        <v>356034.40866310557</v>
      </c>
      <c r="N173" s="211">
        <f>IF(OR($B173="Ce Co No Imputables",$G173="M2 fijo"),$M173*(1+'Insumos - OPEX'!J$38),$M173*(1+'Insumos - OPEX'!J$29*'Insumos - OPEX'!J$39)*(1+'Insumos - OPEX'!J$38))</f>
        <v>376453.20311619836</v>
      </c>
      <c r="O173" s="211">
        <f>IF(OR($B173="Ce Co No Imputables",$G173="M2 fijo"),$M173*(1+'Insumos - OPEX'!K$38),$M173*(1+'Insumos - OPEX'!K$29*'Insumos - OPEX'!K$39)*(1+'Insumos - OPEX'!K$38))</f>
        <v>395783.36091396515</v>
      </c>
      <c r="P173" s="211">
        <f>IF(OR($B173="Ce Co No Imputables",$G173="M2 fijo"),$M173*(1+'Insumos - OPEX'!L$38),$M173*(1+'Insumos - OPEX'!L$29*'Insumos - OPEX'!L$39)*(1+'Insumos - OPEX'!L$38))</f>
        <v>415358.13254191168</v>
      </c>
      <c r="Q173" s="211">
        <f>IF(OR($B173="Ce Co No Imputables",$G173="M2 fijo"),$M173*(1+'Insumos - OPEX'!M$38),$M173*(1+'Insumos - OPEX'!M$29*'Insumos - OPEX'!M$39)*(1+'Insumos - OPEX'!M$38))</f>
        <v>436876.8752632555</v>
      </c>
      <c r="R173" s="211">
        <f>IF(OR($B173="Ce Co No Imputables",$G173="M2 fijo"),$M173*(1+'Insumos - OPEX'!N$38),$M173*(1+'Insumos - OPEX'!N$29*'Insumos - OPEX'!N$39)*(1+'Insumos - OPEX'!N$38))</f>
        <v>458824.67411031621</v>
      </c>
      <c r="S173" s="111"/>
    </row>
    <row r="174" spans="1:19" x14ac:dyDescent="0.2">
      <c r="A174" s="8"/>
      <c r="B174" s="8" t="s">
        <v>434</v>
      </c>
      <c r="C174" s="8" t="s">
        <v>170</v>
      </c>
      <c r="D174" s="8">
        <v>6214000001</v>
      </c>
      <c r="E174" s="8" t="s">
        <v>256</v>
      </c>
      <c r="F174" s="89" t="s">
        <v>469</v>
      </c>
      <c r="G174" s="73" t="s">
        <v>136</v>
      </c>
      <c r="H174" s="112" t="s">
        <v>61</v>
      </c>
      <c r="I174" s="13" t="s">
        <v>436</v>
      </c>
      <c r="K174" s="186">
        <v>160278.06132253038</v>
      </c>
      <c r="L174" s="187"/>
      <c r="M174" s="214">
        <f>IF(OR(E174="Distribución Legal de la Renta",E174="Acopio carros portaequipajes"),0,IF(K174&lt;0,0,K174*(1+SUMIFS('Insumos - OPEX'!$G$82:$G$238,'Insumos - OPEX'!$B$82:$B$238,OPEX!D174))))</f>
        <v>230186.40401651434</v>
      </c>
      <c r="N174" s="211">
        <f>IF(OR($B174="Ce Co No Imputables",$G174="M2 fijo"),$M174*(1+'Insumos - OPEX'!J$38),$M174*(1+'Insumos - OPEX'!J$29*'Insumos - OPEX'!J$39)*(1+'Insumos - OPEX'!J$38))</f>
        <v>243387.73724483507</v>
      </c>
      <c r="O174" s="211">
        <f>IF(OR($B174="Ce Co No Imputables",$G174="M2 fijo"),$M174*(1+'Insumos - OPEX'!K$38),$M174*(1+'Insumos - OPEX'!K$29*'Insumos - OPEX'!K$39)*(1+'Insumos - OPEX'!K$38))</f>
        <v>255885.23581315484</v>
      </c>
      <c r="P174" s="211">
        <f>IF(OR($B174="Ce Co No Imputables",$G174="M2 fijo"),$M174*(1+'Insumos - OPEX'!L$38),$M174*(1+'Insumos - OPEX'!L$29*'Insumos - OPEX'!L$39)*(1+'Insumos - OPEX'!L$38))</f>
        <v>268540.88420231122</v>
      </c>
      <c r="Q174" s="211">
        <f>IF(OR($B174="Ce Co No Imputables",$G174="M2 fijo"),$M174*(1+'Insumos - OPEX'!M$38),$M174*(1+'Insumos - OPEX'!M$29*'Insumos - OPEX'!M$39)*(1+'Insumos - OPEX'!M$38))</f>
        <v>282453.36537114601</v>
      </c>
      <c r="R174" s="211">
        <f>IF(OR($B174="Ce Co No Imputables",$G174="M2 fijo"),$M174*(1+'Insumos - OPEX'!N$38),$M174*(1+'Insumos - OPEX'!N$29*'Insumos - OPEX'!N$39)*(1+'Insumos - OPEX'!N$38))</f>
        <v>296643.24356761883</v>
      </c>
      <c r="S174" s="111"/>
    </row>
    <row r="175" spans="1:19" x14ac:dyDescent="0.2">
      <c r="A175" s="8"/>
      <c r="B175" s="8" t="s">
        <v>434</v>
      </c>
      <c r="C175" s="8" t="s">
        <v>170</v>
      </c>
      <c r="D175" s="8">
        <v>6270000006</v>
      </c>
      <c r="E175" s="8" t="s">
        <v>261</v>
      </c>
      <c r="F175" s="89" t="s">
        <v>469</v>
      </c>
      <c r="G175" s="73" t="s">
        <v>136</v>
      </c>
      <c r="H175" s="112" t="s">
        <v>61</v>
      </c>
      <c r="I175" s="13" t="s">
        <v>436</v>
      </c>
      <c r="K175" s="186">
        <v>142967.63661312277</v>
      </c>
      <c r="L175" s="187"/>
      <c r="M175" s="214">
        <f>IF(OR(E175="Distribución Legal de la Renta",E175="Acopio carros portaequipajes"),0,IF(K175&lt;0,0,K175*(1+SUMIFS('Insumos - OPEX'!$G$82:$G$238,'Insumos - OPEX'!$B$82:$B$238,OPEX!D175))))</f>
        <v>205325.70640775788</v>
      </c>
      <c r="N175" s="211">
        <f>IF(OR($B175="Ce Co No Imputables",$G175="M2 fijo"),$M175*(1+'Insumos - OPEX'!J$38),$M175*(1+'Insumos - OPEX'!J$29*'Insumos - OPEX'!J$39)*(1+'Insumos - OPEX'!J$38))</f>
        <v>217101.26318840377</v>
      </c>
      <c r="O175" s="211">
        <f>IF(OR($B175="Ce Co No Imputables",$G175="M2 fijo"),$M175*(1+'Insumos - OPEX'!K$38),$M175*(1+'Insumos - OPEX'!K$29*'Insumos - OPEX'!K$39)*(1+'Insumos - OPEX'!K$38))</f>
        <v>228249.00118289498</v>
      </c>
      <c r="P175" s="211">
        <f>IF(OR($B175="Ce Co No Imputables",$G175="M2 fijo"),$M175*(1+'Insumos - OPEX'!L$38),$M175*(1+'Insumos - OPEX'!L$29*'Insumos - OPEX'!L$39)*(1+'Insumos - OPEX'!L$38))</f>
        <v>239537.80842871874</v>
      </c>
      <c r="Q175" s="211">
        <f>IF(OR($B175="Ce Co No Imputables",$G175="M2 fijo"),$M175*(1+'Insumos - OPEX'!M$38),$M175*(1+'Insumos - OPEX'!M$29*'Insumos - OPEX'!M$39)*(1+'Insumos - OPEX'!M$38))</f>
        <v>251947.70742375535</v>
      </c>
      <c r="R175" s="211">
        <f>IF(OR($B175="Ce Co No Imputables",$G175="M2 fijo"),$M175*(1+'Insumos - OPEX'!N$38),$M175*(1+'Insumos - OPEX'!N$29*'Insumos - OPEX'!N$39)*(1+'Insumos - OPEX'!N$38))</f>
        <v>264605.04388539016</v>
      </c>
      <c r="S175" s="111"/>
    </row>
    <row r="176" spans="1:19" x14ac:dyDescent="0.2">
      <c r="A176" s="8"/>
      <c r="B176" s="8" t="s">
        <v>434</v>
      </c>
      <c r="C176" s="8" t="s">
        <v>170</v>
      </c>
      <c r="D176" s="8">
        <v>6250000003</v>
      </c>
      <c r="E176" s="8" t="s">
        <v>428</v>
      </c>
      <c r="F176" s="89" t="s">
        <v>469</v>
      </c>
      <c r="G176" s="73" t="s">
        <v>136</v>
      </c>
      <c r="H176" s="112" t="s">
        <v>61</v>
      </c>
      <c r="I176" s="13" t="s">
        <v>436</v>
      </c>
      <c r="K176" s="186">
        <v>67465.884224211186</v>
      </c>
      <c r="L176" s="187"/>
      <c r="M176" s="214">
        <f>IF(OR(E176="Distribución Legal de la Renta",E176="Acopio carros portaequipajes"),0,IF(K176&lt;0,0,K176*(1+SUMIFS('Insumos - OPEX'!$G$82:$G$238,'Insumos - OPEX'!$B$82:$B$238,OPEX!D176))))</f>
        <v>96892.420305202642</v>
      </c>
      <c r="N176" s="211">
        <f>IF(OR($B176="Ce Co No Imputables",$G176="M2 fijo"),$M176*(1+'Insumos - OPEX'!J$38),$M176*(1+'Insumos - OPEX'!J$29*'Insumos - OPEX'!J$39)*(1+'Insumos - OPEX'!J$38))</f>
        <v>102449.26078504142</v>
      </c>
      <c r="O176" s="211">
        <f>IF(OR($B176="Ce Co No Imputables",$G176="M2 fijo"),$M176*(1+'Insumos - OPEX'!K$38),$M176*(1+'Insumos - OPEX'!K$29*'Insumos - OPEX'!K$39)*(1+'Insumos - OPEX'!K$38))</f>
        <v>107709.83596635592</v>
      </c>
      <c r="P176" s="211">
        <f>IF(OR($B176="Ce Co No Imputables",$G176="M2 fijo"),$M176*(1+'Insumos - OPEX'!L$38),$M176*(1+'Insumos - OPEX'!L$29*'Insumos - OPEX'!L$39)*(1+'Insumos - OPEX'!L$38))</f>
        <v>113036.98119109747</v>
      </c>
      <c r="Q176" s="211">
        <f>IF(OR($B176="Ce Co No Imputables",$G176="M2 fijo"),$M176*(1+'Insumos - OPEX'!M$38),$M176*(1+'Insumos - OPEX'!M$29*'Insumos - OPEX'!M$39)*(1+'Insumos - OPEX'!M$38))</f>
        <v>118893.16535044619</v>
      </c>
      <c r="R176" s="211">
        <f>IF(OR($B176="Ce Co No Imputables",$G176="M2 fijo"),$M176*(1+'Insumos - OPEX'!N$38),$M176*(1+'Insumos - OPEX'!N$29*'Insumos - OPEX'!N$39)*(1+'Insumos - OPEX'!N$38))</f>
        <v>124866.11430964552</v>
      </c>
      <c r="S176" s="111"/>
    </row>
    <row r="177" spans="1:19" x14ac:dyDescent="0.2">
      <c r="A177" s="8"/>
      <c r="B177" s="8" t="s">
        <v>434</v>
      </c>
      <c r="C177" s="8" t="s">
        <v>170</v>
      </c>
      <c r="D177" s="8">
        <v>6221000001</v>
      </c>
      <c r="E177" s="8" t="s">
        <v>257</v>
      </c>
      <c r="F177" s="89" t="s">
        <v>469</v>
      </c>
      <c r="G177" s="73" t="s">
        <v>136</v>
      </c>
      <c r="H177" s="112" t="s">
        <v>61</v>
      </c>
      <c r="I177" s="13" t="s">
        <v>436</v>
      </c>
      <c r="K177" s="186">
        <v>59421.733144107522</v>
      </c>
      <c r="L177" s="187"/>
      <c r="M177" s="214">
        <f>IF(OR(E177="Distribución Legal de la Renta",E177="Acopio carros portaequipajes"),0,IF(K177&lt;0,0,K177*(1+SUMIFS('Insumos - OPEX'!$G$82:$G$238,'Insumos - OPEX'!$B$82:$B$238,OPEX!D177))))</f>
        <v>85339.658840434829</v>
      </c>
      <c r="N177" s="211">
        <f>IF(OR($B177="Ce Co No Imputables",$G177="M2 fijo"),$M177*(1+'Insumos - OPEX'!J$38),$M177*(1+'Insumos - OPEX'!J$29*'Insumos - OPEX'!J$39)*(1+'Insumos - OPEX'!J$38))</f>
        <v>90233.94127539116</v>
      </c>
      <c r="O177" s="211">
        <f>IF(OR($B177="Ce Co No Imputables",$G177="M2 fijo"),$M177*(1+'Insumos - OPEX'!K$38),$M177*(1+'Insumos - OPEX'!K$29*'Insumos - OPEX'!K$39)*(1+'Insumos - OPEX'!K$38))</f>
        <v>94867.282973985639</v>
      </c>
      <c r="P177" s="211">
        <f>IF(OR($B177="Ce Co No Imputables",$G177="M2 fijo"),$M177*(1+'Insumos - OPEX'!L$38),$M177*(1+'Insumos - OPEX'!L$29*'Insumos - OPEX'!L$39)*(1+'Insumos - OPEX'!L$38))</f>
        <v>99559.257378597409</v>
      </c>
      <c r="Q177" s="211">
        <f>IF(OR($B177="Ce Co No Imputables",$G177="M2 fijo"),$M177*(1+'Insumos - OPEX'!M$38),$M177*(1+'Insumos - OPEX'!M$29*'Insumos - OPEX'!M$39)*(1+'Insumos - OPEX'!M$38))</f>
        <v>104717.19188669787</v>
      </c>
      <c r="R177" s="211">
        <f>IF(OR($B177="Ce Co No Imputables",$G177="M2 fijo"),$M177*(1+'Insumos - OPEX'!N$38),$M177*(1+'Insumos - OPEX'!N$29*'Insumos - OPEX'!N$39)*(1+'Insumos - OPEX'!N$38))</f>
        <v>109977.96899231456</v>
      </c>
      <c r="S177" s="111"/>
    </row>
    <row r="178" spans="1:19" x14ac:dyDescent="0.2">
      <c r="A178" s="8"/>
      <c r="B178" s="8" t="s">
        <v>434</v>
      </c>
      <c r="C178" s="8" t="s">
        <v>170</v>
      </c>
      <c r="D178" s="8">
        <v>6240000001</v>
      </c>
      <c r="E178" s="8" t="s">
        <v>265</v>
      </c>
      <c r="F178" s="89" t="s">
        <v>469</v>
      </c>
      <c r="G178" s="73" t="s">
        <v>136</v>
      </c>
      <c r="H178" s="112" t="s">
        <v>61</v>
      </c>
      <c r="I178" s="13" t="s">
        <v>436</v>
      </c>
      <c r="J178" s="11"/>
      <c r="K178" s="186">
        <v>46638.24177122589</v>
      </c>
      <c r="L178" s="187"/>
      <c r="M178" s="214">
        <f>IF(OR(E178="Distribución Legal de la Renta",E178="Acopio carros portaequipajes"),0,IF(K178&lt;0,0,K178*(1+SUMIFS('Insumos - OPEX'!$G$82:$G$238,'Insumos - OPEX'!$B$82:$B$238,OPEX!D178))))</f>
        <v>66980.403146804121</v>
      </c>
      <c r="N178" s="211">
        <f>IF(OR($B178="Ce Co No Imputables",$G178="M2 fijo"),$M178*(1+'Insumos - OPEX'!J$38),$M178*(1+'Insumos - OPEX'!J$29*'Insumos - OPEX'!J$39)*(1+'Insumos - OPEX'!J$38))</f>
        <v>70821.77086565856</v>
      </c>
      <c r="O178" s="211">
        <f>IF(OR($B178="Ce Co No Imputables",$G178="M2 fijo"),$M178*(1+'Insumos - OPEX'!K$38),$M178*(1+'Insumos - OPEX'!K$29*'Insumos - OPEX'!K$39)*(1+'Insumos - OPEX'!K$38))</f>
        <v>74458.334441205836</v>
      </c>
      <c r="P178" s="211">
        <f>IF(OR($B178="Ce Co No Imputables",$G178="M2 fijo"),$M178*(1+'Insumos - OPEX'!L$38),$M178*(1+'Insumos - OPEX'!L$29*'Insumos - OPEX'!L$39)*(1+'Insumos - OPEX'!L$38))</f>
        <v>78140.916976050445</v>
      </c>
      <c r="Q178" s="211">
        <f>IF(OR($B178="Ce Co No Imputables",$G178="M2 fijo"),$M178*(1+'Insumos - OPEX'!M$38),$M178*(1+'Insumos - OPEX'!M$29*'Insumos - OPEX'!M$39)*(1+'Insumos - OPEX'!M$38))</f>
        <v>82189.216880826818</v>
      </c>
      <c r="R178" s="211">
        <f>IF(OR($B178="Ce Co No Imputables",$G178="M2 fijo"),$M178*(1+'Insumos - OPEX'!N$38),$M178*(1+'Insumos - OPEX'!N$29*'Insumos - OPEX'!N$39)*(1+'Insumos - OPEX'!N$38))</f>
        <v>86318.234692563477</v>
      </c>
      <c r="S178" s="111"/>
    </row>
    <row r="179" spans="1:19" x14ac:dyDescent="0.2">
      <c r="A179" s="8"/>
      <c r="B179" s="8" t="s">
        <v>434</v>
      </c>
      <c r="C179" s="8" t="s">
        <v>170</v>
      </c>
      <c r="D179" s="8">
        <v>6250000004</v>
      </c>
      <c r="E179" s="8" t="s">
        <v>264</v>
      </c>
      <c r="F179" s="89" t="s">
        <v>469</v>
      </c>
      <c r="G179" s="73" t="s">
        <v>136</v>
      </c>
      <c r="H179" s="112" t="s">
        <v>61</v>
      </c>
      <c r="I179" s="13" t="s">
        <v>436</v>
      </c>
      <c r="K179" s="186">
        <v>41174.207858167567</v>
      </c>
      <c r="L179" s="187"/>
      <c r="M179" s="214">
        <f>IF(OR(E179="Distribución Legal de la Renta",E179="Acopio carros portaequipajes"),0,IF(K179&lt;0,0,K179*(1+SUMIFS('Insumos - OPEX'!$G$82:$G$238,'Insumos - OPEX'!$B$82:$B$238,OPEX!D179))))</f>
        <v>59133.126311204061</v>
      </c>
      <c r="N179" s="211">
        <f>IF(OR($B179="Ce Co No Imputables",$G179="M2 fijo"),$M179*(1+'Insumos - OPEX'!J$38),$M179*(1+'Insumos - OPEX'!J$29*'Insumos - OPEX'!J$39)*(1+'Insumos - OPEX'!J$38))</f>
        <v>62524.447829961442</v>
      </c>
      <c r="O179" s="211">
        <f>IF(OR($B179="Ce Co No Imputables",$G179="M2 fijo"),$M179*(1+'Insumos - OPEX'!K$38),$M179*(1+'Insumos - OPEX'!K$29*'Insumos - OPEX'!K$39)*(1+'Insumos - OPEX'!K$38))</f>
        <v>65734.959608761041</v>
      </c>
      <c r="P179" s="211">
        <f>IF(OR($B179="Ce Co No Imputables",$G179="M2 fijo"),$M179*(1+'Insumos - OPEX'!L$38),$M179*(1+'Insumos - OPEX'!L$29*'Insumos - OPEX'!L$39)*(1+'Insumos - OPEX'!L$38))</f>
        <v>68986.098866718632</v>
      </c>
      <c r="Q179" s="211">
        <f>IF(OR($B179="Ce Co No Imputables",$G179="M2 fijo"),$M179*(1+'Insumos - OPEX'!M$38),$M179*(1+'Insumos - OPEX'!M$29*'Insumos - OPEX'!M$39)*(1+'Insumos - OPEX'!M$38))</f>
        <v>72560.108851252415</v>
      </c>
      <c r="R179" s="211">
        <f>IF(OR($B179="Ce Co No Imputables",$G179="M2 fijo"),$M179*(1+'Insumos - OPEX'!N$38),$M179*(1+'Insumos - OPEX'!N$29*'Insumos - OPEX'!N$39)*(1+'Insumos - OPEX'!N$38))</f>
        <v>76205.380010153836</v>
      </c>
      <c r="S179" s="111"/>
    </row>
    <row r="180" spans="1:19" x14ac:dyDescent="0.2">
      <c r="A180" s="8"/>
      <c r="B180" s="8" t="s">
        <v>434</v>
      </c>
      <c r="C180" s="8" t="s">
        <v>170</v>
      </c>
      <c r="D180" s="8">
        <v>6270000005</v>
      </c>
      <c r="E180" s="8" t="s">
        <v>430</v>
      </c>
      <c r="F180" s="89" t="s">
        <v>469</v>
      </c>
      <c r="G180" s="73" t="s">
        <v>136</v>
      </c>
      <c r="H180" s="112" t="s">
        <v>61</v>
      </c>
      <c r="I180" s="13" t="s">
        <v>436</v>
      </c>
      <c r="K180" s="186">
        <v>28873.135403427073</v>
      </c>
      <c r="L180" s="187"/>
      <c r="M180" s="214">
        <f>IF(OR(E180="Distribución Legal de la Renta",E180="Acopio carros portaequipajes"),0,IF(K180&lt;0,0,K180*(1+SUMIFS('Insumos - OPEX'!$G$82:$G$238,'Insumos - OPEX'!$B$82:$B$238,OPEX!D180))))</f>
        <v>41466.705775923481</v>
      </c>
      <c r="N180" s="211">
        <f>IF(OR($B180="Ce Co No Imputables",$G180="M2 fijo"),$M180*(1+'Insumos - OPEX'!J$38),$M180*(1+'Insumos - OPEX'!J$29*'Insumos - OPEX'!J$39)*(1+'Insumos - OPEX'!J$38))</f>
        <v>43844.847105197754</v>
      </c>
      <c r="O180" s="211">
        <f>IF(OR($B180="Ce Co No Imputables",$G180="M2 fijo"),$M180*(1+'Insumos - OPEX'!K$38),$M180*(1+'Insumos - OPEX'!K$29*'Insumos - OPEX'!K$39)*(1+'Insumos - OPEX'!K$38))</f>
        <v>46096.196824490296</v>
      </c>
      <c r="P180" s="211">
        <f>IF(OR($B180="Ce Co No Imputables",$G180="M2 fijo"),$M180*(1+'Insumos - OPEX'!L$38),$M180*(1+'Insumos - OPEX'!L$29*'Insumos - OPEX'!L$39)*(1+'Insumos - OPEX'!L$38))</f>
        <v>48376.036289374766</v>
      </c>
      <c r="Q180" s="211">
        <f>IF(OR($B180="Ce Co No Imputables",$G180="M2 fijo"),$M180*(1+'Insumos - OPEX'!M$38),$M180*(1+'Insumos - OPEX'!M$29*'Insumos - OPEX'!M$39)*(1+'Insumos - OPEX'!M$38))</f>
        <v>50882.286672432827</v>
      </c>
      <c r="R180" s="211">
        <f>IF(OR($B180="Ce Co No Imputables",$G180="M2 fijo"),$M180*(1+'Insumos - OPEX'!N$38),$M180*(1+'Insumos - OPEX'!N$29*'Insumos - OPEX'!N$39)*(1+'Insumos - OPEX'!N$38))</f>
        <v>53438.508473122311</v>
      </c>
      <c r="S180" s="111"/>
    </row>
    <row r="181" spans="1:19" x14ac:dyDescent="0.2">
      <c r="A181" s="8"/>
      <c r="B181" s="8" t="s">
        <v>434</v>
      </c>
      <c r="C181" s="8" t="s">
        <v>170</v>
      </c>
      <c r="D181" s="8">
        <v>6250000008</v>
      </c>
      <c r="E181" s="8" t="s">
        <v>267</v>
      </c>
      <c r="F181" s="89" t="s">
        <v>469</v>
      </c>
      <c r="G181" s="73" t="s">
        <v>136</v>
      </c>
      <c r="H181" s="112" t="s">
        <v>61</v>
      </c>
      <c r="I181" s="13" t="s">
        <v>436</v>
      </c>
      <c r="K181" s="186">
        <v>27708.164989595643</v>
      </c>
      <c r="L181" s="187"/>
      <c r="M181" s="214">
        <f>IF(OR(E181="Distribución Legal de la Renta",E181="Acopio carros portaequipajes"),0,IF(K181&lt;0,0,K181*(1+SUMIFS('Insumos - OPEX'!$G$82:$G$238,'Insumos - OPEX'!$B$82:$B$238,OPEX!D181))))</f>
        <v>39793.611229278926</v>
      </c>
      <c r="N181" s="211">
        <f>IF(OR($B181="Ce Co No Imputables",$G181="M2 fijo"),$M181*(1+'Insumos - OPEX'!J$38),$M181*(1+'Insumos - OPEX'!J$29*'Insumos - OPEX'!J$39)*(1+'Insumos - OPEX'!J$38))</f>
        <v>42075.799547222618</v>
      </c>
      <c r="O181" s="211">
        <f>IF(OR($B181="Ce Co No Imputables",$G181="M2 fijo"),$M181*(1+'Insumos - OPEX'!K$38),$M181*(1+'Insumos - OPEX'!K$29*'Insumos - OPEX'!K$39)*(1+'Insumos - OPEX'!K$38))</f>
        <v>44236.312030533787</v>
      </c>
      <c r="P181" s="211">
        <f>IF(OR($B181="Ce Co No Imputables",$G181="M2 fijo"),$M181*(1+'Insumos - OPEX'!L$38),$M181*(1+'Insumos - OPEX'!L$29*'Insumos - OPEX'!L$39)*(1+'Insumos - OPEX'!L$38))</f>
        <v>46424.16475799727</v>
      </c>
      <c r="Q181" s="211">
        <f>IF(OR($B181="Ce Co No Imputables",$G181="M2 fijo"),$M181*(1+'Insumos - OPEX'!M$38),$M181*(1+'Insumos - OPEX'!M$29*'Insumos - OPEX'!M$39)*(1+'Insumos - OPEX'!M$38))</f>
        <v>48829.293198283231</v>
      </c>
      <c r="R181" s="211">
        <f>IF(OR($B181="Ce Co No Imputables",$G181="M2 fijo"),$M181*(1+'Insumos - OPEX'!N$38),$M181*(1+'Insumos - OPEX'!N$29*'Insumos - OPEX'!N$39)*(1+'Insumos - OPEX'!N$38))</f>
        <v>51282.376814380514</v>
      </c>
      <c r="S181" s="111"/>
    </row>
    <row r="182" spans="1:19" x14ac:dyDescent="0.2">
      <c r="A182" s="8"/>
      <c r="B182" s="8" t="s">
        <v>434</v>
      </c>
      <c r="C182" s="8" t="s">
        <v>170</v>
      </c>
      <c r="D182" s="8">
        <v>6250000001</v>
      </c>
      <c r="E182" s="8" t="s">
        <v>262</v>
      </c>
      <c r="F182" s="89" t="s">
        <v>469</v>
      </c>
      <c r="G182" s="73" t="s">
        <v>136</v>
      </c>
      <c r="H182" s="112" t="s">
        <v>61</v>
      </c>
      <c r="I182" s="13" t="s">
        <v>436</v>
      </c>
      <c r="K182" s="186">
        <v>25474.186583074217</v>
      </c>
      <c r="L182" s="187"/>
      <c r="M182" s="214">
        <f>IF(OR(E182="Distribución Legal de la Renta",E182="Acopio carros portaequipajes"),0,IF(K182&lt;0,0,K182*(1+SUMIFS('Insumos - OPEX'!$G$82:$G$238,'Insumos - OPEX'!$B$82:$B$238,OPEX!D182))))</f>
        <v>36585.240402950338</v>
      </c>
      <c r="N182" s="211">
        <f>IF(OR($B182="Ce Co No Imputables",$G182="M2 fijo"),$M182*(1+'Insumos - OPEX'!J$38),$M182*(1+'Insumos - OPEX'!J$29*'Insumos - OPEX'!J$39)*(1+'Insumos - OPEX'!J$38))</f>
        <v>38683.426661435529</v>
      </c>
      <c r="O182" s="211">
        <f>IF(OR($B182="Ce Co No Imputables",$G182="M2 fijo"),$M182*(1+'Insumos - OPEX'!K$38),$M182*(1+'Insumos - OPEX'!K$29*'Insumos - OPEX'!K$39)*(1+'Insumos - OPEX'!K$38))</f>
        <v>40669.747232848174</v>
      </c>
      <c r="P182" s="211">
        <f>IF(OR($B182="Ce Co No Imputables",$G182="M2 fijo"),$M182*(1+'Insumos - OPEX'!L$38),$M182*(1+'Insumos - OPEX'!L$29*'Insumos - OPEX'!L$39)*(1+'Insumos - OPEX'!L$38))</f>
        <v>42681.203733725095</v>
      </c>
      <c r="Q182" s="211">
        <f>IF(OR($B182="Ce Co No Imputables",$G182="M2 fijo"),$M182*(1+'Insumos - OPEX'!M$38),$M182*(1+'Insumos - OPEX'!M$29*'Insumos - OPEX'!M$39)*(1+'Insumos - OPEX'!M$38))</f>
        <v>44892.418033449001</v>
      </c>
      <c r="R182" s="211">
        <f>IF(OR($B182="Ce Co No Imputables",$G182="M2 fijo"),$M182*(1+'Insumos - OPEX'!N$38),$M182*(1+'Insumos - OPEX'!N$29*'Insumos - OPEX'!N$39)*(1+'Insumos - OPEX'!N$38))</f>
        <v>47147.721109773593</v>
      </c>
      <c r="S182" s="111"/>
    </row>
    <row r="183" spans="1:19" x14ac:dyDescent="0.2">
      <c r="A183" s="8"/>
      <c r="B183" s="8" t="s">
        <v>434</v>
      </c>
      <c r="C183" s="8" t="s">
        <v>170</v>
      </c>
      <c r="D183" s="8">
        <v>6250000006</v>
      </c>
      <c r="E183" s="8" t="s">
        <v>429</v>
      </c>
      <c r="F183" s="89" t="s">
        <v>469</v>
      </c>
      <c r="G183" s="73" t="s">
        <v>136</v>
      </c>
      <c r="H183" s="112" t="s">
        <v>61</v>
      </c>
      <c r="I183" s="13" t="s">
        <v>436</v>
      </c>
      <c r="K183" s="186">
        <v>20187.15725321525</v>
      </c>
      <c r="L183" s="187"/>
      <c r="M183" s="214">
        <f>IF(OR(E183="Distribución Legal de la Renta",E183="Acopio carros portaequipajes"),0,IF(K183&lt;0,0,K183*(1+SUMIFS('Insumos - OPEX'!$G$82:$G$238,'Insumos - OPEX'!$B$82:$B$238,OPEX!D183))))</f>
        <v>28992.172085752005</v>
      </c>
      <c r="N183" s="211">
        <f>IF(OR($B183="Ce Co No Imputables",$G183="M2 fijo"),$M183*(1+'Insumos - OPEX'!J$38),$M183*(1+'Insumos - OPEX'!J$29*'Insumos - OPEX'!J$39)*(1+'Insumos - OPEX'!J$38))</f>
        <v>30654.891160547457</v>
      </c>
      <c r="O183" s="211">
        <f>IF(OR($B183="Ce Co No Imputables",$G183="M2 fijo"),$M183*(1+'Insumos - OPEX'!K$38),$M183*(1+'Insumos - OPEX'!K$29*'Insumos - OPEX'!K$39)*(1+'Insumos - OPEX'!K$38))</f>
        <v>32228.961665198854</v>
      </c>
      <c r="P183" s="211">
        <f>IF(OR($B183="Ce Co No Imputables",$G183="M2 fijo"),$M183*(1+'Insumos - OPEX'!L$38),$M183*(1+'Insumos - OPEX'!L$29*'Insumos - OPEX'!L$39)*(1+'Insumos - OPEX'!L$38))</f>
        <v>33822.95127341598</v>
      </c>
      <c r="Q183" s="211">
        <f>IF(OR($B183="Ce Co No Imputables",$G183="M2 fijo"),$M183*(1+'Insumos - OPEX'!M$38),$M183*(1+'Insumos - OPEX'!M$29*'Insumos - OPEX'!M$39)*(1+'Insumos - OPEX'!M$38))</f>
        <v>35575.240032215588</v>
      </c>
      <c r="R183" s="211">
        <f>IF(OR($B183="Ce Co No Imputables",$G183="M2 fijo"),$M183*(1+'Insumos - OPEX'!N$38),$M183*(1+'Insumos - OPEX'!N$29*'Insumos - OPEX'!N$39)*(1+'Insumos - OPEX'!N$38))</f>
        <v>37362.467181037478</v>
      </c>
      <c r="S183" s="111"/>
    </row>
    <row r="184" spans="1:19" x14ac:dyDescent="0.2">
      <c r="A184" s="8"/>
      <c r="B184" s="8" t="s">
        <v>434</v>
      </c>
      <c r="C184" s="8" t="s">
        <v>170</v>
      </c>
      <c r="D184" s="8">
        <v>6250000005</v>
      </c>
      <c r="E184" s="8" t="s">
        <v>266</v>
      </c>
      <c r="F184" s="89" t="s">
        <v>469</v>
      </c>
      <c r="G184" s="73" t="s">
        <v>136</v>
      </c>
      <c r="H184" s="112" t="s">
        <v>61</v>
      </c>
      <c r="I184" s="13" t="s">
        <v>436</v>
      </c>
      <c r="K184" s="186">
        <v>16242.997594558161</v>
      </c>
      <c r="L184" s="187"/>
      <c r="M184" s="214">
        <f>IF(OR(E184="Distribución Legal de la Renta",E184="Acopio carros portaequipajes"),0,IF(K184&lt;0,0,K184*(1+SUMIFS('Insumos - OPEX'!$G$82:$G$238,'Insumos - OPEX'!$B$82:$B$238,OPEX!D184))))</f>
        <v>23327.691737026606</v>
      </c>
      <c r="N184" s="211">
        <f>IF(OR($B184="Ce Co No Imputables",$G184="M2 fijo"),$M184*(1+'Insumos - OPEX'!J$38),$M184*(1+'Insumos - OPEX'!J$29*'Insumos - OPEX'!J$39)*(1+'Insumos - OPEX'!J$38))</f>
        <v>24665.549345879725</v>
      </c>
      <c r="O184" s="211">
        <f>IF(OR($B184="Ce Co No Imputables",$G184="M2 fijo"),$M184*(1+'Insumos - OPEX'!K$38),$M184*(1+'Insumos - OPEX'!K$29*'Insumos - OPEX'!K$39)*(1+'Insumos - OPEX'!K$38))</f>
        <v>25932.078510933188</v>
      </c>
      <c r="P184" s="211">
        <f>IF(OR($B184="Ce Co No Imputables",$G184="M2 fijo"),$M184*(1+'Insumos - OPEX'!L$38),$M184*(1+'Insumos - OPEX'!L$29*'Insumos - OPEX'!L$39)*(1+'Insumos - OPEX'!L$38))</f>
        <v>27214.634992128569</v>
      </c>
      <c r="Q184" s="211">
        <f>IF(OR($B184="Ce Co No Imputables",$G184="M2 fijo"),$M184*(1+'Insumos - OPEX'!M$38),$M184*(1+'Insumos - OPEX'!M$29*'Insumos - OPEX'!M$39)*(1+'Insumos - OPEX'!M$38))</f>
        <v>28624.562191740588</v>
      </c>
      <c r="R184" s="211">
        <f>IF(OR($B184="Ce Co No Imputables",$G184="M2 fijo"),$M184*(1+'Insumos - OPEX'!N$38),$M184*(1+'Insumos - OPEX'!N$29*'Insumos - OPEX'!N$39)*(1+'Insumos - OPEX'!N$38))</f>
        <v>30062.601531064578</v>
      </c>
      <c r="S184" s="111"/>
    </row>
    <row r="185" spans="1:19" x14ac:dyDescent="0.2">
      <c r="A185" s="8"/>
      <c r="B185" s="8" t="s">
        <v>434</v>
      </c>
      <c r="C185" s="8" t="s">
        <v>170</v>
      </c>
      <c r="D185" s="8">
        <v>6270000004</v>
      </c>
      <c r="E185" s="8" t="s">
        <v>431</v>
      </c>
      <c r="F185" s="89" t="s">
        <v>469</v>
      </c>
      <c r="G185" s="73" t="s">
        <v>136</v>
      </c>
      <c r="H185" s="112" t="s">
        <v>61</v>
      </c>
      <c r="I185" s="13" t="s">
        <v>436</v>
      </c>
      <c r="K185" s="186">
        <v>15659.687656879058</v>
      </c>
      <c r="L185" s="187"/>
      <c r="M185" s="214">
        <f>IF(OR(E185="Distribución Legal de la Renta",E185="Acopio carros portaequipajes"),0,IF(K185&lt;0,0,K185*(1+SUMIFS('Insumos - OPEX'!$G$82:$G$238,'Insumos - OPEX'!$B$82:$B$238,OPEX!D185))))</f>
        <v>22489.960010840725</v>
      </c>
      <c r="N185" s="211">
        <f>IF(OR($B185="Ce Co No Imputables",$G185="M2 fijo"),$M185*(1+'Insumos - OPEX'!J$38),$M185*(1+'Insumos - OPEX'!J$29*'Insumos - OPEX'!J$39)*(1+'Insumos - OPEX'!J$38))</f>
        <v>23779.773184921221</v>
      </c>
      <c r="O185" s="211">
        <f>IF(OR($B185="Ce Co No Imputables",$G185="M2 fijo"),$M185*(1+'Insumos - OPEX'!K$38),$M185*(1+'Insumos - OPEX'!K$29*'Insumos - OPEX'!K$39)*(1+'Insumos - OPEX'!K$38))</f>
        <v>25000.819424545723</v>
      </c>
      <c r="P185" s="211">
        <f>IF(OR($B185="Ce Co No Imputables",$G185="M2 fijo"),$M185*(1+'Insumos - OPEX'!L$38),$M185*(1+'Insumos - OPEX'!L$29*'Insumos - OPEX'!L$39)*(1+'Insumos - OPEX'!L$38))</f>
        <v>26237.3174158127</v>
      </c>
      <c r="Q185" s="211">
        <f>IF(OR($B185="Ce Co No Imputables",$G185="M2 fijo"),$M185*(1+'Insumos - OPEX'!M$38),$M185*(1+'Insumos - OPEX'!M$29*'Insumos - OPEX'!M$39)*(1+'Insumos - OPEX'!M$38))</f>
        <v>27596.612055630871</v>
      </c>
      <c r="R185" s="211">
        <f>IF(OR($B185="Ce Co No Imputables",$G185="M2 fijo"),$M185*(1+'Insumos - OPEX'!N$38),$M185*(1+'Insumos - OPEX'!N$29*'Insumos - OPEX'!N$39)*(1+'Insumos - OPEX'!N$38))</f>
        <v>28983.00928686995</v>
      </c>
      <c r="S185" s="111"/>
    </row>
    <row r="186" spans="1:19" x14ac:dyDescent="0.2">
      <c r="A186" s="8"/>
      <c r="B186" s="8" t="s">
        <v>434</v>
      </c>
      <c r="C186" s="8" t="s">
        <v>170</v>
      </c>
      <c r="D186" s="8">
        <v>6270000003</v>
      </c>
      <c r="E186" s="8" t="s">
        <v>432</v>
      </c>
      <c r="F186" s="89" t="s">
        <v>469</v>
      </c>
      <c r="G186" s="73" t="s">
        <v>136</v>
      </c>
      <c r="H186" s="112" t="s">
        <v>61</v>
      </c>
      <c r="I186" s="13" t="s">
        <v>436</v>
      </c>
      <c r="K186" s="186">
        <v>12764.390821994753</v>
      </c>
      <c r="L186" s="187"/>
      <c r="M186" s="214">
        <f>IF(OR(E186="Distribución Legal de la Renta",E186="Acopio carros portaequipajes"),0,IF(K186&lt;0,0,K186*(1+SUMIFS('Insumos - OPEX'!$G$82:$G$238,'Insumos - OPEX'!$B$82:$B$238,OPEX!D186))))</f>
        <v>18331.824072065618</v>
      </c>
      <c r="N186" s="211">
        <f>IF(OR($B186="Ce Co No Imputables",$G186="M2 fijo"),$M186*(1+'Insumos - OPEX'!J$38),$M186*(1+'Insumos - OPEX'!J$29*'Insumos - OPEX'!J$39)*(1+'Insumos - OPEX'!J$38))</f>
        <v>19383.16556763426</v>
      </c>
      <c r="O186" s="211">
        <f>IF(OR($B186="Ce Co No Imputables",$G186="M2 fijo"),$M186*(1+'Insumos - OPEX'!K$38),$M186*(1+'Insumos - OPEX'!K$29*'Insumos - OPEX'!K$39)*(1+'Insumos - OPEX'!K$38))</f>
        <v>20378.454347065788</v>
      </c>
      <c r="P186" s="211">
        <f>IF(OR($B186="Ce Co No Imputables",$G186="M2 fijo"),$M186*(1+'Insumos - OPEX'!L$38),$M186*(1+'Insumos - OPEX'!L$29*'Insumos - OPEX'!L$39)*(1+'Insumos - OPEX'!L$38))</f>
        <v>21386.338026291658</v>
      </c>
      <c r="Q186" s="211">
        <f>IF(OR($B186="Ce Co No Imputables",$G186="M2 fijo"),$M186*(1+'Insumos - OPEX'!M$38),$M186*(1+'Insumos - OPEX'!M$29*'Insumos - OPEX'!M$39)*(1+'Insumos - OPEX'!M$38))</f>
        <v>22494.314660631484</v>
      </c>
      <c r="R186" s="211">
        <f>IF(OR($B186="Ce Co No Imputables",$G186="M2 fijo"),$M186*(1+'Insumos - OPEX'!N$38),$M186*(1+'Insumos - OPEX'!N$29*'Insumos - OPEX'!N$39)*(1+'Insumos - OPEX'!N$38))</f>
        <v>23624.38292775258</v>
      </c>
      <c r="S186" s="111"/>
    </row>
    <row r="187" spans="1:19" x14ac:dyDescent="0.2">
      <c r="A187" s="8"/>
      <c r="B187" s="8" t="s">
        <v>434</v>
      </c>
      <c r="C187" s="8" t="s">
        <v>170</v>
      </c>
      <c r="D187" s="8">
        <v>6270000007</v>
      </c>
      <c r="E187" s="8" t="s">
        <v>263</v>
      </c>
      <c r="F187" s="89" t="s">
        <v>469</v>
      </c>
      <c r="G187" s="73" t="s">
        <v>136</v>
      </c>
      <c r="H187" s="112" t="s">
        <v>61</v>
      </c>
      <c r="I187" s="13" t="s">
        <v>436</v>
      </c>
      <c r="K187" s="186">
        <v>12628.609560177694</v>
      </c>
      <c r="L187" s="187"/>
      <c r="M187" s="214">
        <f>IF(OR(E187="Distribución Legal de la Renta",E187="Acopio carros portaequipajes"),0,IF(K187&lt;0,0,K187*(1+SUMIFS('Insumos - OPEX'!$G$82:$G$238,'Insumos - OPEX'!$B$82:$B$238,OPEX!D187))))</f>
        <v>18136.819215302356</v>
      </c>
      <c r="N187" s="211">
        <f>IF(OR($B187="Ce Co No Imputables",$G187="M2 fijo"),$M187*(1+'Insumos - OPEX'!J$38),$M187*(1+'Insumos - OPEX'!J$29*'Insumos - OPEX'!J$39)*(1+'Insumos - OPEX'!J$38))</f>
        <v>19176.977061227259</v>
      </c>
      <c r="O187" s="211">
        <f>IF(OR($B187="Ce Co No Imputables",$G187="M2 fijo"),$M187*(1+'Insumos - OPEX'!K$38),$M187*(1+'Insumos - OPEX'!K$29*'Insumos - OPEX'!K$39)*(1+'Insumos - OPEX'!K$38))</f>
        <v>20161.678452022057</v>
      </c>
      <c r="P187" s="211">
        <f>IF(OR($B187="Ce Co No Imputables",$G187="M2 fijo"),$M187*(1+'Insumos - OPEX'!L$38),$M187*(1+'Insumos - OPEX'!L$29*'Insumos - OPEX'!L$39)*(1+'Insumos - OPEX'!L$38))</f>
        <v>21158.840764310909</v>
      </c>
      <c r="Q187" s="211">
        <f>IF(OR($B187="Ce Co No Imputables",$G187="M2 fijo"),$M187*(1+'Insumos - OPEX'!M$38),$M187*(1+'Insumos - OPEX'!M$29*'Insumos - OPEX'!M$39)*(1+'Insumos - OPEX'!M$38))</f>
        <v>22255.031292476731</v>
      </c>
      <c r="R187" s="211">
        <f>IF(OR($B187="Ce Co No Imputables",$G187="M2 fijo"),$M187*(1+'Insumos - OPEX'!N$38),$M187*(1+'Insumos - OPEX'!N$29*'Insumos - OPEX'!N$39)*(1+'Insumos - OPEX'!N$38))</f>
        <v>23373.078453585884</v>
      </c>
      <c r="S187" s="111"/>
    </row>
    <row r="188" spans="1:19" x14ac:dyDescent="0.2">
      <c r="A188" s="8"/>
      <c r="B188" s="8" t="s">
        <v>434</v>
      </c>
      <c r="C188" s="8" t="s">
        <v>170</v>
      </c>
      <c r="D188" s="8">
        <v>6231000001</v>
      </c>
      <c r="E188" s="8" t="s">
        <v>258</v>
      </c>
      <c r="F188" s="89" t="s">
        <v>469</v>
      </c>
      <c r="G188" s="73" t="s">
        <v>136</v>
      </c>
      <c r="H188" s="112" t="s">
        <v>61</v>
      </c>
      <c r="I188" s="13" t="s">
        <v>436</v>
      </c>
      <c r="J188" s="11"/>
      <c r="K188" s="186">
        <v>0</v>
      </c>
      <c r="L188" s="187"/>
      <c r="M188" s="214">
        <f>IF(OR(E188="Distribución Legal de la Renta",E188="Acopio carros portaequipajes"),0,IF(K188&lt;0,0,K188*(1+SUMIFS('Insumos - OPEX'!$G$82:$G$238,'Insumos - OPEX'!$B$82:$B$238,OPEX!D188))))</f>
        <v>0</v>
      </c>
      <c r="N188" s="211">
        <f>IF(OR($B188="Ce Co No Imputables",$G188="M2 fijo"),$M188*(1+'Insumos - OPEX'!J$38),$M188*(1+'Insumos - OPEX'!J$29*'Insumos - OPEX'!J$39)*(1+'Insumos - OPEX'!J$38))</f>
        <v>0</v>
      </c>
      <c r="O188" s="211">
        <f>IF(OR($B188="Ce Co No Imputables",$G188="M2 fijo"),$M188*(1+'Insumos - OPEX'!K$38),$M188*(1+'Insumos - OPEX'!K$29*'Insumos - OPEX'!K$39)*(1+'Insumos - OPEX'!K$38))</f>
        <v>0</v>
      </c>
      <c r="P188" s="211">
        <f>IF(OR($B188="Ce Co No Imputables",$G188="M2 fijo"),$M188*(1+'Insumos - OPEX'!L$38),$M188*(1+'Insumos - OPEX'!L$29*'Insumos - OPEX'!L$39)*(1+'Insumos - OPEX'!L$38))</f>
        <v>0</v>
      </c>
      <c r="Q188" s="211">
        <f>IF(OR($B188="Ce Co No Imputables",$G188="M2 fijo"),$M188*(1+'Insumos - OPEX'!M$38),$M188*(1+'Insumos - OPEX'!M$29*'Insumos - OPEX'!M$39)*(1+'Insumos - OPEX'!M$38))</f>
        <v>0</v>
      </c>
      <c r="R188" s="211">
        <f>IF(OR($B188="Ce Co No Imputables",$G188="M2 fijo"),$M188*(1+'Insumos - OPEX'!N$38),$M188*(1+'Insumos - OPEX'!N$29*'Insumos - OPEX'!N$39)*(1+'Insumos - OPEX'!N$38))</f>
        <v>0</v>
      </c>
      <c r="S188" s="111"/>
    </row>
    <row r="189" spans="1:19" x14ac:dyDescent="0.2">
      <c r="A189" s="8"/>
      <c r="B189" s="8" t="s">
        <v>434</v>
      </c>
      <c r="C189" s="8" t="s">
        <v>170</v>
      </c>
      <c r="D189" s="8">
        <v>6250000007</v>
      </c>
      <c r="E189" s="8" t="s">
        <v>260</v>
      </c>
      <c r="F189" s="89" t="s">
        <v>469</v>
      </c>
      <c r="G189" s="73" t="s">
        <v>136</v>
      </c>
      <c r="H189" s="112" t="s">
        <v>61</v>
      </c>
      <c r="I189" s="13" t="s">
        <v>436</v>
      </c>
      <c r="J189" s="11"/>
      <c r="K189" s="186">
        <v>0</v>
      </c>
      <c r="L189" s="187"/>
      <c r="M189" s="214">
        <f>IF(OR(E189="Distribución Legal de la Renta",E189="Acopio carros portaequipajes"),0,IF(K189&lt;0,0,K189*(1+SUMIFS('Insumos - OPEX'!$G$82:$G$238,'Insumos - OPEX'!$B$82:$B$238,OPEX!D189))))</f>
        <v>0</v>
      </c>
      <c r="N189" s="211">
        <f>IF(OR($B189="Ce Co No Imputables",$G189="M2 fijo"),$M189*(1+'Insumos - OPEX'!J$38),$M189*(1+'Insumos - OPEX'!J$29*'Insumos - OPEX'!J$39)*(1+'Insumos - OPEX'!J$38))</f>
        <v>0</v>
      </c>
      <c r="O189" s="211">
        <f>IF(OR($B189="Ce Co No Imputables",$G189="M2 fijo"),$M189*(1+'Insumos - OPEX'!K$38),$M189*(1+'Insumos - OPEX'!K$29*'Insumos - OPEX'!K$39)*(1+'Insumos - OPEX'!K$38))</f>
        <v>0</v>
      </c>
      <c r="P189" s="211">
        <f>IF(OR($B189="Ce Co No Imputables",$G189="M2 fijo"),$M189*(1+'Insumos - OPEX'!L$38),$M189*(1+'Insumos - OPEX'!L$29*'Insumos - OPEX'!L$39)*(1+'Insumos - OPEX'!L$38))</f>
        <v>0</v>
      </c>
      <c r="Q189" s="211">
        <f>IF(OR($B189="Ce Co No Imputables",$G189="M2 fijo"),$M189*(1+'Insumos - OPEX'!M$38),$M189*(1+'Insumos - OPEX'!M$29*'Insumos - OPEX'!M$39)*(1+'Insumos - OPEX'!M$38))</f>
        <v>0</v>
      </c>
      <c r="R189" s="211">
        <f>IF(OR($B189="Ce Co No Imputables",$G189="M2 fijo"),$M189*(1+'Insumos - OPEX'!N$38),$M189*(1+'Insumos - OPEX'!N$29*'Insumos - OPEX'!N$39)*(1+'Insumos - OPEX'!N$38))</f>
        <v>0</v>
      </c>
      <c r="S189" s="111"/>
    </row>
    <row r="190" spans="1:19" x14ac:dyDescent="0.2">
      <c r="A190" s="8"/>
      <c r="B190" s="8" t="s">
        <v>434</v>
      </c>
      <c r="C190" s="8" t="s">
        <v>170</v>
      </c>
      <c r="D190" s="8">
        <v>6250000009</v>
      </c>
      <c r="E190" s="8" t="s">
        <v>433</v>
      </c>
      <c r="F190" s="89" t="s">
        <v>469</v>
      </c>
      <c r="G190" s="73" t="s">
        <v>136</v>
      </c>
      <c r="H190" s="112" t="s">
        <v>61</v>
      </c>
      <c r="I190" s="13" t="s">
        <v>436</v>
      </c>
      <c r="K190" s="186">
        <v>0</v>
      </c>
      <c r="L190" s="187"/>
      <c r="M190" s="214">
        <f>IF(OR(E190="Distribución Legal de la Renta",E190="Acopio carros portaequipajes"),0,IF(K190&lt;0,0,K190*(1+SUMIFS('Insumos - OPEX'!$G$82:$G$238,'Insumos - OPEX'!$B$82:$B$238,OPEX!D190))))</f>
        <v>0</v>
      </c>
      <c r="N190" s="211">
        <f>IF(OR($B190="Ce Co No Imputables",$G190="M2 fijo"),$M190*(1+'Insumos - OPEX'!J$38),$M190*(1+'Insumos - OPEX'!J$29*'Insumos - OPEX'!J$39)*(1+'Insumos - OPEX'!J$38))</f>
        <v>0</v>
      </c>
      <c r="O190" s="211">
        <f>IF(OR($B190="Ce Co No Imputables",$G190="M2 fijo"),$M190*(1+'Insumos - OPEX'!K$38),$M190*(1+'Insumos - OPEX'!K$29*'Insumos - OPEX'!K$39)*(1+'Insumos - OPEX'!K$38))</f>
        <v>0</v>
      </c>
      <c r="P190" s="211">
        <f>IF(OR($B190="Ce Co No Imputables",$G190="M2 fijo"),$M190*(1+'Insumos - OPEX'!L$38),$M190*(1+'Insumos - OPEX'!L$29*'Insumos - OPEX'!L$39)*(1+'Insumos - OPEX'!L$38))</f>
        <v>0</v>
      </c>
      <c r="Q190" s="211">
        <f>IF(OR($B190="Ce Co No Imputables",$G190="M2 fijo"),$M190*(1+'Insumos - OPEX'!M$38),$M190*(1+'Insumos - OPEX'!M$29*'Insumos - OPEX'!M$39)*(1+'Insumos - OPEX'!M$38))</f>
        <v>0</v>
      </c>
      <c r="R190" s="211">
        <f>IF(OR($B190="Ce Co No Imputables",$G190="M2 fijo"),$M190*(1+'Insumos - OPEX'!N$38),$M190*(1+'Insumos - OPEX'!N$29*'Insumos - OPEX'!N$39)*(1+'Insumos - OPEX'!N$38))</f>
        <v>0</v>
      </c>
      <c r="S190" s="111"/>
    </row>
    <row r="191" spans="1:19" x14ac:dyDescent="0.2">
      <c r="A191" s="8"/>
      <c r="B191" s="8" t="s">
        <v>434</v>
      </c>
      <c r="C191" s="8" t="s">
        <v>172</v>
      </c>
      <c r="D191" s="8">
        <v>6381000001</v>
      </c>
      <c r="E191" s="8" t="s">
        <v>313</v>
      </c>
      <c r="F191" s="89" t="s">
        <v>470</v>
      </c>
      <c r="G191" s="73" t="s">
        <v>136</v>
      </c>
      <c r="H191" s="112" t="s">
        <v>61</v>
      </c>
      <c r="I191" s="13" t="s">
        <v>436</v>
      </c>
      <c r="K191" s="186">
        <v>2519748.71</v>
      </c>
      <c r="L191" s="187"/>
      <c r="M191" s="214">
        <f>IF(OR(E191="Distribución Legal de la Renta",E191="Acopio carros portaequipajes"),0,IF(K191&lt;0,0,K191*(1+SUMIFS('Insumos - OPEX'!$G$82:$G$238,'Insumos - OPEX'!$B$82:$B$238,OPEX!D191))))</f>
        <v>2630641.3287988794</v>
      </c>
      <c r="N191" s="211">
        <f>IF(OR($B191="Ce Co No Imputables",$G191="M2 fijo"),$M191*(1+'Insumos - OPEX'!J$38),$M191*(1+'Insumos - OPEX'!J$29*'Insumos - OPEX'!J$39)*(1+'Insumos - OPEX'!J$38))</f>
        <v>2781510.2427733773</v>
      </c>
      <c r="O191" s="211">
        <f>IF(OR($B191="Ce Co No Imputables",$G191="M2 fijo"),$M191*(1+'Insumos - OPEX'!K$38),$M191*(1+'Insumos - OPEX'!K$29*'Insumos - OPEX'!K$39)*(1+'Insumos - OPEX'!K$38))</f>
        <v>2924335.5168415541</v>
      </c>
      <c r="P191" s="211">
        <f>IF(OR($B191="Ce Co No Imputables",$G191="M2 fijo"),$M191*(1+'Insumos - OPEX'!L$38),$M191*(1+'Insumos - OPEX'!L$29*'Insumos - OPEX'!L$39)*(1+'Insumos - OPEX'!L$38))</f>
        <v>3068968.175914126</v>
      </c>
      <c r="Q191" s="211">
        <f>IF(OR($B191="Ce Co No Imputables",$G191="M2 fijo"),$M191*(1+'Insumos - OPEX'!M$38),$M191*(1+'Insumos - OPEX'!M$29*'Insumos - OPEX'!M$39)*(1+'Insumos - OPEX'!M$38))</f>
        <v>3227964.3082236918</v>
      </c>
      <c r="R191" s="211">
        <f>IF(OR($B191="Ce Co No Imputables",$G191="M2 fijo"),$M191*(1+'Insumos - OPEX'!N$38),$M191*(1+'Insumos - OPEX'!N$29*'Insumos - OPEX'!N$39)*(1+'Insumos - OPEX'!N$38))</f>
        <v>3390130.6194519843</v>
      </c>
      <c r="S191" s="111"/>
    </row>
    <row r="192" spans="1:19" x14ac:dyDescent="0.2">
      <c r="A192" s="8"/>
      <c r="B192" s="8" t="s">
        <v>434</v>
      </c>
      <c r="C192" s="8" t="s">
        <v>172</v>
      </c>
      <c r="D192" s="8">
        <v>6381000006</v>
      </c>
      <c r="E192" s="8" t="s">
        <v>311</v>
      </c>
      <c r="F192" s="89" t="s">
        <v>470</v>
      </c>
      <c r="G192" s="73" t="s">
        <v>136</v>
      </c>
      <c r="H192" s="112" t="s">
        <v>61</v>
      </c>
      <c r="I192" s="13" t="s">
        <v>436</v>
      </c>
      <c r="K192" s="186">
        <v>1501762.5999999999</v>
      </c>
      <c r="L192" s="187"/>
      <c r="M192" s="214">
        <f>IF(OR(E192="Distribución Legal de la Renta",E192="Acopio carros portaequipajes"),0,IF(K192&lt;0,0,K192*(1+SUMIFS('Insumos - OPEX'!$G$82:$G$238,'Insumos - OPEX'!$B$82:$B$238,OPEX!D192))))</f>
        <v>1567854.2649613896</v>
      </c>
      <c r="N192" s="211">
        <f>IF(OR($B192="Ce Co No Imputables",$G192="M2 fijo"),$M192*(1+'Insumos - OPEX'!J$38),$M192*(1+'Insumos - OPEX'!J$29*'Insumos - OPEX'!J$39)*(1+'Insumos - OPEX'!J$38))</f>
        <v>1657771.680777635</v>
      </c>
      <c r="O192" s="211">
        <f>IF(OR($B192="Ce Co No Imputables",$G192="M2 fijo"),$M192*(1+'Insumos - OPEX'!K$38),$M192*(1+'Insumos - OPEX'!K$29*'Insumos - OPEX'!K$39)*(1+'Insumos - OPEX'!K$38))</f>
        <v>1742895.1115701993</v>
      </c>
      <c r="P192" s="211">
        <f>IF(OR($B192="Ce Co No Imputables",$G192="M2 fijo"),$M192*(1+'Insumos - OPEX'!L$38),$M192*(1+'Insumos - OPEX'!L$29*'Insumos - OPEX'!L$39)*(1+'Insumos - OPEX'!L$38))</f>
        <v>1829095.7383516449</v>
      </c>
      <c r="Q192" s="211">
        <f>IF(OR($B192="Ce Co No Imputables",$G192="M2 fijo"),$M192*(1+'Insumos - OPEX'!M$38),$M192*(1+'Insumos - OPEX'!M$29*'Insumos - OPEX'!M$39)*(1+'Insumos - OPEX'!M$38))</f>
        <v>1923856.9516819844</v>
      </c>
      <c r="R192" s="211">
        <f>IF(OR($B192="Ce Co No Imputables",$G192="M2 fijo"),$M192*(1+'Insumos - OPEX'!N$38),$M192*(1+'Insumos - OPEX'!N$29*'Insumos - OPEX'!N$39)*(1+'Insumos - OPEX'!N$38))</f>
        <v>2020507.5820468708</v>
      </c>
      <c r="S192" s="111"/>
    </row>
    <row r="193" spans="1:19" x14ac:dyDescent="0.2">
      <c r="A193" s="8"/>
      <c r="B193" s="8" t="s">
        <v>434</v>
      </c>
      <c r="C193" s="8" t="s">
        <v>172</v>
      </c>
      <c r="D193" s="8">
        <v>6381000005</v>
      </c>
      <c r="E193" s="8" t="s">
        <v>316</v>
      </c>
      <c r="F193" s="89" t="s">
        <v>470</v>
      </c>
      <c r="G193" s="73" t="s">
        <v>136</v>
      </c>
      <c r="H193" s="112" t="s">
        <v>61</v>
      </c>
      <c r="I193" s="13" t="s">
        <v>436</v>
      </c>
      <c r="K193" s="186">
        <v>302216.27</v>
      </c>
      <c r="L193" s="187"/>
      <c r="M193" s="214">
        <f>IF(OR(E193="Distribución Legal de la Renta",E193="Acopio carros portaequipajes"),0,IF(K193&lt;0,0,K193*(1+SUMIFS('Insumos - OPEX'!$G$82:$G$238,'Insumos - OPEX'!$B$82:$B$238,OPEX!D193))))</f>
        <v>315516.62550407299</v>
      </c>
      <c r="N193" s="211">
        <f>IF(OR($B193="Ce Co No Imputables",$G193="M2 fijo"),$M193*(1+'Insumos - OPEX'!J$38),$M193*(1+'Insumos - OPEX'!J$29*'Insumos - OPEX'!J$39)*(1+'Insumos - OPEX'!J$38))</f>
        <v>333611.69992930151</v>
      </c>
      <c r="O193" s="211">
        <f>IF(OR($B193="Ce Co No Imputables",$G193="M2 fijo"),$M193*(1+'Insumos - OPEX'!K$38),$M193*(1+'Insumos - OPEX'!K$29*'Insumos - OPEX'!K$39)*(1+'Insumos - OPEX'!K$38))</f>
        <v>350742.02781450242</v>
      </c>
      <c r="P193" s="211">
        <f>IF(OR($B193="Ce Co No Imputables",$G193="M2 fijo"),$M193*(1+'Insumos - OPEX'!L$38),$M193*(1+'Insumos - OPEX'!L$29*'Insumos - OPEX'!L$39)*(1+'Insumos - OPEX'!L$38))</f>
        <v>368089.13174261374</v>
      </c>
      <c r="Q193" s="211">
        <f>IF(OR($B193="Ce Co No Imputables",$G193="M2 fijo"),$M193*(1+'Insumos - OPEX'!M$38),$M193*(1+'Insumos - OPEX'!M$29*'Insumos - OPEX'!M$39)*(1+'Insumos - OPEX'!M$38))</f>
        <v>387158.97702532989</v>
      </c>
      <c r="R193" s="211">
        <f>IF(OR($B193="Ce Co No Imputables",$G193="M2 fijo"),$M193*(1+'Insumos - OPEX'!N$38),$M193*(1+'Insumos - OPEX'!N$29*'Insumos - OPEX'!N$39)*(1+'Insumos - OPEX'!N$38))</f>
        <v>406609.05056027125</v>
      </c>
      <c r="S193" s="111"/>
    </row>
    <row r="194" spans="1:19" x14ac:dyDescent="0.2">
      <c r="A194" s="8"/>
      <c r="B194" s="8" t="s">
        <v>434</v>
      </c>
      <c r="C194" s="8" t="s">
        <v>172</v>
      </c>
      <c r="D194" s="8">
        <v>6381000003</v>
      </c>
      <c r="E194" s="8" t="s">
        <v>315</v>
      </c>
      <c r="F194" s="89" t="s">
        <v>470</v>
      </c>
      <c r="G194" s="73" t="s">
        <v>136</v>
      </c>
      <c r="H194" s="112" t="s">
        <v>61</v>
      </c>
      <c r="I194" s="13" t="s">
        <v>436</v>
      </c>
      <c r="K194" s="186">
        <v>111100.44</v>
      </c>
      <c r="L194" s="187"/>
      <c r="M194" s="214">
        <f>IF(OR(E194="Distribución Legal de la Renta",E194="Acopio carros portaequipajes"),0,IF(K194&lt;0,0,K194*(1+SUMIFS('Insumos - OPEX'!$G$82:$G$238,'Insumos - OPEX'!$B$82:$B$238,OPEX!D194))))</f>
        <v>115989.90325973426</v>
      </c>
      <c r="N194" s="211">
        <f>IF(OR($B194="Ce Co No Imputables",$G194="M2 fijo"),$M194*(1+'Insumos - OPEX'!J$38),$M194*(1+'Insumos - OPEX'!J$29*'Insumos - OPEX'!J$39)*(1+'Insumos - OPEX'!J$38))</f>
        <v>122641.99624756591</v>
      </c>
      <c r="O194" s="211">
        <f>IF(OR($B194="Ce Co No Imputables",$G194="M2 fijo"),$M194*(1+'Insumos - OPEX'!K$38),$M194*(1+'Insumos - OPEX'!K$29*'Insumos - OPEX'!K$39)*(1+'Insumos - OPEX'!K$38))</f>
        <v>128939.4300865518</v>
      </c>
      <c r="P194" s="211">
        <f>IF(OR($B194="Ce Co No Imputables",$G194="M2 fijo"),$M194*(1+'Insumos - OPEX'!L$38),$M194*(1+'Insumos - OPEX'!L$29*'Insumos - OPEX'!L$39)*(1+'Insumos - OPEX'!L$38))</f>
        <v>135316.55491553238</v>
      </c>
      <c r="Q194" s="211">
        <f>IF(OR($B194="Ce Co No Imputables",$G194="M2 fijo"),$M194*(1+'Insumos - OPEX'!M$38),$M194*(1+'Insumos - OPEX'!M$29*'Insumos - OPEX'!M$39)*(1+'Insumos - OPEX'!M$38))</f>
        <v>142326.99218167187</v>
      </c>
      <c r="R194" s="211">
        <f>IF(OR($B194="Ce Co No Imputables",$G194="M2 fijo"),$M194*(1+'Insumos - OPEX'!N$38),$M194*(1+'Insumos - OPEX'!N$29*'Insumos - OPEX'!N$39)*(1+'Insumos - OPEX'!N$38))</f>
        <v>149477.2085739407</v>
      </c>
      <c r="S194" s="111"/>
    </row>
    <row r="195" spans="1:19" x14ac:dyDescent="0.2">
      <c r="A195" s="8"/>
      <c r="B195" s="8" t="s">
        <v>434</v>
      </c>
      <c r="C195" s="8" t="s">
        <v>172</v>
      </c>
      <c r="D195" s="8">
        <v>6381000002</v>
      </c>
      <c r="E195" s="8" t="s">
        <v>302</v>
      </c>
      <c r="F195" s="89" t="s">
        <v>469</v>
      </c>
      <c r="G195" s="73" t="s">
        <v>136</v>
      </c>
      <c r="H195" s="112" t="s">
        <v>61</v>
      </c>
      <c r="I195" s="13" t="s">
        <v>436</v>
      </c>
      <c r="K195" s="186">
        <v>64265.391965562383</v>
      </c>
      <c r="L195" s="187"/>
      <c r="M195" s="214">
        <f>IF(OR(E195="Distribución Legal de la Renta",E195="Acopio carros portaequipajes"),0,IF(K195&lt;0,0,K195*(1+SUMIFS('Insumos - OPEX'!$G$82:$G$238,'Insumos - OPEX'!$B$82:$B$238,OPEX!D195))))</f>
        <v>67093.673049670047</v>
      </c>
      <c r="N195" s="211">
        <f>IF(OR($B195="Ce Co No Imputables",$G195="M2 fijo"),$M195*(1+'Insumos - OPEX'!J$38),$M195*(1+'Insumos - OPEX'!J$29*'Insumos - OPEX'!J$39)*(1+'Insumos - OPEX'!J$38))</f>
        <v>70941.53686780046</v>
      </c>
      <c r="O195" s="211">
        <f>IF(OR($B195="Ce Co No Imputables",$G195="M2 fijo"),$M195*(1+'Insumos - OPEX'!K$38),$M195*(1+'Insumos - OPEX'!K$29*'Insumos - OPEX'!K$39)*(1+'Insumos - OPEX'!K$38))</f>
        <v>74584.250200345545</v>
      </c>
      <c r="P195" s="211">
        <f>IF(OR($B195="Ce Co No Imputables",$G195="M2 fijo"),$M195*(1+'Insumos - OPEX'!L$38),$M195*(1+'Insumos - OPEX'!L$29*'Insumos - OPEX'!L$39)*(1+'Insumos - OPEX'!L$38))</f>
        <v>78273.060314398695</v>
      </c>
      <c r="Q195" s="211">
        <f>IF(OR($B195="Ce Co No Imputables",$G195="M2 fijo"),$M195*(1+'Insumos - OPEX'!M$38),$M195*(1+'Insumos - OPEX'!M$29*'Insumos - OPEX'!M$39)*(1+'Insumos - OPEX'!M$38))</f>
        <v>82328.206259441242</v>
      </c>
      <c r="R195" s="211">
        <f>IF(OR($B195="Ce Co No Imputables",$G195="M2 fijo"),$M195*(1+'Insumos - OPEX'!N$38),$M195*(1+'Insumos - OPEX'!N$29*'Insumos - OPEX'!N$39)*(1+'Insumos - OPEX'!N$38))</f>
        <v>86464.206612704875</v>
      </c>
      <c r="S195" s="111"/>
    </row>
    <row r="196" spans="1:19" x14ac:dyDescent="0.2">
      <c r="A196" s="8"/>
      <c r="B196" s="8" t="s">
        <v>434</v>
      </c>
      <c r="C196" s="8" t="s">
        <v>172</v>
      </c>
      <c r="D196" s="8">
        <v>6380000004</v>
      </c>
      <c r="E196" s="8" t="s">
        <v>273</v>
      </c>
      <c r="F196" s="89" t="s">
        <v>469</v>
      </c>
      <c r="G196" s="73" t="s">
        <v>471</v>
      </c>
      <c r="H196" s="112" t="s">
        <v>61</v>
      </c>
      <c r="I196" s="13" t="s">
        <v>436</v>
      </c>
      <c r="K196" s="186">
        <v>38070.017237622349</v>
      </c>
      <c r="L196" s="187"/>
      <c r="M196" s="214">
        <f>IF(OR(E196="Distribución Legal de la Renta",E196="Acopio carros portaequipajes"),0,IF(K196&lt;0,0,K196*(1+SUMIFS('Insumos - OPEX'!$G$82:$G$238,'Insumos - OPEX'!$B$82:$B$238,OPEX!D196))))</f>
        <v>81869.25167438986</v>
      </c>
      <c r="N196" s="211">
        <f>IF(OR($B196="Ce Co No Imputables",$G196="M2 fijo"),$M196*(1+'Insumos - OPEX'!J$38),$M196*(1+'Insumos - OPEX'!J$29*'Insumos - OPEX'!J$39)*(1+'Insumos - OPEX'!J$38))</f>
        <v>86564.504103066487</v>
      </c>
      <c r="O196" s="211">
        <f>IF(OR($B196="Ce Co No Imputables",$G196="M2 fijo"),$M196*(1+'Insumos - OPEX'!K$38),$M196*(1+'Insumos - OPEX'!K$29*'Insumos - OPEX'!K$39)*(1+'Insumos - OPEX'!K$38))</f>
        <v>91009.427164276873</v>
      </c>
      <c r="P196" s="211">
        <f>IF(OR($B196="Ce Co No Imputables",$G196="M2 fijo"),$M196*(1+'Insumos - OPEX'!L$38),$M196*(1+'Insumos - OPEX'!L$29*'Insumos - OPEX'!L$39)*(1+'Insumos - OPEX'!L$38))</f>
        <v>95510.598584462481</v>
      </c>
      <c r="Q196" s="211">
        <f>IF(OR($B196="Ce Co No Imputables",$G196="M2 fijo"),$M196*(1+'Insumos - OPEX'!M$38),$M196*(1+'Insumos - OPEX'!M$29*'Insumos - OPEX'!M$39)*(1+'Insumos - OPEX'!M$38))</f>
        <v>100458.7814586553</v>
      </c>
      <c r="R196" s="211">
        <f>IF(OR($B196="Ce Co No Imputables",$G196="M2 fijo"),$M196*(1+'Insumos - OPEX'!N$38),$M196*(1+'Insumos - OPEX'!N$29*'Insumos - OPEX'!N$39)*(1+'Insumos - OPEX'!N$38))</f>
        <v>105505.62475185269</v>
      </c>
      <c r="S196" s="111"/>
    </row>
    <row r="197" spans="1:19" x14ac:dyDescent="0.2">
      <c r="A197" s="8"/>
      <c r="B197" s="8" t="s">
        <v>434</v>
      </c>
      <c r="C197" s="8" t="s">
        <v>172</v>
      </c>
      <c r="D197" s="8">
        <v>6380000020</v>
      </c>
      <c r="E197" s="8" t="s">
        <v>308</v>
      </c>
      <c r="F197" s="89" t="s">
        <v>470</v>
      </c>
      <c r="G197" s="73" t="s">
        <v>136</v>
      </c>
      <c r="H197" s="112" t="s">
        <v>61</v>
      </c>
      <c r="I197" s="13" t="s">
        <v>436</v>
      </c>
      <c r="K197" s="186">
        <v>0</v>
      </c>
      <c r="L197" s="187"/>
      <c r="M197" s="214">
        <f>IF(OR(E197="Distribución Legal de la Renta",E197="Acopio carros portaequipajes"),0,IF(K197&lt;0,0,K197*(1+SUMIFS('Insumos - OPEX'!$G$82:$G$238,'Insumos - OPEX'!$B$82:$B$238,OPEX!D197))))</f>
        <v>0</v>
      </c>
      <c r="N197" s="211">
        <f>IF(OR($B197="Ce Co No Imputables",$G197="M2 fijo"),$M197*(1+'Insumos - OPEX'!J$38),$M197*(1+'Insumos - OPEX'!J$29*'Insumos - OPEX'!J$39)*(1+'Insumos - OPEX'!J$38))</f>
        <v>0</v>
      </c>
      <c r="O197" s="211">
        <f>IF(OR($B197="Ce Co No Imputables",$G197="M2 fijo"),$M197*(1+'Insumos - OPEX'!K$38),$M197*(1+'Insumos - OPEX'!K$29*'Insumos - OPEX'!K$39)*(1+'Insumos - OPEX'!K$38))</f>
        <v>0</v>
      </c>
      <c r="P197" s="211">
        <f>IF(OR($B197="Ce Co No Imputables",$G197="M2 fijo"),$M197*(1+'Insumos - OPEX'!L$38),$M197*(1+'Insumos - OPEX'!L$29*'Insumos - OPEX'!L$39)*(1+'Insumos - OPEX'!L$38))</f>
        <v>0</v>
      </c>
      <c r="Q197" s="211">
        <f>IF(OR($B197="Ce Co No Imputables",$G197="M2 fijo"),$M197*(1+'Insumos - OPEX'!M$38),$M197*(1+'Insumos - OPEX'!M$29*'Insumos - OPEX'!M$39)*(1+'Insumos - OPEX'!M$38))</f>
        <v>0</v>
      </c>
      <c r="R197" s="211">
        <f>IF(OR($B197="Ce Co No Imputables",$G197="M2 fijo"),$M197*(1+'Insumos - OPEX'!N$38),$M197*(1+'Insumos - OPEX'!N$29*'Insumos - OPEX'!N$39)*(1+'Insumos - OPEX'!N$38))</f>
        <v>0</v>
      </c>
      <c r="S197" s="111"/>
    </row>
    <row r="198" spans="1:19" x14ac:dyDescent="0.2">
      <c r="A198" s="8"/>
      <c r="B198" s="8" t="s">
        <v>434</v>
      </c>
      <c r="C198" s="8" t="s">
        <v>172</v>
      </c>
      <c r="D198" s="8">
        <v>6380000027</v>
      </c>
      <c r="E198" s="8" t="s">
        <v>318</v>
      </c>
      <c r="F198" s="89" t="s">
        <v>470</v>
      </c>
      <c r="G198" s="73" t="s">
        <v>136</v>
      </c>
      <c r="H198" s="112" t="s">
        <v>61</v>
      </c>
      <c r="I198" s="13" t="s">
        <v>436</v>
      </c>
      <c r="K198" s="186">
        <v>0</v>
      </c>
      <c r="L198" s="187"/>
      <c r="M198" s="214">
        <f>IF(OR(E198="Distribución Legal de la Renta",E198="Acopio carros portaequipajes"),0,IF(K198&lt;0,0,K198*(1+SUMIFS('Insumos - OPEX'!$G$82:$G$238,'Insumos - OPEX'!$B$82:$B$238,OPEX!D198))))</f>
        <v>0</v>
      </c>
      <c r="N198" s="211">
        <f>IF(OR($B198="Ce Co No Imputables",$G198="M2 fijo"),$M198*(1+'Insumos - OPEX'!J$38),$M198*(1+'Insumos - OPEX'!J$29*'Insumos - OPEX'!J$39)*(1+'Insumos - OPEX'!J$38))</f>
        <v>0</v>
      </c>
      <c r="O198" s="211">
        <f>IF(OR($B198="Ce Co No Imputables",$G198="M2 fijo"),$M198*(1+'Insumos - OPEX'!K$38),$M198*(1+'Insumos - OPEX'!K$29*'Insumos - OPEX'!K$39)*(1+'Insumos - OPEX'!K$38))</f>
        <v>0</v>
      </c>
      <c r="P198" s="211">
        <f>IF(OR($B198="Ce Co No Imputables",$G198="M2 fijo"),$M198*(1+'Insumos - OPEX'!L$38),$M198*(1+'Insumos - OPEX'!L$29*'Insumos - OPEX'!L$39)*(1+'Insumos - OPEX'!L$38))</f>
        <v>0</v>
      </c>
      <c r="Q198" s="211">
        <f>IF(OR($B198="Ce Co No Imputables",$G198="M2 fijo"),$M198*(1+'Insumos - OPEX'!M$38),$M198*(1+'Insumos - OPEX'!M$29*'Insumos - OPEX'!M$39)*(1+'Insumos - OPEX'!M$38))</f>
        <v>0</v>
      </c>
      <c r="R198" s="211">
        <f>IF(OR($B198="Ce Co No Imputables",$G198="M2 fijo"),$M198*(1+'Insumos - OPEX'!N$38),$M198*(1+'Insumos - OPEX'!N$29*'Insumos - OPEX'!N$39)*(1+'Insumos - OPEX'!N$38))</f>
        <v>0</v>
      </c>
      <c r="S198" s="111"/>
    </row>
    <row r="199" spans="1:19" x14ac:dyDescent="0.2">
      <c r="A199" s="8"/>
      <c r="B199" s="8" t="s">
        <v>434</v>
      </c>
      <c r="C199" s="8" t="s">
        <v>172</v>
      </c>
      <c r="D199" s="8">
        <v>6380000026</v>
      </c>
      <c r="E199" s="8" t="s">
        <v>314</v>
      </c>
      <c r="F199" s="89" t="s">
        <v>470</v>
      </c>
      <c r="G199" s="73" t="s">
        <v>136</v>
      </c>
      <c r="H199" s="112" t="s">
        <v>61</v>
      </c>
      <c r="I199" s="13" t="s">
        <v>436</v>
      </c>
      <c r="J199" s="11"/>
      <c r="K199" s="186">
        <v>0</v>
      </c>
      <c r="L199" s="187"/>
      <c r="M199" s="214">
        <f>IF(OR(E199="Distribución Legal de la Renta",E199="Acopio carros portaequipajes"),0,IF(K199&lt;0,0,K199*(1+SUMIFS('Insumos - OPEX'!$G$82:$G$238,'Insumos - OPEX'!$B$82:$B$238,OPEX!D199))))</f>
        <v>0</v>
      </c>
      <c r="N199" s="211">
        <f>IF(OR($B199="Ce Co No Imputables",$G199="M2 fijo"),$M199*(1+'Insumos - OPEX'!J$38),$M199*(1+'Insumos - OPEX'!J$29*'Insumos - OPEX'!J$39)*(1+'Insumos - OPEX'!J$38))</f>
        <v>0</v>
      </c>
      <c r="O199" s="211">
        <f>IF(OR($B199="Ce Co No Imputables",$G199="M2 fijo"),$M199*(1+'Insumos - OPEX'!K$38),$M199*(1+'Insumos - OPEX'!K$29*'Insumos - OPEX'!K$39)*(1+'Insumos - OPEX'!K$38))</f>
        <v>0</v>
      </c>
      <c r="P199" s="211">
        <f>IF(OR($B199="Ce Co No Imputables",$G199="M2 fijo"),$M199*(1+'Insumos - OPEX'!L$38),$M199*(1+'Insumos - OPEX'!L$29*'Insumos - OPEX'!L$39)*(1+'Insumos - OPEX'!L$38))</f>
        <v>0</v>
      </c>
      <c r="Q199" s="211">
        <f>IF(OR($B199="Ce Co No Imputables",$G199="M2 fijo"),$M199*(1+'Insumos - OPEX'!M$38),$M199*(1+'Insumos - OPEX'!M$29*'Insumos - OPEX'!M$39)*(1+'Insumos - OPEX'!M$38))</f>
        <v>0</v>
      </c>
      <c r="R199" s="211">
        <f>IF(OR($B199="Ce Co No Imputables",$G199="M2 fijo"),$M199*(1+'Insumos - OPEX'!N$38),$M199*(1+'Insumos - OPEX'!N$29*'Insumos - OPEX'!N$39)*(1+'Insumos - OPEX'!N$38))</f>
        <v>0</v>
      </c>
      <c r="S199" s="111"/>
    </row>
    <row r="200" spans="1:19" x14ac:dyDescent="0.2">
      <c r="A200" s="8"/>
      <c r="B200" s="8" t="s">
        <v>434</v>
      </c>
      <c r="C200" s="8" t="s">
        <v>172</v>
      </c>
      <c r="D200" s="8">
        <v>6380000023</v>
      </c>
      <c r="E200" s="8" t="s">
        <v>307</v>
      </c>
      <c r="F200" s="89" t="s">
        <v>470</v>
      </c>
      <c r="G200" s="73" t="s">
        <v>136</v>
      </c>
      <c r="H200" s="112" t="s">
        <v>61</v>
      </c>
      <c r="I200" s="13" t="s">
        <v>436</v>
      </c>
      <c r="J200" s="11"/>
      <c r="K200" s="186">
        <v>0</v>
      </c>
      <c r="L200" s="187"/>
      <c r="M200" s="214">
        <f>IF(OR(E200="Distribución Legal de la Renta",E200="Acopio carros portaequipajes"),0,IF(K200&lt;0,0,K200*(1+SUMIFS('Insumos - OPEX'!$G$82:$G$238,'Insumos - OPEX'!$B$82:$B$238,OPEX!D200))))</f>
        <v>0</v>
      </c>
      <c r="N200" s="211">
        <f>IF(OR($B200="Ce Co No Imputables",$G200="M2 fijo"),$M200*(1+'Insumos - OPEX'!J$38),$M200*(1+'Insumos - OPEX'!J$29*'Insumos - OPEX'!J$39)*(1+'Insumos - OPEX'!J$38))</f>
        <v>0</v>
      </c>
      <c r="O200" s="211">
        <f>IF(OR($B200="Ce Co No Imputables",$G200="M2 fijo"),$M200*(1+'Insumos - OPEX'!K$38),$M200*(1+'Insumos - OPEX'!K$29*'Insumos - OPEX'!K$39)*(1+'Insumos - OPEX'!K$38))</f>
        <v>0</v>
      </c>
      <c r="P200" s="211">
        <f>IF(OR($B200="Ce Co No Imputables",$G200="M2 fijo"),$M200*(1+'Insumos - OPEX'!L$38),$M200*(1+'Insumos - OPEX'!L$29*'Insumos - OPEX'!L$39)*(1+'Insumos - OPEX'!L$38))</f>
        <v>0</v>
      </c>
      <c r="Q200" s="211">
        <f>IF(OR($B200="Ce Co No Imputables",$G200="M2 fijo"),$M200*(1+'Insumos - OPEX'!M$38),$M200*(1+'Insumos - OPEX'!M$29*'Insumos - OPEX'!M$39)*(1+'Insumos - OPEX'!M$38))</f>
        <v>0</v>
      </c>
      <c r="R200" s="211">
        <f>IF(OR($B200="Ce Co No Imputables",$G200="M2 fijo"),$M200*(1+'Insumos - OPEX'!N$38),$M200*(1+'Insumos - OPEX'!N$29*'Insumos - OPEX'!N$39)*(1+'Insumos - OPEX'!N$38))</f>
        <v>0</v>
      </c>
      <c r="S200" s="111"/>
    </row>
    <row r="201" spans="1:19" x14ac:dyDescent="0.2">
      <c r="A201" s="8"/>
      <c r="B201" s="8" t="s">
        <v>434</v>
      </c>
      <c r="C201" s="8" t="s">
        <v>172</v>
      </c>
      <c r="D201" s="8">
        <v>6380000028</v>
      </c>
      <c r="E201" s="8" t="s">
        <v>305</v>
      </c>
      <c r="F201" s="89" t="s">
        <v>470</v>
      </c>
      <c r="G201" s="73" t="s">
        <v>136</v>
      </c>
      <c r="H201" s="112" t="s">
        <v>61</v>
      </c>
      <c r="I201" s="13" t="s">
        <v>436</v>
      </c>
      <c r="J201" s="11"/>
      <c r="K201" s="186">
        <v>0</v>
      </c>
      <c r="L201" s="187"/>
      <c r="M201" s="214">
        <f>IF(OR(E201="Distribución Legal de la Renta",E201="Acopio carros portaequipajes"),0,IF(K201&lt;0,0,K201*(1+SUMIFS('Insumos - OPEX'!$G$82:$G$238,'Insumos - OPEX'!$B$82:$B$238,OPEX!D201))))</f>
        <v>0</v>
      </c>
      <c r="N201" s="211">
        <f>IF(OR($B201="Ce Co No Imputables",$G201="M2 fijo"),$M201*(1+'Insumos - OPEX'!J$38),$M201*(1+'Insumos - OPEX'!J$29*'Insumos - OPEX'!J$39)*(1+'Insumos - OPEX'!J$38))</f>
        <v>0</v>
      </c>
      <c r="O201" s="211">
        <f>IF(OR($B201="Ce Co No Imputables",$G201="M2 fijo"),$M201*(1+'Insumos - OPEX'!K$38),$M201*(1+'Insumos - OPEX'!K$29*'Insumos - OPEX'!K$39)*(1+'Insumos - OPEX'!K$38))</f>
        <v>0</v>
      </c>
      <c r="P201" s="211">
        <f>IF(OR($B201="Ce Co No Imputables",$G201="M2 fijo"),$M201*(1+'Insumos - OPEX'!L$38),$M201*(1+'Insumos - OPEX'!L$29*'Insumos - OPEX'!L$39)*(1+'Insumos - OPEX'!L$38))</f>
        <v>0</v>
      </c>
      <c r="Q201" s="211">
        <f>IF(OR($B201="Ce Co No Imputables",$G201="M2 fijo"),$M201*(1+'Insumos - OPEX'!M$38),$M201*(1+'Insumos - OPEX'!M$29*'Insumos - OPEX'!M$39)*(1+'Insumos - OPEX'!M$38))</f>
        <v>0</v>
      </c>
      <c r="R201" s="211">
        <f>IF(OR($B201="Ce Co No Imputables",$G201="M2 fijo"),$M201*(1+'Insumos - OPEX'!N$38),$M201*(1+'Insumos - OPEX'!N$29*'Insumos - OPEX'!N$39)*(1+'Insumos - OPEX'!N$38))</f>
        <v>0</v>
      </c>
      <c r="S201" s="111"/>
    </row>
    <row r="202" spans="1:19" x14ac:dyDescent="0.2">
      <c r="A202" s="8"/>
      <c r="B202" s="8" t="s">
        <v>434</v>
      </c>
      <c r="C202" s="8" t="s">
        <v>172</v>
      </c>
      <c r="D202" s="8">
        <v>6380000031</v>
      </c>
      <c r="E202" s="8" t="s">
        <v>310</v>
      </c>
      <c r="F202" s="89" t="s">
        <v>470</v>
      </c>
      <c r="G202" s="73" t="s">
        <v>136</v>
      </c>
      <c r="H202" s="112" t="s">
        <v>61</v>
      </c>
      <c r="I202" s="13" t="s">
        <v>436</v>
      </c>
      <c r="K202" s="186">
        <v>0</v>
      </c>
      <c r="L202" s="187"/>
      <c r="M202" s="214">
        <f>IF(OR(E202="Distribución Legal de la Renta",E202="Acopio carros portaequipajes"),0,IF(K202&lt;0,0,K202*(1+SUMIFS('Insumos - OPEX'!$G$82:$G$238,'Insumos - OPEX'!$B$82:$B$238,OPEX!D202))))</f>
        <v>0</v>
      </c>
      <c r="N202" s="211">
        <f>IF(OR($B202="Ce Co No Imputables",$G202="M2 fijo"),$M202*(1+'Insumos - OPEX'!J$38),$M202*(1+'Insumos - OPEX'!J$29*'Insumos - OPEX'!J$39)*(1+'Insumos - OPEX'!J$38))</f>
        <v>0</v>
      </c>
      <c r="O202" s="211">
        <f>IF(OR($B202="Ce Co No Imputables",$G202="M2 fijo"),$M202*(1+'Insumos - OPEX'!K$38),$M202*(1+'Insumos - OPEX'!K$29*'Insumos - OPEX'!K$39)*(1+'Insumos - OPEX'!K$38))</f>
        <v>0</v>
      </c>
      <c r="P202" s="211">
        <f>IF(OR($B202="Ce Co No Imputables",$G202="M2 fijo"),$M202*(1+'Insumos - OPEX'!L$38),$M202*(1+'Insumos - OPEX'!L$29*'Insumos - OPEX'!L$39)*(1+'Insumos - OPEX'!L$38))</f>
        <v>0</v>
      </c>
      <c r="Q202" s="211">
        <f>IF(OR($B202="Ce Co No Imputables",$G202="M2 fijo"),$M202*(1+'Insumos - OPEX'!M$38),$M202*(1+'Insumos - OPEX'!M$29*'Insumos - OPEX'!M$39)*(1+'Insumos - OPEX'!M$38))</f>
        <v>0</v>
      </c>
      <c r="R202" s="211">
        <f>IF(OR($B202="Ce Co No Imputables",$G202="M2 fijo"),$M202*(1+'Insumos - OPEX'!N$38),$M202*(1+'Insumos - OPEX'!N$29*'Insumos - OPEX'!N$39)*(1+'Insumos - OPEX'!N$38))</f>
        <v>0</v>
      </c>
      <c r="S202" s="111"/>
    </row>
    <row r="203" spans="1:19" x14ac:dyDescent="0.2">
      <c r="A203" s="8"/>
      <c r="B203" s="8" t="s">
        <v>434</v>
      </c>
      <c r="C203" s="8" t="s">
        <v>172</v>
      </c>
      <c r="D203" s="8">
        <v>6380000018</v>
      </c>
      <c r="E203" s="8" t="s">
        <v>309</v>
      </c>
      <c r="F203" s="89" t="s">
        <v>470</v>
      </c>
      <c r="G203" s="73" t="s">
        <v>136</v>
      </c>
      <c r="H203" s="112" t="s">
        <v>61</v>
      </c>
      <c r="I203" s="13" t="s">
        <v>436</v>
      </c>
      <c r="K203" s="186">
        <v>0</v>
      </c>
      <c r="L203" s="187"/>
      <c r="M203" s="214">
        <f>IF(OR(E203="Distribución Legal de la Renta",E203="Acopio carros portaequipajes"),0,IF(K203&lt;0,0,K203*(1+SUMIFS('Insumos - OPEX'!$G$82:$G$238,'Insumos - OPEX'!$B$82:$B$238,OPEX!D203))))</f>
        <v>0</v>
      </c>
      <c r="N203" s="211">
        <f>IF(OR($B203="Ce Co No Imputables",$G203="M2 fijo"),$M203*(1+'Insumos - OPEX'!J$38),$M203*(1+'Insumos - OPEX'!J$29*'Insumos - OPEX'!J$39)*(1+'Insumos - OPEX'!J$38))</f>
        <v>0</v>
      </c>
      <c r="O203" s="211">
        <f>IF(OR($B203="Ce Co No Imputables",$G203="M2 fijo"),$M203*(1+'Insumos - OPEX'!K$38),$M203*(1+'Insumos - OPEX'!K$29*'Insumos - OPEX'!K$39)*(1+'Insumos - OPEX'!K$38))</f>
        <v>0</v>
      </c>
      <c r="P203" s="211">
        <f>IF(OR($B203="Ce Co No Imputables",$G203="M2 fijo"),$M203*(1+'Insumos - OPEX'!L$38),$M203*(1+'Insumos - OPEX'!L$29*'Insumos - OPEX'!L$39)*(1+'Insumos - OPEX'!L$38))</f>
        <v>0</v>
      </c>
      <c r="Q203" s="211">
        <f>IF(OR($B203="Ce Co No Imputables",$G203="M2 fijo"),$M203*(1+'Insumos - OPEX'!M$38),$M203*(1+'Insumos - OPEX'!M$29*'Insumos - OPEX'!M$39)*(1+'Insumos - OPEX'!M$38))</f>
        <v>0</v>
      </c>
      <c r="R203" s="211">
        <f>IF(OR($B203="Ce Co No Imputables",$G203="M2 fijo"),$M203*(1+'Insumos - OPEX'!N$38),$M203*(1+'Insumos - OPEX'!N$29*'Insumos - OPEX'!N$39)*(1+'Insumos - OPEX'!N$38))</f>
        <v>0</v>
      </c>
      <c r="S203" s="111"/>
    </row>
    <row r="204" spans="1:19" x14ac:dyDescent="0.2">
      <c r="A204" s="8"/>
      <c r="B204" s="8" t="s">
        <v>434</v>
      </c>
      <c r="C204" s="8" t="s">
        <v>172</v>
      </c>
      <c r="D204" s="8">
        <v>6380000017</v>
      </c>
      <c r="E204" s="8" t="s">
        <v>317</v>
      </c>
      <c r="F204" s="89" t="s">
        <v>470</v>
      </c>
      <c r="G204" s="73" t="s">
        <v>136</v>
      </c>
      <c r="H204" s="112" t="s">
        <v>61</v>
      </c>
      <c r="I204" s="13" t="s">
        <v>436</v>
      </c>
      <c r="K204" s="186">
        <v>0</v>
      </c>
      <c r="L204" s="187"/>
      <c r="M204" s="214">
        <f>IF(OR(E204="Distribución Legal de la Renta",E204="Acopio carros portaequipajes"),0,IF(K204&lt;0,0,K204*(1+SUMIFS('Insumos - OPEX'!$G$82:$G$238,'Insumos - OPEX'!$B$82:$B$238,OPEX!D204))))</f>
        <v>0</v>
      </c>
      <c r="N204" s="211">
        <f>IF(OR($B204="Ce Co No Imputables",$G204="M2 fijo"),$M204*(1+'Insumos - OPEX'!J$38),$M204*(1+'Insumos - OPEX'!J$29*'Insumos - OPEX'!J$39)*(1+'Insumos - OPEX'!J$38))</f>
        <v>0</v>
      </c>
      <c r="O204" s="211">
        <f>IF(OR($B204="Ce Co No Imputables",$G204="M2 fijo"),$M204*(1+'Insumos - OPEX'!K$38),$M204*(1+'Insumos - OPEX'!K$29*'Insumos - OPEX'!K$39)*(1+'Insumos - OPEX'!K$38))</f>
        <v>0</v>
      </c>
      <c r="P204" s="211">
        <f>IF(OR($B204="Ce Co No Imputables",$G204="M2 fijo"),$M204*(1+'Insumos - OPEX'!L$38),$M204*(1+'Insumos - OPEX'!L$29*'Insumos - OPEX'!L$39)*(1+'Insumos - OPEX'!L$38))</f>
        <v>0</v>
      </c>
      <c r="Q204" s="211">
        <f>IF(OR($B204="Ce Co No Imputables",$G204="M2 fijo"),$M204*(1+'Insumos - OPEX'!M$38),$M204*(1+'Insumos - OPEX'!M$29*'Insumos - OPEX'!M$39)*(1+'Insumos - OPEX'!M$38))</f>
        <v>0</v>
      </c>
      <c r="R204" s="211">
        <f>IF(OR($B204="Ce Co No Imputables",$G204="M2 fijo"),$M204*(1+'Insumos - OPEX'!N$38),$M204*(1+'Insumos - OPEX'!N$29*'Insumos - OPEX'!N$39)*(1+'Insumos - OPEX'!N$38))</f>
        <v>0</v>
      </c>
      <c r="S204" s="111"/>
    </row>
    <row r="205" spans="1:19" x14ac:dyDescent="0.2">
      <c r="A205" s="8"/>
      <c r="B205" s="8" t="s">
        <v>434</v>
      </c>
      <c r="C205" s="8" t="s">
        <v>172</v>
      </c>
      <c r="D205" s="8">
        <v>6380000016</v>
      </c>
      <c r="E205" s="8" t="s">
        <v>304</v>
      </c>
      <c r="F205" s="89" t="s">
        <v>469</v>
      </c>
      <c r="G205" s="73" t="s">
        <v>136</v>
      </c>
      <c r="H205" s="112" t="s">
        <v>61</v>
      </c>
      <c r="I205" s="13" t="s">
        <v>436</v>
      </c>
      <c r="K205" s="186">
        <v>0</v>
      </c>
      <c r="L205" s="187"/>
      <c r="M205" s="214">
        <f>IF(OR(E205="Distribución Legal de la Renta",E205="Acopio carros portaequipajes"),0,IF(K205&lt;0,0,K205*(1+SUMIFS('Insumos - OPEX'!$G$82:$G$238,'Insumos - OPEX'!$B$82:$B$238,OPEX!D205))))</f>
        <v>0</v>
      </c>
      <c r="N205" s="211">
        <f>IF(OR($B205="Ce Co No Imputables",$G205="M2 fijo"),$M205*(1+'Insumos - OPEX'!J$38),$M205*(1+'Insumos - OPEX'!J$29*'Insumos - OPEX'!J$39)*(1+'Insumos - OPEX'!J$38))</f>
        <v>0</v>
      </c>
      <c r="O205" s="211">
        <f>IF(OR($B205="Ce Co No Imputables",$G205="M2 fijo"),$M205*(1+'Insumos - OPEX'!K$38),$M205*(1+'Insumos - OPEX'!K$29*'Insumos - OPEX'!K$39)*(1+'Insumos - OPEX'!K$38))</f>
        <v>0</v>
      </c>
      <c r="P205" s="211">
        <f>IF(OR($B205="Ce Co No Imputables",$G205="M2 fijo"),$M205*(1+'Insumos - OPEX'!L$38),$M205*(1+'Insumos - OPEX'!L$29*'Insumos - OPEX'!L$39)*(1+'Insumos - OPEX'!L$38))</f>
        <v>0</v>
      </c>
      <c r="Q205" s="211">
        <f>IF(OR($B205="Ce Co No Imputables",$G205="M2 fijo"),$M205*(1+'Insumos - OPEX'!M$38),$M205*(1+'Insumos - OPEX'!M$29*'Insumos - OPEX'!M$39)*(1+'Insumos - OPEX'!M$38))</f>
        <v>0</v>
      </c>
      <c r="R205" s="211">
        <f>IF(OR($B205="Ce Co No Imputables",$G205="M2 fijo"),$M205*(1+'Insumos - OPEX'!N$38),$M205*(1+'Insumos - OPEX'!N$29*'Insumos - OPEX'!N$39)*(1+'Insumos - OPEX'!N$38))</f>
        <v>0</v>
      </c>
      <c r="S205" s="111"/>
    </row>
    <row r="206" spans="1:19" x14ac:dyDescent="0.2">
      <c r="A206" s="8"/>
      <c r="B206" s="8" t="s">
        <v>434</v>
      </c>
      <c r="C206" s="8" t="s">
        <v>172</v>
      </c>
      <c r="D206" s="8">
        <v>6380000014</v>
      </c>
      <c r="E206" s="8" t="s">
        <v>312</v>
      </c>
      <c r="F206" s="89" t="s">
        <v>470</v>
      </c>
      <c r="G206" s="73" t="s">
        <v>136</v>
      </c>
      <c r="H206" s="112" t="s">
        <v>61</v>
      </c>
      <c r="I206" s="13" t="s">
        <v>436</v>
      </c>
      <c r="K206" s="186">
        <v>0</v>
      </c>
      <c r="L206" s="187"/>
      <c r="M206" s="214">
        <f>IF(OR(E206="Distribución Legal de la Renta",E206="Acopio carros portaequipajes"),0,IF(K206&lt;0,0,K206*(1+SUMIFS('Insumos - OPEX'!$G$82:$G$238,'Insumos - OPEX'!$B$82:$B$238,OPEX!D206))))</f>
        <v>0</v>
      </c>
      <c r="N206" s="211">
        <f>IF(OR($B206="Ce Co No Imputables",$G206="M2 fijo"),$M206*(1+'Insumos - OPEX'!J$38),$M206*(1+'Insumos - OPEX'!J$29*'Insumos - OPEX'!J$39)*(1+'Insumos - OPEX'!J$38))</f>
        <v>0</v>
      </c>
      <c r="O206" s="211">
        <f>IF(OR($B206="Ce Co No Imputables",$G206="M2 fijo"),$M206*(1+'Insumos - OPEX'!K$38),$M206*(1+'Insumos - OPEX'!K$29*'Insumos - OPEX'!K$39)*(1+'Insumos - OPEX'!K$38))</f>
        <v>0</v>
      </c>
      <c r="P206" s="211">
        <f>IF(OR($B206="Ce Co No Imputables",$G206="M2 fijo"),$M206*(1+'Insumos - OPEX'!L$38),$M206*(1+'Insumos - OPEX'!L$29*'Insumos - OPEX'!L$39)*(1+'Insumos - OPEX'!L$38))</f>
        <v>0</v>
      </c>
      <c r="Q206" s="211">
        <f>IF(OR($B206="Ce Co No Imputables",$G206="M2 fijo"),$M206*(1+'Insumos - OPEX'!M$38),$M206*(1+'Insumos - OPEX'!M$29*'Insumos - OPEX'!M$39)*(1+'Insumos - OPEX'!M$38))</f>
        <v>0</v>
      </c>
      <c r="R206" s="211">
        <f>IF(OR($B206="Ce Co No Imputables",$G206="M2 fijo"),$M206*(1+'Insumos - OPEX'!N$38),$M206*(1+'Insumos - OPEX'!N$29*'Insumos - OPEX'!N$39)*(1+'Insumos - OPEX'!N$38))</f>
        <v>0</v>
      </c>
      <c r="S206" s="111"/>
    </row>
    <row r="207" spans="1:19" x14ac:dyDescent="0.2">
      <c r="A207" s="8"/>
      <c r="B207" s="8" t="s">
        <v>434</v>
      </c>
      <c r="C207" s="8" t="s">
        <v>172</v>
      </c>
      <c r="D207" s="8">
        <v>6320000007</v>
      </c>
      <c r="E207" s="8" t="s">
        <v>303</v>
      </c>
      <c r="F207" s="89" t="s">
        <v>469</v>
      </c>
      <c r="G207" s="73" t="s">
        <v>136</v>
      </c>
      <c r="H207" s="112" t="s">
        <v>61</v>
      </c>
      <c r="I207" s="13" t="s">
        <v>436</v>
      </c>
      <c r="K207" s="186">
        <v>0</v>
      </c>
      <c r="L207" s="187"/>
      <c r="M207" s="214">
        <f>IF(OR(E207="Distribución Legal de la Renta",E207="Acopio carros portaequipajes"),0,IF(K207&lt;0,0,K207*(1+SUMIFS('Insumos - OPEX'!$G$82:$G$238,'Insumos - OPEX'!$B$82:$B$238,OPEX!D207))))</f>
        <v>0</v>
      </c>
      <c r="N207" s="211">
        <f>IF(OR($B207="Ce Co No Imputables",$G207="M2 fijo"),$M207*(1+'Insumos - OPEX'!J$38),$M207*(1+'Insumos - OPEX'!J$29*'Insumos - OPEX'!J$39)*(1+'Insumos - OPEX'!J$38))</f>
        <v>0</v>
      </c>
      <c r="O207" s="211">
        <f>IF(OR($B207="Ce Co No Imputables",$G207="M2 fijo"),$M207*(1+'Insumos - OPEX'!K$38),$M207*(1+'Insumos - OPEX'!K$29*'Insumos - OPEX'!K$39)*(1+'Insumos - OPEX'!K$38))</f>
        <v>0</v>
      </c>
      <c r="P207" s="211">
        <f>IF(OR($B207="Ce Co No Imputables",$G207="M2 fijo"),$M207*(1+'Insumos - OPEX'!L$38),$M207*(1+'Insumos - OPEX'!L$29*'Insumos - OPEX'!L$39)*(1+'Insumos - OPEX'!L$38))</f>
        <v>0</v>
      </c>
      <c r="Q207" s="211">
        <f>IF(OR($B207="Ce Co No Imputables",$G207="M2 fijo"),$M207*(1+'Insumos - OPEX'!M$38),$M207*(1+'Insumos - OPEX'!M$29*'Insumos - OPEX'!M$39)*(1+'Insumos - OPEX'!M$38))</f>
        <v>0</v>
      </c>
      <c r="R207" s="211">
        <f>IF(OR($B207="Ce Co No Imputables",$G207="M2 fijo"),$M207*(1+'Insumos - OPEX'!N$38),$M207*(1+'Insumos - OPEX'!N$29*'Insumos - OPEX'!N$39)*(1+'Insumos - OPEX'!N$38))</f>
        <v>0</v>
      </c>
      <c r="S207" s="111"/>
    </row>
    <row r="208" spans="1:19" x14ac:dyDescent="0.2">
      <c r="A208" s="8"/>
      <c r="B208" s="8" t="s">
        <v>434</v>
      </c>
      <c r="C208" s="8" t="s">
        <v>172</v>
      </c>
      <c r="D208" s="8">
        <v>6380000024</v>
      </c>
      <c r="E208" s="8" t="s">
        <v>306</v>
      </c>
      <c r="F208" s="89" t="s">
        <v>470</v>
      </c>
      <c r="G208" s="73" t="s">
        <v>136</v>
      </c>
      <c r="H208" s="112" t="s">
        <v>61</v>
      </c>
      <c r="I208" s="13" t="s">
        <v>436</v>
      </c>
      <c r="K208" s="186">
        <v>0</v>
      </c>
      <c r="L208" s="187"/>
      <c r="M208" s="214">
        <f>IF(OR(E208="Distribución Legal de la Renta",E208="Acopio carros portaequipajes"),0,IF(K208&lt;0,0,K208*(1+SUMIFS('Insumos - OPEX'!$G$82:$G$238,'Insumos - OPEX'!$B$82:$B$238,OPEX!D208))))</f>
        <v>0</v>
      </c>
      <c r="N208" s="211">
        <f>IF(OR($B208="Ce Co No Imputables",$G208="M2 fijo"),$M208*(1+'Insumos - OPEX'!J$38),$M208*(1+'Insumos - OPEX'!J$29*'Insumos - OPEX'!J$39)*(1+'Insumos - OPEX'!J$38))</f>
        <v>0</v>
      </c>
      <c r="O208" s="211">
        <f>IF(OR($B208="Ce Co No Imputables",$G208="M2 fijo"),$M208*(1+'Insumos - OPEX'!K$38),$M208*(1+'Insumos - OPEX'!K$29*'Insumos - OPEX'!K$39)*(1+'Insumos - OPEX'!K$38))</f>
        <v>0</v>
      </c>
      <c r="P208" s="211">
        <f>IF(OR($B208="Ce Co No Imputables",$G208="M2 fijo"),$M208*(1+'Insumos - OPEX'!L$38),$M208*(1+'Insumos - OPEX'!L$29*'Insumos - OPEX'!L$39)*(1+'Insumos - OPEX'!L$38))</f>
        <v>0</v>
      </c>
      <c r="Q208" s="211">
        <f>IF(OR($B208="Ce Co No Imputables",$G208="M2 fijo"),$M208*(1+'Insumos - OPEX'!M$38),$M208*(1+'Insumos - OPEX'!M$29*'Insumos - OPEX'!M$39)*(1+'Insumos - OPEX'!M$38))</f>
        <v>0</v>
      </c>
      <c r="R208" s="211">
        <f>IF(OR($B208="Ce Co No Imputables",$G208="M2 fijo"),$M208*(1+'Insumos - OPEX'!N$38),$M208*(1+'Insumos - OPEX'!N$29*'Insumos - OPEX'!N$39)*(1+'Insumos - OPEX'!N$38))</f>
        <v>0</v>
      </c>
      <c r="S208" s="111"/>
    </row>
    <row r="209" spans="1:19" x14ac:dyDescent="0.2">
      <c r="A209" s="8"/>
      <c r="B209" s="8" t="s">
        <v>434</v>
      </c>
      <c r="C209" s="8" t="s">
        <v>172</v>
      </c>
      <c r="D209" s="8">
        <v>6380000025</v>
      </c>
      <c r="E209" s="8" t="s">
        <v>319</v>
      </c>
      <c r="F209" s="89" t="s">
        <v>470</v>
      </c>
      <c r="G209" s="73" t="s">
        <v>136</v>
      </c>
      <c r="H209" s="112" t="s">
        <v>61</v>
      </c>
      <c r="I209" s="13" t="s">
        <v>436</v>
      </c>
      <c r="K209" s="186">
        <v>0</v>
      </c>
      <c r="L209" s="187"/>
      <c r="M209" s="214">
        <f>IF(OR(E209="Distribución Legal de la Renta",E209="Acopio carros portaequipajes"),0,IF(K209&lt;0,0,K209*(1+SUMIFS('Insumos - OPEX'!$G$82:$G$238,'Insumos - OPEX'!$B$82:$B$238,OPEX!D209))))</f>
        <v>0</v>
      </c>
      <c r="N209" s="211">
        <f>IF(OR($B209="Ce Co No Imputables",$G209="M2 fijo"),$M209*(1+'Insumos - OPEX'!J$38),$M209*(1+'Insumos - OPEX'!J$29*'Insumos - OPEX'!J$39)*(1+'Insumos - OPEX'!J$38))</f>
        <v>0</v>
      </c>
      <c r="O209" s="211">
        <f>IF(OR($B209="Ce Co No Imputables",$G209="M2 fijo"),$M209*(1+'Insumos - OPEX'!K$38),$M209*(1+'Insumos - OPEX'!K$29*'Insumos - OPEX'!K$39)*(1+'Insumos - OPEX'!K$38))</f>
        <v>0</v>
      </c>
      <c r="P209" s="211">
        <f>IF(OR($B209="Ce Co No Imputables",$G209="M2 fijo"),$M209*(1+'Insumos - OPEX'!L$38),$M209*(1+'Insumos - OPEX'!L$29*'Insumos - OPEX'!L$39)*(1+'Insumos - OPEX'!L$38))</f>
        <v>0</v>
      </c>
      <c r="Q209" s="211">
        <f>IF(OR($B209="Ce Co No Imputables",$G209="M2 fijo"),$M209*(1+'Insumos - OPEX'!M$38),$M209*(1+'Insumos - OPEX'!M$29*'Insumos - OPEX'!M$39)*(1+'Insumos - OPEX'!M$38))</f>
        <v>0</v>
      </c>
      <c r="R209" s="211">
        <f>IF(OR($B209="Ce Co No Imputables",$G209="M2 fijo"),$M209*(1+'Insumos - OPEX'!N$38),$M209*(1+'Insumos - OPEX'!N$29*'Insumos - OPEX'!N$39)*(1+'Insumos - OPEX'!N$38))</f>
        <v>0</v>
      </c>
      <c r="S209" s="111"/>
    </row>
    <row r="210" spans="1:19" x14ac:dyDescent="0.2">
      <c r="A210" s="8"/>
      <c r="B210" s="8" t="s">
        <v>434</v>
      </c>
      <c r="C210" s="8" t="s">
        <v>171</v>
      </c>
      <c r="D210" s="8">
        <v>6320000004</v>
      </c>
      <c r="E210" s="8" t="s">
        <v>340</v>
      </c>
      <c r="F210" s="89" t="s">
        <v>470</v>
      </c>
      <c r="G210" s="73" t="s">
        <v>136</v>
      </c>
      <c r="H210" s="112" t="s">
        <v>61</v>
      </c>
      <c r="I210" s="13" t="s">
        <v>436</v>
      </c>
      <c r="K210" s="186">
        <v>578586.58375994535</v>
      </c>
      <c r="L210" s="187"/>
      <c r="M210" s="214">
        <f>IF(OR(E210="Distribución Legal de la Renta",E210="Acopio carros portaequipajes"),0,IF(K210&lt;0,0,K210*(1+SUMIFS('Insumos - OPEX'!$G$82:$G$238,'Insumos - OPEX'!$B$82:$B$238,OPEX!D210))))</f>
        <v>604049.82984492404</v>
      </c>
      <c r="N210" s="211">
        <f>IF(OR($B210="Ce Co No Imputables",$G210="M2 fijo"),$M210*(1+'Insumos - OPEX'!J$38),$M210*(1+'Insumos - OPEX'!J$29*'Insumos - OPEX'!J$39)*(1+'Insumos - OPEX'!J$38))</f>
        <v>638692.4627335337</v>
      </c>
      <c r="O210" s="211">
        <f>IF(OR($B210="Ce Co No Imputables",$G210="M2 fijo"),$M210*(1+'Insumos - OPEX'!K$38),$M210*(1+'Insumos - OPEX'!K$29*'Insumos - OPEX'!K$39)*(1+'Insumos - OPEX'!K$38))</f>
        <v>671488.10900958022</v>
      </c>
      <c r="P210" s="211">
        <f>IF(OR($B210="Ce Co No Imputables",$G210="M2 fijo"),$M210*(1+'Insumos - OPEX'!L$38),$M210*(1+'Insumos - OPEX'!L$29*'Insumos - OPEX'!L$39)*(1+'Insumos - OPEX'!L$38))</f>
        <v>704698.76838240167</v>
      </c>
      <c r="Q210" s="211">
        <f>IF(OR($B210="Ce Co No Imputables",$G210="M2 fijo"),$M210*(1+'Insumos - OPEX'!M$38),$M210*(1+'Insumos - OPEX'!M$29*'Insumos - OPEX'!M$39)*(1+'Insumos - OPEX'!M$38))</f>
        <v>741207.57922490663</v>
      </c>
      <c r="R210" s="211">
        <f>IF(OR($B210="Ce Co No Imputables",$G210="M2 fijo"),$M210*(1+'Insumos - OPEX'!N$38),$M210*(1+'Insumos - OPEX'!N$29*'Insumos - OPEX'!N$39)*(1+'Insumos - OPEX'!N$38))</f>
        <v>778444.32892227219</v>
      </c>
      <c r="S210" s="111"/>
    </row>
    <row r="211" spans="1:19" x14ac:dyDescent="0.2">
      <c r="A211" s="8"/>
      <c r="B211" s="8" t="s">
        <v>434</v>
      </c>
      <c r="C211" s="8" t="s">
        <v>171</v>
      </c>
      <c r="D211" s="8">
        <v>6380000007</v>
      </c>
      <c r="E211" s="8" t="s">
        <v>329</v>
      </c>
      <c r="F211" s="89" t="s">
        <v>470</v>
      </c>
      <c r="G211" s="73" t="s">
        <v>471</v>
      </c>
      <c r="H211" s="112" t="s">
        <v>61</v>
      </c>
      <c r="I211" s="13" t="s">
        <v>436</v>
      </c>
      <c r="K211" s="186">
        <v>442816.80247732491</v>
      </c>
      <c r="L211" s="187"/>
      <c r="M211" s="214">
        <f>IF(OR(E211="Distribución Legal de la Renta",E211="Acopio carros portaequipajes"),0,IF(K211&lt;0,0,K211*(1+SUMIFS('Insumos - OPEX'!$G$82:$G$238,'Insumos - OPEX'!$B$82:$B$238,OPEX!D211))))</f>
        <v>462304.90249300329</v>
      </c>
      <c r="N211" s="211">
        <f>IF(OR($B211="Ce Co No Imputables",$G211="M2 fijo"),$M211*(1+'Insumos - OPEX'!J$38),$M211*(1+'Insumos - OPEX'!J$29*'Insumos - OPEX'!J$39)*(1+'Insumos - OPEX'!J$38))</f>
        <v>488818.37576685753</v>
      </c>
      <c r="O211" s="211">
        <f>IF(OR($B211="Ce Co No Imputables",$G211="M2 fijo"),$M211*(1+'Insumos - OPEX'!K$38),$M211*(1+'Insumos - OPEX'!K$29*'Insumos - OPEX'!K$39)*(1+'Insumos - OPEX'!K$38))</f>
        <v>513918.27200842265</v>
      </c>
      <c r="P211" s="211">
        <f>IF(OR($B211="Ce Co No Imputables",$G211="M2 fijo"),$M211*(1+'Insumos - OPEX'!L$38),$M211*(1+'Insumos - OPEX'!L$29*'Insumos - OPEX'!L$39)*(1+'Insumos - OPEX'!L$38))</f>
        <v>539335.7953392748</v>
      </c>
      <c r="Q211" s="211">
        <f>IF(OR($B211="Ce Co No Imputables",$G211="M2 fijo"),$M211*(1+'Insumos - OPEX'!M$38),$M211*(1+'Insumos - OPEX'!M$29*'Insumos - OPEX'!M$39)*(1+'Insumos - OPEX'!M$38))</f>
        <v>567277.5335912545</v>
      </c>
      <c r="R211" s="211">
        <f>IF(OR($B211="Ce Co No Imputables",$G211="M2 fijo"),$M211*(1+'Insumos - OPEX'!N$38),$M211*(1+'Insumos - OPEX'!N$29*'Insumos - OPEX'!N$39)*(1+'Insumos - OPEX'!N$38))</f>
        <v>595776.39426044212</v>
      </c>
      <c r="S211" s="111"/>
    </row>
    <row r="212" spans="1:19" x14ac:dyDescent="0.2">
      <c r="A212" s="8"/>
      <c r="B212" s="8" t="s">
        <v>434</v>
      </c>
      <c r="C212" s="8" t="s">
        <v>171</v>
      </c>
      <c r="D212" s="8">
        <v>6381000004</v>
      </c>
      <c r="E212" s="8" t="s">
        <v>350</v>
      </c>
      <c r="F212" s="89" t="s">
        <v>470</v>
      </c>
      <c r="G212" s="73" t="s">
        <v>136</v>
      </c>
      <c r="H212" s="112" t="s">
        <v>61</v>
      </c>
      <c r="I212" s="13" t="s">
        <v>436</v>
      </c>
      <c r="J212" s="11"/>
      <c r="K212" s="186">
        <v>390486.18000000005</v>
      </c>
      <c r="L212" s="187"/>
      <c r="M212" s="214">
        <f>IF(OR(E212="Distribución Legal de la Renta",E212="Acopio carros portaequipajes"),0,IF(K212&lt;0,0,K212*(1+SUMIFS('Insumos - OPEX'!$G$82:$G$238,'Insumos - OPEX'!$B$82:$B$238,OPEX!D212))))</f>
        <v>407671.2409281474</v>
      </c>
      <c r="N212" s="211">
        <f>IF(OR($B212="Ce Co No Imputables",$G212="M2 fijo"),$M212*(1+'Insumos - OPEX'!J$38),$M212*(1+'Insumos - OPEX'!J$29*'Insumos - OPEX'!J$39)*(1+'Insumos - OPEX'!J$38))</f>
        <v>431051.43978085369</v>
      </c>
      <c r="O212" s="211">
        <f>IF(OR($B212="Ce Co No Imputables",$G212="M2 fijo"),$M212*(1+'Insumos - OPEX'!K$38),$M212*(1+'Insumos - OPEX'!K$29*'Insumos - OPEX'!K$39)*(1+'Insumos - OPEX'!K$38))</f>
        <v>453185.113451168</v>
      </c>
      <c r="P212" s="211">
        <f>IF(OR($B212="Ce Co No Imputables",$G212="M2 fijo"),$M212*(1+'Insumos - OPEX'!L$38),$M212*(1+'Insumos - OPEX'!L$29*'Insumos - OPEX'!L$39)*(1+'Insumos - OPEX'!L$38))</f>
        <v>475598.87809379026</v>
      </c>
      <c r="Q212" s="211">
        <f>IF(OR($B212="Ce Co No Imputables",$G212="M2 fijo"),$M212*(1+'Insumos - OPEX'!M$38),$M212*(1+'Insumos - OPEX'!M$29*'Insumos - OPEX'!M$39)*(1+'Insumos - OPEX'!M$38))</f>
        <v>500238.55430195353</v>
      </c>
      <c r="R212" s="211">
        <f>IF(OR($B212="Ce Co No Imputables",$G212="M2 fijo"),$M212*(1+'Insumos - OPEX'!N$38),$M212*(1+'Insumos - OPEX'!N$29*'Insumos - OPEX'!N$39)*(1+'Insumos - OPEX'!N$38))</f>
        <v>525369.51404604118</v>
      </c>
      <c r="S212" s="111"/>
    </row>
    <row r="213" spans="1:19" x14ac:dyDescent="0.2">
      <c r="A213" s="8"/>
      <c r="B213" s="8" t="s">
        <v>434</v>
      </c>
      <c r="C213" s="8" t="s">
        <v>171</v>
      </c>
      <c r="D213" s="8">
        <v>6380000021</v>
      </c>
      <c r="E213" s="8" t="s">
        <v>330</v>
      </c>
      <c r="F213" s="89" t="s">
        <v>469</v>
      </c>
      <c r="G213" s="73" t="s">
        <v>136</v>
      </c>
      <c r="H213" s="112" t="s">
        <v>61</v>
      </c>
      <c r="I213" s="13" t="s">
        <v>436</v>
      </c>
      <c r="K213" s="186">
        <v>249714.69137412158</v>
      </c>
      <c r="L213" s="187"/>
      <c r="M213" s="214">
        <f>IF(OR(E213="Distribución Legal de la Renta",E213="Acopio carros portaequipajes"),0,IF(K213&lt;0,0,K213*(1+SUMIFS('Insumos - OPEX'!$G$82:$G$238,'Insumos - OPEX'!$B$82:$B$238,OPEX!D213))))</f>
        <v>260704.4841138231</v>
      </c>
      <c r="N213" s="211">
        <f>IF(OR($B213="Ce Co No Imputables",$G213="M2 fijo"),$M213*(1+'Insumos - OPEX'!J$38),$M213*(1+'Insumos - OPEX'!J$29*'Insumos - OPEX'!J$39)*(1+'Insumos - OPEX'!J$38))</f>
        <v>275656.04818907194</v>
      </c>
      <c r="O213" s="211">
        <f>IF(OR($B213="Ce Co No Imputables",$G213="M2 fijo"),$M213*(1+'Insumos - OPEX'!K$38),$M213*(1+'Insumos - OPEX'!K$29*'Insumos - OPEX'!K$39)*(1+'Insumos - OPEX'!K$38))</f>
        <v>289810.46330706164</v>
      </c>
      <c r="P213" s="211">
        <f>IF(OR($B213="Ce Co No Imputables",$G213="M2 fijo"),$M213*(1+'Insumos - OPEX'!L$38),$M213*(1+'Insumos - OPEX'!L$29*'Insumos - OPEX'!L$39)*(1+'Insumos - OPEX'!L$38))</f>
        <v>304143.99572622334</v>
      </c>
      <c r="Q213" s="211">
        <f>IF(OR($B213="Ce Co No Imputables",$G213="M2 fijo"),$M213*(1+'Insumos - OPEX'!M$38),$M213*(1+'Insumos - OPEX'!M$29*'Insumos - OPEX'!M$39)*(1+'Insumos - OPEX'!M$38))</f>
        <v>319900.99163291528</v>
      </c>
      <c r="R213" s="211">
        <f>IF(OR($B213="Ce Co No Imputables",$G213="M2 fijo"),$M213*(1+'Insumos - OPEX'!N$38),$M213*(1+'Insumos - OPEX'!N$29*'Insumos - OPEX'!N$39)*(1+'Insumos - OPEX'!N$38))</f>
        <v>335972.1618249829</v>
      </c>
      <c r="S213" s="111"/>
    </row>
    <row r="214" spans="1:19" x14ac:dyDescent="0.2">
      <c r="A214" s="8"/>
      <c r="B214" s="8" t="s">
        <v>434</v>
      </c>
      <c r="C214" s="8" t="s">
        <v>171</v>
      </c>
      <c r="D214" s="8">
        <v>6380000030</v>
      </c>
      <c r="E214" s="8" t="s">
        <v>326</v>
      </c>
      <c r="F214" s="89" t="s">
        <v>469</v>
      </c>
      <c r="G214" s="73" t="s">
        <v>136</v>
      </c>
      <c r="H214" s="112" t="s">
        <v>61</v>
      </c>
      <c r="I214" s="13" t="s">
        <v>436</v>
      </c>
      <c r="K214" s="186">
        <v>192130.88183762509</v>
      </c>
      <c r="L214" s="187"/>
      <c r="M214" s="214">
        <f>IF(OR(E214="Distribución Legal de la Renta",E214="Acopio carros portaequipajes"),0,IF(K214&lt;0,0,K214*(1+SUMIFS('Insumos - OPEX'!$G$82:$G$238,'Insumos - OPEX'!$B$82:$B$238,OPEX!D214))))</f>
        <v>899208.79403610679</v>
      </c>
      <c r="N214" s="211">
        <f>IF(OR($B214="Ce Co No Imputables",$G214="M2 fijo"),$M214*(1+'Insumos - OPEX'!J$38),$M214*(1+'Insumos - OPEX'!J$29*'Insumos - OPEX'!J$39)*(1+'Insumos - OPEX'!J$38))</f>
        <v>950778.97683046246</v>
      </c>
      <c r="O214" s="211">
        <f>IF(OR($B214="Ce Co No Imputables",$G214="M2 fijo"),$M214*(1+'Insumos - OPEX'!K$38),$M214*(1+'Insumos - OPEX'!K$29*'Insumos - OPEX'!K$39)*(1+'Insumos - OPEX'!K$38))</f>
        <v>999599.67353538412</v>
      </c>
      <c r="P214" s="211">
        <f>IF(OR($B214="Ce Co No Imputables",$G214="M2 fijo"),$M214*(1+'Insumos - OPEX'!L$38),$M214*(1+'Insumos - OPEX'!L$29*'Insumos - OPEX'!L$39)*(1+'Insumos - OPEX'!L$38))</f>
        <v>1049038.172626503</v>
      </c>
      <c r="Q214" s="211">
        <f>IF(OR($B214="Ce Co No Imputables",$G214="M2 fijo"),$M214*(1+'Insumos - OPEX'!M$38),$M214*(1+'Insumos - OPEX'!M$29*'Insumos - OPEX'!M$39)*(1+'Insumos - OPEX'!M$38))</f>
        <v>1103386.4103833272</v>
      </c>
      <c r="R214" s="211">
        <f>IF(OR($B214="Ce Co No Imputables",$G214="M2 fijo"),$M214*(1+'Insumos - OPEX'!N$38),$M214*(1+'Insumos - OPEX'!N$29*'Insumos - OPEX'!N$39)*(1+'Insumos - OPEX'!N$38))</f>
        <v>1158818.2822833469</v>
      </c>
      <c r="S214" s="111"/>
    </row>
    <row r="215" spans="1:19" x14ac:dyDescent="0.2">
      <c r="A215" s="8"/>
      <c r="B215" s="8" t="s">
        <v>434</v>
      </c>
      <c r="C215" s="8" t="s">
        <v>171</v>
      </c>
      <c r="D215" s="8">
        <v>6320000001</v>
      </c>
      <c r="E215" s="8" t="s">
        <v>324</v>
      </c>
      <c r="F215" s="89" t="s">
        <v>469</v>
      </c>
      <c r="G215" s="73" t="s">
        <v>136</v>
      </c>
      <c r="H215" s="112" t="s">
        <v>61</v>
      </c>
      <c r="I215" s="13" t="s">
        <v>436</v>
      </c>
      <c r="K215" s="186">
        <v>155472.39184712523</v>
      </c>
      <c r="L215" s="187"/>
      <c r="M215" s="214">
        <f>IF(OR(E215="Distribución Legal de la Renta",E215="Acopio carros portaequipajes"),0,IF(K215&lt;0,0,K215*(1+SUMIFS('Insumos - OPEX'!$G$82:$G$238,'Insumos - OPEX'!$B$82:$B$238,OPEX!D215))))</f>
        <v>295679.63023038843</v>
      </c>
      <c r="N215" s="211">
        <f>IF(OR($B215="Ce Co No Imputables",$G215="M2 fijo"),$M215*(1+'Insumos - OPEX'!J$38),$M215*(1+'Insumos - OPEX'!J$29*'Insumos - OPEX'!J$39)*(1+'Insumos - OPEX'!J$38))</f>
        <v>312637.04065684427</v>
      </c>
      <c r="O215" s="211">
        <f>IF(OR($B215="Ce Co No Imputables",$G215="M2 fijo"),$M215*(1+'Insumos - OPEX'!K$38),$M215*(1+'Insumos - OPEX'!K$29*'Insumos - OPEX'!K$39)*(1+'Insumos - OPEX'!K$38))</f>
        <v>328690.35958014819</v>
      </c>
      <c r="P215" s="211">
        <f>IF(OR($B215="Ce Co No Imputables",$G215="M2 fijo"),$M215*(1+'Insumos - OPEX'!L$38),$M215*(1+'Insumos - OPEX'!L$29*'Insumos - OPEX'!L$39)*(1+'Insumos - OPEX'!L$38))</f>
        <v>344946.8255170465</v>
      </c>
      <c r="Q215" s="211">
        <f>IF(OR($B215="Ce Co No Imputables",$G215="M2 fijo"),$M215*(1+'Insumos - OPEX'!M$38),$M215*(1+'Insumos - OPEX'!M$29*'Insumos - OPEX'!M$39)*(1+'Insumos - OPEX'!M$38))</f>
        <v>362817.72152050107</v>
      </c>
      <c r="R215" s="211">
        <f>IF(OR($B215="Ce Co No Imputables",$G215="M2 fijo"),$M215*(1+'Insumos - OPEX'!N$38),$M215*(1+'Insumos - OPEX'!N$29*'Insumos - OPEX'!N$39)*(1+'Insumos - OPEX'!N$38))</f>
        <v>381044.94026555924</v>
      </c>
      <c r="S215" s="111"/>
    </row>
    <row r="216" spans="1:19" x14ac:dyDescent="0.2">
      <c r="A216" s="8"/>
      <c r="B216" s="8" t="s">
        <v>434</v>
      </c>
      <c r="C216" s="8" t="s">
        <v>171</v>
      </c>
      <c r="D216" s="8">
        <v>6360000004</v>
      </c>
      <c r="E216" s="8" t="s">
        <v>353</v>
      </c>
      <c r="F216" s="89" t="s">
        <v>470</v>
      </c>
      <c r="G216" s="73" t="s">
        <v>136</v>
      </c>
      <c r="H216" s="112" t="s">
        <v>61</v>
      </c>
      <c r="I216" s="13" t="s">
        <v>436</v>
      </c>
      <c r="K216" s="186">
        <v>117423.09</v>
      </c>
      <c r="L216" s="187"/>
      <c r="M216" s="214">
        <f>IF(OR(E216="Distribución Legal de la Renta",E216="Acopio carros portaequipajes"),0,IF(K216&lt;0,0,K216*(1+SUMIFS('Insumos - OPEX'!$G$82:$G$238,'Insumos - OPEX'!$B$82:$B$238,OPEX!D216))))</f>
        <v>122590.80926735364</v>
      </c>
      <c r="N216" s="211">
        <f>IF(OR($B216="Ce Co No Imputables",$G216="M2 fijo"),$M216*(1+'Insumos - OPEX'!J$38),$M216*(1+'Insumos - OPEX'!J$29*'Insumos - OPEX'!J$39)*(1+'Insumos - OPEX'!J$38))</f>
        <v>129621.46831423523</v>
      </c>
      <c r="O216" s="211">
        <f>IF(OR($B216="Ce Co No Imputables",$G216="M2 fijo"),$M216*(1+'Insumos - OPEX'!K$38),$M216*(1+'Insumos - OPEX'!K$29*'Insumos - OPEX'!K$39)*(1+'Insumos - OPEX'!K$38))</f>
        <v>136277.28480284938</v>
      </c>
      <c r="P216" s="211">
        <f>IF(OR($B216="Ce Co No Imputables",$G216="M2 fijo"),$M216*(1+'Insumos - OPEX'!L$38),$M216*(1+'Insumos - OPEX'!L$29*'Insumos - OPEX'!L$39)*(1+'Insumos - OPEX'!L$38))</f>
        <v>143017.32744115594</v>
      </c>
      <c r="Q216" s="211">
        <f>IF(OR($B216="Ce Co No Imputables",$G216="M2 fijo"),$M216*(1+'Insumos - OPEX'!M$38),$M216*(1+'Insumos - OPEX'!M$29*'Insumos - OPEX'!M$39)*(1+'Insumos - OPEX'!M$38))</f>
        <v>150426.72389396254</v>
      </c>
      <c r="R216" s="211">
        <f>IF(OR($B216="Ce Co No Imputables",$G216="M2 fijo"),$M216*(1+'Insumos - OPEX'!N$38),$M216*(1+'Insumos - OPEX'!N$29*'Insumos - OPEX'!N$39)*(1+'Insumos - OPEX'!N$38))</f>
        <v>157983.85420729758</v>
      </c>
      <c r="S216" s="111"/>
    </row>
    <row r="217" spans="1:19" x14ac:dyDescent="0.2">
      <c r="A217" s="8"/>
      <c r="B217" s="8" t="s">
        <v>434</v>
      </c>
      <c r="C217" s="8" t="s">
        <v>171</v>
      </c>
      <c r="D217" s="8">
        <v>6360000001</v>
      </c>
      <c r="E217" s="8" t="s">
        <v>331</v>
      </c>
      <c r="F217" s="89" t="s">
        <v>470</v>
      </c>
      <c r="G217" s="73" t="s">
        <v>136</v>
      </c>
      <c r="H217" s="112" t="s">
        <v>61</v>
      </c>
      <c r="I217" s="13" t="s">
        <v>436</v>
      </c>
      <c r="J217" s="11"/>
      <c r="K217" s="186">
        <v>72508.813992069627</v>
      </c>
      <c r="L217" s="187"/>
      <c r="M217" s="214">
        <f>IF(OR(E217="Distribución Legal de la Renta",E217="Acopio carros portaequipajes"),0,IF(K217&lt;0,0,K217*(1+SUMIFS('Insumos - OPEX'!$G$82:$G$238,'Insumos - OPEX'!$B$82:$B$238,OPEX!D217))))</f>
        <v>75699.883100536972</v>
      </c>
      <c r="N217" s="211">
        <f>IF(OR($B217="Ce Co No Imputables",$G217="M2 fijo"),$M217*(1+'Insumos - OPEX'!J$38),$M217*(1+'Insumos - OPEX'!J$29*'Insumos - OPEX'!J$39)*(1+'Insumos - OPEX'!J$38))</f>
        <v>80041.31840999781</v>
      </c>
      <c r="O217" s="211">
        <f>IF(OR($B217="Ce Co No Imputables",$G217="M2 fijo"),$M217*(1+'Insumos - OPEX'!K$38),$M217*(1+'Insumos - OPEX'!K$29*'Insumos - OPEX'!K$39)*(1+'Insumos - OPEX'!K$38))</f>
        <v>84151.288261227863</v>
      </c>
      <c r="P217" s="211">
        <f>IF(OR($B217="Ce Co No Imputables",$G217="M2 fijo"),$M217*(1+'Insumos - OPEX'!L$38),$M217*(1+'Insumos - OPEX'!L$29*'Insumos - OPEX'!L$39)*(1+'Insumos - OPEX'!L$38))</f>
        <v>88313.267800001617</v>
      </c>
      <c r="Q217" s="211">
        <f>IF(OR($B217="Ce Co No Imputables",$G217="M2 fijo"),$M217*(1+'Insumos - OPEX'!M$38),$M217*(1+'Insumos - OPEX'!M$29*'Insumos - OPEX'!M$39)*(1+'Insumos - OPEX'!M$38))</f>
        <v>92888.573637976529</v>
      </c>
      <c r="R217" s="211">
        <f>IF(OR($B217="Ce Co No Imputables",$G217="M2 fijo"),$M217*(1+'Insumos - OPEX'!N$38),$M217*(1+'Insumos - OPEX'!N$29*'Insumos - OPEX'!N$39)*(1+'Insumos - OPEX'!N$38))</f>
        <v>97555.105205178857</v>
      </c>
      <c r="S217" s="111"/>
    </row>
    <row r="218" spans="1:19" x14ac:dyDescent="0.2">
      <c r="A218" s="8"/>
      <c r="B218" s="8" t="s">
        <v>434</v>
      </c>
      <c r="C218" s="8" t="s">
        <v>171</v>
      </c>
      <c r="D218" s="8">
        <v>6356000002</v>
      </c>
      <c r="E218" s="8" t="s">
        <v>337</v>
      </c>
      <c r="F218" s="89" t="s">
        <v>470</v>
      </c>
      <c r="G218" s="73" t="s">
        <v>136</v>
      </c>
      <c r="H218" s="112" t="s">
        <v>61</v>
      </c>
      <c r="I218" s="13" t="s">
        <v>436</v>
      </c>
      <c r="K218" s="186">
        <v>39890.86</v>
      </c>
      <c r="L218" s="187"/>
      <c r="M218" s="214">
        <f>IF(OR(E218="Distribución Legal de la Renta",E218="Acopio carros portaequipajes"),0,IF(K218&lt;0,0,K218*(1+SUMIFS('Insumos - OPEX'!$G$82:$G$238,'Insumos - OPEX'!$B$82:$B$238,OPEX!D218))))</f>
        <v>41646.432654520562</v>
      </c>
      <c r="N218" s="211">
        <f>IF(OR($B218="Ce Co No Imputables",$G218="M2 fijo"),$M218*(1+'Insumos - OPEX'!J$38),$M218*(1+'Insumos - OPEX'!J$29*'Insumos - OPEX'!J$39)*(1+'Insumos - OPEX'!J$38))</f>
        <v>44034.881431902308</v>
      </c>
      <c r="O218" s="211">
        <f>IF(OR($B218="Ce Co No Imputables",$G218="M2 fijo"),$M218*(1+'Insumos - OPEX'!K$38),$M218*(1+'Insumos - OPEX'!K$29*'Insumos - OPEX'!K$39)*(1+'Insumos - OPEX'!K$38))</f>
        <v>46295.989053350509</v>
      </c>
      <c r="P218" s="211">
        <f>IF(OR($B218="Ce Co No Imputables",$G218="M2 fijo"),$M218*(1+'Insumos - OPEX'!L$38),$M218*(1+'Insumos - OPEX'!L$29*'Insumos - OPEX'!L$39)*(1+'Insumos - OPEX'!L$38))</f>
        <v>48585.709901939299</v>
      </c>
      <c r="Q218" s="211">
        <f>IF(OR($B218="Ce Co No Imputables",$G218="M2 fijo"),$M218*(1+'Insumos - OPEX'!M$38),$M218*(1+'Insumos - OPEX'!M$29*'Insumos - OPEX'!M$39)*(1+'Insumos - OPEX'!M$38))</f>
        <v>51102.82298918139</v>
      </c>
      <c r="R218" s="211">
        <f>IF(OR($B218="Ce Co No Imputables",$G218="M2 fijo"),$M218*(1+'Insumos - OPEX'!N$38),$M218*(1+'Insumos - OPEX'!N$29*'Insumos - OPEX'!N$39)*(1+'Insumos - OPEX'!N$38))</f>
        <v>53670.124082441682</v>
      </c>
      <c r="S218" s="111"/>
    </row>
    <row r="219" spans="1:19" x14ac:dyDescent="0.2">
      <c r="A219" s="8"/>
      <c r="B219" s="8" t="s">
        <v>434</v>
      </c>
      <c r="C219" s="8" t="s">
        <v>171</v>
      </c>
      <c r="D219" s="8">
        <v>6360000002</v>
      </c>
      <c r="E219" s="8" t="s">
        <v>320</v>
      </c>
      <c r="F219" s="89" t="s">
        <v>469</v>
      </c>
      <c r="G219" s="73" t="s">
        <v>471</v>
      </c>
      <c r="H219" s="112" t="s">
        <v>61</v>
      </c>
      <c r="I219" s="13" t="s">
        <v>436</v>
      </c>
      <c r="K219" s="186">
        <v>28535.382054739715</v>
      </c>
      <c r="L219" s="187"/>
      <c r="M219" s="214">
        <f>IF(OR(E219="Distribución Legal de la Renta",E219="Acopio carros portaequipajes"),0,IF(K219&lt;0,0,K219*(1+SUMIFS('Insumos - OPEX'!$G$82:$G$238,'Insumos - OPEX'!$B$82:$B$238,OPEX!D219))))</f>
        <v>60018.582278906673</v>
      </c>
      <c r="N219" s="211">
        <f>IF(OR($B219="Ce Co No Imputables",$G219="M2 fijo"),$M219*(1+'Insumos - OPEX'!J$38),$M219*(1+'Insumos - OPEX'!J$29*'Insumos - OPEX'!J$39)*(1+'Insumos - OPEX'!J$38))</f>
        <v>63460.685247326946</v>
      </c>
      <c r="O219" s="211">
        <f>IF(OR($B219="Ce Co No Imputables",$G219="M2 fijo"),$M219*(1+'Insumos - OPEX'!K$38),$M219*(1+'Insumos - OPEX'!K$29*'Insumos - OPEX'!K$39)*(1+'Insumos - OPEX'!K$38))</f>
        <v>66719.271041340238</v>
      </c>
      <c r="P219" s="211">
        <f>IF(OR($B219="Ce Co No Imputables",$G219="M2 fijo"),$M219*(1+'Insumos - OPEX'!L$38),$M219*(1+'Insumos - OPEX'!L$29*'Insumos - OPEX'!L$39)*(1+'Insumos - OPEX'!L$38))</f>
        <v>70019.092668003301</v>
      </c>
      <c r="Q219" s="211">
        <f>IF(OR($B219="Ce Co No Imputables",$G219="M2 fijo"),$M219*(1+'Insumos - OPEX'!M$38),$M219*(1+'Insumos - OPEX'!M$29*'Insumos - OPEX'!M$39)*(1+'Insumos - OPEX'!M$38))</f>
        <v>73646.619668579529</v>
      </c>
      <c r="R219" s="211">
        <f>IF(OR($B219="Ce Co No Imputables",$G219="M2 fijo"),$M219*(1+'Insumos - OPEX'!N$38),$M219*(1+'Insumos - OPEX'!N$29*'Insumos - OPEX'!N$39)*(1+'Insumos - OPEX'!N$38))</f>
        <v>77346.474904171831</v>
      </c>
      <c r="S219" s="111"/>
    </row>
    <row r="220" spans="1:19" x14ac:dyDescent="0.2">
      <c r="A220" s="8"/>
      <c r="B220" s="8" t="s">
        <v>434</v>
      </c>
      <c r="C220" s="8" t="s">
        <v>171</v>
      </c>
      <c r="D220" s="8">
        <v>6320000002</v>
      </c>
      <c r="E220" s="8" t="s">
        <v>346</v>
      </c>
      <c r="F220" s="89" t="s">
        <v>470</v>
      </c>
      <c r="G220" s="73" t="s">
        <v>136</v>
      </c>
      <c r="H220" s="112" t="s">
        <v>61</v>
      </c>
      <c r="I220" s="13" t="s">
        <v>436</v>
      </c>
      <c r="K220" s="186">
        <v>20996.050000000003</v>
      </c>
      <c r="L220" s="187"/>
      <c r="M220" s="214">
        <f>IF(OR(E220="Distribución Legal de la Renta",E220="Acopio carros portaequipajes"),0,IF(K220&lt;0,0,K220*(1+SUMIFS('Insumos - OPEX'!$G$82:$G$238,'Insumos - OPEX'!$B$82:$B$238,OPEX!D220))))</f>
        <v>21920.073478885806</v>
      </c>
      <c r="N220" s="211">
        <f>IF(OR($B220="Ce Co No Imputables",$G220="M2 fijo"),$M220*(1+'Insumos - OPEX'!J$38),$M220*(1+'Insumos - OPEX'!J$29*'Insumos - OPEX'!J$39)*(1+'Insumos - OPEX'!J$38))</f>
        <v>23177.203306428906</v>
      </c>
      <c r="O220" s="211">
        <f>IF(OR($B220="Ce Co No Imputables",$G220="M2 fijo"),$M220*(1+'Insumos - OPEX'!K$38),$M220*(1+'Insumos - OPEX'!K$29*'Insumos - OPEX'!K$39)*(1+'Insumos - OPEX'!K$38))</f>
        <v>24367.308725948758</v>
      </c>
      <c r="P220" s="211">
        <f>IF(OR($B220="Ce Co No Imputables",$G220="M2 fijo"),$M220*(1+'Insumos - OPEX'!L$38),$M220*(1+'Insumos - OPEX'!L$29*'Insumos - OPEX'!L$39)*(1+'Insumos - OPEX'!L$38))</f>
        <v>25572.47435594552</v>
      </c>
      <c r="Q220" s="211">
        <f>IF(OR($B220="Ce Co No Imputables",$G220="M2 fijo"),$M220*(1+'Insumos - OPEX'!M$38),$M220*(1+'Insumos - OPEX'!M$29*'Insumos - OPEX'!M$39)*(1+'Insumos - OPEX'!M$38))</f>
        <v>26897.325016858547</v>
      </c>
      <c r="R220" s="211">
        <f>IF(OR($B220="Ce Co No Imputables",$G220="M2 fijo"),$M220*(1+'Insumos - OPEX'!N$38),$M220*(1+'Insumos - OPEX'!N$29*'Insumos - OPEX'!N$39)*(1+'Insumos - OPEX'!N$38))</f>
        <v>28248.591500437695</v>
      </c>
      <c r="S220" s="111"/>
    </row>
    <row r="221" spans="1:19" x14ac:dyDescent="0.2">
      <c r="A221" s="8"/>
      <c r="B221" s="8" t="s">
        <v>434</v>
      </c>
      <c r="C221" s="8" t="s">
        <v>171</v>
      </c>
      <c r="D221" s="8">
        <v>6360000005</v>
      </c>
      <c r="E221" s="8" t="s">
        <v>354</v>
      </c>
      <c r="F221" s="89" t="s">
        <v>470</v>
      </c>
      <c r="G221" s="73" t="s">
        <v>136</v>
      </c>
      <c r="H221" s="112" t="s">
        <v>61</v>
      </c>
      <c r="I221" s="13" t="s">
        <v>436</v>
      </c>
      <c r="K221" s="186">
        <v>7723.44</v>
      </c>
      <c r="L221" s="187"/>
      <c r="M221" s="214">
        <f>IF(OR(E221="Distribución Legal de la Renta",E221="Acopio carros portaequipajes"),0,IF(K221&lt;0,0,K221*(1+SUMIFS('Insumos - OPEX'!$G$82:$G$238,'Insumos - OPEX'!$B$82:$B$238,OPEX!D221))))</f>
        <v>8063.3439294422406</v>
      </c>
      <c r="N221" s="211">
        <f>IF(OR($B221="Ce Co No Imputables",$G221="M2 fijo"),$M221*(1+'Insumos - OPEX'!J$38),$M221*(1+'Insumos - OPEX'!J$29*'Insumos - OPEX'!J$39)*(1+'Insumos - OPEX'!J$38))</f>
        <v>8525.7817115602811</v>
      </c>
      <c r="O221" s="211">
        <f>IF(OR($B221="Ce Co No Imputables",$G221="M2 fijo"),$M221*(1+'Insumos - OPEX'!K$38),$M221*(1+'Insumos - OPEX'!K$29*'Insumos - OPEX'!K$39)*(1+'Insumos - OPEX'!K$38))</f>
        <v>8963.564427896752</v>
      </c>
      <c r="P221" s="211">
        <f>IF(OR($B221="Ce Co No Imputables",$G221="M2 fijo"),$M221*(1+'Insumos - OPEX'!L$38),$M221*(1+'Insumos - OPEX'!L$29*'Insumos - OPEX'!L$39)*(1+'Insumos - OPEX'!L$38))</f>
        <v>9406.8870735059118</v>
      </c>
      <c r="Q221" s="211">
        <f>IF(OR($B221="Ce Co No Imputables",$G221="M2 fijo"),$M221*(1+'Insumos - OPEX'!M$38),$M221*(1+'Insumos - OPEX'!M$29*'Insumos - OPEX'!M$39)*(1+'Insumos - OPEX'!M$38))</f>
        <v>9894.2361028958294</v>
      </c>
      <c r="R221" s="211">
        <f>IF(OR($B221="Ce Co No Imputables",$G221="M2 fijo"),$M221*(1+'Insumos - OPEX'!N$38),$M221*(1+'Insumos - OPEX'!N$29*'Insumos - OPEX'!N$39)*(1+'Insumos - OPEX'!N$38))</f>
        <v>10391.302246762629</v>
      </c>
      <c r="S221" s="111"/>
    </row>
    <row r="222" spans="1:19" ht="14.45" customHeight="1" x14ac:dyDescent="0.2">
      <c r="A222" s="8"/>
      <c r="B222" s="8" t="s">
        <v>434</v>
      </c>
      <c r="C222" s="8" t="s">
        <v>171</v>
      </c>
      <c r="D222" s="8">
        <v>6360000003</v>
      </c>
      <c r="E222" s="8" t="s">
        <v>322</v>
      </c>
      <c r="F222" s="89" t="s">
        <v>469</v>
      </c>
      <c r="G222" s="73" t="s">
        <v>471</v>
      </c>
      <c r="H222" s="112" t="s">
        <v>61</v>
      </c>
      <c r="I222" s="13" t="s">
        <v>436</v>
      </c>
      <c r="K222" s="186">
        <v>6230.3009380050153</v>
      </c>
      <c r="L222" s="187"/>
      <c r="M222" s="214">
        <f>IF(OR(E222="Distribución Legal de la Renta",E222="Acopio carros portaequipajes"),0,IF(K222&lt;0,0,K222*(1+SUMIFS('Insumos - OPEX'!$G$82:$G$238,'Insumos - OPEX'!$B$82:$B$238,OPEX!D222))))</f>
        <v>8323.056964491725</v>
      </c>
      <c r="N222" s="211">
        <f>IF(OR($B222="Ce Co No Imputables",$G222="M2 fijo"),$M222*(1+'Insumos - OPEX'!J$38),$M222*(1+'Insumos - OPEX'!J$29*'Insumos - OPEX'!J$39)*(1+'Insumos - OPEX'!J$38))</f>
        <v>8800.3894504654309</v>
      </c>
      <c r="O222" s="211">
        <f>IF(OR($B222="Ce Co No Imputables",$G222="M2 fijo"),$M222*(1+'Insumos - OPEX'!K$38),$M222*(1+'Insumos - OPEX'!K$29*'Insumos - OPEX'!K$39)*(1+'Insumos - OPEX'!K$38))</f>
        <v>9252.2727532269473</v>
      </c>
      <c r="P222" s="211">
        <f>IF(OR($B222="Ce Co No Imputables",$G222="M2 fijo"),$M222*(1+'Insumos - OPEX'!L$38),$M222*(1+'Insumos - OPEX'!L$29*'Insumos - OPEX'!L$39)*(1+'Insumos - OPEX'!L$38))</f>
        <v>9709.8744213861592</v>
      </c>
      <c r="Q222" s="211">
        <f>IF(OR($B222="Ce Co No Imputables",$G222="M2 fijo"),$M222*(1+'Insumos - OPEX'!M$38),$M222*(1+'Insumos - OPEX'!M$29*'Insumos - OPEX'!M$39)*(1+'Insumos - OPEX'!M$38))</f>
        <v>10212.920523437098</v>
      </c>
      <c r="R222" s="211">
        <f>IF(OR($B222="Ce Co No Imputables",$G222="M2 fijo"),$M222*(1+'Insumos - OPEX'!N$38),$M222*(1+'Insumos - OPEX'!N$29*'Insumos - OPEX'!N$39)*(1+'Insumos - OPEX'!N$38))</f>
        <v>10725.996719457647</v>
      </c>
      <c r="S222" s="111"/>
    </row>
    <row r="223" spans="1:19" x14ac:dyDescent="0.2">
      <c r="A223" s="8"/>
      <c r="B223" s="8" t="s">
        <v>434</v>
      </c>
      <c r="C223" s="8" t="s">
        <v>171</v>
      </c>
      <c r="D223" s="8">
        <v>6370000003</v>
      </c>
      <c r="E223" s="8" t="s">
        <v>339</v>
      </c>
      <c r="F223" s="89" t="s">
        <v>470</v>
      </c>
      <c r="G223" s="73" t="s">
        <v>136</v>
      </c>
      <c r="H223" s="112" t="s">
        <v>61</v>
      </c>
      <c r="I223" s="13" t="s">
        <v>436</v>
      </c>
      <c r="K223" s="186">
        <v>536.29</v>
      </c>
      <c r="L223" s="187"/>
      <c r="M223" s="214">
        <f>IF(OR(E223="Distribución Legal de la Renta",E223="Acopio carros portaequipajes"),0,IF(K223&lt;0,0,K223*(1+SUMIFS('Insumos - OPEX'!$G$82:$G$238,'Insumos - OPEX'!$B$82:$B$238,OPEX!D223))))</f>
        <v>559.89179898084001</v>
      </c>
      <c r="N223" s="211">
        <f>IF(OR($B223="Ce Co No Imputables",$G223="M2 fijo"),$M223*(1+'Insumos - OPEX'!J$38),$M223*(1+'Insumos - OPEX'!J$29*'Insumos - OPEX'!J$39)*(1+'Insumos - OPEX'!J$38))</f>
        <v>592.00194137491371</v>
      </c>
      <c r="O223" s="211">
        <f>IF(OR($B223="Ce Co No Imputables",$G223="M2 fijo"),$M223*(1+'Insumos - OPEX'!K$38),$M223*(1+'Insumos - OPEX'!K$29*'Insumos - OPEX'!K$39)*(1+'Insumos - OPEX'!K$38))</f>
        <v>622.4001179573803</v>
      </c>
      <c r="P223" s="211">
        <f>IF(OR($B223="Ce Co No Imputables",$G223="M2 fijo"),$M223*(1+'Insumos - OPEX'!L$38),$M223*(1+'Insumos - OPEX'!L$29*'Insumos - OPEX'!L$39)*(1+'Insumos - OPEX'!L$38))</f>
        <v>653.18296881318236</v>
      </c>
      <c r="Q223" s="211">
        <f>IF(OR($B223="Ce Co No Imputables",$G223="M2 fijo"),$M223*(1+'Insumos - OPEX'!M$38),$M223*(1+'Insumos - OPEX'!M$29*'Insumos - OPEX'!M$39)*(1+'Insumos - OPEX'!M$38))</f>
        <v>687.02286540997318</v>
      </c>
      <c r="R223" s="211">
        <f>IF(OR($B223="Ce Co No Imputables",$G223="M2 fijo"),$M223*(1+'Insumos - OPEX'!N$38),$M223*(1+'Insumos - OPEX'!N$29*'Insumos - OPEX'!N$39)*(1+'Insumos - OPEX'!N$38))</f>
        <v>721.53748613523624</v>
      </c>
      <c r="S223" s="111"/>
    </row>
    <row r="224" spans="1:19" x14ac:dyDescent="0.2">
      <c r="A224" s="8"/>
      <c r="B224" s="8" t="s">
        <v>434</v>
      </c>
      <c r="C224" s="8" t="s">
        <v>171</v>
      </c>
      <c r="D224" s="8">
        <v>6380000022</v>
      </c>
      <c r="E224" s="8" t="s">
        <v>328</v>
      </c>
      <c r="F224" s="89" t="s">
        <v>470</v>
      </c>
      <c r="G224" s="73" t="s">
        <v>136</v>
      </c>
      <c r="H224" s="112" t="s">
        <v>61</v>
      </c>
      <c r="I224" s="13" t="s">
        <v>436</v>
      </c>
      <c r="K224" s="186">
        <v>453.43842924896569</v>
      </c>
      <c r="L224" s="187"/>
      <c r="M224" s="214">
        <f>IF(OR(E224="Distribución Legal de la Renta",E224="Acopio carros portaequipajes"),0,IF(K224&lt;0,0,K224*(1+SUMIFS('Insumos - OPEX'!$G$82:$G$238,'Insumos - OPEX'!$B$82:$B$238,OPEX!D224))))</f>
        <v>473.39398064340145</v>
      </c>
      <c r="N224" s="211">
        <f>IF(OR($B224="Ce Co No Imputables",$G224="M2 fijo"),$M224*(1+'Insumos - OPEX'!J$38),$M224*(1+'Insumos - OPEX'!J$29*'Insumos - OPEX'!J$39)*(1+'Insumos - OPEX'!J$38))</f>
        <v>500.54341943608705</v>
      </c>
      <c r="O224" s="211">
        <f>IF(OR($B224="Ce Co No Imputables",$G224="M2 fijo"),$M224*(1+'Insumos - OPEX'!K$38),$M224*(1+'Insumos - OPEX'!K$29*'Insumos - OPEX'!K$39)*(1+'Insumos - OPEX'!K$38))</f>
        <v>526.24537442608573</v>
      </c>
      <c r="P224" s="211">
        <f>IF(OR($B224="Ce Co No Imputables",$G224="M2 fijo"),$M224*(1+'Insumos - OPEX'!L$38),$M224*(1+'Insumos - OPEX'!L$29*'Insumos - OPEX'!L$39)*(1+'Insumos - OPEX'!L$38))</f>
        <v>552.27257526865242</v>
      </c>
      <c r="Q224" s="211">
        <f>IF(OR($B224="Ce Co No Imputables",$G224="M2 fijo"),$M224*(1+'Insumos - OPEX'!M$38),$M224*(1+'Insumos - OPEX'!M$29*'Insumos - OPEX'!M$39)*(1+'Insumos - OPEX'!M$38))</f>
        <v>580.88453812232535</v>
      </c>
      <c r="R224" s="211">
        <f>IF(OR($B224="Ce Co No Imputables",$G224="M2 fijo"),$M224*(1+'Insumos - OPEX'!N$38),$M224*(1+'Insumos - OPEX'!N$29*'Insumos - OPEX'!N$39)*(1+'Insumos - OPEX'!N$38))</f>
        <v>610.06698681200271</v>
      </c>
      <c r="S224" s="111"/>
    </row>
    <row r="225" spans="1:19" x14ac:dyDescent="0.2">
      <c r="A225" s="8"/>
      <c r="B225" s="8" t="s">
        <v>434</v>
      </c>
      <c r="C225" s="8" t="s">
        <v>171</v>
      </c>
      <c r="D225" s="8">
        <v>6380000010</v>
      </c>
      <c r="E225" s="8" t="s">
        <v>332</v>
      </c>
      <c r="F225" s="89" t="s">
        <v>470</v>
      </c>
      <c r="G225" s="73" t="s">
        <v>136</v>
      </c>
      <c r="H225" s="112" t="s">
        <v>61</v>
      </c>
      <c r="I225" s="13" t="s">
        <v>436</v>
      </c>
      <c r="K225" s="186">
        <v>391.32961514590539</v>
      </c>
      <c r="L225" s="187"/>
      <c r="M225" s="214">
        <f>IF(OR(E225="Distribución Legal de la Renta",E225="Acopio carros portaequipajes"),0,IF(K225&lt;0,0,K225*(1+SUMIFS('Insumos - OPEX'!$G$82:$G$238,'Insumos - OPEX'!$B$82:$B$238,OPEX!D225))))</f>
        <v>408.55179514538918</v>
      </c>
      <c r="N225" s="211">
        <f>IF(OR($B225="Ce Co No Imputables",$G225="M2 fijo"),$M225*(1+'Insumos - OPEX'!J$38),$M225*(1+'Insumos - OPEX'!J$29*'Insumos - OPEX'!J$39)*(1+'Insumos - OPEX'!J$38))</f>
        <v>431.98249432932522</v>
      </c>
      <c r="O225" s="211">
        <f>IF(OR($B225="Ce Co No Imputables",$G225="M2 fijo"),$M225*(1+'Insumos - OPEX'!K$38),$M225*(1+'Insumos - OPEX'!K$29*'Insumos - OPEX'!K$39)*(1+'Insumos - OPEX'!K$38))</f>
        <v>454.16397588436814</v>
      </c>
      <c r="P225" s="211">
        <f>IF(OR($B225="Ce Co No Imputables",$G225="M2 fijo"),$M225*(1+'Insumos - OPEX'!L$38),$M225*(1+'Insumos - OPEX'!L$29*'Insumos - OPEX'!L$39)*(1+'Insumos - OPEX'!L$38))</f>
        <v>476.62615339745776</v>
      </c>
      <c r="Q225" s="211">
        <f>IF(OR($B225="Ce Co No Imputables",$G225="M2 fijo"),$M225*(1+'Insumos - OPEX'!M$38),$M225*(1+'Insumos - OPEX'!M$29*'Insumos - OPEX'!M$39)*(1+'Insumos - OPEX'!M$38))</f>
        <v>501.31905035954799</v>
      </c>
      <c r="R225" s="211">
        <f>IF(OR($B225="Ce Co No Imputables",$G225="M2 fijo"),$M225*(1+'Insumos - OPEX'!N$38),$M225*(1+'Insumos - OPEX'!N$29*'Insumos - OPEX'!N$39)*(1+'Insumos - OPEX'!N$38))</f>
        <v>526.50429201112479</v>
      </c>
      <c r="S225" s="111"/>
    </row>
    <row r="226" spans="1:19" x14ac:dyDescent="0.2">
      <c r="A226" s="8"/>
      <c r="B226" s="8" t="s">
        <v>434</v>
      </c>
      <c r="C226" s="8" t="s">
        <v>171</v>
      </c>
      <c r="D226" s="8">
        <v>6380000012</v>
      </c>
      <c r="E226" s="8" t="s">
        <v>345</v>
      </c>
      <c r="F226" s="89" t="s">
        <v>470</v>
      </c>
      <c r="G226" s="73" t="s">
        <v>136</v>
      </c>
      <c r="H226" s="112" t="s">
        <v>61</v>
      </c>
      <c r="I226" s="13" t="s">
        <v>436</v>
      </c>
      <c r="J226" s="11"/>
      <c r="K226" s="186">
        <v>347.49</v>
      </c>
      <c r="L226" s="187"/>
      <c r="M226" s="214">
        <f>IF(OR(E226="Distribución Legal de la Renta",E226="Acopio carros portaequipajes"),0,IF(K226&lt;0,0,K226*(1+SUMIFS('Insumos - OPEX'!$G$82:$G$238,'Insumos - OPEX'!$B$82:$B$238,OPEX!D226))))</f>
        <v>362.78282501604002</v>
      </c>
      <c r="N226" s="211">
        <f>IF(OR($B226="Ce Co No Imputables",$G226="M2 fijo"),$M226*(1+'Insumos - OPEX'!J$38),$M226*(1+'Insumos - OPEX'!J$29*'Insumos - OPEX'!J$39)*(1+'Insumos - OPEX'!J$38))</f>
        <v>383.58864533809833</v>
      </c>
      <c r="O226" s="211">
        <f>IF(OR($B226="Ce Co No Imputables",$G226="M2 fijo"),$M226*(1+'Insumos - OPEX'!K$38),$M226*(1+'Insumos - OPEX'!K$29*'Insumos - OPEX'!K$39)*(1+'Insumos - OPEX'!K$38))</f>
        <v>403.28519455706817</v>
      </c>
      <c r="P226" s="211">
        <f>IF(OR($B226="Ce Co No Imputables",$G226="M2 fijo"),$M226*(1+'Insumos - OPEX'!L$38),$M226*(1+'Insumos - OPEX'!L$29*'Insumos - OPEX'!L$39)*(1+'Insumos - OPEX'!L$38))</f>
        <v>423.23099411305964</v>
      </c>
      <c r="Q226" s="211">
        <f>IF(OR($B226="Ce Co No Imputables",$G226="M2 fijo"),$M226*(1+'Insumos - OPEX'!M$38),$M226*(1+'Insumos - OPEX'!M$29*'Insumos - OPEX'!M$39)*(1+'Insumos - OPEX'!M$38))</f>
        <v>445.15761155589621</v>
      </c>
      <c r="R226" s="211">
        <f>IF(OR($B226="Ce Co No Imputables",$G226="M2 fijo"),$M226*(1+'Insumos - OPEX'!N$38),$M226*(1+'Insumos - OPEX'!N$29*'Insumos - OPEX'!N$39)*(1+'Insumos - OPEX'!N$38))</f>
        <v>467.52141762317638</v>
      </c>
      <c r="S226" s="111"/>
    </row>
    <row r="227" spans="1:19" x14ac:dyDescent="0.2">
      <c r="A227" s="8"/>
      <c r="B227" s="8" t="s">
        <v>434</v>
      </c>
      <c r="C227" s="8" t="s">
        <v>171</v>
      </c>
      <c r="D227" s="8">
        <v>6311300002</v>
      </c>
      <c r="E227" s="8" t="s">
        <v>347</v>
      </c>
      <c r="F227" s="89" t="s">
        <v>470</v>
      </c>
      <c r="G227" s="73" t="s">
        <v>136</v>
      </c>
      <c r="H227" s="112" t="s">
        <v>61</v>
      </c>
      <c r="I227" s="13" t="s">
        <v>436</v>
      </c>
      <c r="J227" s="11"/>
      <c r="K227" s="186">
        <v>193.92000000000002</v>
      </c>
      <c r="L227" s="187"/>
      <c r="M227" s="214">
        <f>IF(OR(E227="Distribución Legal de la Renta",E227="Acopio carros portaequipajes"),0,IF(K227&lt;0,0,K227*(1+SUMIFS('Insumos - OPEX'!$G$82:$G$238,'Insumos - OPEX'!$B$82:$B$238,OPEX!D227))))</f>
        <v>202.45430207232005</v>
      </c>
      <c r="N227" s="211">
        <f>IF(OR($B227="Ce Co No Imputables",$G227="M2 fijo"),$M227*(1+'Insumos - OPEX'!J$38),$M227*(1+'Insumos - OPEX'!J$29*'Insumos - OPEX'!J$39)*(1+'Insumos - OPEX'!J$38))</f>
        <v>214.06518203103411</v>
      </c>
      <c r="O227" s="211">
        <f>IF(OR($B227="Ce Co No Imputables",$G227="M2 fijo"),$M227*(1+'Insumos - OPEX'!K$38),$M227*(1+'Insumos - OPEX'!K$29*'Insumos - OPEX'!K$39)*(1+'Insumos - OPEX'!K$38))</f>
        <v>225.05702301794778</v>
      </c>
      <c r="P227" s="211">
        <f>IF(OR($B227="Ce Co No Imputables",$G227="M2 fijo"),$M227*(1+'Insumos - OPEX'!L$38),$M227*(1+'Insumos - OPEX'!L$29*'Insumos - OPEX'!L$39)*(1+'Insumos - OPEX'!L$38))</f>
        <v>236.18796045470242</v>
      </c>
      <c r="Q227" s="211">
        <f>IF(OR($B227="Ce Co No Imputables",$G227="M2 fijo"),$M227*(1+'Insumos - OPEX'!M$38),$M227*(1+'Insumos - OPEX'!M$29*'Insumos - OPEX'!M$39)*(1+'Insumos - OPEX'!M$38))</f>
        <v>248.42431158571304</v>
      </c>
      <c r="R227" s="211">
        <f>IF(OR($B227="Ce Co No Imputables",$G227="M2 fijo"),$M227*(1+'Insumos - OPEX'!N$38),$M227*(1+'Insumos - OPEX'!N$29*'Insumos - OPEX'!N$39)*(1+'Insumos - OPEX'!N$38))</f>
        <v>260.90463986153958</v>
      </c>
      <c r="S227" s="111"/>
    </row>
    <row r="228" spans="1:19" x14ac:dyDescent="0.2">
      <c r="A228" s="8"/>
      <c r="B228" s="8" t="s">
        <v>434</v>
      </c>
      <c r="C228" s="8" t="s">
        <v>171</v>
      </c>
      <c r="D228" s="8">
        <v>6380000009</v>
      </c>
      <c r="E228" s="8" t="s">
        <v>321</v>
      </c>
      <c r="F228" s="89" t="s">
        <v>469</v>
      </c>
      <c r="G228" s="73" t="s">
        <v>136</v>
      </c>
      <c r="H228" s="112" t="s">
        <v>61</v>
      </c>
      <c r="I228" s="13" t="s">
        <v>436</v>
      </c>
      <c r="J228" s="11"/>
      <c r="K228" s="186">
        <v>0</v>
      </c>
      <c r="L228" s="187"/>
      <c r="M228" s="214">
        <f>IF(OR(E228="Distribución Legal de la Renta",E228="Acopio carros portaequipajes"),0,IF(K228&lt;0,0,K228*(1+SUMIFS('Insumos - OPEX'!$G$82:$G$238,'Insumos - OPEX'!$B$82:$B$238,OPEX!D228))))</f>
        <v>0</v>
      </c>
      <c r="N228" s="211">
        <f>IF(OR($B228="Ce Co No Imputables",$G228="M2 fijo"),$M228*(1+'Insumos - OPEX'!J$38),$M228*(1+'Insumos - OPEX'!J$29*'Insumos - OPEX'!J$39)*(1+'Insumos - OPEX'!J$38))</f>
        <v>0</v>
      </c>
      <c r="O228" s="211">
        <f>IF(OR($B228="Ce Co No Imputables",$G228="M2 fijo"),$M228*(1+'Insumos - OPEX'!K$38),$M228*(1+'Insumos - OPEX'!K$29*'Insumos - OPEX'!K$39)*(1+'Insumos - OPEX'!K$38))</f>
        <v>0</v>
      </c>
      <c r="P228" s="211">
        <f>IF(OR($B228="Ce Co No Imputables",$G228="M2 fijo"),$M228*(1+'Insumos - OPEX'!L$38),$M228*(1+'Insumos - OPEX'!L$29*'Insumos - OPEX'!L$39)*(1+'Insumos - OPEX'!L$38))</f>
        <v>0</v>
      </c>
      <c r="Q228" s="211">
        <f>IF(OR($B228="Ce Co No Imputables",$G228="M2 fijo"),$M228*(1+'Insumos - OPEX'!M$38),$M228*(1+'Insumos - OPEX'!M$29*'Insumos - OPEX'!M$39)*(1+'Insumos - OPEX'!M$38))</f>
        <v>0</v>
      </c>
      <c r="R228" s="211">
        <f>IF(OR($B228="Ce Co No Imputables",$G228="M2 fijo"),$M228*(1+'Insumos - OPEX'!N$38),$M228*(1+'Insumos - OPEX'!N$29*'Insumos - OPEX'!N$39)*(1+'Insumos - OPEX'!N$38))</f>
        <v>0</v>
      </c>
      <c r="S228" s="111"/>
    </row>
    <row r="229" spans="1:19" x14ac:dyDescent="0.2">
      <c r="A229" s="8"/>
      <c r="B229" s="8" t="s">
        <v>434</v>
      </c>
      <c r="C229" s="8" t="s">
        <v>171</v>
      </c>
      <c r="D229" s="8">
        <v>6354000001</v>
      </c>
      <c r="E229" s="8" t="s">
        <v>336</v>
      </c>
      <c r="F229" s="89" t="s">
        <v>469</v>
      </c>
      <c r="G229" s="73" t="s">
        <v>136</v>
      </c>
      <c r="H229" s="112" t="s">
        <v>61</v>
      </c>
      <c r="I229" s="13" t="s">
        <v>436</v>
      </c>
      <c r="K229" s="186">
        <v>0</v>
      </c>
      <c r="L229" s="187"/>
      <c r="M229" s="214">
        <f>IF(OR(E229="Distribución Legal de la Renta",E229="Acopio carros portaequipajes"),0,IF(K229&lt;0,0,K229*(1+SUMIFS('Insumos - OPEX'!$G$82:$G$238,'Insumos - OPEX'!$B$82:$B$238,OPEX!D229))))</f>
        <v>0</v>
      </c>
      <c r="N229" s="211">
        <f>IF(OR($B229="Ce Co No Imputables",$G229="M2 fijo"),$M229*(1+'Insumos - OPEX'!J$38),$M229*(1+'Insumos - OPEX'!J$29*'Insumos - OPEX'!J$39)*(1+'Insumos - OPEX'!J$38))</f>
        <v>0</v>
      </c>
      <c r="O229" s="211">
        <f>IF(OR($B229="Ce Co No Imputables",$G229="M2 fijo"),$M229*(1+'Insumos - OPEX'!K$38),$M229*(1+'Insumos - OPEX'!K$29*'Insumos - OPEX'!K$39)*(1+'Insumos - OPEX'!K$38))</f>
        <v>0</v>
      </c>
      <c r="P229" s="211">
        <f>IF(OR($B229="Ce Co No Imputables",$G229="M2 fijo"),$M229*(1+'Insumos - OPEX'!L$38),$M229*(1+'Insumos - OPEX'!L$29*'Insumos - OPEX'!L$39)*(1+'Insumos - OPEX'!L$38))</f>
        <v>0</v>
      </c>
      <c r="Q229" s="211">
        <f>IF(OR($B229="Ce Co No Imputables",$G229="M2 fijo"),$M229*(1+'Insumos - OPEX'!M$38),$M229*(1+'Insumos - OPEX'!M$29*'Insumos - OPEX'!M$39)*(1+'Insumos - OPEX'!M$38))</f>
        <v>0</v>
      </c>
      <c r="R229" s="211">
        <f>IF(OR($B229="Ce Co No Imputables",$G229="M2 fijo"),$M229*(1+'Insumos - OPEX'!N$38),$M229*(1+'Insumos - OPEX'!N$29*'Insumos - OPEX'!N$39)*(1+'Insumos - OPEX'!N$38))</f>
        <v>0</v>
      </c>
      <c r="S229" s="111"/>
    </row>
    <row r="230" spans="1:19" x14ac:dyDescent="0.2">
      <c r="A230" s="8"/>
      <c r="B230" s="8" t="s">
        <v>434</v>
      </c>
      <c r="C230" s="8" t="s">
        <v>171</v>
      </c>
      <c r="D230" s="8">
        <v>6358000001</v>
      </c>
      <c r="E230" s="8" t="s">
        <v>335</v>
      </c>
      <c r="F230" s="89" t="s">
        <v>470</v>
      </c>
      <c r="G230" s="73" t="s">
        <v>136</v>
      </c>
      <c r="H230" s="112" t="s">
        <v>61</v>
      </c>
      <c r="I230" s="13" t="s">
        <v>436</v>
      </c>
      <c r="K230" s="186">
        <v>0</v>
      </c>
      <c r="L230" s="187"/>
      <c r="M230" s="214">
        <f>IF(OR(E230="Distribución Legal de la Renta",E230="Acopio carros portaequipajes"),0,IF(K230&lt;0,0,K230*(1+SUMIFS('Insumos - OPEX'!$G$82:$G$238,'Insumos - OPEX'!$B$82:$B$238,OPEX!D230))))</f>
        <v>0</v>
      </c>
      <c r="N230" s="211">
        <f>IF(OR($B230="Ce Co No Imputables",$G230="M2 fijo"),$M230*(1+'Insumos - OPEX'!J$38),$M230*(1+'Insumos - OPEX'!J$29*'Insumos - OPEX'!J$39)*(1+'Insumos - OPEX'!J$38))</f>
        <v>0</v>
      </c>
      <c r="O230" s="211">
        <f>IF(OR($B230="Ce Co No Imputables",$G230="M2 fijo"),$M230*(1+'Insumos - OPEX'!K$38),$M230*(1+'Insumos - OPEX'!K$29*'Insumos - OPEX'!K$39)*(1+'Insumos - OPEX'!K$38))</f>
        <v>0</v>
      </c>
      <c r="P230" s="211">
        <f>IF(OR($B230="Ce Co No Imputables",$G230="M2 fijo"),$M230*(1+'Insumos - OPEX'!L$38),$M230*(1+'Insumos - OPEX'!L$29*'Insumos - OPEX'!L$39)*(1+'Insumos - OPEX'!L$38))</f>
        <v>0</v>
      </c>
      <c r="Q230" s="211">
        <f>IF(OR($B230="Ce Co No Imputables",$G230="M2 fijo"),$M230*(1+'Insumos - OPEX'!M$38),$M230*(1+'Insumos - OPEX'!M$29*'Insumos - OPEX'!M$39)*(1+'Insumos - OPEX'!M$38))</f>
        <v>0</v>
      </c>
      <c r="R230" s="211">
        <f>IF(OR($B230="Ce Co No Imputables",$G230="M2 fijo"),$M230*(1+'Insumos - OPEX'!N$38),$M230*(1+'Insumos - OPEX'!N$29*'Insumos - OPEX'!N$39)*(1+'Insumos - OPEX'!N$38))</f>
        <v>0</v>
      </c>
      <c r="S230" s="111"/>
    </row>
    <row r="231" spans="1:19" x14ac:dyDescent="0.2">
      <c r="A231" s="8"/>
      <c r="B231" s="8" t="s">
        <v>434</v>
      </c>
      <c r="C231" s="8" t="s">
        <v>171</v>
      </c>
      <c r="D231" s="8">
        <v>6370000001</v>
      </c>
      <c r="E231" s="8" t="s">
        <v>270</v>
      </c>
      <c r="F231" s="89" t="s">
        <v>469</v>
      </c>
      <c r="G231" s="73" t="s">
        <v>136</v>
      </c>
      <c r="H231" s="112" t="s">
        <v>61</v>
      </c>
      <c r="I231" s="13" t="s">
        <v>436</v>
      </c>
      <c r="K231" s="186">
        <v>0</v>
      </c>
      <c r="L231" s="187"/>
      <c r="M231" s="214">
        <f>IF(OR(E231="Distribución Legal de la Renta",E231="Acopio carros portaequipajes"),0,IF(K231&lt;0,0,K231*(1+SUMIFS('Insumos - OPEX'!$G$82:$G$238,'Insumos - OPEX'!$B$82:$B$238,OPEX!D231))))</f>
        <v>0</v>
      </c>
      <c r="N231" s="211">
        <f>IF(OR($B231="Ce Co No Imputables",$G231="M2 fijo"),$M231*(1+'Insumos - OPEX'!J$38),$M231*(1+'Insumos - OPEX'!J$29*'Insumos - OPEX'!J$39)*(1+'Insumos - OPEX'!J$38))</f>
        <v>0</v>
      </c>
      <c r="O231" s="211">
        <f>IF(OR($B231="Ce Co No Imputables",$G231="M2 fijo"),$M231*(1+'Insumos - OPEX'!K$38),$M231*(1+'Insumos - OPEX'!K$29*'Insumos - OPEX'!K$39)*(1+'Insumos - OPEX'!K$38))</f>
        <v>0</v>
      </c>
      <c r="P231" s="211">
        <f>IF(OR($B231="Ce Co No Imputables",$G231="M2 fijo"),$M231*(1+'Insumos - OPEX'!L$38),$M231*(1+'Insumos - OPEX'!L$29*'Insumos - OPEX'!L$39)*(1+'Insumos - OPEX'!L$38))</f>
        <v>0</v>
      </c>
      <c r="Q231" s="211">
        <f>IF(OR($B231="Ce Co No Imputables",$G231="M2 fijo"),$M231*(1+'Insumos - OPEX'!M$38),$M231*(1+'Insumos - OPEX'!M$29*'Insumos - OPEX'!M$39)*(1+'Insumos - OPEX'!M$38))</f>
        <v>0</v>
      </c>
      <c r="R231" s="211">
        <f>IF(OR($B231="Ce Co No Imputables",$G231="M2 fijo"),$M231*(1+'Insumos - OPEX'!N$38),$M231*(1+'Insumos - OPEX'!N$29*'Insumos - OPEX'!N$39)*(1+'Insumos - OPEX'!N$38))</f>
        <v>0</v>
      </c>
      <c r="S231" s="111"/>
    </row>
    <row r="232" spans="1:19" x14ac:dyDescent="0.2">
      <c r="A232" s="8"/>
      <c r="B232" s="8" t="s">
        <v>434</v>
      </c>
      <c r="C232" s="8" t="s">
        <v>171</v>
      </c>
      <c r="D232" s="8">
        <v>6311300001</v>
      </c>
      <c r="E232" s="8" t="s">
        <v>352</v>
      </c>
      <c r="F232" s="89" t="s">
        <v>470</v>
      </c>
      <c r="G232" s="73" t="s">
        <v>136</v>
      </c>
      <c r="H232" s="112" t="s">
        <v>61</v>
      </c>
      <c r="I232" s="13" t="s">
        <v>436</v>
      </c>
      <c r="K232" s="186">
        <v>0</v>
      </c>
      <c r="L232" s="187"/>
      <c r="M232" s="214">
        <f>IF(OR(E232="Distribución Legal de la Renta",E232="Acopio carros portaequipajes"),0,IF(K232&lt;0,0,K232*(1+SUMIFS('Insumos - OPEX'!$G$82:$G$238,'Insumos - OPEX'!$B$82:$B$238,OPEX!D232))))</f>
        <v>0</v>
      </c>
      <c r="N232" s="211">
        <f>IF(OR($B232="Ce Co No Imputables",$G232="M2 fijo"),$M232*(1+'Insumos - OPEX'!J$38),$M232*(1+'Insumos - OPEX'!J$29*'Insumos - OPEX'!J$39)*(1+'Insumos - OPEX'!J$38))</f>
        <v>0</v>
      </c>
      <c r="O232" s="211">
        <f>IF(OR($B232="Ce Co No Imputables",$G232="M2 fijo"),$M232*(1+'Insumos - OPEX'!K$38),$M232*(1+'Insumos - OPEX'!K$29*'Insumos - OPEX'!K$39)*(1+'Insumos - OPEX'!K$38))</f>
        <v>0</v>
      </c>
      <c r="P232" s="211">
        <f>IF(OR($B232="Ce Co No Imputables",$G232="M2 fijo"),$M232*(1+'Insumos - OPEX'!L$38),$M232*(1+'Insumos - OPEX'!L$29*'Insumos - OPEX'!L$39)*(1+'Insumos - OPEX'!L$38))</f>
        <v>0</v>
      </c>
      <c r="Q232" s="211">
        <f>IF(OR($B232="Ce Co No Imputables",$G232="M2 fijo"),$M232*(1+'Insumos - OPEX'!M$38),$M232*(1+'Insumos - OPEX'!M$29*'Insumos - OPEX'!M$39)*(1+'Insumos - OPEX'!M$38))</f>
        <v>0</v>
      </c>
      <c r="R232" s="211">
        <f>IF(OR($B232="Ce Co No Imputables",$G232="M2 fijo"),$M232*(1+'Insumos - OPEX'!N$38),$M232*(1+'Insumos - OPEX'!N$29*'Insumos - OPEX'!N$39)*(1+'Insumos - OPEX'!N$38))</f>
        <v>0</v>
      </c>
      <c r="S232" s="111"/>
    </row>
    <row r="233" spans="1:19" x14ac:dyDescent="0.2">
      <c r="A233" s="8"/>
      <c r="B233" s="8" t="s">
        <v>434</v>
      </c>
      <c r="C233" s="8" t="s">
        <v>171</v>
      </c>
      <c r="D233" s="8">
        <v>6370000002</v>
      </c>
      <c r="E233" s="8" t="s">
        <v>338</v>
      </c>
      <c r="F233" s="89" t="s">
        <v>470</v>
      </c>
      <c r="G233" s="73" t="s">
        <v>136</v>
      </c>
      <c r="H233" s="112" t="s">
        <v>61</v>
      </c>
      <c r="I233" s="13" t="s">
        <v>436</v>
      </c>
      <c r="K233" s="186">
        <v>0</v>
      </c>
      <c r="L233" s="187"/>
      <c r="M233" s="214">
        <f>IF(OR(E233="Distribución Legal de la Renta",E233="Acopio carros portaequipajes"),0,IF(K233&lt;0,0,K233*(1+SUMIFS('Insumos - OPEX'!$G$82:$G$238,'Insumos - OPEX'!$B$82:$B$238,OPEX!D233))))</f>
        <v>0</v>
      </c>
      <c r="N233" s="211">
        <f>IF(OR($B233="Ce Co No Imputables",$G233="M2 fijo"),$M233*(1+'Insumos - OPEX'!J$38),$M233*(1+'Insumos - OPEX'!J$29*'Insumos - OPEX'!J$39)*(1+'Insumos - OPEX'!J$38))</f>
        <v>0</v>
      </c>
      <c r="O233" s="211">
        <f>IF(OR($B233="Ce Co No Imputables",$G233="M2 fijo"),$M233*(1+'Insumos - OPEX'!K$38),$M233*(1+'Insumos - OPEX'!K$29*'Insumos - OPEX'!K$39)*(1+'Insumos - OPEX'!K$38))</f>
        <v>0</v>
      </c>
      <c r="P233" s="211">
        <f>IF(OR($B233="Ce Co No Imputables",$G233="M2 fijo"),$M233*(1+'Insumos - OPEX'!L$38),$M233*(1+'Insumos - OPEX'!L$29*'Insumos - OPEX'!L$39)*(1+'Insumos - OPEX'!L$38))</f>
        <v>0</v>
      </c>
      <c r="Q233" s="211">
        <f>IF(OR($B233="Ce Co No Imputables",$G233="M2 fijo"),$M233*(1+'Insumos - OPEX'!M$38),$M233*(1+'Insumos - OPEX'!M$29*'Insumos - OPEX'!M$39)*(1+'Insumos - OPEX'!M$38))</f>
        <v>0</v>
      </c>
      <c r="R233" s="211">
        <f>IF(OR($B233="Ce Co No Imputables",$G233="M2 fijo"),$M233*(1+'Insumos - OPEX'!N$38),$M233*(1+'Insumos - OPEX'!N$29*'Insumos - OPEX'!N$39)*(1+'Insumos - OPEX'!N$38))</f>
        <v>0</v>
      </c>
      <c r="S233" s="111"/>
    </row>
    <row r="234" spans="1:19" x14ac:dyDescent="0.2">
      <c r="A234" s="8"/>
      <c r="B234" s="8" t="s">
        <v>434</v>
      </c>
      <c r="C234" s="8" t="s">
        <v>171</v>
      </c>
      <c r="D234" s="8">
        <v>6320000005</v>
      </c>
      <c r="E234" s="8" t="s">
        <v>342</v>
      </c>
      <c r="F234" s="89" t="s">
        <v>470</v>
      </c>
      <c r="G234" s="73" t="s">
        <v>136</v>
      </c>
      <c r="H234" s="112" t="s">
        <v>61</v>
      </c>
      <c r="I234" s="13" t="s">
        <v>436</v>
      </c>
      <c r="K234" s="186">
        <v>0</v>
      </c>
      <c r="L234" s="187"/>
      <c r="M234" s="214">
        <f>IF(OR(E234="Distribución Legal de la Renta",E234="Acopio carros portaequipajes"),0,IF(K234&lt;0,0,K234*(1+SUMIFS('Insumos - OPEX'!$G$82:$G$238,'Insumos - OPEX'!$B$82:$B$238,OPEX!D234))))</f>
        <v>0</v>
      </c>
      <c r="N234" s="211">
        <f>IF(OR($B234="Ce Co No Imputables",$G234="M2 fijo"),$M234*(1+'Insumos - OPEX'!J$38),$M234*(1+'Insumos - OPEX'!J$29*'Insumos - OPEX'!J$39)*(1+'Insumos - OPEX'!J$38))</f>
        <v>0</v>
      </c>
      <c r="O234" s="211">
        <f>IF(OR($B234="Ce Co No Imputables",$G234="M2 fijo"),$M234*(1+'Insumos - OPEX'!K$38),$M234*(1+'Insumos - OPEX'!K$29*'Insumos - OPEX'!K$39)*(1+'Insumos - OPEX'!K$38))</f>
        <v>0</v>
      </c>
      <c r="P234" s="211">
        <f>IF(OR($B234="Ce Co No Imputables",$G234="M2 fijo"),$M234*(1+'Insumos - OPEX'!L$38),$M234*(1+'Insumos - OPEX'!L$29*'Insumos - OPEX'!L$39)*(1+'Insumos - OPEX'!L$38))</f>
        <v>0</v>
      </c>
      <c r="Q234" s="211">
        <f>IF(OR($B234="Ce Co No Imputables",$G234="M2 fijo"),$M234*(1+'Insumos - OPEX'!M$38),$M234*(1+'Insumos - OPEX'!M$29*'Insumos - OPEX'!M$39)*(1+'Insumos - OPEX'!M$38))</f>
        <v>0</v>
      </c>
      <c r="R234" s="211">
        <f>IF(OR($B234="Ce Co No Imputables",$G234="M2 fijo"),$M234*(1+'Insumos - OPEX'!N$38),$M234*(1+'Insumos - OPEX'!N$29*'Insumos - OPEX'!N$39)*(1+'Insumos - OPEX'!N$38))</f>
        <v>0</v>
      </c>
      <c r="S234" s="111"/>
    </row>
    <row r="235" spans="1:19" x14ac:dyDescent="0.2">
      <c r="A235" s="8"/>
      <c r="B235" s="8" t="s">
        <v>434</v>
      </c>
      <c r="C235" s="8" t="s">
        <v>171</v>
      </c>
      <c r="D235" s="8">
        <v>6356000001</v>
      </c>
      <c r="E235" s="8" t="s">
        <v>343</v>
      </c>
      <c r="F235" s="89" t="s">
        <v>469</v>
      </c>
      <c r="G235" s="73" t="s">
        <v>136</v>
      </c>
      <c r="H235" s="112" t="s">
        <v>61</v>
      </c>
      <c r="I235" s="13" t="s">
        <v>436</v>
      </c>
      <c r="K235" s="186">
        <v>0</v>
      </c>
      <c r="L235" s="187"/>
      <c r="M235" s="214">
        <f>IF(OR(E235="Distribución Legal de la Renta",E235="Acopio carros portaequipajes"),0,IF(K235&lt;0,0,K235*(1+SUMIFS('Insumos - OPEX'!$G$82:$G$238,'Insumos - OPEX'!$B$82:$B$238,OPEX!D235))))</f>
        <v>0</v>
      </c>
      <c r="N235" s="211">
        <f>IF(OR($B235="Ce Co No Imputables",$G235="M2 fijo"),$M235*(1+'Insumos - OPEX'!J$38),$M235*(1+'Insumos - OPEX'!J$29*'Insumos - OPEX'!J$39)*(1+'Insumos - OPEX'!J$38))</f>
        <v>0</v>
      </c>
      <c r="O235" s="211">
        <f>IF(OR($B235="Ce Co No Imputables",$G235="M2 fijo"),$M235*(1+'Insumos - OPEX'!K$38),$M235*(1+'Insumos - OPEX'!K$29*'Insumos - OPEX'!K$39)*(1+'Insumos - OPEX'!K$38))</f>
        <v>0</v>
      </c>
      <c r="P235" s="211">
        <f>IF(OR($B235="Ce Co No Imputables",$G235="M2 fijo"),$M235*(1+'Insumos - OPEX'!L$38),$M235*(1+'Insumos - OPEX'!L$29*'Insumos - OPEX'!L$39)*(1+'Insumos - OPEX'!L$38))</f>
        <v>0</v>
      </c>
      <c r="Q235" s="211">
        <f>IF(OR($B235="Ce Co No Imputables",$G235="M2 fijo"),$M235*(1+'Insumos - OPEX'!M$38),$M235*(1+'Insumos - OPEX'!M$29*'Insumos - OPEX'!M$39)*(1+'Insumos - OPEX'!M$38))</f>
        <v>0</v>
      </c>
      <c r="R235" s="211">
        <f>IF(OR($B235="Ce Co No Imputables",$G235="M2 fijo"),$M235*(1+'Insumos - OPEX'!N$38),$M235*(1+'Insumos - OPEX'!N$29*'Insumos - OPEX'!N$39)*(1+'Insumos - OPEX'!N$38))</f>
        <v>0</v>
      </c>
      <c r="S235" s="111"/>
    </row>
    <row r="236" spans="1:19" x14ac:dyDescent="0.2">
      <c r="A236" s="8"/>
      <c r="B236" s="8" t="s">
        <v>434</v>
      </c>
      <c r="C236" s="8" t="s">
        <v>171</v>
      </c>
      <c r="D236" s="8">
        <v>6380000015</v>
      </c>
      <c r="E236" s="8" t="s">
        <v>327</v>
      </c>
      <c r="F236" s="89" t="s">
        <v>470</v>
      </c>
      <c r="G236" s="73" t="s">
        <v>136</v>
      </c>
      <c r="H236" s="112" t="s">
        <v>61</v>
      </c>
      <c r="I236" s="13" t="s">
        <v>436</v>
      </c>
      <c r="J236" s="11"/>
      <c r="K236" s="186">
        <v>0</v>
      </c>
      <c r="L236" s="187"/>
      <c r="M236" s="214">
        <f>IF(OR(E236="Distribución Legal de la Renta",E236="Acopio carros portaequipajes"),0,IF(K236&lt;0,0,K236*(1+SUMIFS('Insumos - OPEX'!$G$82:$G$238,'Insumos - OPEX'!$B$82:$B$238,OPEX!D236))))</f>
        <v>0</v>
      </c>
      <c r="N236" s="211">
        <f>IF(OR($B236="Ce Co No Imputables",$G236="M2 fijo"),$M236*(1+'Insumos - OPEX'!J$38),$M236*(1+'Insumos - OPEX'!J$29*'Insumos - OPEX'!J$39)*(1+'Insumos - OPEX'!J$38))</f>
        <v>0</v>
      </c>
      <c r="O236" s="211">
        <f>IF(OR($B236="Ce Co No Imputables",$G236="M2 fijo"),$M236*(1+'Insumos - OPEX'!K$38),$M236*(1+'Insumos - OPEX'!K$29*'Insumos - OPEX'!K$39)*(1+'Insumos - OPEX'!K$38))</f>
        <v>0</v>
      </c>
      <c r="P236" s="211">
        <f>IF(OR($B236="Ce Co No Imputables",$G236="M2 fijo"),$M236*(1+'Insumos - OPEX'!L$38),$M236*(1+'Insumos - OPEX'!L$29*'Insumos - OPEX'!L$39)*(1+'Insumos - OPEX'!L$38))</f>
        <v>0</v>
      </c>
      <c r="Q236" s="211">
        <f>IF(OR($B236="Ce Co No Imputables",$G236="M2 fijo"),$M236*(1+'Insumos - OPEX'!M$38),$M236*(1+'Insumos - OPEX'!M$29*'Insumos - OPEX'!M$39)*(1+'Insumos - OPEX'!M$38))</f>
        <v>0</v>
      </c>
      <c r="R236" s="211">
        <f>IF(OR($B236="Ce Co No Imputables",$G236="M2 fijo"),$M236*(1+'Insumos - OPEX'!N$38),$M236*(1+'Insumos - OPEX'!N$29*'Insumos - OPEX'!N$39)*(1+'Insumos - OPEX'!N$38))</f>
        <v>0</v>
      </c>
      <c r="S236" s="111"/>
    </row>
    <row r="237" spans="1:19" ht="12" customHeight="1" x14ac:dyDescent="0.2">
      <c r="A237" s="8"/>
      <c r="B237" s="8" t="s">
        <v>434</v>
      </c>
      <c r="C237" s="8" t="s">
        <v>171</v>
      </c>
      <c r="D237" s="8">
        <v>6380000029</v>
      </c>
      <c r="E237" s="8" t="s">
        <v>348</v>
      </c>
      <c r="F237" s="89" t="s">
        <v>470</v>
      </c>
      <c r="G237" s="73" t="s">
        <v>136</v>
      </c>
      <c r="H237" s="112" t="s">
        <v>61</v>
      </c>
      <c r="I237" s="13" t="s">
        <v>436</v>
      </c>
      <c r="J237" s="11"/>
      <c r="K237" s="186">
        <v>0</v>
      </c>
      <c r="L237" s="187"/>
      <c r="M237" s="214">
        <f>IF(OR(E237="Distribución Legal de la Renta",E237="Acopio carros portaequipajes"),0,IF(K237&lt;0,0,K237*(1+SUMIFS('Insumos - OPEX'!$G$82:$G$238,'Insumos - OPEX'!$B$82:$B$238,OPEX!D237))))</f>
        <v>0</v>
      </c>
      <c r="N237" s="211">
        <f>IF(OR($B237="Ce Co No Imputables",$G237="M2 fijo"),$M237*(1+'Insumos - OPEX'!J$38),$M237*(1+'Insumos - OPEX'!J$29*'Insumos - OPEX'!J$39)*(1+'Insumos - OPEX'!J$38))</f>
        <v>0</v>
      </c>
      <c r="O237" s="211">
        <f>IF(OR($B237="Ce Co No Imputables",$G237="M2 fijo"),$M237*(1+'Insumos - OPEX'!K$38),$M237*(1+'Insumos - OPEX'!K$29*'Insumos - OPEX'!K$39)*(1+'Insumos - OPEX'!K$38))</f>
        <v>0</v>
      </c>
      <c r="P237" s="211">
        <f>IF(OR($B237="Ce Co No Imputables",$G237="M2 fijo"),$M237*(1+'Insumos - OPEX'!L$38),$M237*(1+'Insumos - OPEX'!L$29*'Insumos - OPEX'!L$39)*(1+'Insumos - OPEX'!L$38))</f>
        <v>0</v>
      </c>
      <c r="Q237" s="211">
        <f>IF(OR($B237="Ce Co No Imputables",$G237="M2 fijo"),$M237*(1+'Insumos - OPEX'!M$38),$M237*(1+'Insumos - OPEX'!M$29*'Insumos - OPEX'!M$39)*(1+'Insumos - OPEX'!M$38))</f>
        <v>0</v>
      </c>
      <c r="R237" s="211">
        <f>IF(OR($B237="Ce Co No Imputables",$G237="M2 fijo"),$M237*(1+'Insumos - OPEX'!N$38),$M237*(1+'Insumos - OPEX'!N$29*'Insumos - OPEX'!N$39)*(1+'Insumos - OPEX'!N$38))</f>
        <v>0</v>
      </c>
      <c r="S237" s="111"/>
    </row>
    <row r="238" spans="1:19" ht="12" customHeight="1" x14ac:dyDescent="0.2">
      <c r="A238" s="8"/>
      <c r="B238" s="8" t="s">
        <v>434</v>
      </c>
      <c r="C238" s="8" t="s">
        <v>171</v>
      </c>
      <c r="D238" s="8">
        <v>6320000006</v>
      </c>
      <c r="E238" s="8" t="s">
        <v>344</v>
      </c>
      <c r="F238" s="89" t="s">
        <v>470</v>
      </c>
      <c r="G238" s="73" t="s">
        <v>136</v>
      </c>
      <c r="H238" s="112" t="s">
        <v>61</v>
      </c>
      <c r="I238" s="13" t="s">
        <v>436</v>
      </c>
      <c r="K238" s="186">
        <v>0</v>
      </c>
      <c r="L238" s="187"/>
      <c r="M238" s="214">
        <f>IF(OR(E238="Distribución Legal de la Renta",E238="Acopio carros portaequipajes"),0,IF(K238&lt;0,0,K238*(1+SUMIFS('Insumos - OPEX'!$G$82:$G$238,'Insumos - OPEX'!$B$82:$B$238,OPEX!D238))))</f>
        <v>0</v>
      </c>
      <c r="N238" s="211">
        <f>IF(OR($B238="Ce Co No Imputables",$G238="M2 fijo"),$M238*(1+'Insumos - OPEX'!J$38),$M238*(1+'Insumos - OPEX'!J$29*'Insumos - OPEX'!J$39)*(1+'Insumos - OPEX'!J$38))</f>
        <v>0</v>
      </c>
      <c r="O238" s="211">
        <f>IF(OR($B238="Ce Co No Imputables",$G238="M2 fijo"),$M238*(1+'Insumos - OPEX'!K$38),$M238*(1+'Insumos - OPEX'!K$29*'Insumos - OPEX'!K$39)*(1+'Insumos - OPEX'!K$38))</f>
        <v>0</v>
      </c>
      <c r="P238" s="211">
        <f>IF(OR($B238="Ce Co No Imputables",$G238="M2 fijo"),$M238*(1+'Insumos - OPEX'!L$38),$M238*(1+'Insumos - OPEX'!L$29*'Insumos - OPEX'!L$39)*(1+'Insumos - OPEX'!L$38))</f>
        <v>0</v>
      </c>
      <c r="Q238" s="211">
        <f>IF(OR($B238="Ce Co No Imputables",$G238="M2 fijo"),$M238*(1+'Insumos - OPEX'!M$38),$M238*(1+'Insumos - OPEX'!M$29*'Insumos - OPEX'!M$39)*(1+'Insumos - OPEX'!M$38))</f>
        <v>0</v>
      </c>
      <c r="R238" s="211">
        <f>IF(OR($B238="Ce Co No Imputables",$G238="M2 fijo"),$M238*(1+'Insumos - OPEX'!N$38),$M238*(1+'Insumos - OPEX'!N$29*'Insumos - OPEX'!N$39)*(1+'Insumos - OPEX'!N$38))</f>
        <v>0</v>
      </c>
      <c r="S238" s="111"/>
    </row>
    <row r="239" spans="1:19" ht="12" customHeight="1" x14ac:dyDescent="0.2">
      <c r="A239" s="8"/>
      <c r="B239" s="8" t="s">
        <v>434</v>
      </c>
      <c r="C239" s="8" t="s">
        <v>171</v>
      </c>
      <c r="D239" s="8">
        <v>6382000002</v>
      </c>
      <c r="E239" s="8" t="s">
        <v>351</v>
      </c>
      <c r="F239" s="89" t="s">
        <v>470</v>
      </c>
      <c r="G239" s="73" t="s">
        <v>136</v>
      </c>
      <c r="H239" s="112" t="s">
        <v>61</v>
      </c>
      <c r="I239" s="13" t="s">
        <v>436</v>
      </c>
      <c r="J239" s="11"/>
      <c r="K239" s="186">
        <v>0</v>
      </c>
      <c r="L239" s="187"/>
      <c r="M239" s="214">
        <f>IF(OR(E239="Distribución Legal de la Renta",E239="Acopio carros portaequipajes"),0,IF(K239&lt;0,0,K239*(1+SUMIFS('Insumos - OPEX'!$G$82:$G$238,'Insumos - OPEX'!$B$82:$B$238,OPEX!D239))))</f>
        <v>0</v>
      </c>
      <c r="N239" s="211">
        <f>IF(OR($B239="Ce Co No Imputables",$G239="M2 fijo"),$M239*(1+'Insumos - OPEX'!J$38),$M239*(1+'Insumos - OPEX'!J$29*'Insumos - OPEX'!J$39)*(1+'Insumos - OPEX'!J$38))</f>
        <v>0</v>
      </c>
      <c r="O239" s="211">
        <f>IF(OR($B239="Ce Co No Imputables",$G239="M2 fijo"),$M239*(1+'Insumos - OPEX'!K$38),$M239*(1+'Insumos - OPEX'!K$29*'Insumos - OPEX'!K$39)*(1+'Insumos - OPEX'!K$38))</f>
        <v>0</v>
      </c>
      <c r="P239" s="211">
        <f>IF(OR($B239="Ce Co No Imputables",$G239="M2 fijo"),$M239*(1+'Insumos - OPEX'!L$38),$M239*(1+'Insumos - OPEX'!L$29*'Insumos - OPEX'!L$39)*(1+'Insumos - OPEX'!L$38))</f>
        <v>0</v>
      </c>
      <c r="Q239" s="211">
        <f>IF(OR($B239="Ce Co No Imputables",$G239="M2 fijo"),$M239*(1+'Insumos - OPEX'!M$38),$M239*(1+'Insumos - OPEX'!M$29*'Insumos - OPEX'!M$39)*(1+'Insumos - OPEX'!M$38))</f>
        <v>0</v>
      </c>
      <c r="R239" s="211">
        <f>IF(OR($B239="Ce Co No Imputables",$G239="M2 fijo"),$M239*(1+'Insumos - OPEX'!N$38),$M239*(1+'Insumos - OPEX'!N$29*'Insumos - OPEX'!N$39)*(1+'Insumos - OPEX'!N$38))</f>
        <v>0</v>
      </c>
      <c r="S239" s="111"/>
    </row>
    <row r="240" spans="1:19" ht="12" customHeight="1" x14ac:dyDescent="0.2">
      <c r="A240" s="8"/>
      <c r="B240" s="8" t="s">
        <v>434</v>
      </c>
      <c r="C240" s="8" t="s">
        <v>171</v>
      </c>
      <c r="D240" s="8">
        <v>6357000001</v>
      </c>
      <c r="E240" s="8" t="s">
        <v>334</v>
      </c>
      <c r="F240" s="89" t="s">
        <v>470</v>
      </c>
      <c r="G240" s="73" t="s">
        <v>136</v>
      </c>
      <c r="H240" s="112" t="s">
        <v>61</v>
      </c>
      <c r="I240" s="13" t="s">
        <v>436</v>
      </c>
      <c r="K240" s="186">
        <v>0</v>
      </c>
      <c r="L240" s="187"/>
      <c r="M240" s="214">
        <f>IF(OR(E240="Distribución Legal de la Renta",E240="Acopio carros portaequipajes"),0,IF(K240&lt;0,0,K240*(1+SUMIFS('Insumos - OPEX'!$G$82:$G$238,'Insumos - OPEX'!$B$82:$B$238,OPEX!D240))))</f>
        <v>0</v>
      </c>
      <c r="N240" s="211">
        <f>IF(OR($B240="Ce Co No Imputables",$G240="M2 fijo"),$M240*(1+'Insumos - OPEX'!J$38),$M240*(1+'Insumos - OPEX'!J$29*'Insumos - OPEX'!J$39)*(1+'Insumos - OPEX'!J$38))</f>
        <v>0</v>
      </c>
      <c r="O240" s="211">
        <f>IF(OR($B240="Ce Co No Imputables",$G240="M2 fijo"),$M240*(1+'Insumos - OPEX'!K$38),$M240*(1+'Insumos - OPEX'!K$29*'Insumos - OPEX'!K$39)*(1+'Insumos - OPEX'!K$38))</f>
        <v>0</v>
      </c>
      <c r="P240" s="211">
        <f>IF(OR($B240="Ce Co No Imputables",$G240="M2 fijo"),$M240*(1+'Insumos - OPEX'!L$38),$M240*(1+'Insumos - OPEX'!L$29*'Insumos - OPEX'!L$39)*(1+'Insumos - OPEX'!L$38))</f>
        <v>0</v>
      </c>
      <c r="Q240" s="211">
        <f>IF(OR($B240="Ce Co No Imputables",$G240="M2 fijo"),$M240*(1+'Insumos - OPEX'!M$38),$M240*(1+'Insumos - OPEX'!M$29*'Insumos - OPEX'!M$39)*(1+'Insumos - OPEX'!M$38))</f>
        <v>0</v>
      </c>
      <c r="R240" s="211">
        <f>IF(OR($B240="Ce Co No Imputables",$G240="M2 fijo"),$M240*(1+'Insumos - OPEX'!N$38),$M240*(1+'Insumos - OPEX'!N$29*'Insumos - OPEX'!N$39)*(1+'Insumos - OPEX'!N$38))</f>
        <v>0</v>
      </c>
      <c r="S240" s="111"/>
    </row>
    <row r="241" spans="1:19" ht="12" customHeight="1" x14ac:dyDescent="0.2">
      <c r="A241" s="8"/>
      <c r="B241" s="8" t="s">
        <v>434</v>
      </c>
      <c r="C241" s="8" t="s">
        <v>171</v>
      </c>
      <c r="D241" s="8">
        <v>6320000003</v>
      </c>
      <c r="E241" s="8" t="s">
        <v>325</v>
      </c>
      <c r="F241" s="89" t="s">
        <v>470</v>
      </c>
      <c r="G241" s="73" t="s">
        <v>136</v>
      </c>
      <c r="H241" s="112" t="s">
        <v>61</v>
      </c>
      <c r="I241" s="13" t="s">
        <v>436</v>
      </c>
      <c r="K241" s="186">
        <v>0</v>
      </c>
      <c r="L241" s="187"/>
      <c r="M241" s="214">
        <f>IF(OR(E241="Distribución Legal de la Renta",E241="Acopio carros portaequipajes"),0,IF(K241&lt;0,0,K241*(1+SUMIFS('Insumos - OPEX'!$G$82:$G$238,'Insumos - OPEX'!$B$82:$B$238,OPEX!D241))))</f>
        <v>0</v>
      </c>
      <c r="N241" s="211">
        <f>IF(OR($B241="Ce Co No Imputables",$G241="M2 fijo"),$M241*(1+'Insumos - OPEX'!J$38),$M241*(1+'Insumos - OPEX'!J$29*'Insumos - OPEX'!J$39)*(1+'Insumos - OPEX'!J$38))</f>
        <v>0</v>
      </c>
      <c r="O241" s="211">
        <f>IF(OR($B241="Ce Co No Imputables",$G241="M2 fijo"),$M241*(1+'Insumos - OPEX'!K$38),$M241*(1+'Insumos - OPEX'!K$29*'Insumos - OPEX'!K$39)*(1+'Insumos - OPEX'!K$38))</f>
        <v>0</v>
      </c>
      <c r="P241" s="211">
        <f>IF(OR($B241="Ce Co No Imputables",$G241="M2 fijo"),$M241*(1+'Insumos - OPEX'!L$38),$M241*(1+'Insumos - OPEX'!L$29*'Insumos - OPEX'!L$39)*(1+'Insumos - OPEX'!L$38))</f>
        <v>0</v>
      </c>
      <c r="Q241" s="211">
        <f>IF(OR($B241="Ce Co No Imputables",$G241="M2 fijo"),$M241*(1+'Insumos - OPEX'!M$38),$M241*(1+'Insumos - OPEX'!M$29*'Insumos - OPEX'!M$39)*(1+'Insumos - OPEX'!M$38))</f>
        <v>0</v>
      </c>
      <c r="R241" s="211">
        <f>IF(OR($B241="Ce Co No Imputables",$G241="M2 fijo"),$M241*(1+'Insumos - OPEX'!N$38),$M241*(1+'Insumos - OPEX'!N$29*'Insumos - OPEX'!N$39)*(1+'Insumos - OPEX'!N$38))</f>
        <v>0</v>
      </c>
      <c r="S241" s="111"/>
    </row>
    <row r="242" spans="1:19" ht="12" customHeight="1" x14ac:dyDescent="0.2">
      <c r="A242" s="8"/>
      <c r="B242" s="8" t="s">
        <v>434</v>
      </c>
      <c r="C242" s="8" t="s">
        <v>171</v>
      </c>
      <c r="D242" s="8">
        <v>6382000001</v>
      </c>
      <c r="E242" s="8" t="s">
        <v>349</v>
      </c>
      <c r="F242" s="89" t="s">
        <v>469</v>
      </c>
      <c r="G242" s="73" t="s">
        <v>136</v>
      </c>
      <c r="H242" s="112" t="s">
        <v>61</v>
      </c>
      <c r="I242" s="13" t="s">
        <v>436</v>
      </c>
      <c r="K242" s="186">
        <v>0</v>
      </c>
      <c r="L242" s="187"/>
      <c r="M242" s="214">
        <f>IF(OR(E242="Distribución Legal de la Renta",E242="Acopio carros portaequipajes"),0,IF(K242&lt;0,0,K242*(1+SUMIFS('Insumos - OPEX'!$G$82:$G$238,'Insumos - OPEX'!$B$82:$B$238,OPEX!D242))))</f>
        <v>0</v>
      </c>
      <c r="N242" s="211">
        <f>IF(OR($B242="Ce Co No Imputables",$G242="M2 fijo"),$M242*(1+'Insumos - OPEX'!J$38),$M242*(1+'Insumos - OPEX'!J$29*'Insumos - OPEX'!J$39)*(1+'Insumos - OPEX'!J$38))</f>
        <v>0</v>
      </c>
      <c r="O242" s="211">
        <f>IF(OR($B242="Ce Co No Imputables",$G242="M2 fijo"),$M242*(1+'Insumos - OPEX'!K$38),$M242*(1+'Insumos - OPEX'!K$29*'Insumos - OPEX'!K$39)*(1+'Insumos - OPEX'!K$38))</f>
        <v>0</v>
      </c>
      <c r="P242" s="211">
        <f>IF(OR($B242="Ce Co No Imputables",$G242="M2 fijo"),$M242*(1+'Insumos - OPEX'!L$38),$M242*(1+'Insumos - OPEX'!L$29*'Insumos - OPEX'!L$39)*(1+'Insumos - OPEX'!L$38))</f>
        <v>0</v>
      </c>
      <c r="Q242" s="211">
        <f>IF(OR($B242="Ce Co No Imputables",$G242="M2 fijo"),$M242*(1+'Insumos - OPEX'!M$38),$M242*(1+'Insumos - OPEX'!M$29*'Insumos - OPEX'!M$39)*(1+'Insumos - OPEX'!M$38))</f>
        <v>0</v>
      </c>
      <c r="R242" s="211">
        <f>IF(OR($B242="Ce Co No Imputables",$G242="M2 fijo"),$M242*(1+'Insumos - OPEX'!N$38),$M242*(1+'Insumos - OPEX'!N$29*'Insumos - OPEX'!N$39)*(1+'Insumos - OPEX'!N$38))</f>
        <v>0</v>
      </c>
      <c r="S242" s="111"/>
    </row>
    <row r="243" spans="1:19" ht="12" customHeight="1" x14ac:dyDescent="0.2">
      <c r="A243" s="8"/>
      <c r="B243" s="8" t="s">
        <v>434</v>
      </c>
      <c r="C243" s="8" t="s">
        <v>171</v>
      </c>
      <c r="D243" s="8">
        <v>6380000002</v>
      </c>
      <c r="E243" s="8" t="s">
        <v>333</v>
      </c>
      <c r="F243" s="89" t="s">
        <v>470</v>
      </c>
      <c r="G243" s="73" t="s">
        <v>136</v>
      </c>
      <c r="H243" s="112" t="s">
        <v>61</v>
      </c>
      <c r="I243" s="13" t="s">
        <v>436</v>
      </c>
      <c r="K243" s="186">
        <v>0</v>
      </c>
      <c r="L243" s="187"/>
      <c r="M243" s="214">
        <f>IF(OR(E243="Distribución Legal de la Renta",E243="Acopio carros portaequipajes"),0,IF(K243&lt;0,0,K243*(1+SUMIFS('Insumos - OPEX'!$G$82:$G$238,'Insumos - OPEX'!$B$82:$B$238,OPEX!D243))))</f>
        <v>0</v>
      </c>
      <c r="N243" s="211">
        <f>IF(OR($B243="Ce Co No Imputables",$G243="M2 fijo"),$M243*(1+'Insumos - OPEX'!J$38),$M243*(1+'Insumos - OPEX'!J$29*'Insumos - OPEX'!J$39)*(1+'Insumos - OPEX'!J$38))</f>
        <v>0</v>
      </c>
      <c r="O243" s="211">
        <f>IF(OR($B243="Ce Co No Imputables",$G243="M2 fijo"),$M243*(1+'Insumos - OPEX'!K$38),$M243*(1+'Insumos - OPEX'!K$29*'Insumos - OPEX'!K$39)*(1+'Insumos - OPEX'!K$38))</f>
        <v>0</v>
      </c>
      <c r="P243" s="211">
        <f>IF(OR($B243="Ce Co No Imputables",$G243="M2 fijo"),$M243*(1+'Insumos - OPEX'!L$38),$M243*(1+'Insumos - OPEX'!L$29*'Insumos - OPEX'!L$39)*(1+'Insumos - OPEX'!L$38))</f>
        <v>0</v>
      </c>
      <c r="Q243" s="211">
        <f>IF(OR($B243="Ce Co No Imputables",$G243="M2 fijo"),$M243*(1+'Insumos - OPEX'!M$38),$M243*(1+'Insumos - OPEX'!M$29*'Insumos - OPEX'!M$39)*(1+'Insumos - OPEX'!M$38))</f>
        <v>0</v>
      </c>
      <c r="R243" s="211">
        <f>IF(OR($B243="Ce Co No Imputables",$G243="M2 fijo"),$M243*(1+'Insumos - OPEX'!N$38),$M243*(1+'Insumos - OPEX'!N$29*'Insumos - OPEX'!N$39)*(1+'Insumos - OPEX'!N$38))</f>
        <v>0</v>
      </c>
      <c r="S243" s="111"/>
    </row>
    <row r="244" spans="1:19" ht="12" customHeight="1" x14ac:dyDescent="0.2">
      <c r="A244" s="8"/>
      <c r="B244" s="8" t="s">
        <v>434</v>
      </c>
      <c r="C244" s="8" t="s">
        <v>171</v>
      </c>
      <c r="D244" s="8">
        <v>6329000003</v>
      </c>
      <c r="E244" s="8" t="s">
        <v>341</v>
      </c>
      <c r="F244" s="89" t="s">
        <v>470</v>
      </c>
      <c r="G244" s="73" t="s">
        <v>136</v>
      </c>
      <c r="H244" s="112" t="s">
        <v>61</v>
      </c>
      <c r="I244" s="13" t="s">
        <v>436</v>
      </c>
      <c r="K244" s="186">
        <v>0</v>
      </c>
      <c r="L244" s="187"/>
      <c r="M244" s="214">
        <f>IF(OR(E244="Distribución Legal de la Renta",E244="Acopio carros portaequipajes"),0,IF(K244&lt;0,0,K244*(1+SUMIFS('Insumos - OPEX'!$G$82:$G$238,'Insumos - OPEX'!$B$82:$B$238,OPEX!D244))))</f>
        <v>0</v>
      </c>
      <c r="N244" s="211">
        <f>IF(OR($B244="Ce Co No Imputables",$G244="M2 fijo"),$M244*(1+'Insumos - OPEX'!J$38),$M244*(1+'Insumos - OPEX'!J$29*'Insumos - OPEX'!J$39)*(1+'Insumos - OPEX'!J$38))</f>
        <v>0</v>
      </c>
      <c r="O244" s="211">
        <f>IF(OR($B244="Ce Co No Imputables",$G244="M2 fijo"),$M244*(1+'Insumos - OPEX'!K$38),$M244*(1+'Insumos - OPEX'!K$29*'Insumos - OPEX'!K$39)*(1+'Insumos - OPEX'!K$38))</f>
        <v>0</v>
      </c>
      <c r="P244" s="211">
        <f>IF(OR($B244="Ce Co No Imputables",$G244="M2 fijo"),$M244*(1+'Insumos - OPEX'!L$38),$M244*(1+'Insumos - OPEX'!L$29*'Insumos - OPEX'!L$39)*(1+'Insumos - OPEX'!L$38))</f>
        <v>0</v>
      </c>
      <c r="Q244" s="211">
        <f>IF(OR($B244="Ce Co No Imputables",$G244="M2 fijo"),$M244*(1+'Insumos - OPEX'!M$38),$M244*(1+'Insumos - OPEX'!M$29*'Insumos - OPEX'!M$39)*(1+'Insumos - OPEX'!M$38))</f>
        <v>0</v>
      </c>
      <c r="R244" s="211">
        <f>IF(OR($B244="Ce Co No Imputables",$G244="M2 fijo"),$M244*(1+'Insumos - OPEX'!N$38),$M244*(1+'Insumos - OPEX'!N$29*'Insumos - OPEX'!N$39)*(1+'Insumos - OPEX'!N$38))</f>
        <v>0</v>
      </c>
      <c r="S244" s="111"/>
    </row>
    <row r="245" spans="1:19" ht="12" customHeight="1" x14ac:dyDescent="0.2">
      <c r="A245" s="8"/>
      <c r="B245" s="8" t="s">
        <v>434</v>
      </c>
      <c r="C245" s="8" t="s">
        <v>171</v>
      </c>
      <c r="D245" s="8">
        <v>6380000008</v>
      </c>
      <c r="E245" s="8" t="s">
        <v>323</v>
      </c>
      <c r="F245" s="89" t="s">
        <v>469</v>
      </c>
      <c r="G245" s="73" t="s">
        <v>136</v>
      </c>
      <c r="H245" s="112" t="s">
        <v>61</v>
      </c>
      <c r="I245" s="13" t="s">
        <v>436</v>
      </c>
      <c r="K245" s="186">
        <v>0</v>
      </c>
      <c r="L245" s="187"/>
      <c r="M245" s="214">
        <f>IF(OR(E245="Distribución Legal de la Renta",E245="Acopio carros portaequipajes"),0,IF(K245&lt;0,0,K245*(1+SUMIFS('Insumos - OPEX'!$G$82:$G$238,'Insumos - OPEX'!$B$82:$B$238,OPEX!D245))))</f>
        <v>0</v>
      </c>
      <c r="N245" s="211">
        <f>IF(OR($B245="Ce Co No Imputables",$G245="M2 fijo"),$M245*(1+'Insumos - OPEX'!J$38),$M245*(1+'Insumos - OPEX'!J$29*'Insumos - OPEX'!J$39)*(1+'Insumos - OPEX'!J$38))</f>
        <v>0</v>
      </c>
      <c r="O245" s="211">
        <f>IF(OR($B245="Ce Co No Imputables",$G245="M2 fijo"),$M245*(1+'Insumos - OPEX'!K$38),$M245*(1+'Insumos - OPEX'!K$29*'Insumos - OPEX'!K$39)*(1+'Insumos - OPEX'!K$38))</f>
        <v>0</v>
      </c>
      <c r="P245" s="211">
        <f>IF(OR($B245="Ce Co No Imputables",$G245="M2 fijo"),$M245*(1+'Insumos - OPEX'!L$38),$M245*(1+'Insumos - OPEX'!L$29*'Insumos - OPEX'!L$39)*(1+'Insumos - OPEX'!L$38))</f>
        <v>0</v>
      </c>
      <c r="Q245" s="211">
        <f>IF(OR($B245="Ce Co No Imputables",$G245="M2 fijo"),$M245*(1+'Insumos - OPEX'!M$38),$M245*(1+'Insumos - OPEX'!M$29*'Insumos - OPEX'!M$39)*(1+'Insumos - OPEX'!M$38))</f>
        <v>0</v>
      </c>
      <c r="R245" s="211">
        <f>IF(OR($B245="Ce Co No Imputables",$G245="M2 fijo"),$M245*(1+'Insumos - OPEX'!N$38),$M245*(1+'Insumos - OPEX'!N$29*'Insumos - OPEX'!N$39)*(1+'Insumos - OPEX'!N$38))</f>
        <v>0</v>
      </c>
      <c r="S245" s="111"/>
    </row>
    <row r="246" spans="1:19" ht="12" customHeight="1" x14ac:dyDescent="0.2">
      <c r="A246" s="8"/>
      <c r="B246" s="8" t="s">
        <v>434</v>
      </c>
      <c r="C246" s="8" t="s">
        <v>171</v>
      </c>
      <c r="D246" s="8">
        <v>6380000019</v>
      </c>
      <c r="E246" s="8" t="s">
        <v>355</v>
      </c>
      <c r="F246" s="89" t="s">
        <v>470</v>
      </c>
      <c r="G246" s="73" t="s">
        <v>136</v>
      </c>
      <c r="H246" s="112" t="s">
        <v>61</v>
      </c>
      <c r="I246" s="13" t="s">
        <v>436</v>
      </c>
      <c r="K246" s="186">
        <v>-3946.5529235946178</v>
      </c>
      <c r="L246" s="187"/>
      <c r="M246" s="214">
        <f>IF(OR(E246="Distribución Legal de la Renta",E246="Acopio carros portaequipajes"),0,IF(K246&lt;0,0,K246*(1+SUMIFS('Insumos - OPEX'!$G$82:$G$238,'Insumos - OPEX'!$B$82:$B$238,OPEX!D246))))</f>
        <v>0</v>
      </c>
      <c r="N246" s="211">
        <f>IF(OR($B246="Ce Co No Imputables",$G246="M2 fijo"),$M246*(1+'Insumos - OPEX'!J$38),$M246*(1+'Insumos - OPEX'!J$29*'Insumos - OPEX'!J$39)*(1+'Insumos - OPEX'!J$38))</f>
        <v>0</v>
      </c>
      <c r="O246" s="211">
        <f>IF(OR($B246="Ce Co No Imputables",$G246="M2 fijo"),$M246*(1+'Insumos - OPEX'!K$38),$M246*(1+'Insumos - OPEX'!K$29*'Insumos - OPEX'!K$39)*(1+'Insumos - OPEX'!K$38))</f>
        <v>0</v>
      </c>
      <c r="P246" s="211">
        <f>IF(OR($B246="Ce Co No Imputables",$G246="M2 fijo"),$M246*(1+'Insumos - OPEX'!L$38),$M246*(1+'Insumos - OPEX'!L$29*'Insumos - OPEX'!L$39)*(1+'Insumos - OPEX'!L$38))</f>
        <v>0</v>
      </c>
      <c r="Q246" s="211">
        <f>IF(OR($B246="Ce Co No Imputables",$G246="M2 fijo"),$M246*(1+'Insumos - OPEX'!M$38),$M246*(1+'Insumos - OPEX'!M$29*'Insumos - OPEX'!M$39)*(1+'Insumos - OPEX'!M$38))</f>
        <v>0</v>
      </c>
      <c r="R246" s="211">
        <f>IF(OR($B246="Ce Co No Imputables",$G246="M2 fijo"),$M246*(1+'Insumos - OPEX'!N$38),$M246*(1+'Insumos - OPEX'!N$29*'Insumos - OPEX'!N$39)*(1+'Insumos - OPEX'!N$38))</f>
        <v>0</v>
      </c>
      <c r="S246" s="111"/>
    </row>
    <row r="247" spans="1:19" ht="12" customHeight="1" x14ac:dyDescent="0.2">
      <c r="A247" s="8"/>
      <c r="B247" s="8" t="s">
        <v>434</v>
      </c>
      <c r="C247" s="8" t="s">
        <v>173</v>
      </c>
      <c r="D247" s="8">
        <v>6343000001</v>
      </c>
      <c r="E247" s="8" t="s">
        <v>389</v>
      </c>
      <c r="F247" s="89" t="s">
        <v>469</v>
      </c>
      <c r="G247" s="73" t="s">
        <v>136</v>
      </c>
      <c r="H247" s="112" t="s">
        <v>61</v>
      </c>
      <c r="I247" s="13" t="s">
        <v>436</v>
      </c>
      <c r="K247" s="186">
        <v>560059.74992484774</v>
      </c>
      <c r="L247" s="187"/>
      <c r="M247" s="214">
        <f>IF(OR(E247="Distribución Legal de la Renta",E247="Acopio carros portaequipajes"),0,IF(K247&lt;0,0,K247*(1+SUMIFS('Insumos - OPEX'!$G$82:$G$238,'Insumos - OPEX'!$B$82:$B$238,OPEX!D247))))</f>
        <v>1650827.249984056</v>
      </c>
      <c r="N247" s="211">
        <f>IF(OR($B247="Ce Co No Imputables",$G247="M2 fijo"),$M247*(1+'Insumos - OPEX'!J$38),$M247*(1+'Insumos - OPEX'!J$29*'Insumos - OPEX'!J$39)*(1+'Insumos - OPEX'!J$38))</f>
        <v>1745503.2180219786</v>
      </c>
      <c r="O247" s="211">
        <f>IF(OR($B247="Ce Co No Imputables",$G247="M2 fijo"),$M247*(1+'Insumos - OPEX'!K$38),$M247*(1+'Insumos - OPEX'!K$29*'Insumos - OPEX'!K$39)*(1+'Insumos - OPEX'!K$38))</f>
        <v>1835131.4968135394</v>
      </c>
      <c r="P247" s="211">
        <f>IF(OR($B247="Ce Co No Imputables",$G247="M2 fijo"),$M247*(1+'Insumos - OPEX'!L$38),$M247*(1+'Insumos - OPEX'!L$29*'Insumos - OPEX'!L$39)*(1+'Insumos - OPEX'!L$38))</f>
        <v>1925893.9782741619</v>
      </c>
      <c r="Q247" s="211">
        <f>IF(OR($B247="Ce Co No Imputables",$G247="M2 fijo"),$M247*(1+'Insumos - OPEX'!M$38),$M247*(1+'Insumos - OPEX'!M$29*'Insumos - OPEX'!M$39)*(1+'Insumos - OPEX'!M$38))</f>
        <v>2025670.084193757</v>
      </c>
      <c r="R247" s="211">
        <f>IF(OR($B247="Ce Co No Imputables",$G247="M2 fijo"),$M247*(1+'Insumos - OPEX'!N$38),$M247*(1+'Insumos - OPEX'!N$29*'Insumos - OPEX'!N$39)*(1+'Insumos - OPEX'!N$38))</f>
        <v>2127435.5976730473</v>
      </c>
      <c r="S247" s="111"/>
    </row>
    <row r="248" spans="1:19" ht="12" customHeight="1" x14ac:dyDescent="0.2">
      <c r="A248" s="8"/>
      <c r="B248" s="8" t="s">
        <v>434</v>
      </c>
      <c r="C248" s="8" t="s">
        <v>173</v>
      </c>
      <c r="D248" s="8">
        <v>6343100016</v>
      </c>
      <c r="E248" s="8" t="s">
        <v>415</v>
      </c>
      <c r="F248" s="89" t="s">
        <v>470</v>
      </c>
      <c r="G248" s="73" t="s">
        <v>136</v>
      </c>
      <c r="H248" s="112" t="s">
        <v>61</v>
      </c>
      <c r="I248" s="13" t="s">
        <v>436</v>
      </c>
      <c r="J248" s="11"/>
      <c r="K248" s="186">
        <v>333440.81492784055</v>
      </c>
      <c r="L248" s="187"/>
      <c r="M248" s="214">
        <f>IF(OR(E248="Distribución Legal de la Renta",E248="Acopio carros portaequipajes"),0,IF(K248&lt;0,0,K248*(1+SUMIFS('Insumos - OPEX'!$G$82:$G$238,'Insumos - OPEX'!$B$82:$B$238,OPEX!D248))))</f>
        <v>348115.34379456262</v>
      </c>
      <c r="N248" s="211">
        <f>IF(OR($B248="Ce Co No Imputables",$G248="M2 fijo"),$M248*(1+'Insumos - OPEX'!J$38),$M248*(1+'Insumos - OPEX'!J$29*'Insumos - OPEX'!J$39)*(1+'Insumos - OPEX'!J$38))</f>
        <v>368079.97495928488</v>
      </c>
      <c r="O248" s="211">
        <f>IF(OR($B248="Ce Co No Imputables",$G248="M2 fijo"),$M248*(1+'Insumos - OPEX'!K$38),$M248*(1+'Insumos - OPEX'!K$29*'Insumos - OPEX'!K$39)*(1+'Insumos - OPEX'!K$38))</f>
        <v>386980.18337633181</v>
      </c>
      <c r="P248" s="211">
        <f>IF(OR($B248="Ce Co No Imputables",$G248="M2 fijo"),$M248*(1+'Insumos - OPEX'!L$38),$M248*(1+'Insumos - OPEX'!L$29*'Insumos - OPEX'!L$39)*(1+'Insumos - OPEX'!L$38))</f>
        <v>406119.56482137239</v>
      </c>
      <c r="Q248" s="211">
        <f>IF(OR($B248="Ce Co No Imputables",$G248="M2 fijo"),$M248*(1+'Insumos - OPEX'!M$38),$M248*(1+'Insumos - OPEX'!M$29*'Insumos - OPEX'!M$39)*(1+'Insumos - OPEX'!M$38))</f>
        <v>427159.67874911259</v>
      </c>
      <c r="R248" s="211">
        <f>IF(OR($B248="Ce Co No Imputables",$G248="M2 fijo"),$M248*(1+'Insumos - OPEX'!N$38),$M248*(1+'Insumos - OPEX'!N$29*'Insumos - OPEX'!N$39)*(1+'Insumos - OPEX'!N$38))</f>
        <v>448619.30555840809</v>
      </c>
      <c r="S248" s="111"/>
    </row>
    <row r="249" spans="1:19" x14ac:dyDescent="0.2">
      <c r="A249" s="8"/>
      <c r="B249" s="8" t="s">
        <v>434</v>
      </c>
      <c r="C249" s="8" t="s">
        <v>173</v>
      </c>
      <c r="D249" s="8">
        <v>6343100013</v>
      </c>
      <c r="E249" s="8" t="s">
        <v>404</v>
      </c>
      <c r="F249" s="89" t="s">
        <v>470</v>
      </c>
      <c r="G249" s="73" t="s">
        <v>136</v>
      </c>
      <c r="H249" s="112" t="s">
        <v>61</v>
      </c>
      <c r="I249" s="13" t="s">
        <v>436</v>
      </c>
      <c r="K249" s="186">
        <v>149477.67805028841</v>
      </c>
      <c r="L249" s="187"/>
      <c r="M249" s="214">
        <f>IF(OR(E249="Distribución Legal de la Renta",E249="Acopio carros portaequipajes"),0,IF(K249&lt;0,0,K249*(1+SUMIFS('Insumos - OPEX'!$G$82:$G$238,'Insumos - OPEX'!$B$82:$B$238,OPEX!D249))))</f>
        <v>156056.10037676408</v>
      </c>
      <c r="N249" s="211">
        <f>IF(OR($B249="Ce Co No Imputables",$G249="M2 fijo"),$M249*(1+'Insumos - OPEX'!J$38),$M249*(1+'Insumos - OPEX'!J$29*'Insumos - OPEX'!J$39)*(1+'Insumos - OPEX'!J$38))</f>
        <v>165006.01465249225</v>
      </c>
      <c r="O249" s="211">
        <f>IF(OR($B249="Ce Co No Imputables",$G249="M2 fijo"),$M249*(1+'Insumos - OPEX'!K$38),$M249*(1+'Insumos - OPEX'!K$29*'Insumos - OPEX'!K$39)*(1+'Insumos - OPEX'!K$38))</f>
        <v>173478.76046634253</v>
      </c>
      <c r="P249" s="211">
        <f>IF(OR($B249="Ce Co No Imputables",$G249="M2 fijo"),$M249*(1+'Insumos - OPEX'!L$38),$M249*(1+'Insumos - OPEX'!L$29*'Insumos - OPEX'!L$39)*(1+'Insumos - OPEX'!L$38))</f>
        <v>182058.72479477237</v>
      </c>
      <c r="Q249" s="211">
        <f>IF(OR($B249="Ce Co No Imputables",$G249="M2 fijo"),$M249*(1+'Insumos - OPEX'!M$38),$M249*(1+'Insumos - OPEX'!M$29*'Insumos - OPEX'!M$39)*(1+'Insumos - OPEX'!M$38))</f>
        <v>191490.76560990995</v>
      </c>
      <c r="R249" s="211">
        <f>IF(OR($B249="Ce Co No Imputables",$G249="M2 fijo"),$M249*(1+'Insumos - OPEX'!N$38),$M249*(1+'Insumos - OPEX'!N$29*'Insumos - OPEX'!N$39)*(1+'Insumos - OPEX'!N$38))</f>
        <v>201110.8692195217</v>
      </c>
      <c r="S249" s="111"/>
    </row>
    <row r="250" spans="1:19" x14ac:dyDescent="0.2">
      <c r="A250" s="8"/>
      <c r="B250" s="8" t="s">
        <v>434</v>
      </c>
      <c r="C250" s="8" t="s">
        <v>173</v>
      </c>
      <c r="D250" s="8">
        <v>6341100008</v>
      </c>
      <c r="E250" s="8" t="s">
        <v>416</v>
      </c>
      <c r="F250" s="89" t="s">
        <v>470</v>
      </c>
      <c r="G250" s="73" t="s">
        <v>136</v>
      </c>
      <c r="H250" s="112" t="s">
        <v>61</v>
      </c>
      <c r="I250" s="13" t="s">
        <v>436</v>
      </c>
      <c r="K250" s="186">
        <v>106223.8</v>
      </c>
      <c r="L250" s="187"/>
      <c r="M250" s="214">
        <f>IF(OR(E250="Distribución Legal de la Renta",E250="Acopio carros portaequipajes"),0,IF(K250&lt;0,0,K250*(1+SUMIFS('Insumos - OPEX'!$G$82:$G$238,'Insumos - OPEX'!$B$82:$B$238,OPEX!D250))))</f>
        <v>110898.64527882481</v>
      </c>
      <c r="N250" s="211">
        <f>IF(OR($B250="Ce Co No Imputables",$G250="M2 fijo"),$M250*(1+'Insumos - OPEX'!J$38),$M250*(1+'Insumos - OPEX'!J$29*'Insumos - OPEX'!J$39)*(1+'Insumos - OPEX'!J$38))</f>
        <v>117258.75145950988</v>
      </c>
      <c r="O250" s="211">
        <f>IF(OR($B250="Ce Co No Imputables",$G250="M2 fijo"),$M250*(1+'Insumos - OPEX'!K$38),$M250*(1+'Insumos - OPEX'!K$29*'Insumos - OPEX'!K$39)*(1+'Insumos - OPEX'!K$38))</f>
        <v>123279.76589136696</v>
      </c>
      <c r="P250" s="211">
        <f>IF(OR($B250="Ce Co No Imputables",$G250="M2 fijo"),$M250*(1+'Insumos - OPEX'!L$38),$M250*(1+'Insumos - OPEX'!L$29*'Insumos - OPEX'!L$39)*(1+'Insumos - OPEX'!L$38))</f>
        <v>129376.97335885013</v>
      </c>
      <c r="Q250" s="211">
        <f>IF(OR($B250="Ce Co No Imputables",$G250="M2 fijo"),$M250*(1+'Insumos - OPEX'!M$38),$M250*(1+'Insumos - OPEX'!M$29*'Insumos - OPEX'!M$39)*(1+'Insumos - OPEX'!M$38))</f>
        <v>136079.69466284272</v>
      </c>
      <c r="R250" s="211">
        <f>IF(OR($B250="Ce Co No Imputables",$G250="M2 fijo"),$M250*(1+'Insumos - OPEX'!N$38),$M250*(1+'Insumos - OPEX'!N$29*'Insumos - OPEX'!N$39)*(1+'Insumos - OPEX'!N$38))</f>
        <v>142916.05963141608</v>
      </c>
      <c r="S250" s="111"/>
    </row>
    <row r="251" spans="1:19" x14ac:dyDescent="0.2">
      <c r="A251" s="8"/>
      <c r="B251" s="8" t="s">
        <v>434</v>
      </c>
      <c r="C251" s="8" t="s">
        <v>173</v>
      </c>
      <c r="D251" s="8">
        <v>6341100010</v>
      </c>
      <c r="E251" s="8" t="s">
        <v>393</v>
      </c>
      <c r="F251" s="89" t="s">
        <v>470</v>
      </c>
      <c r="G251" s="73" t="s">
        <v>136</v>
      </c>
      <c r="H251" s="112" t="s">
        <v>61</v>
      </c>
      <c r="I251" s="13" t="s">
        <v>436</v>
      </c>
      <c r="K251" s="186">
        <v>100181.49706417829</v>
      </c>
      <c r="L251" s="187"/>
      <c r="M251" s="214">
        <f>IF(OR(E251="Distribución Legal de la Renta",E251="Acopio carros portaequipajes"),0,IF(K251&lt;0,0,K251*(1+SUMIFS('Insumos - OPEX'!$G$82:$G$238,'Insumos - OPEX'!$B$82:$B$238,OPEX!D251))))</f>
        <v>104590.42424034856</v>
      </c>
      <c r="N251" s="211">
        <f>IF(OR($B251="Ce Co No Imputables",$G251="M2 fijo"),$M251*(1+'Insumos - OPEX'!J$38),$M251*(1+'Insumos - OPEX'!J$29*'Insumos - OPEX'!J$39)*(1+'Insumos - OPEX'!J$38))</f>
        <v>110588.75002673696</v>
      </c>
      <c r="O251" s="211">
        <f>IF(OR($B251="Ce Co No Imputables",$G251="M2 fijo"),$M251*(1+'Insumos - OPEX'!K$38),$M251*(1+'Insumos - OPEX'!K$29*'Insumos - OPEX'!K$39)*(1+'Insumos - OPEX'!K$38))</f>
        <v>116267.27253890902</v>
      </c>
      <c r="P251" s="211">
        <f>IF(OR($B251="Ce Co No Imputables",$G251="M2 fijo"),$M251*(1+'Insumos - OPEX'!L$38),$M251*(1+'Insumos - OPEX'!L$29*'Insumos - OPEX'!L$39)*(1+'Insumos - OPEX'!L$38))</f>
        <v>122017.65401653787</v>
      </c>
      <c r="Q251" s="211">
        <f>IF(OR($B251="Ce Co No Imputables",$G251="M2 fijo"),$M251*(1+'Insumos - OPEX'!M$38),$M251*(1+'Insumos - OPEX'!M$29*'Insumos - OPEX'!M$39)*(1+'Insumos - OPEX'!M$38))</f>
        <v>128339.10603235674</v>
      </c>
      <c r="R251" s="211">
        <f>IF(OR($B251="Ce Co No Imputables",$G251="M2 fijo"),$M251*(1+'Insumos - OPEX'!N$38),$M251*(1+'Insumos - OPEX'!N$29*'Insumos - OPEX'!N$39)*(1+'Insumos - OPEX'!N$38))</f>
        <v>134786.59969224068</v>
      </c>
      <c r="S251" s="111"/>
    </row>
    <row r="252" spans="1:19" x14ac:dyDescent="0.2">
      <c r="A252" s="8"/>
      <c r="B252" s="8" t="s">
        <v>434</v>
      </c>
      <c r="C252" s="8" t="s">
        <v>173</v>
      </c>
      <c r="D252" s="8">
        <v>6343100010</v>
      </c>
      <c r="E252" s="8" t="s">
        <v>420</v>
      </c>
      <c r="F252" s="89" t="s">
        <v>470</v>
      </c>
      <c r="G252" s="73" t="s">
        <v>136</v>
      </c>
      <c r="H252" s="112" t="s">
        <v>61</v>
      </c>
      <c r="I252" s="13" t="s">
        <v>436</v>
      </c>
      <c r="K252" s="186">
        <v>78492.88</v>
      </c>
      <c r="L252" s="187"/>
      <c r="M252" s="214">
        <f>IF(OR(E252="Distribución Legal de la Renta",E252="Acopio carros portaequipajes"),0,IF(K252&lt;0,0,K252*(1+SUMIFS('Insumos - OPEX'!$G$82:$G$238,'Insumos - OPEX'!$B$82:$B$238,OPEX!D252))))</f>
        <v>81947.304239100486</v>
      </c>
      <c r="N252" s="211">
        <f>IF(OR($B252="Ce Co No Imputables",$G252="M2 fijo"),$M252*(1+'Insumos - OPEX'!J$38),$M252*(1+'Insumos - OPEX'!J$29*'Insumos - OPEX'!J$39)*(1+'Insumos - OPEX'!J$38))</f>
        <v>86647.033030838036</v>
      </c>
      <c r="O252" s="211">
        <f>IF(OR($B252="Ce Co No Imputables",$G252="M2 fijo"),$M252*(1+'Insumos - OPEX'!K$38),$M252*(1+'Insumos - OPEX'!K$29*'Insumos - OPEX'!K$39)*(1+'Insumos - OPEX'!K$38))</f>
        <v>91096.193795921048</v>
      </c>
      <c r="P252" s="211">
        <f>IF(OR($B252="Ce Co No Imputables",$G252="M2 fijo"),$M252*(1+'Insumos - OPEX'!L$38),$M252*(1+'Insumos - OPEX'!L$29*'Insumos - OPEX'!L$39)*(1+'Insumos - OPEX'!L$38))</f>
        <v>95601.656546079306</v>
      </c>
      <c r="Q252" s="211">
        <f>IF(OR($B252="Ce Co No Imputables",$G252="M2 fijo"),$M252*(1+'Insumos - OPEX'!M$38),$M252*(1+'Insumos - OPEX'!M$29*'Insumos - OPEX'!M$39)*(1+'Insumos - OPEX'!M$38))</f>
        <v>100554.55692233899</v>
      </c>
      <c r="R252" s="211">
        <f>IF(OR($B252="Ce Co No Imputables",$G252="M2 fijo"),$M252*(1+'Insumos - OPEX'!N$38),$M252*(1+'Insumos - OPEX'!N$29*'Insumos - OPEX'!N$39)*(1+'Insumos - OPEX'!N$38))</f>
        <v>105606.2117785429</v>
      </c>
      <c r="S252" s="111"/>
    </row>
    <row r="253" spans="1:19" x14ac:dyDescent="0.2">
      <c r="A253" s="8"/>
      <c r="B253" s="8" t="s">
        <v>434</v>
      </c>
      <c r="C253" s="8" t="s">
        <v>173</v>
      </c>
      <c r="D253" s="8">
        <v>6341100002</v>
      </c>
      <c r="E253" s="8" t="s">
        <v>398</v>
      </c>
      <c r="F253" s="89" t="s">
        <v>470</v>
      </c>
      <c r="G253" s="73" t="s">
        <v>136</v>
      </c>
      <c r="H253" s="112" t="s">
        <v>61</v>
      </c>
      <c r="I253" s="13" t="s">
        <v>436</v>
      </c>
      <c r="K253" s="186">
        <v>70923.41983119912</v>
      </c>
      <c r="L253" s="187"/>
      <c r="M253" s="214">
        <f>IF(OR(E253="Distribución Legal de la Renta",E253="Acopio carros portaequipajes"),0,IF(K253&lt;0,0,K253*(1+SUMIFS('Insumos - OPEX'!$G$82:$G$238,'Insumos - OPEX'!$B$82:$B$238,OPEX!D253))))</f>
        <v>74044.716700224628</v>
      </c>
      <c r="N253" s="211">
        <f>IF(OR($B253="Ce Co No Imputables",$G253="M2 fijo"),$M253*(1+'Insumos - OPEX'!J$38),$M253*(1+'Insumos - OPEX'!J$29*'Insumos - OPEX'!J$39)*(1+'Insumos - OPEX'!J$38))</f>
        <v>78291.227188681383</v>
      </c>
      <c r="O253" s="211">
        <f>IF(OR($B253="Ce Co No Imputables",$G253="M2 fijo"),$M253*(1+'Insumos - OPEX'!K$38),$M253*(1+'Insumos - OPEX'!K$29*'Insumos - OPEX'!K$39)*(1+'Insumos - OPEX'!K$38))</f>
        <v>82311.333175854743</v>
      </c>
      <c r="P253" s="211">
        <f>IF(OR($B253="Ce Co No Imputables",$G253="M2 fijo"),$M253*(1+'Insumos - OPEX'!L$38),$M253*(1+'Insumos - OPEX'!L$29*'Insumos - OPEX'!L$39)*(1+'Insumos - OPEX'!L$38))</f>
        <v>86382.311666684793</v>
      </c>
      <c r="Q253" s="211">
        <f>IF(OR($B253="Ce Co No Imputables",$G253="M2 fijo"),$M253*(1+'Insumos - OPEX'!M$38),$M253*(1+'Insumos - OPEX'!M$29*'Insumos - OPEX'!M$39)*(1+'Insumos - OPEX'!M$38))</f>
        <v>90857.579140213216</v>
      </c>
      <c r="R253" s="211">
        <f>IF(OR($B253="Ce Co No Imputables",$G253="M2 fijo"),$M253*(1+'Insumos - OPEX'!N$38),$M253*(1+'Insumos - OPEX'!N$29*'Insumos - OPEX'!N$39)*(1+'Insumos - OPEX'!N$38))</f>
        <v>95422.077706310738</v>
      </c>
      <c r="S253" s="111"/>
    </row>
    <row r="254" spans="1:19" x14ac:dyDescent="0.2">
      <c r="A254" s="8"/>
      <c r="B254" s="8" t="s">
        <v>434</v>
      </c>
      <c r="C254" s="8" t="s">
        <v>173</v>
      </c>
      <c r="D254" s="8">
        <v>6343000002</v>
      </c>
      <c r="E254" s="8" t="s">
        <v>391</v>
      </c>
      <c r="F254" s="89" t="s">
        <v>470</v>
      </c>
      <c r="G254" s="73" t="s">
        <v>136</v>
      </c>
      <c r="H254" s="112" t="s">
        <v>61</v>
      </c>
      <c r="I254" s="13" t="s">
        <v>436</v>
      </c>
      <c r="K254" s="186">
        <v>57282.21</v>
      </c>
      <c r="L254" s="187"/>
      <c r="M254" s="214">
        <f>IF(OR(E254="Distribución Legal de la Renta",E254="Acopio carros portaequipajes"),0,IF(K254&lt;0,0,K254*(1+SUMIFS('Insumos - OPEX'!$G$82:$G$238,'Insumos - OPEX'!$B$82:$B$238,OPEX!D254))))</f>
        <v>59803.165463645164</v>
      </c>
      <c r="N254" s="211">
        <f>IF(OR($B254="Ce Co No Imputables",$G254="M2 fijo"),$M254*(1+'Insumos - OPEX'!J$38),$M254*(1+'Insumos - OPEX'!J$29*'Insumos - OPEX'!J$39)*(1+'Insumos - OPEX'!J$38))</f>
        <v>63232.914143924922</v>
      </c>
      <c r="O254" s="211">
        <f>IF(OR($B254="Ce Co No Imputables",$G254="M2 fijo"),$M254*(1+'Insumos - OPEX'!K$38),$M254*(1+'Insumos - OPEX'!K$29*'Insumos - OPEX'!K$39)*(1+'Insumos - OPEX'!K$38))</f>
        <v>66479.804323890858</v>
      </c>
      <c r="P254" s="211">
        <f>IF(OR($B254="Ce Co No Imputables",$G254="M2 fijo"),$M254*(1+'Insumos - OPEX'!L$38),$M254*(1+'Insumos - OPEX'!L$29*'Insumos - OPEX'!L$39)*(1+'Insumos - OPEX'!L$38))</f>
        <v>69767.78233414788</v>
      </c>
      <c r="Q254" s="211">
        <f>IF(OR($B254="Ce Co No Imputables",$G254="M2 fijo"),$M254*(1+'Insumos - OPEX'!M$38),$M254*(1+'Insumos - OPEX'!M$29*'Insumos - OPEX'!M$39)*(1+'Insumos - OPEX'!M$38))</f>
        <v>73382.289528456284</v>
      </c>
      <c r="R254" s="211">
        <f>IF(OR($B254="Ce Co No Imputables",$G254="M2 fijo"),$M254*(1+'Insumos - OPEX'!N$38),$M254*(1+'Insumos - OPEX'!N$29*'Insumos - OPEX'!N$39)*(1+'Insumos - OPEX'!N$38))</f>
        <v>77068.865359545583</v>
      </c>
      <c r="S254" s="111"/>
    </row>
    <row r="255" spans="1:19" x14ac:dyDescent="0.2">
      <c r="A255" s="8"/>
      <c r="B255" s="8" t="s">
        <v>434</v>
      </c>
      <c r="C255" s="8" t="s">
        <v>173</v>
      </c>
      <c r="D255" s="8">
        <v>6343100014</v>
      </c>
      <c r="E255" s="8" t="s">
        <v>413</v>
      </c>
      <c r="F255" s="89" t="s">
        <v>470</v>
      </c>
      <c r="G255" s="73" t="s">
        <v>136</v>
      </c>
      <c r="H255" s="112" t="s">
        <v>61</v>
      </c>
      <c r="I255" s="13" t="s">
        <v>436</v>
      </c>
      <c r="J255" s="52"/>
      <c r="K255" s="186">
        <v>50814.937967986516</v>
      </c>
      <c r="L255" s="187"/>
      <c r="M255" s="214">
        <f>IF(OR(E255="Distribución Legal de la Renta",E255="Acopio carros portaequipajes"),0,IF(K255&lt;0,0,K255*(1+SUMIFS('Insumos - OPEX'!$G$82:$G$238,'Insumos - OPEX'!$B$82:$B$238,OPEX!D255))))</f>
        <v>53051.272695735075</v>
      </c>
      <c r="N255" s="211">
        <f>IF(OR($B255="Ce Co No Imputables",$G255="M2 fijo"),$M255*(1+'Insumos - OPEX'!J$38),$M255*(1+'Insumos - OPEX'!J$29*'Insumos - OPEX'!J$39)*(1+'Insumos - OPEX'!J$38))</f>
        <v>56093.796132491429</v>
      </c>
      <c r="O255" s="211">
        <f>IF(OR($B255="Ce Co No Imputables",$G255="M2 fijo"),$M255*(1+'Insumos - OPEX'!K$38),$M255*(1+'Insumos - OPEX'!K$29*'Insumos - OPEX'!K$39)*(1+'Insumos - OPEX'!K$38))</f>
        <v>58974.106146435275</v>
      </c>
      <c r="P255" s="211">
        <f>IF(OR($B255="Ce Co No Imputables",$G255="M2 fijo"),$M255*(1+'Insumos - OPEX'!L$38),$M255*(1+'Insumos - OPEX'!L$29*'Insumos - OPEX'!L$39)*(1+'Insumos - OPEX'!L$38))</f>
        <v>61890.865095353511</v>
      </c>
      <c r="Q255" s="211">
        <f>IF(OR($B255="Ce Co No Imputables",$G255="M2 fijo"),$M255*(1+'Insumos - OPEX'!M$38),$M255*(1+'Insumos - OPEX'!M$29*'Insumos - OPEX'!M$39)*(1+'Insumos - OPEX'!M$38))</f>
        <v>65097.287453422847</v>
      </c>
      <c r="R255" s="211">
        <f>IF(OR($B255="Ce Co No Imputables",$G255="M2 fijo"),$M255*(1+'Insumos - OPEX'!N$38),$M255*(1+'Insumos - OPEX'!N$29*'Insumos - OPEX'!N$39)*(1+'Insumos - OPEX'!N$38))</f>
        <v>68367.641760127852</v>
      </c>
      <c r="S255" s="111"/>
    </row>
    <row r="256" spans="1:19" x14ac:dyDescent="0.2">
      <c r="A256" s="8"/>
      <c r="B256" s="8" t="s">
        <v>434</v>
      </c>
      <c r="C256" s="8" t="s">
        <v>173</v>
      </c>
      <c r="D256" s="8">
        <v>6343100012</v>
      </c>
      <c r="E256" s="8" t="s">
        <v>423</v>
      </c>
      <c r="F256" s="89" t="s">
        <v>470</v>
      </c>
      <c r="G256" s="73" t="s">
        <v>136</v>
      </c>
      <c r="H256" s="112" t="s">
        <v>61</v>
      </c>
      <c r="I256" s="13" t="s">
        <v>436</v>
      </c>
      <c r="K256" s="186">
        <v>47340.560734568695</v>
      </c>
      <c r="L256" s="187"/>
      <c r="M256" s="214">
        <f>IF(OR(E256="Distribución Legal de la Renta",E256="Acopio carros portaequipajes"),0,IF(K256&lt;0,0,K256*(1+SUMIFS('Insumos - OPEX'!$G$82:$G$238,'Insumos - OPEX'!$B$82:$B$238,OPEX!D256))))</f>
        <v>49423.990218798383</v>
      </c>
      <c r="N256" s="211">
        <f>IF(OR($B256="Ce Co No Imputables",$G256="M2 fijo"),$M256*(1+'Insumos - OPEX'!J$38),$M256*(1+'Insumos - OPEX'!J$29*'Insumos - OPEX'!J$39)*(1+'Insumos - OPEX'!J$38))</f>
        <v>52258.486752767487</v>
      </c>
      <c r="O256" s="211">
        <f>IF(OR($B256="Ce Co No Imputables",$G256="M2 fijo"),$M256*(1+'Insumos - OPEX'!K$38),$M256*(1+'Insumos - OPEX'!K$29*'Insumos - OPEX'!K$39)*(1+'Insumos - OPEX'!K$38))</f>
        <v>54941.860906159134</v>
      </c>
      <c r="P256" s="211">
        <f>IF(OR($B256="Ce Co No Imputables",$G256="M2 fijo"),$M256*(1+'Insumos - OPEX'!L$38),$M256*(1+'Insumos - OPEX'!L$29*'Insumos - OPEX'!L$39)*(1+'Insumos - OPEX'!L$38))</f>
        <v>57659.191866129055</v>
      </c>
      <c r="Q256" s="211">
        <f>IF(OR($B256="Ce Co No Imputables",$G256="M2 fijo"),$M256*(1+'Insumos - OPEX'!M$38),$M256*(1+'Insumos - OPEX'!M$29*'Insumos - OPEX'!M$39)*(1+'Insumos - OPEX'!M$38))</f>
        <v>60646.381036339015</v>
      </c>
      <c r="R256" s="211">
        <f>IF(OR($B256="Ce Co No Imputables",$G256="M2 fijo"),$M256*(1+'Insumos - OPEX'!N$38),$M256*(1+'Insumos - OPEX'!N$29*'Insumos - OPEX'!N$39)*(1+'Insumos - OPEX'!N$38))</f>
        <v>63693.130926650083</v>
      </c>
      <c r="S256" s="111"/>
    </row>
    <row r="257" spans="1:19" x14ac:dyDescent="0.2">
      <c r="A257" s="8"/>
      <c r="B257" s="8" t="s">
        <v>434</v>
      </c>
      <c r="C257" s="8" t="s">
        <v>173</v>
      </c>
      <c r="D257" s="8">
        <v>6343100006</v>
      </c>
      <c r="E257" s="8" t="s">
        <v>425</v>
      </c>
      <c r="F257" s="89" t="s">
        <v>470</v>
      </c>
      <c r="G257" s="73" t="s">
        <v>136</v>
      </c>
      <c r="H257" s="112" t="s">
        <v>61</v>
      </c>
      <c r="I257" s="13" t="s">
        <v>436</v>
      </c>
      <c r="J257" s="40"/>
      <c r="K257" s="186">
        <v>36675.040000000001</v>
      </c>
      <c r="L257" s="187"/>
      <c r="M257" s="214">
        <f>IF(OR(E257="Distribución Legal de la Renta",E257="Acopio carros portaequipajes"),0,IF(K257&lt;0,0,K257*(1+SUMIFS('Insumos - OPEX'!$G$82:$G$238,'Insumos - OPEX'!$B$82:$B$238,OPEX!D257))))</f>
        <v>38289.086358675842</v>
      </c>
      <c r="N257" s="211">
        <f>IF(OR($B257="Ce Co No Imputables",$G257="M2 fijo"),$M257*(1+'Insumos - OPEX'!J$38),$M257*(1+'Insumos - OPEX'!J$29*'Insumos - OPEX'!J$39)*(1+'Insumos - OPEX'!J$38))</f>
        <v>40484.989240900657</v>
      </c>
      <c r="O257" s="211">
        <f>IF(OR($B257="Ce Co No Imputables",$G257="M2 fijo"),$M257*(1+'Insumos - OPEX'!K$38),$M257*(1+'Insumos - OPEX'!K$29*'Insumos - OPEX'!K$39)*(1+'Insumos - OPEX'!K$38))</f>
        <v>42563.816632962837</v>
      </c>
      <c r="P257" s="211">
        <f>IF(OR($B257="Ce Co No Imputables",$G257="M2 fijo"),$M257*(1+'Insumos - OPEX'!L$38),$M257*(1+'Insumos - OPEX'!L$29*'Insumos - OPEX'!L$39)*(1+'Insumos - OPEX'!L$38))</f>
        <v>44668.950583718171</v>
      </c>
      <c r="Q257" s="211">
        <f>IF(OR($B257="Ce Co No Imputables",$G257="M2 fijo"),$M257*(1+'Insumos - OPEX'!M$38),$M257*(1+'Insumos - OPEX'!M$29*'Insumos - OPEX'!M$39)*(1+'Insumos - OPEX'!M$38))</f>
        <v>46983.145443370908</v>
      </c>
      <c r="R257" s="211">
        <f>IF(OR($B257="Ce Co No Imputables",$G257="M2 fijo"),$M257*(1+'Insumos - OPEX'!N$38),$M257*(1+'Insumos - OPEX'!N$29*'Insumos - OPEX'!N$39)*(1+'Insumos - OPEX'!N$38))</f>
        <v>49343.482379886322</v>
      </c>
      <c r="S257" s="111"/>
    </row>
    <row r="258" spans="1:19" x14ac:dyDescent="0.2">
      <c r="A258" s="8"/>
      <c r="B258" s="8" t="s">
        <v>434</v>
      </c>
      <c r="C258" s="8" t="s">
        <v>173</v>
      </c>
      <c r="D258" s="8">
        <v>6341100003</v>
      </c>
      <c r="E258" s="8" t="s">
        <v>392</v>
      </c>
      <c r="F258" s="89" t="s">
        <v>469</v>
      </c>
      <c r="G258" s="73" t="s">
        <v>136</v>
      </c>
      <c r="H258" s="112" t="s">
        <v>61</v>
      </c>
      <c r="I258" s="13" t="s">
        <v>436</v>
      </c>
      <c r="K258" s="186">
        <v>34658.168464408525</v>
      </c>
      <c r="L258" s="187"/>
      <c r="M258" s="214">
        <f>IF(OR(E258="Distribución Legal de la Renta",E258="Acopio carros portaequipajes"),0,IF(K258&lt;0,0,K258*(1+SUMIFS('Insumos - OPEX'!$G$82:$G$238,'Insumos - OPEX'!$B$82:$B$238,OPEX!D258))))</f>
        <v>71241.092629689767</v>
      </c>
      <c r="N258" s="211">
        <f>IF(OR($B258="Ce Co No Imputables",$G258="M2 fijo"),$M258*(1+'Insumos - OPEX'!J$38),$M258*(1+'Insumos - OPEX'!J$29*'Insumos - OPEX'!J$39)*(1+'Insumos - OPEX'!J$38))</f>
        <v>75326.813536501999</v>
      </c>
      <c r="O258" s="211">
        <f>IF(OR($B258="Ce Co No Imputables",$G258="M2 fijo"),$M258*(1+'Insumos - OPEX'!K$38),$M258*(1+'Insumos - OPEX'!K$29*'Insumos - OPEX'!K$39)*(1+'Insumos - OPEX'!K$38))</f>
        <v>79194.702506526519</v>
      </c>
      <c r="P258" s="211">
        <f>IF(OR($B258="Ce Co No Imputables",$G258="M2 fijo"),$M258*(1+'Insumos - OPEX'!L$38),$M258*(1+'Insumos - OPEX'!L$29*'Insumos - OPEX'!L$39)*(1+'Insumos - OPEX'!L$38))</f>
        <v>83111.537747221228</v>
      </c>
      <c r="Q258" s="211">
        <f>IF(OR($B258="Ce Co No Imputables",$G258="M2 fijo"),$M258*(1+'Insumos - OPEX'!M$38),$M258*(1+'Insumos - OPEX'!M$29*'Insumos - OPEX'!M$39)*(1+'Insumos - OPEX'!M$38))</f>
        <v>87417.354000324805</v>
      </c>
      <c r="R258" s="211">
        <f>IF(OR($B258="Ce Co No Imputables",$G258="M2 fijo"),$M258*(1+'Insumos - OPEX'!N$38),$M258*(1+'Insumos - OPEX'!N$29*'Insumos - OPEX'!N$39)*(1+'Insumos - OPEX'!N$38))</f>
        <v>91809.022706033473</v>
      </c>
      <c r="S258" s="111"/>
    </row>
    <row r="259" spans="1:19" x14ac:dyDescent="0.2">
      <c r="A259" s="8"/>
      <c r="B259" s="8" t="s">
        <v>434</v>
      </c>
      <c r="C259" s="8" t="s">
        <v>173</v>
      </c>
      <c r="D259" s="8">
        <v>6341100001</v>
      </c>
      <c r="E259" s="8" t="s">
        <v>399</v>
      </c>
      <c r="F259" s="89" t="s">
        <v>470</v>
      </c>
      <c r="G259" s="73" t="s">
        <v>136</v>
      </c>
      <c r="H259" s="112" t="s">
        <v>61</v>
      </c>
      <c r="I259" s="13" t="s">
        <v>436</v>
      </c>
      <c r="K259" s="186">
        <v>31073.933714005409</v>
      </c>
      <c r="L259" s="187"/>
      <c r="M259" s="214">
        <f>IF(OR(E259="Distribución Legal de la Renta",E259="Acopio carros portaequipajes"),0,IF(K259&lt;0,0,K259*(1+SUMIFS('Insumos - OPEX'!$G$82:$G$238,'Insumos - OPEX'!$B$82:$B$238,OPEX!D259))))</f>
        <v>32441.478768102825</v>
      </c>
      <c r="N259" s="211">
        <f>IF(OR($B259="Ce Co No Imputables",$G259="M2 fijo"),$M259*(1+'Insumos - OPEX'!J$38),$M259*(1+'Insumos - OPEX'!J$29*'Insumos - OPEX'!J$39)*(1+'Insumos - OPEX'!J$38))</f>
        <v>34302.017723333614</v>
      </c>
      <c r="O259" s="211">
        <f>IF(OR($B259="Ce Co No Imputables",$G259="M2 fijo"),$M259*(1+'Insumos - OPEX'!K$38),$M259*(1+'Insumos - OPEX'!K$29*'Insumos - OPEX'!K$39)*(1+'Insumos - OPEX'!K$38))</f>
        <v>36063.361257895514</v>
      </c>
      <c r="P259" s="211">
        <f>IF(OR($B259="Ce Co No Imputables",$G259="M2 fijo"),$M259*(1+'Insumos - OPEX'!L$38),$M259*(1+'Insumos - OPEX'!L$29*'Insumos - OPEX'!L$39)*(1+'Insumos - OPEX'!L$38))</f>
        <v>37846.993745954787</v>
      </c>
      <c r="Q259" s="211">
        <f>IF(OR($B259="Ce Co No Imputables",$G259="M2 fijo"),$M259*(1+'Insumos - OPEX'!M$38),$M259*(1+'Insumos - OPEX'!M$29*'Insumos - OPEX'!M$39)*(1+'Insumos - OPEX'!M$38))</f>
        <v>39807.758824060802</v>
      </c>
      <c r="R259" s="211">
        <f>IF(OR($B259="Ce Co No Imputables",$G259="M2 fijo"),$M259*(1+'Insumos - OPEX'!N$38),$M259*(1+'Insumos - OPEX'!N$29*'Insumos - OPEX'!N$39)*(1+'Insumos - OPEX'!N$38))</f>
        <v>41807.619042563587</v>
      </c>
      <c r="S259" s="111"/>
    </row>
    <row r="260" spans="1:19" x14ac:dyDescent="0.2">
      <c r="A260" s="8"/>
      <c r="B260" s="8" t="s">
        <v>434</v>
      </c>
      <c r="C260" s="8" t="s">
        <v>173</v>
      </c>
      <c r="D260" s="8">
        <v>6341100005</v>
      </c>
      <c r="E260" s="8" t="s">
        <v>411</v>
      </c>
      <c r="F260" s="89" t="s">
        <v>470</v>
      </c>
      <c r="G260" s="73" t="s">
        <v>136</v>
      </c>
      <c r="H260" s="112" t="s">
        <v>61</v>
      </c>
      <c r="I260" s="13" t="s">
        <v>436</v>
      </c>
      <c r="K260" s="186">
        <v>30857.56</v>
      </c>
      <c r="L260" s="187"/>
      <c r="M260" s="214">
        <f>IF(OR(E260="Distribución Legal de la Renta",E260="Acopio carros portaequipajes"),0,IF(K260&lt;0,0,K260*(1+SUMIFS('Insumos - OPEX'!$G$82:$G$238,'Insumos - OPEX'!$B$82:$B$238,OPEX!D260))))</f>
        <v>32215.582577633762</v>
      </c>
      <c r="N260" s="211">
        <f>IF(OR($B260="Ce Co No Imputables",$G260="M2 fijo"),$M260*(1+'Insumos - OPEX'!J$38),$M260*(1+'Insumos - OPEX'!J$29*'Insumos - OPEX'!J$39)*(1+'Insumos - OPEX'!J$38))</f>
        <v>34063.166246047629</v>
      </c>
      <c r="O260" s="211">
        <f>IF(OR($B260="Ce Co No Imputables",$G260="M2 fijo"),$M260*(1+'Insumos - OPEX'!K$38),$M260*(1+'Insumos - OPEX'!K$29*'Insumos - OPEX'!K$39)*(1+'Insumos - OPEX'!K$38))</f>
        <v>35812.245210384201</v>
      </c>
      <c r="P260" s="211">
        <f>IF(OR($B260="Ce Co No Imputables",$G260="M2 fijo"),$M260*(1+'Insumos - OPEX'!L$38),$M260*(1+'Insumos - OPEX'!L$29*'Insumos - OPEX'!L$39)*(1+'Insumos - OPEX'!L$38))</f>
        <v>37583.457925993222</v>
      </c>
      <c r="Q260" s="211">
        <f>IF(OR($B260="Ce Co No Imputables",$G260="M2 fijo"),$M260*(1+'Insumos - OPEX'!M$38),$M260*(1+'Insumos - OPEX'!M$29*'Insumos - OPEX'!M$39)*(1+'Insumos - OPEX'!M$38))</f>
        <v>39530.569823715108</v>
      </c>
      <c r="R260" s="211">
        <f>IF(OR($B260="Ce Co No Imputables",$G260="M2 fijo"),$M260*(1+'Insumos - OPEX'!N$38),$M260*(1+'Insumos - OPEX'!N$29*'Insumos - OPEX'!N$39)*(1+'Insumos - OPEX'!N$38))</f>
        <v>41516.504634931145</v>
      </c>
      <c r="S260" s="111"/>
    </row>
    <row r="261" spans="1:19" x14ac:dyDescent="0.2">
      <c r="A261" s="8"/>
      <c r="B261" s="8" t="s">
        <v>434</v>
      </c>
      <c r="C261" s="8" t="s">
        <v>173</v>
      </c>
      <c r="D261" s="8">
        <v>6343100005</v>
      </c>
      <c r="E261" s="8" t="s">
        <v>424</v>
      </c>
      <c r="F261" s="89" t="s">
        <v>470</v>
      </c>
      <c r="G261" s="73" t="s">
        <v>136</v>
      </c>
      <c r="H261" s="112" t="s">
        <v>61</v>
      </c>
      <c r="I261" s="13" t="s">
        <v>436</v>
      </c>
      <c r="K261" s="186">
        <v>25381.8</v>
      </c>
      <c r="L261" s="187"/>
      <c r="M261" s="214">
        <f>IF(OR(E261="Distribución Legal de la Renta",E261="Acopio carros portaequipajes"),0,IF(K261&lt;0,0,K261*(1+SUMIFS('Insumos - OPEX'!$G$82:$G$238,'Insumos - OPEX'!$B$82:$B$238,OPEX!D261))))</f>
        <v>26498.837687392803</v>
      </c>
      <c r="N261" s="211">
        <f>IF(OR($B261="Ce Co No Imputables",$G261="M2 fijo"),$M261*(1+'Insumos - OPEX'!J$38),$M261*(1+'Insumos - OPEX'!J$29*'Insumos - OPEX'!J$39)*(1+'Insumos - OPEX'!J$38))</f>
        <v>28018.562485949362</v>
      </c>
      <c r="O261" s="211">
        <f>IF(OR($B261="Ce Co No Imputables",$G261="M2 fijo"),$M261*(1+'Insumos - OPEX'!K$38),$M261*(1+'Insumos - OPEX'!K$29*'Insumos - OPEX'!K$39)*(1+'Insumos - OPEX'!K$38))</f>
        <v>29457.262514629467</v>
      </c>
      <c r="P261" s="211">
        <f>IF(OR($B261="Ce Co No Imputables",$G261="M2 fijo"),$M261*(1+'Insumos - OPEX'!L$38),$M261*(1+'Insumos - OPEX'!L$29*'Insumos - OPEX'!L$39)*(1+'Insumos - OPEX'!L$38))</f>
        <v>30914.168598747754</v>
      </c>
      <c r="Q261" s="211">
        <f>IF(OR($B261="Ce Co No Imputables",$G261="M2 fijo"),$M261*(1+'Insumos - OPEX'!M$38),$M261*(1+'Insumos - OPEX'!M$29*'Insumos - OPEX'!M$39)*(1+'Insumos - OPEX'!M$38))</f>
        <v>32515.760065007478</v>
      </c>
      <c r="R261" s="211">
        <f>IF(OR($B261="Ce Co No Imputables",$G261="M2 fijo"),$M261*(1+'Insumos - OPEX'!N$38),$M261*(1+'Insumos - OPEX'!N$29*'Insumos - OPEX'!N$39)*(1+'Insumos - OPEX'!N$38))</f>
        <v>34149.28521059006</v>
      </c>
      <c r="S261" s="111"/>
    </row>
    <row r="262" spans="1:19" x14ac:dyDescent="0.2">
      <c r="A262" s="8"/>
      <c r="B262" s="8" t="s">
        <v>434</v>
      </c>
      <c r="C262" s="8" t="s">
        <v>173</v>
      </c>
      <c r="D262" s="8">
        <v>6343100003</v>
      </c>
      <c r="E262" s="8" t="s">
        <v>406</v>
      </c>
      <c r="F262" s="89" t="s">
        <v>470</v>
      </c>
      <c r="G262" s="73" t="s">
        <v>136</v>
      </c>
      <c r="H262" s="112" t="s">
        <v>61</v>
      </c>
      <c r="I262" s="13" t="s">
        <v>436</v>
      </c>
      <c r="K262" s="186">
        <v>20111.009999999998</v>
      </c>
      <c r="L262" s="187"/>
      <c r="M262" s="214">
        <f>IF(OR(E262="Distribución Legal de la Renta",E262="Acopio carros portaequipajes"),0,IF(K262&lt;0,0,K262*(1+SUMIFS('Insumos - OPEX'!$G$82:$G$238,'Insumos - OPEX'!$B$82:$B$238,OPEX!D262))))</f>
        <v>20996.083403049961</v>
      </c>
      <c r="N262" s="211">
        <f>IF(OR($B262="Ce Co No Imputables",$G262="M2 fijo"),$M262*(1+'Insumos - OPEX'!J$38),$M262*(1+'Insumos - OPEX'!J$29*'Insumos - OPEX'!J$39)*(1+'Insumos - OPEX'!J$38))</f>
        <v>22200.221825896999</v>
      </c>
      <c r="O262" s="211">
        <f>IF(OR($B262="Ce Co No Imputables",$G262="M2 fijo"),$M262*(1+'Insumos - OPEX'!K$38),$M262*(1+'Insumos - OPEX'!K$29*'Insumos - OPEX'!K$39)*(1+'Insumos - OPEX'!K$38))</f>
        <v>23340.161099856527</v>
      </c>
      <c r="P262" s="211">
        <f>IF(OR($B262="Ce Co No Imputables",$G262="M2 fijo"),$M262*(1+'Insumos - OPEX'!L$38),$M262*(1+'Insumos - OPEX'!L$29*'Insumos - OPEX'!L$39)*(1+'Insumos - OPEX'!L$38))</f>
        <v>24494.52575589998</v>
      </c>
      <c r="Q262" s="211">
        <f>IF(OR($B262="Ce Co No Imputables",$G262="M2 fijo"),$M262*(1+'Insumos - OPEX'!M$38),$M262*(1+'Insumos - OPEX'!M$29*'Insumos - OPEX'!M$39)*(1+'Insumos - OPEX'!M$38))</f>
        <v>25763.530396779031</v>
      </c>
      <c r="R262" s="211">
        <f>IF(OR($B262="Ce Co No Imputables",$G262="M2 fijo"),$M262*(1+'Insumos - OPEX'!N$38),$M262*(1+'Insumos - OPEX'!N$29*'Insumos - OPEX'!N$39)*(1+'Insumos - OPEX'!N$38))</f>
        <v>27057.837362323742</v>
      </c>
      <c r="S262" s="111"/>
    </row>
    <row r="263" spans="1:19" x14ac:dyDescent="0.2">
      <c r="A263" s="8"/>
      <c r="B263" s="8" t="s">
        <v>434</v>
      </c>
      <c r="C263" s="8" t="s">
        <v>173</v>
      </c>
      <c r="D263" s="8">
        <v>6341100007</v>
      </c>
      <c r="E263" s="8" t="s">
        <v>414</v>
      </c>
      <c r="F263" s="89" t="s">
        <v>470</v>
      </c>
      <c r="G263" s="73" t="s">
        <v>136</v>
      </c>
      <c r="H263" s="112" t="s">
        <v>61</v>
      </c>
      <c r="I263" s="13" t="s">
        <v>436</v>
      </c>
      <c r="K263" s="186">
        <v>19921.36</v>
      </c>
      <c r="L263" s="187"/>
      <c r="M263" s="214">
        <f>IF(OR(E263="Distribución Legal de la Renta",E263="Acopio carros portaequipajes"),0,IF(K263&lt;0,0,K263*(1+SUMIFS('Insumos - OPEX'!$G$82:$G$238,'Insumos - OPEX'!$B$82:$B$238,OPEX!D263))))</f>
        <v>20798.087021098563</v>
      </c>
      <c r="N263" s="211">
        <f>IF(OR($B263="Ce Co No Imputables",$G263="M2 fijo"),$M263*(1+'Insumos - OPEX'!J$38),$M263*(1+'Insumos - OPEX'!J$29*'Insumos - OPEX'!J$39)*(1+'Insumos - OPEX'!J$38))</f>
        <v>21990.870228474429</v>
      </c>
      <c r="O263" s="211">
        <f>IF(OR($B263="Ce Co No Imputables",$G263="M2 fijo"),$M263*(1+'Insumos - OPEX'!K$38),$M263*(1+'Insumos - OPEX'!K$29*'Insumos - OPEX'!K$39)*(1+'Insumos - OPEX'!K$38))</f>
        <v>23120.059695074378</v>
      </c>
      <c r="P263" s="211">
        <f>IF(OR($B263="Ce Co No Imputables",$G263="M2 fijo"),$M263*(1+'Insumos - OPEX'!L$38),$M263*(1+'Insumos - OPEX'!L$29*'Insumos - OPEX'!L$39)*(1+'Insumos - OPEX'!L$38))</f>
        <v>24263.53851012732</v>
      </c>
      <c r="Q263" s="211">
        <f>IF(OR($B263="Ce Co No Imputables",$G263="M2 fijo"),$M263*(1+'Insumos - OPEX'!M$38),$M263*(1+'Insumos - OPEX'!M$29*'Insumos - OPEX'!M$39)*(1+'Insumos - OPEX'!M$38))</f>
        <v>25520.576236856228</v>
      </c>
      <c r="R263" s="211">
        <f>IF(OR($B263="Ce Co No Imputables",$G263="M2 fijo"),$M263*(1+'Insumos - OPEX'!N$38),$M263*(1+'Insumos - OPEX'!N$29*'Insumos - OPEX'!N$39)*(1+'Insumos - OPEX'!N$38))</f>
        <v>26802.677683333743</v>
      </c>
      <c r="S263" s="111"/>
    </row>
    <row r="264" spans="1:19" x14ac:dyDescent="0.2">
      <c r="A264" s="8"/>
      <c r="B264" s="8" t="s">
        <v>434</v>
      </c>
      <c r="C264" s="8" t="s">
        <v>173</v>
      </c>
      <c r="D264" s="8">
        <v>6341100004</v>
      </c>
      <c r="E264" s="8" t="s">
        <v>400</v>
      </c>
      <c r="F264" s="89" t="s">
        <v>470</v>
      </c>
      <c r="G264" s="73" t="s">
        <v>136</v>
      </c>
      <c r="H264" s="112" t="s">
        <v>61</v>
      </c>
      <c r="I264" s="13" t="s">
        <v>436</v>
      </c>
      <c r="K264" s="186">
        <v>19816.764904152456</v>
      </c>
      <c r="L264" s="187"/>
      <c r="M264" s="214">
        <f>IF(OR(E264="Distribución Legal de la Renta",E264="Acopio carros portaequipajes"),0,IF(K264&lt;0,0,K264*(1+SUMIFS('Insumos - OPEX'!$G$82:$G$238,'Insumos - OPEX'!$B$82:$B$238,OPEX!D264))))</f>
        <v>20688.888758258207</v>
      </c>
      <c r="N264" s="211">
        <f>IF(OR($B264="Ce Co No Imputables",$G264="M2 fijo"),$M264*(1+'Insumos - OPEX'!J$38),$M264*(1+'Insumos - OPEX'!J$29*'Insumos - OPEX'!J$39)*(1+'Insumos - OPEX'!J$38))</f>
        <v>21875.409377442262</v>
      </c>
      <c r="O264" s="211">
        <f>IF(OR($B264="Ce Co No Imputables",$G264="M2 fijo"),$M264*(1+'Insumos - OPEX'!K$38),$M264*(1+'Insumos - OPEX'!K$29*'Insumos - OPEX'!K$39)*(1+'Insumos - OPEX'!K$38))</f>
        <v>22998.670148386442</v>
      </c>
      <c r="P264" s="211">
        <f>IF(OR($B264="Ce Co No Imputables",$G264="M2 fijo"),$M264*(1+'Insumos - OPEX'!L$38),$M264*(1+'Insumos - OPEX'!L$29*'Insumos - OPEX'!L$39)*(1+'Insumos - OPEX'!L$38))</f>
        <v>24136.145242997598</v>
      </c>
      <c r="Q264" s="211">
        <f>IF(OR($B264="Ce Co No Imputables",$G264="M2 fijo"),$M264*(1+'Insumos - OPEX'!M$38),$M264*(1+'Insumos - OPEX'!M$29*'Insumos - OPEX'!M$39)*(1+'Insumos - OPEX'!M$38))</f>
        <v>25386.583019647234</v>
      </c>
      <c r="R264" s="211">
        <f>IF(OR($B264="Ce Co No Imputables",$G264="M2 fijo"),$M264*(1+'Insumos - OPEX'!N$38),$M264*(1+'Insumos - OPEX'!N$29*'Insumos - OPEX'!N$39)*(1+'Insumos - OPEX'!N$38))</f>
        <v>26661.952921507283</v>
      </c>
      <c r="S264" s="111"/>
    </row>
    <row r="265" spans="1:19" x14ac:dyDescent="0.2">
      <c r="A265" s="8"/>
      <c r="B265" s="8" t="s">
        <v>434</v>
      </c>
      <c r="C265" s="8" t="s">
        <v>173</v>
      </c>
      <c r="D265" s="8">
        <v>6342000002</v>
      </c>
      <c r="E265" s="8" t="s">
        <v>412</v>
      </c>
      <c r="F265" s="89" t="s">
        <v>470</v>
      </c>
      <c r="G265" s="73" t="s">
        <v>136</v>
      </c>
      <c r="H265" s="112" t="s">
        <v>61</v>
      </c>
      <c r="I265" s="13" t="s">
        <v>436</v>
      </c>
      <c r="K265" s="186">
        <v>18859.948201001687</v>
      </c>
      <c r="L265" s="187"/>
      <c r="M265" s="214">
        <f>IF(OR(E265="Distribución Legal de la Renta",E265="Acopio carros portaequipajes"),0,IF(K265&lt;0,0,K265*(1+SUMIFS('Insumos - OPEX'!$G$82:$G$238,'Insumos - OPEX'!$B$82:$B$238,OPEX!D265))))</f>
        <v>19689.963129919059</v>
      </c>
      <c r="N265" s="211">
        <f>IF(OR($B265="Ce Co No Imputables",$G265="M2 fijo"),$M265*(1+'Insumos - OPEX'!J$38),$M265*(1+'Insumos - OPEX'!J$29*'Insumos - OPEX'!J$39)*(1+'Insumos - OPEX'!J$38))</f>
        <v>20819.194743932032</v>
      </c>
      <c r="O265" s="211">
        <f>IF(OR($B265="Ce Co No Imputables",$G265="M2 fijo"),$M265*(1+'Insumos - OPEX'!K$38),$M265*(1+'Insumos - OPEX'!K$29*'Insumos - OPEX'!K$39)*(1+'Insumos - OPEX'!K$38))</f>
        <v>21888.220897226372</v>
      </c>
      <c r="P265" s="211">
        <f>IF(OR($B265="Ce Co No Imputables",$G265="M2 fijo"),$M265*(1+'Insumos - OPEX'!L$38),$M265*(1+'Insumos - OPEX'!L$29*'Insumos - OPEX'!L$39)*(1+'Insumos - OPEX'!L$38))</f>
        <v>22970.775061241344</v>
      </c>
      <c r="Q265" s="211">
        <f>IF(OR($B265="Ce Co No Imputables",$G265="M2 fijo"),$M265*(1+'Insumos - OPEX'!M$38),$M265*(1+'Insumos - OPEX'!M$29*'Insumos - OPEX'!M$39)*(1+'Insumos - OPEX'!M$38))</f>
        <v>24160.837708209827</v>
      </c>
      <c r="R265" s="211">
        <f>IF(OR($B265="Ce Co No Imputables",$G265="M2 fijo"),$M265*(1+'Insumos - OPEX'!N$38),$M265*(1+'Insumos - OPEX'!N$29*'Insumos - OPEX'!N$39)*(1+'Insumos - OPEX'!N$38))</f>
        <v>25374.628677751833</v>
      </c>
      <c r="S265" s="111"/>
    </row>
    <row r="266" spans="1:19" x14ac:dyDescent="0.2">
      <c r="A266" s="8"/>
      <c r="B266" s="8" t="s">
        <v>434</v>
      </c>
      <c r="C266" s="8" t="s">
        <v>173</v>
      </c>
      <c r="D266" s="8">
        <v>6344000003</v>
      </c>
      <c r="E266" s="8" t="s">
        <v>419</v>
      </c>
      <c r="F266" s="89" t="s">
        <v>470</v>
      </c>
      <c r="G266" s="73" t="s">
        <v>136</v>
      </c>
      <c r="H266" s="112" t="s">
        <v>61</v>
      </c>
      <c r="I266" s="13" t="s">
        <v>436</v>
      </c>
      <c r="K266" s="186">
        <v>12706.69</v>
      </c>
      <c r="L266" s="187"/>
      <c r="M266" s="214">
        <f>IF(OR(E266="Distribución Legal de la Renta",E266="Acopio carros portaequipajes"),0,IF(K266&lt;0,0,K266*(1+SUMIFS('Insumos - OPEX'!$G$82:$G$238,'Insumos - OPEX'!$B$82:$B$238,OPEX!D266))))</f>
        <v>13265.903752059241</v>
      </c>
      <c r="N266" s="211">
        <f>IF(OR($B266="Ce Co No Imputables",$G266="M2 fijo"),$M266*(1+'Insumos - OPEX'!J$38),$M266*(1+'Insumos - OPEX'!J$29*'Insumos - OPEX'!J$39)*(1+'Insumos - OPEX'!J$38))</f>
        <v>14026.711571070135</v>
      </c>
      <c r="O266" s="211">
        <f>IF(OR($B266="Ce Co No Imputables",$G266="M2 fijo"),$M266*(1+'Insumos - OPEX'!K$38),$M266*(1+'Insumos - OPEX'!K$29*'Insumos - OPEX'!K$39)*(1+'Insumos - OPEX'!K$38))</f>
        <v>14746.956599690215</v>
      </c>
      <c r="P266" s="211">
        <f>IF(OR($B266="Ce Co No Imputables",$G266="M2 fijo"),$M266*(1+'Insumos - OPEX'!L$38),$M266*(1+'Insumos - OPEX'!L$29*'Insumos - OPEX'!L$39)*(1+'Insumos - OPEX'!L$38))</f>
        <v>15476.315982003724</v>
      </c>
      <c r="Q266" s="211">
        <f>IF(OR($B266="Ce Co No Imputables",$G266="M2 fijo"),$M266*(1+'Insumos - OPEX'!M$38),$M266*(1+'Insumos - OPEX'!M$29*'Insumos - OPEX'!M$39)*(1+'Insumos - OPEX'!M$38))</f>
        <v>16278.108064062826</v>
      </c>
      <c r="R266" s="211">
        <f>IF(OR($B266="Ce Co No Imputables",$G266="M2 fijo"),$M266*(1+'Insumos - OPEX'!N$38),$M266*(1+'Insumos - OPEX'!N$29*'Insumos - OPEX'!N$39)*(1+'Insumos - OPEX'!N$38))</f>
        <v>17095.886851702897</v>
      </c>
      <c r="S266" s="111"/>
    </row>
    <row r="267" spans="1:19" x14ac:dyDescent="0.2">
      <c r="A267" s="8"/>
      <c r="B267" s="8" t="s">
        <v>434</v>
      </c>
      <c r="C267" s="8" t="s">
        <v>173</v>
      </c>
      <c r="D267" s="8">
        <v>6343100002</v>
      </c>
      <c r="E267" s="8" t="s">
        <v>396</v>
      </c>
      <c r="F267" s="89" t="s">
        <v>470</v>
      </c>
      <c r="G267" s="73" t="s">
        <v>136</v>
      </c>
      <c r="H267" s="112" t="s">
        <v>61</v>
      </c>
      <c r="I267" s="13" t="s">
        <v>436</v>
      </c>
      <c r="K267" s="186">
        <v>8925.762126960828</v>
      </c>
      <c r="L267" s="187"/>
      <c r="M267" s="214">
        <f>IF(OR(E267="Distribución Legal de la Renta",E267="Acopio carros portaequipajes"),0,IF(K267&lt;0,0,K267*(1+SUMIFS('Insumos - OPEX'!$G$82:$G$238,'Insumos - OPEX'!$B$82:$B$238,OPEX!D267))))</f>
        <v>9318.5795270080507</v>
      </c>
      <c r="N267" s="211">
        <f>IF(OR($B267="Ce Co No Imputables",$G267="M2 fijo"),$M267*(1+'Insumos - OPEX'!J$38),$M267*(1+'Insumos - OPEX'!J$29*'Insumos - OPEX'!J$39)*(1+'Insumos - OPEX'!J$38))</f>
        <v>9853.0058502144166</v>
      </c>
      <c r="O267" s="211">
        <f>IF(OR($B267="Ce Co No Imputables",$G267="M2 fijo"),$M267*(1+'Insumos - OPEX'!K$38),$M267*(1+'Insumos - OPEX'!K$29*'Insumos - OPEX'!K$39)*(1+'Insumos - OPEX'!K$38))</f>
        <v>10358.93900814846</v>
      </c>
      <c r="P267" s="211">
        <f>IF(OR($B267="Ce Co No Imputables",$G267="M2 fijo"),$M267*(1+'Insumos - OPEX'!L$38),$M267*(1+'Insumos - OPEX'!L$29*'Insumos - OPEX'!L$39)*(1+'Insumos - OPEX'!L$38))</f>
        <v>10871.274506346454</v>
      </c>
      <c r="Q267" s="211">
        <f>IF(OR($B267="Ce Co No Imputables",$G267="M2 fijo"),$M267*(1+'Insumos - OPEX'!M$38),$M267*(1+'Insumos - OPEX'!M$29*'Insumos - OPEX'!M$39)*(1+'Insumos - OPEX'!M$38))</f>
        <v>11434.490056559782</v>
      </c>
      <c r="R267" s="211">
        <f>IF(OR($B267="Ce Co No Imputables",$G267="M2 fijo"),$M267*(1+'Insumos - OPEX'!N$38),$M267*(1+'Insumos - OPEX'!N$29*'Insumos - OPEX'!N$39)*(1+'Insumos - OPEX'!N$38))</f>
        <v>12008.935402353982</v>
      </c>
      <c r="S267" s="111"/>
    </row>
    <row r="268" spans="1:19" x14ac:dyDescent="0.2">
      <c r="A268" s="8"/>
      <c r="B268" s="8" t="s">
        <v>434</v>
      </c>
      <c r="C268" s="8" t="s">
        <v>173</v>
      </c>
      <c r="D268" s="8">
        <v>6343100001</v>
      </c>
      <c r="E268" s="8" t="s">
        <v>397</v>
      </c>
      <c r="F268" s="89" t="s">
        <v>470</v>
      </c>
      <c r="G268" s="73" t="s">
        <v>136</v>
      </c>
      <c r="H268" s="112" t="s">
        <v>61</v>
      </c>
      <c r="I268" s="13" t="s">
        <v>436</v>
      </c>
      <c r="K268" s="186">
        <v>5296.3531494183526</v>
      </c>
      <c r="L268" s="187"/>
      <c r="M268" s="214">
        <f>IF(OR(E268="Distribución Legal de la Renta",E268="Acopio carros portaequipajes"),0,IF(K268&lt;0,0,K268*(1+SUMIFS('Insumos - OPEX'!$G$82:$G$238,'Insumos - OPEX'!$B$82:$B$238,OPEX!D268))))</f>
        <v>5529.4424525269524</v>
      </c>
      <c r="N268" s="211">
        <f>IF(OR($B268="Ce Co No Imputables",$G268="M2 fijo"),$M268*(1+'Insumos - OPEX'!J$38),$M268*(1+'Insumos - OPEX'!J$29*'Insumos - OPEX'!J$39)*(1+'Insumos - OPEX'!J$38))</f>
        <v>5846.5594112566023</v>
      </c>
      <c r="O268" s="211">
        <f>IF(OR($B268="Ce Co No Imputables",$G268="M2 fijo"),$M268*(1+'Insumos - OPEX'!K$38),$M268*(1+'Insumos - OPEX'!K$29*'Insumos - OPEX'!K$39)*(1+'Insumos - OPEX'!K$38))</f>
        <v>6146.7691453167608</v>
      </c>
      <c r="P268" s="211">
        <f>IF(OR($B268="Ce Co No Imputables",$G268="M2 fijo"),$M268*(1+'Insumos - OPEX'!L$38),$M268*(1+'Insumos - OPEX'!L$29*'Insumos - OPEX'!L$39)*(1+'Insumos - OPEX'!L$38))</f>
        <v>6450.7778888663379</v>
      </c>
      <c r="Q268" s="211">
        <f>IF(OR($B268="Ce Co No Imputables",$G268="M2 fijo"),$M268*(1+'Insumos - OPEX'!M$38),$M268*(1+'Insumos - OPEX'!M$29*'Insumos - OPEX'!M$39)*(1+'Insumos - OPEX'!M$38))</f>
        <v>6784.9777488607515</v>
      </c>
      <c r="R268" s="211">
        <f>IF(OR($B268="Ce Co No Imputables",$G268="M2 fijo"),$M268*(1+'Insumos - OPEX'!N$38),$M268*(1+'Insumos - OPEX'!N$29*'Insumos - OPEX'!N$39)*(1+'Insumos - OPEX'!N$38))</f>
        <v>7125.8411253533723</v>
      </c>
      <c r="S268" s="111"/>
    </row>
    <row r="269" spans="1:19" x14ac:dyDescent="0.2">
      <c r="A269" s="8"/>
      <c r="B269" s="8" t="s">
        <v>434</v>
      </c>
      <c r="C269" s="8" t="s">
        <v>173</v>
      </c>
      <c r="D269" s="8">
        <v>6344000002</v>
      </c>
      <c r="E269" s="8" t="s">
        <v>409</v>
      </c>
      <c r="F269" s="89" t="s">
        <v>470</v>
      </c>
      <c r="G269" s="73" t="s">
        <v>136</v>
      </c>
      <c r="H269" s="112" t="s">
        <v>61</v>
      </c>
      <c r="I269" s="13" t="s">
        <v>436</v>
      </c>
      <c r="K269" s="186">
        <v>4744.18</v>
      </c>
      <c r="L269" s="187"/>
      <c r="M269" s="214">
        <f>IF(OR(E269="Distribución Legal de la Renta",E269="Acopio carros portaequipajes"),0,IF(K269&lt;0,0,K269*(1+SUMIFS('Insumos - OPEX'!$G$82:$G$238,'Insumos - OPEX'!$B$82:$B$238,OPEX!D269))))</f>
        <v>4952.9684963152804</v>
      </c>
      <c r="N269" s="211">
        <f>IF(OR($B269="Ce Co No Imputables",$G269="M2 fijo"),$M269*(1+'Insumos - OPEX'!J$38),$M269*(1+'Insumos - OPEX'!J$29*'Insumos - OPEX'!J$39)*(1+'Insumos - OPEX'!J$38))</f>
        <v>5237.0243156352681</v>
      </c>
      <c r="O269" s="211">
        <f>IF(OR($B269="Ce Co No Imputables",$G269="M2 fijo"),$M269*(1+'Insumos - OPEX'!K$38),$M269*(1+'Insumos - OPEX'!K$29*'Insumos - OPEX'!K$39)*(1+'Insumos - OPEX'!K$38))</f>
        <v>5505.9355789051533</v>
      </c>
      <c r="P269" s="211">
        <f>IF(OR($B269="Ce Co No Imputables",$G269="M2 fijo"),$M269*(1+'Insumos - OPEX'!L$38),$M269*(1+'Insumos - OPEX'!L$29*'Insumos - OPEX'!L$39)*(1+'Insumos - OPEX'!L$38))</f>
        <v>5778.249784601845</v>
      </c>
      <c r="Q269" s="211">
        <f>IF(OR($B269="Ce Co No Imputables",$G269="M2 fijo"),$M269*(1+'Insumos - OPEX'!M$38),$M269*(1+'Insumos - OPEX'!M$29*'Insumos - OPEX'!M$39)*(1+'Insumos - OPEX'!M$38))</f>
        <v>6077.6075213423464</v>
      </c>
      <c r="R269" s="211">
        <f>IF(OR($B269="Ce Co No Imputables",$G269="M2 fijo"),$M269*(1+'Insumos - OPEX'!N$38),$M269*(1+'Insumos - OPEX'!N$29*'Insumos - OPEX'!N$39)*(1+'Insumos - OPEX'!N$38))</f>
        <v>6382.9340673386887</v>
      </c>
      <c r="S269" s="111"/>
    </row>
    <row r="270" spans="1:19" x14ac:dyDescent="0.2">
      <c r="A270" s="8"/>
      <c r="B270" s="8" t="s">
        <v>434</v>
      </c>
      <c r="C270" s="8" t="s">
        <v>173</v>
      </c>
      <c r="D270" s="8">
        <v>6343100015</v>
      </c>
      <c r="E270" s="8" t="s">
        <v>401</v>
      </c>
      <c r="F270" s="89" t="s">
        <v>470</v>
      </c>
      <c r="G270" s="73" t="s">
        <v>136</v>
      </c>
      <c r="H270" s="112" t="s">
        <v>61</v>
      </c>
      <c r="I270" s="13" t="s">
        <v>436</v>
      </c>
      <c r="J270" s="1"/>
      <c r="K270" s="186">
        <v>3626.0236482894215</v>
      </c>
      <c r="L270" s="187"/>
      <c r="M270" s="214">
        <f>IF(OR(E270="Distribución Legal de la Renta",E270="Acopio carros portaequipajes"),0,IF(K270&lt;0,0,K270*(1+SUMIFS('Insumos - OPEX'!$G$82:$G$238,'Insumos - OPEX'!$B$82:$B$238,OPEX!D270))))</f>
        <v>3785.6027589323558</v>
      </c>
      <c r="N270" s="211">
        <f>IF(OR($B270="Ce Co No Imputables",$G270="M2 fijo"),$M270*(1+'Insumos - OPEX'!J$38),$M270*(1+'Insumos - OPEX'!J$29*'Insumos - OPEX'!J$39)*(1+'Insumos - OPEX'!J$38))</f>
        <v>4002.7094282173539</v>
      </c>
      <c r="O270" s="211">
        <f>IF(OR($B270="Ce Co No Imputables",$G270="M2 fijo"),$M270*(1+'Insumos - OPEX'!K$38),$M270*(1+'Insumos - OPEX'!K$29*'Insumos - OPEX'!K$39)*(1+'Insumos - OPEX'!K$38))</f>
        <v>4208.2409636793282</v>
      </c>
      <c r="P270" s="211">
        <f>IF(OR($B270="Ce Co No Imputables",$G270="M2 fijo"),$M270*(1+'Insumos - OPEX'!L$38),$M270*(1+'Insumos - OPEX'!L$29*'Insumos - OPEX'!L$39)*(1+'Insumos - OPEX'!L$38))</f>
        <v>4416.3734016604658</v>
      </c>
      <c r="Q270" s="211">
        <f>IF(OR($B270="Ce Co No Imputables",$G270="M2 fijo"),$M270*(1+'Insumos - OPEX'!M$38),$M270*(1+'Insumos - OPEX'!M$29*'Insumos - OPEX'!M$39)*(1+'Insumos - OPEX'!M$38))</f>
        <v>4645.1754776186835</v>
      </c>
      <c r="R270" s="211">
        <f>IF(OR($B270="Ce Co No Imputables",$G270="M2 fijo"),$M270*(1+'Insumos - OPEX'!N$38),$M270*(1+'Insumos - OPEX'!N$29*'Insumos - OPEX'!N$39)*(1+'Insumos - OPEX'!N$38))</f>
        <v>4878.5395734652293</v>
      </c>
      <c r="S270" s="111"/>
    </row>
    <row r="271" spans="1:19" x14ac:dyDescent="0.2">
      <c r="A271" s="8"/>
      <c r="B271" s="8" t="s">
        <v>434</v>
      </c>
      <c r="C271" s="8" t="s">
        <v>173</v>
      </c>
      <c r="D271" s="8">
        <v>6345000001</v>
      </c>
      <c r="E271" s="8" t="s">
        <v>405</v>
      </c>
      <c r="F271" s="89" t="s">
        <v>470</v>
      </c>
      <c r="G271" s="73" t="s">
        <v>136</v>
      </c>
      <c r="H271" s="112" t="s">
        <v>61</v>
      </c>
      <c r="I271" s="13" t="s">
        <v>436</v>
      </c>
      <c r="K271" s="186">
        <v>2909.32484012126</v>
      </c>
      <c r="L271" s="187"/>
      <c r="M271" s="214">
        <f>IF(OR(E271="Distribución Legal de la Renta",E271="Acopio carros portaequipajes"),0,IF(K271&lt;0,0,K271*(1+SUMIFS('Insumos - OPEX'!$G$82:$G$238,'Insumos - OPEX'!$B$82:$B$238,OPEX!D271))))</f>
        <v>3037.3624691027935</v>
      </c>
      <c r="N271" s="211">
        <f>IF(OR($B271="Ce Co No Imputables",$G271="M2 fijo"),$M271*(1+'Insumos - OPEX'!J$38),$M271*(1+'Insumos - OPEX'!J$29*'Insumos - OPEX'!J$39)*(1+'Insumos - OPEX'!J$38))</f>
        <v>3211.5570930691347</v>
      </c>
      <c r="O271" s="211">
        <f>IF(OR($B271="Ce Co No Imputables",$G271="M2 fijo"),$M271*(1+'Insumos - OPEX'!K$38),$M271*(1+'Insumos - OPEX'!K$29*'Insumos - OPEX'!K$39)*(1+'Insumos - OPEX'!K$38))</f>
        <v>3376.4644570434075</v>
      </c>
      <c r="P271" s="211">
        <f>IF(OR($B271="Ce Co No Imputables",$G271="M2 fijo"),$M271*(1+'Insumos - OPEX'!L$38),$M271*(1+'Insumos - OPEX'!L$29*'Insumos - OPEX'!L$39)*(1+'Insumos - OPEX'!L$38))</f>
        <v>3543.4586442267096</v>
      </c>
      <c r="Q271" s="211">
        <f>IF(OR($B271="Ce Co No Imputables",$G271="M2 fijo"),$M271*(1+'Insumos - OPEX'!M$38),$M271*(1+'Insumos - OPEX'!M$29*'Insumos - OPEX'!M$39)*(1+'Insumos - OPEX'!M$38))</f>
        <v>3727.037028601168</v>
      </c>
      <c r="R271" s="211">
        <f>IF(OR($B271="Ce Co No Imputables",$G271="M2 fijo"),$M271*(1+'Insumos - OPEX'!N$38),$M271*(1+'Insumos - OPEX'!N$29*'Insumos - OPEX'!N$39)*(1+'Insumos - OPEX'!N$38))</f>
        <v>3914.2757304665247</v>
      </c>
      <c r="S271" s="111"/>
    </row>
    <row r="272" spans="1:19" x14ac:dyDescent="0.2">
      <c r="A272" s="8"/>
      <c r="B272" s="8" t="s">
        <v>434</v>
      </c>
      <c r="C272" s="8" t="s">
        <v>173</v>
      </c>
      <c r="D272" s="8">
        <v>6348000001</v>
      </c>
      <c r="E272" s="8" t="s">
        <v>402</v>
      </c>
      <c r="F272" s="89" t="s">
        <v>470</v>
      </c>
      <c r="G272" s="73" t="s">
        <v>136</v>
      </c>
      <c r="H272" s="112" t="s">
        <v>61</v>
      </c>
      <c r="I272" s="13" t="s">
        <v>436</v>
      </c>
      <c r="K272" s="186">
        <v>2296.3806518356878</v>
      </c>
      <c r="L272" s="187"/>
      <c r="M272" s="214">
        <f>IF(OR(E272="Distribución Legal de la Renta",E272="Acopio carros portaequipajes"),0,IF(K272&lt;0,0,K272*(1+SUMIFS('Insumos - OPEX'!$G$82:$G$238,'Insumos - OPEX'!$B$82:$B$238,OPEX!D272))))</f>
        <v>2397.4429773090628</v>
      </c>
      <c r="N272" s="211">
        <f>IF(OR($B272="Ce Co No Imputables",$G272="M2 fijo"),$M272*(1+'Insumos - OPEX'!J$38),$M272*(1+'Insumos - OPEX'!J$29*'Insumos - OPEX'!J$39)*(1+'Insumos - OPEX'!J$38))</f>
        <v>2534.9378209970669</v>
      </c>
      <c r="O272" s="211">
        <f>IF(OR($B272="Ce Co No Imputables",$G272="M2 fijo"),$M272*(1+'Insumos - OPEX'!K$38),$M272*(1+'Insumos - OPEX'!K$29*'Insumos - OPEX'!K$39)*(1+'Insumos - OPEX'!K$38))</f>
        <v>2665.1020689880065</v>
      </c>
      <c r="P272" s="211">
        <f>IF(OR($B272="Ce Co No Imputables",$G272="M2 fijo"),$M272*(1+'Insumos - OPEX'!L$38),$M272*(1+'Insumos - OPEX'!L$29*'Insumos - OPEX'!L$39)*(1+'Insumos - OPEX'!L$38))</f>
        <v>2796.9134828006963</v>
      </c>
      <c r="Q272" s="211">
        <f>IF(OR($B272="Ce Co No Imputables",$G272="M2 fijo"),$M272*(1+'Insumos - OPEX'!M$38),$M272*(1+'Insumos - OPEX'!M$29*'Insumos - OPEX'!M$39)*(1+'Insumos - OPEX'!M$38))</f>
        <v>2941.8150916410455</v>
      </c>
      <c r="R272" s="211">
        <f>IF(OR($B272="Ce Co No Imputables",$G272="M2 fijo"),$M272*(1+'Insumos - OPEX'!N$38),$M272*(1+'Insumos - OPEX'!N$29*'Insumos - OPEX'!N$39)*(1+'Insumos - OPEX'!N$38))</f>
        <v>3089.6058526825364</v>
      </c>
      <c r="S272" s="111"/>
    </row>
    <row r="273" spans="1:19" x14ac:dyDescent="0.2">
      <c r="A273" s="8"/>
      <c r="B273" s="8" t="s">
        <v>434</v>
      </c>
      <c r="C273" s="8" t="s">
        <v>173</v>
      </c>
      <c r="D273" s="8">
        <v>6342000001</v>
      </c>
      <c r="E273" s="8" t="s">
        <v>410</v>
      </c>
      <c r="F273" s="89" t="s">
        <v>470</v>
      </c>
      <c r="G273" s="73" t="s">
        <v>136</v>
      </c>
      <c r="H273" s="112" t="s">
        <v>61</v>
      </c>
      <c r="I273" s="13" t="s">
        <v>436</v>
      </c>
      <c r="K273" s="186">
        <v>2222.5387148119062</v>
      </c>
      <c r="L273" s="187"/>
      <c r="M273" s="214">
        <f>IF(OR(E273="Distribución Legal de la Renta",E273="Acopio carros portaequipajes"),0,IF(K273&lt;0,0,K273*(1+SUMIFS('Insumos - OPEX'!$G$82:$G$238,'Insumos - OPEX'!$B$82:$B$238,OPEX!D273))))</f>
        <v>2320.3513012373946</v>
      </c>
      <c r="N273" s="211">
        <f>IF(OR($B273="Ce Co No Imputables",$G273="M2 fijo"),$M273*(1+'Insumos - OPEX'!J$38),$M273*(1+'Insumos - OPEX'!J$29*'Insumos - OPEX'!J$39)*(1+'Insumos - OPEX'!J$38))</f>
        <v>2453.4248894246662</v>
      </c>
      <c r="O273" s="211">
        <f>IF(OR($B273="Ce Co No Imputables",$G273="M2 fijo"),$M273*(1+'Insumos - OPEX'!K$38),$M273*(1+'Insumos - OPEX'!K$29*'Insumos - OPEX'!K$39)*(1+'Insumos - OPEX'!K$38))</f>
        <v>2579.4036030203342</v>
      </c>
      <c r="P273" s="211">
        <f>IF(OR($B273="Ce Co No Imputables",$G273="M2 fijo"),$M273*(1+'Insumos - OPEX'!L$38),$M273*(1+'Insumos - OPEX'!L$29*'Insumos - OPEX'!L$39)*(1+'Insumos - OPEX'!L$38))</f>
        <v>2706.9765165173244</v>
      </c>
      <c r="Q273" s="211">
        <f>IF(OR($B273="Ce Co No Imputables",$G273="M2 fijo"),$M273*(1+'Insumos - OPEX'!M$38),$M273*(1+'Insumos - OPEX'!M$29*'Insumos - OPEX'!M$39)*(1+'Insumos - OPEX'!M$38))</f>
        <v>2847.2186994623712</v>
      </c>
      <c r="R273" s="211">
        <f>IF(OR($B273="Ce Co No Imputables",$G273="M2 fijo"),$M273*(1+'Insumos - OPEX'!N$38),$M273*(1+'Insumos - OPEX'!N$29*'Insumos - OPEX'!N$39)*(1+'Insumos - OPEX'!N$38))</f>
        <v>2990.2571316332987</v>
      </c>
      <c r="S273" s="111"/>
    </row>
    <row r="274" spans="1:19" x14ac:dyDescent="0.2">
      <c r="A274" s="8"/>
      <c r="B274" s="8" t="s">
        <v>434</v>
      </c>
      <c r="C274" s="8" t="s">
        <v>173</v>
      </c>
      <c r="D274" s="8">
        <v>6343100017</v>
      </c>
      <c r="E274" s="8" t="s">
        <v>403</v>
      </c>
      <c r="F274" s="89" t="s">
        <v>470</v>
      </c>
      <c r="G274" s="73" t="s">
        <v>136</v>
      </c>
      <c r="H274" s="112" t="s">
        <v>61</v>
      </c>
      <c r="I274" s="13" t="s">
        <v>436</v>
      </c>
      <c r="K274" s="186">
        <v>66.33</v>
      </c>
      <c r="L274" s="187"/>
      <c r="M274" s="214">
        <f>IF(OR(E274="Distribución Legal de la Renta",E274="Acopio carros portaequipajes"),0,IF(K274&lt;0,0,K274*(1+SUMIFS('Insumos - OPEX'!$G$82:$G$238,'Insumos - OPEX'!$B$82:$B$238,OPEX!D274))))</f>
        <v>69.249143236679998</v>
      </c>
      <c r="N274" s="211">
        <f>IF(OR($B274="Ce Co No Imputables",$G274="M2 fijo"),$M274*(1+'Insumos - OPEX'!J$38),$M274*(1+'Insumos - OPEX'!J$29*'Insumos - OPEX'!J$39)*(1+'Insumos - OPEX'!J$38))</f>
        <v>73.220624608696838</v>
      </c>
      <c r="O274" s="211">
        <f>IF(OR($B274="Ce Co No Imputables",$G274="M2 fijo"),$M274*(1+'Insumos - OPEX'!K$38),$M274*(1+'Insumos - OPEX'!K$29*'Insumos - OPEX'!K$39)*(1+'Insumos - OPEX'!K$38))</f>
        <v>76.980364773001611</v>
      </c>
      <c r="P274" s="211">
        <f>IF(OR($B274="Ce Co No Imputables",$G274="M2 fijo"),$M274*(1+'Insumos - OPEX'!L$38),$M274*(1+'Insumos - OPEX'!L$29*'Insumos - OPEX'!L$39)*(1+'Insumos - OPEX'!L$38))</f>
        <v>80.787682636965783</v>
      </c>
      <c r="Q274" s="211">
        <f>IF(OR($B274="Ce Co No Imputables",$G274="M2 fijo"),$M274*(1+'Insumos - OPEX'!M$38),$M274*(1+'Insumos - OPEX'!M$29*'Insumos - OPEX'!M$39)*(1+'Insumos - OPEX'!M$38))</f>
        <v>84.973105339729472</v>
      </c>
      <c r="R274" s="211">
        <f>IF(OR($B274="Ce Co No Imputables",$G274="M2 fijo"),$M274*(1+'Insumos - OPEX'!N$38),$M274*(1+'Insumos - OPEX'!N$29*'Insumos - OPEX'!N$39)*(1+'Insumos - OPEX'!N$38))</f>
        <v>89.241980002144771</v>
      </c>
      <c r="S274" s="111"/>
    </row>
    <row r="275" spans="1:19" x14ac:dyDescent="0.2">
      <c r="A275" s="8"/>
      <c r="B275" s="8" t="s">
        <v>434</v>
      </c>
      <c r="C275" s="8" t="s">
        <v>173</v>
      </c>
      <c r="D275" s="8">
        <v>6343100007</v>
      </c>
      <c r="E275" s="8" t="s">
        <v>390</v>
      </c>
      <c r="F275" s="89" t="s">
        <v>470</v>
      </c>
      <c r="G275" s="73" t="s">
        <v>136</v>
      </c>
      <c r="H275" s="112" t="s">
        <v>61</v>
      </c>
      <c r="I275" s="13" t="s">
        <v>436</v>
      </c>
      <c r="K275" s="186">
        <v>0</v>
      </c>
      <c r="L275" s="187"/>
      <c r="M275" s="214">
        <f>IF(OR(E275="Distribución Legal de la Renta",E275="Acopio carros portaequipajes"),0,IF(K275&lt;0,0,K275*(1+SUMIFS('Insumos - OPEX'!$G$82:$G$238,'Insumos - OPEX'!$B$82:$B$238,OPEX!D275))))</f>
        <v>0</v>
      </c>
      <c r="N275" s="211">
        <f>IF(OR($B275="Ce Co No Imputables",$G275="M2 fijo"),$M275*(1+'Insumos - OPEX'!J$38),$M275*(1+'Insumos - OPEX'!J$29*'Insumos - OPEX'!J$39)*(1+'Insumos - OPEX'!J$38))</f>
        <v>0</v>
      </c>
      <c r="O275" s="211">
        <f>IF(OR($B275="Ce Co No Imputables",$G275="M2 fijo"),$M275*(1+'Insumos - OPEX'!K$38),$M275*(1+'Insumos - OPEX'!K$29*'Insumos - OPEX'!K$39)*(1+'Insumos - OPEX'!K$38))</f>
        <v>0</v>
      </c>
      <c r="P275" s="211">
        <f>IF(OR($B275="Ce Co No Imputables",$G275="M2 fijo"),$M275*(1+'Insumos - OPEX'!L$38),$M275*(1+'Insumos - OPEX'!L$29*'Insumos - OPEX'!L$39)*(1+'Insumos - OPEX'!L$38))</f>
        <v>0</v>
      </c>
      <c r="Q275" s="211">
        <f>IF(OR($B275="Ce Co No Imputables",$G275="M2 fijo"),$M275*(1+'Insumos - OPEX'!M$38),$M275*(1+'Insumos - OPEX'!M$29*'Insumos - OPEX'!M$39)*(1+'Insumos - OPEX'!M$38))</f>
        <v>0</v>
      </c>
      <c r="R275" s="211">
        <f>IF(OR($B275="Ce Co No Imputables",$G275="M2 fijo"),$M275*(1+'Insumos - OPEX'!N$38),$M275*(1+'Insumos - OPEX'!N$29*'Insumos - OPEX'!N$39)*(1+'Insumos - OPEX'!N$38))</f>
        <v>0</v>
      </c>
      <c r="S275" s="111"/>
    </row>
    <row r="276" spans="1:19" x14ac:dyDescent="0.2">
      <c r="A276" s="8"/>
      <c r="B276" s="8" t="s">
        <v>434</v>
      </c>
      <c r="C276" s="8" t="s">
        <v>173</v>
      </c>
      <c r="D276" s="8">
        <v>6343100009</v>
      </c>
      <c r="E276" s="8" t="s">
        <v>418</v>
      </c>
      <c r="F276" s="89" t="s">
        <v>470</v>
      </c>
      <c r="G276" s="73" t="s">
        <v>136</v>
      </c>
      <c r="H276" s="112" t="s">
        <v>61</v>
      </c>
      <c r="I276" s="13" t="s">
        <v>436</v>
      </c>
      <c r="K276" s="186">
        <v>0</v>
      </c>
      <c r="L276" s="187"/>
      <c r="M276" s="214">
        <f>IF(OR(E276="Distribución Legal de la Renta",E276="Acopio carros portaequipajes"),0,IF(K276&lt;0,0,K276*(1+SUMIFS('Insumos - OPEX'!$G$82:$G$238,'Insumos - OPEX'!$B$82:$B$238,OPEX!D276))))</f>
        <v>0</v>
      </c>
      <c r="N276" s="211">
        <f>IF(OR($B276="Ce Co No Imputables",$G276="M2 fijo"),$M276*(1+'Insumos - OPEX'!J$38),$M276*(1+'Insumos - OPEX'!J$29*'Insumos - OPEX'!J$39)*(1+'Insumos - OPEX'!J$38))</f>
        <v>0</v>
      </c>
      <c r="O276" s="211">
        <f>IF(OR($B276="Ce Co No Imputables",$G276="M2 fijo"),$M276*(1+'Insumos - OPEX'!K$38),$M276*(1+'Insumos - OPEX'!K$29*'Insumos - OPEX'!K$39)*(1+'Insumos - OPEX'!K$38))</f>
        <v>0</v>
      </c>
      <c r="P276" s="211">
        <f>IF(OR($B276="Ce Co No Imputables",$G276="M2 fijo"),$M276*(1+'Insumos - OPEX'!L$38),$M276*(1+'Insumos - OPEX'!L$29*'Insumos - OPEX'!L$39)*(1+'Insumos - OPEX'!L$38))</f>
        <v>0</v>
      </c>
      <c r="Q276" s="211">
        <f>IF(OR($B276="Ce Co No Imputables",$G276="M2 fijo"),$M276*(1+'Insumos - OPEX'!M$38),$M276*(1+'Insumos - OPEX'!M$29*'Insumos - OPEX'!M$39)*(1+'Insumos - OPEX'!M$38))</f>
        <v>0</v>
      </c>
      <c r="R276" s="211">
        <f>IF(OR($B276="Ce Co No Imputables",$G276="M2 fijo"),$M276*(1+'Insumos - OPEX'!N$38),$M276*(1+'Insumos - OPEX'!N$29*'Insumos - OPEX'!N$39)*(1+'Insumos - OPEX'!N$38))</f>
        <v>0</v>
      </c>
      <c r="S276" s="111"/>
    </row>
    <row r="277" spans="1:19" x14ac:dyDescent="0.2">
      <c r="A277" s="8"/>
      <c r="B277" s="8" t="s">
        <v>434</v>
      </c>
      <c r="C277" s="8" t="s">
        <v>173</v>
      </c>
      <c r="D277" s="8">
        <v>6343100008</v>
      </c>
      <c r="E277" s="8" t="s">
        <v>395</v>
      </c>
      <c r="F277" s="89" t="s">
        <v>470</v>
      </c>
      <c r="G277" s="73" t="s">
        <v>136</v>
      </c>
      <c r="H277" s="112" t="s">
        <v>61</v>
      </c>
      <c r="I277" s="13" t="s">
        <v>436</v>
      </c>
      <c r="K277" s="186">
        <v>0</v>
      </c>
      <c r="L277" s="187"/>
      <c r="M277" s="214">
        <f>IF(OR(E277="Distribución Legal de la Renta",E277="Acopio carros portaequipajes"),0,IF(K277&lt;0,0,K277*(1+SUMIFS('Insumos - OPEX'!$G$82:$G$238,'Insumos - OPEX'!$B$82:$B$238,OPEX!D277))))</f>
        <v>0</v>
      </c>
      <c r="N277" s="211">
        <f>IF(OR($B277="Ce Co No Imputables",$G277="M2 fijo"),$M277*(1+'Insumos - OPEX'!J$38),$M277*(1+'Insumos - OPEX'!J$29*'Insumos - OPEX'!J$39)*(1+'Insumos - OPEX'!J$38))</f>
        <v>0</v>
      </c>
      <c r="O277" s="211">
        <f>IF(OR($B277="Ce Co No Imputables",$G277="M2 fijo"),$M277*(1+'Insumos - OPEX'!K$38),$M277*(1+'Insumos - OPEX'!K$29*'Insumos - OPEX'!K$39)*(1+'Insumos - OPEX'!K$38))</f>
        <v>0</v>
      </c>
      <c r="P277" s="211">
        <f>IF(OR($B277="Ce Co No Imputables",$G277="M2 fijo"),$M277*(1+'Insumos - OPEX'!L$38),$M277*(1+'Insumos - OPEX'!L$29*'Insumos - OPEX'!L$39)*(1+'Insumos - OPEX'!L$38))</f>
        <v>0</v>
      </c>
      <c r="Q277" s="211">
        <f>IF(OR($B277="Ce Co No Imputables",$G277="M2 fijo"),$M277*(1+'Insumos - OPEX'!M$38),$M277*(1+'Insumos - OPEX'!M$29*'Insumos - OPEX'!M$39)*(1+'Insumos - OPEX'!M$38))</f>
        <v>0</v>
      </c>
      <c r="R277" s="211">
        <f>IF(OR($B277="Ce Co No Imputables",$G277="M2 fijo"),$M277*(1+'Insumos - OPEX'!N$38),$M277*(1+'Insumos - OPEX'!N$29*'Insumos - OPEX'!N$39)*(1+'Insumos - OPEX'!N$38))</f>
        <v>0</v>
      </c>
      <c r="S277" s="111"/>
    </row>
    <row r="278" spans="1:19" x14ac:dyDescent="0.2">
      <c r="A278" s="8"/>
      <c r="B278" s="8" t="s">
        <v>434</v>
      </c>
      <c r="C278" s="8" t="s">
        <v>173</v>
      </c>
      <c r="D278" s="8">
        <v>6347000001</v>
      </c>
      <c r="E278" s="8" t="s">
        <v>394</v>
      </c>
      <c r="F278" s="89" t="s">
        <v>469</v>
      </c>
      <c r="G278" s="73" t="s">
        <v>136</v>
      </c>
      <c r="H278" s="112" t="s">
        <v>61</v>
      </c>
      <c r="I278" s="13" t="s">
        <v>436</v>
      </c>
      <c r="K278" s="186">
        <v>0</v>
      </c>
      <c r="L278" s="187"/>
      <c r="M278" s="214">
        <f>IF(OR(E278="Distribución Legal de la Renta",E278="Acopio carros portaequipajes"),0,IF(K278&lt;0,0,K278*(1+SUMIFS('Insumos - OPEX'!$G$82:$G$238,'Insumos - OPEX'!$B$82:$B$238,OPEX!D278))))</f>
        <v>0</v>
      </c>
      <c r="N278" s="211">
        <f>IF(OR($B278="Ce Co No Imputables",$G278="M2 fijo"),$M278*(1+'Insumos - OPEX'!J$38),$M278*(1+'Insumos - OPEX'!J$29*'Insumos - OPEX'!J$39)*(1+'Insumos - OPEX'!J$38))</f>
        <v>0</v>
      </c>
      <c r="O278" s="211">
        <f>IF(OR($B278="Ce Co No Imputables",$G278="M2 fijo"),$M278*(1+'Insumos - OPEX'!K$38),$M278*(1+'Insumos - OPEX'!K$29*'Insumos - OPEX'!K$39)*(1+'Insumos - OPEX'!K$38))</f>
        <v>0</v>
      </c>
      <c r="P278" s="211">
        <f>IF(OR($B278="Ce Co No Imputables",$G278="M2 fijo"),$M278*(1+'Insumos - OPEX'!L$38),$M278*(1+'Insumos - OPEX'!L$29*'Insumos - OPEX'!L$39)*(1+'Insumos - OPEX'!L$38))</f>
        <v>0</v>
      </c>
      <c r="Q278" s="211">
        <f>IF(OR($B278="Ce Co No Imputables",$G278="M2 fijo"),$M278*(1+'Insumos - OPEX'!M$38),$M278*(1+'Insumos - OPEX'!M$29*'Insumos - OPEX'!M$39)*(1+'Insumos - OPEX'!M$38))</f>
        <v>0</v>
      </c>
      <c r="R278" s="211">
        <f>IF(OR($B278="Ce Co No Imputables",$G278="M2 fijo"),$M278*(1+'Insumos - OPEX'!N$38),$M278*(1+'Insumos - OPEX'!N$29*'Insumos - OPEX'!N$39)*(1+'Insumos - OPEX'!N$38))</f>
        <v>0</v>
      </c>
      <c r="S278" s="111"/>
    </row>
    <row r="279" spans="1:19" x14ac:dyDescent="0.2">
      <c r="A279" s="8"/>
      <c r="B279" s="8" t="s">
        <v>434</v>
      </c>
      <c r="C279" s="8" t="s">
        <v>173</v>
      </c>
      <c r="D279" s="8">
        <v>6346000001</v>
      </c>
      <c r="E279" s="8" t="s">
        <v>421</v>
      </c>
      <c r="F279" s="89" t="s">
        <v>470</v>
      </c>
      <c r="G279" s="73" t="s">
        <v>136</v>
      </c>
      <c r="H279" s="112" t="s">
        <v>61</v>
      </c>
      <c r="I279" s="13" t="s">
        <v>436</v>
      </c>
      <c r="K279" s="186">
        <v>0</v>
      </c>
      <c r="L279" s="187"/>
      <c r="M279" s="214">
        <f>IF(OR(E279="Distribución Legal de la Renta",E279="Acopio carros portaequipajes"),0,IF(K279&lt;0,0,K279*(1+SUMIFS('Insumos - OPEX'!$G$82:$G$238,'Insumos - OPEX'!$B$82:$B$238,OPEX!D279))))</f>
        <v>0</v>
      </c>
      <c r="N279" s="211">
        <f>IF(OR($B279="Ce Co No Imputables",$G279="M2 fijo"),$M279*(1+'Insumos - OPEX'!J$38),$M279*(1+'Insumos - OPEX'!J$29*'Insumos - OPEX'!J$39)*(1+'Insumos - OPEX'!J$38))</f>
        <v>0</v>
      </c>
      <c r="O279" s="211">
        <f>IF(OR($B279="Ce Co No Imputables",$G279="M2 fijo"),$M279*(1+'Insumos - OPEX'!K$38),$M279*(1+'Insumos - OPEX'!K$29*'Insumos - OPEX'!K$39)*(1+'Insumos - OPEX'!K$38))</f>
        <v>0</v>
      </c>
      <c r="P279" s="211">
        <f>IF(OR($B279="Ce Co No Imputables",$G279="M2 fijo"),$M279*(1+'Insumos - OPEX'!L$38),$M279*(1+'Insumos - OPEX'!L$29*'Insumos - OPEX'!L$39)*(1+'Insumos - OPEX'!L$38))</f>
        <v>0</v>
      </c>
      <c r="Q279" s="211">
        <f>IF(OR($B279="Ce Co No Imputables",$G279="M2 fijo"),$M279*(1+'Insumos - OPEX'!M$38),$M279*(1+'Insumos - OPEX'!M$29*'Insumos - OPEX'!M$39)*(1+'Insumos - OPEX'!M$38))</f>
        <v>0</v>
      </c>
      <c r="R279" s="211">
        <f>IF(OR($B279="Ce Co No Imputables",$G279="M2 fijo"),$M279*(1+'Insumos - OPEX'!N$38),$M279*(1+'Insumos - OPEX'!N$29*'Insumos - OPEX'!N$39)*(1+'Insumos - OPEX'!N$38))</f>
        <v>0</v>
      </c>
      <c r="S279" s="111"/>
    </row>
    <row r="280" spans="1:19" x14ac:dyDescent="0.2">
      <c r="A280" s="8"/>
      <c r="B280" s="8" t="s">
        <v>434</v>
      </c>
      <c r="C280" s="8" t="s">
        <v>173</v>
      </c>
      <c r="D280" s="8">
        <v>6344000001</v>
      </c>
      <c r="E280" s="8" t="s">
        <v>417</v>
      </c>
      <c r="F280" s="89" t="s">
        <v>470</v>
      </c>
      <c r="G280" s="73" t="s">
        <v>136</v>
      </c>
      <c r="H280" s="112" t="s">
        <v>61</v>
      </c>
      <c r="I280" s="13" t="s">
        <v>436</v>
      </c>
      <c r="K280" s="186">
        <v>0</v>
      </c>
      <c r="L280" s="187"/>
      <c r="M280" s="214">
        <f>IF(OR(E280="Distribución Legal de la Renta",E280="Acopio carros portaequipajes"),0,IF(K280&lt;0,0,K280*(1+SUMIFS('Insumos - OPEX'!$G$82:$G$238,'Insumos - OPEX'!$B$82:$B$238,OPEX!D280))))</f>
        <v>0</v>
      </c>
      <c r="N280" s="211">
        <f>IF(OR($B280="Ce Co No Imputables",$G280="M2 fijo"),$M280*(1+'Insumos - OPEX'!J$38),$M280*(1+'Insumos - OPEX'!J$29*'Insumos - OPEX'!J$39)*(1+'Insumos - OPEX'!J$38))</f>
        <v>0</v>
      </c>
      <c r="O280" s="211">
        <f>IF(OR($B280="Ce Co No Imputables",$G280="M2 fijo"),$M280*(1+'Insumos - OPEX'!K$38),$M280*(1+'Insumos - OPEX'!K$29*'Insumos - OPEX'!K$39)*(1+'Insumos - OPEX'!K$38))</f>
        <v>0</v>
      </c>
      <c r="P280" s="211">
        <f>IF(OR($B280="Ce Co No Imputables",$G280="M2 fijo"),$M280*(1+'Insumos - OPEX'!L$38),$M280*(1+'Insumos - OPEX'!L$29*'Insumos - OPEX'!L$39)*(1+'Insumos - OPEX'!L$38))</f>
        <v>0</v>
      </c>
      <c r="Q280" s="211">
        <f>IF(OR($B280="Ce Co No Imputables",$G280="M2 fijo"),$M280*(1+'Insumos - OPEX'!M$38),$M280*(1+'Insumos - OPEX'!M$29*'Insumos - OPEX'!M$39)*(1+'Insumos - OPEX'!M$38))</f>
        <v>0</v>
      </c>
      <c r="R280" s="211">
        <f>IF(OR($B280="Ce Co No Imputables",$G280="M2 fijo"),$M280*(1+'Insumos - OPEX'!N$38),$M280*(1+'Insumos - OPEX'!N$29*'Insumos - OPEX'!N$39)*(1+'Insumos - OPEX'!N$38))</f>
        <v>0</v>
      </c>
      <c r="S280" s="111"/>
    </row>
    <row r="281" spans="1:19" x14ac:dyDescent="0.2">
      <c r="A281" s="8"/>
      <c r="B281" s="8" t="s">
        <v>434</v>
      </c>
      <c r="C281" s="8" t="s">
        <v>173</v>
      </c>
      <c r="D281" s="8">
        <v>6343100004</v>
      </c>
      <c r="E281" s="8" t="s">
        <v>408</v>
      </c>
      <c r="F281" s="89" t="s">
        <v>470</v>
      </c>
      <c r="G281" s="73" t="s">
        <v>136</v>
      </c>
      <c r="H281" s="112" t="s">
        <v>61</v>
      </c>
      <c r="I281" s="13" t="s">
        <v>436</v>
      </c>
      <c r="K281" s="186">
        <v>0</v>
      </c>
      <c r="L281" s="187"/>
      <c r="M281" s="214">
        <f>IF(OR(E281="Distribución Legal de la Renta",E281="Acopio carros portaequipajes"),0,IF(K281&lt;0,0,K281*(1+SUMIFS('Insumos - OPEX'!$G$82:$G$238,'Insumos - OPEX'!$B$82:$B$238,OPEX!D281))))</f>
        <v>0</v>
      </c>
      <c r="N281" s="211">
        <f>IF(OR($B281="Ce Co No Imputables",$G281="M2 fijo"),$M281*(1+'Insumos - OPEX'!J$38),$M281*(1+'Insumos - OPEX'!J$29*'Insumos - OPEX'!J$39)*(1+'Insumos - OPEX'!J$38))</f>
        <v>0</v>
      </c>
      <c r="O281" s="211">
        <f>IF(OR($B281="Ce Co No Imputables",$G281="M2 fijo"),$M281*(1+'Insumos - OPEX'!K$38),$M281*(1+'Insumos - OPEX'!K$29*'Insumos - OPEX'!K$39)*(1+'Insumos - OPEX'!K$38))</f>
        <v>0</v>
      </c>
      <c r="P281" s="211">
        <f>IF(OR($B281="Ce Co No Imputables",$G281="M2 fijo"),$M281*(1+'Insumos - OPEX'!L$38),$M281*(1+'Insumos - OPEX'!L$29*'Insumos - OPEX'!L$39)*(1+'Insumos - OPEX'!L$38))</f>
        <v>0</v>
      </c>
      <c r="Q281" s="211">
        <f>IF(OR($B281="Ce Co No Imputables",$G281="M2 fijo"),$M281*(1+'Insumos - OPEX'!M$38),$M281*(1+'Insumos - OPEX'!M$29*'Insumos - OPEX'!M$39)*(1+'Insumos - OPEX'!M$38))</f>
        <v>0</v>
      </c>
      <c r="R281" s="211">
        <f>IF(OR($B281="Ce Co No Imputables",$G281="M2 fijo"),$M281*(1+'Insumos - OPEX'!N$38),$M281*(1+'Insumos - OPEX'!N$29*'Insumos - OPEX'!N$39)*(1+'Insumos - OPEX'!N$38))</f>
        <v>0</v>
      </c>
      <c r="S281" s="111"/>
    </row>
    <row r="282" spans="1:19" x14ac:dyDescent="0.2">
      <c r="A282" s="8"/>
      <c r="B282" s="8" t="s">
        <v>434</v>
      </c>
      <c r="C282" s="8" t="s">
        <v>173</v>
      </c>
      <c r="D282" s="8">
        <v>6341100009</v>
      </c>
      <c r="E282" s="8" t="s">
        <v>407</v>
      </c>
      <c r="F282" s="89" t="s">
        <v>470</v>
      </c>
      <c r="G282" s="73" t="s">
        <v>136</v>
      </c>
      <c r="H282" s="112" t="s">
        <v>61</v>
      </c>
      <c r="I282" s="13" t="s">
        <v>436</v>
      </c>
      <c r="K282" s="186">
        <v>0</v>
      </c>
      <c r="L282" s="187"/>
      <c r="M282" s="214">
        <f>IF(OR(E282="Distribución Legal de la Renta",E282="Acopio carros portaequipajes"),0,IF(K282&lt;0,0,K282*(1+SUMIFS('Insumos - OPEX'!$G$82:$G$238,'Insumos - OPEX'!$B$82:$B$238,OPEX!D282))))</f>
        <v>0</v>
      </c>
      <c r="N282" s="211">
        <f>IF(OR($B282="Ce Co No Imputables",$G282="M2 fijo"),$M282*(1+'Insumos - OPEX'!J$38),$M282*(1+'Insumos - OPEX'!J$29*'Insumos - OPEX'!J$39)*(1+'Insumos - OPEX'!J$38))</f>
        <v>0</v>
      </c>
      <c r="O282" s="211">
        <f>IF(OR($B282="Ce Co No Imputables",$G282="M2 fijo"),$M282*(1+'Insumos - OPEX'!K$38),$M282*(1+'Insumos - OPEX'!K$29*'Insumos - OPEX'!K$39)*(1+'Insumos - OPEX'!K$38))</f>
        <v>0</v>
      </c>
      <c r="P282" s="211">
        <f>IF(OR($B282="Ce Co No Imputables",$G282="M2 fijo"),$M282*(1+'Insumos - OPEX'!L$38),$M282*(1+'Insumos - OPEX'!L$29*'Insumos - OPEX'!L$39)*(1+'Insumos - OPEX'!L$38))</f>
        <v>0</v>
      </c>
      <c r="Q282" s="211">
        <f>IF(OR($B282="Ce Co No Imputables",$G282="M2 fijo"),$M282*(1+'Insumos - OPEX'!M$38),$M282*(1+'Insumos - OPEX'!M$29*'Insumos - OPEX'!M$39)*(1+'Insumos - OPEX'!M$38))</f>
        <v>0</v>
      </c>
      <c r="R282" s="211">
        <f>IF(OR($B282="Ce Co No Imputables",$G282="M2 fijo"),$M282*(1+'Insumos - OPEX'!N$38),$M282*(1+'Insumos - OPEX'!N$29*'Insumos - OPEX'!N$39)*(1+'Insumos - OPEX'!N$38))</f>
        <v>0</v>
      </c>
      <c r="S282" s="111"/>
    </row>
    <row r="283" spans="1:19" x14ac:dyDescent="0.2">
      <c r="A283" s="8"/>
      <c r="B283" s="8" t="s">
        <v>434</v>
      </c>
      <c r="C283" s="8" t="s">
        <v>173</v>
      </c>
      <c r="D283" s="8">
        <v>6343100011</v>
      </c>
      <c r="E283" s="8" t="s">
        <v>422</v>
      </c>
      <c r="F283" s="89" t="s">
        <v>470</v>
      </c>
      <c r="G283" s="73" t="s">
        <v>136</v>
      </c>
      <c r="H283" s="112" t="s">
        <v>61</v>
      </c>
      <c r="I283" s="13" t="s">
        <v>436</v>
      </c>
      <c r="J283" s="1"/>
      <c r="K283" s="186">
        <v>0</v>
      </c>
      <c r="L283" s="187"/>
      <c r="M283" s="214">
        <f>IF(OR(E283="Distribución Legal de la Renta",E283="Acopio carros portaequipajes"),0,IF(K283&lt;0,0,K283*(1+SUMIFS('Insumos - OPEX'!$G$82:$G$238,'Insumos - OPEX'!$B$82:$B$238,OPEX!D283))))</f>
        <v>0</v>
      </c>
      <c r="N283" s="211">
        <f>IF(OR($B283="Ce Co No Imputables",$G283="M2 fijo"),$M283*(1+'Insumos - OPEX'!J$38),$M283*(1+'Insumos - OPEX'!J$29*'Insumos - OPEX'!J$39)*(1+'Insumos - OPEX'!J$38))</f>
        <v>0</v>
      </c>
      <c r="O283" s="211">
        <f>IF(OR($B283="Ce Co No Imputables",$G283="M2 fijo"),$M283*(1+'Insumos - OPEX'!K$38),$M283*(1+'Insumos - OPEX'!K$29*'Insumos - OPEX'!K$39)*(1+'Insumos - OPEX'!K$38))</f>
        <v>0</v>
      </c>
      <c r="P283" s="211">
        <f>IF(OR($B283="Ce Co No Imputables",$G283="M2 fijo"),$M283*(1+'Insumos - OPEX'!L$38),$M283*(1+'Insumos - OPEX'!L$29*'Insumos - OPEX'!L$39)*(1+'Insumos - OPEX'!L$38))</f>
        <v>0</v>
      </c>
      <c r="Q283" s="211">
        <f>IF(OR($B283="Ce Co No Imputables",$G283="M2 fijo"),$M283*(1+'Insumos - OPEX'!M$38),$M283*(1+'Insumos - OPEX'!M$29*'Insumos - OPEX'!M$39)*(1+'Insumos - OPEX'!M$38))</f>
        <v>0</v>
      </c>
      <c r="R283" s="211">
        <f>IF(OR($B283="Ce Co No Imputables",$G283="M2 fijo"),$M283*(1+'Insumos - OPEX'!N$38),$M283*(1+'Insumos - OPEX'!N$29*'Insumos - OPEX'!N$39)*(1+'Insumos - OPEX'!N$38))</f>
        <v>0</v>
      </c>
      <c r="S283" s="111"/>
    </row>
    <row r="284" spans="1:19" x14ac:dyDescent="0.2">
      <c r="A284" s="8"/>
      <c r="B284" s="8" t="s">
        <v>434</v>
      </c>
      <c r="C284" s="8" t="s">
        <v>174</v>
      </c>
      <c r="D284" s="8">
        <v>6561000003</v>
      </c>
      <c r="E284" s="8" t="s">
        <v>269</v>
      </c>
      <c r="F284" s="89" t="s">
        <v>469</v>
      </c>
      <c r="G284" s="73" t="s">
        <v>136</v>
      </c>
      <c r="H284" s="112" t="s">
        <v>61</v>
      </c>
      <c r="I284" s="13" t="s">
        <v>436</v>
      </c>
      <c r="K284" s="186">
        <v>449951.38789417932</v>
      </c>
      <c r="L284" s="187"/>
      <c r="M284" s="214">
        <f>IF(OR(E284="Distribución Legal de la Renta",E284="Acopio carros portaequipajes"),0,IF(K284&lt;0,0,K284*(1+SUMIFS('Insumos - OPEX'!$G$82:$G$238,'Insumos - OPEX'!$B$82:$B$238,OPEX!D284))))</f>
        <v>511165.17455335293</v>
      </c>
      <c r="N284" s="211">
        <f>IF(OR($B284="Ce Co No Imputables",$G284="M2 fijo"),$M284*(1+'Insumos - OPEX'!J$38),$M284*(1+'Insumos - OPEX'!J$29*'Insumos - OPEX'!J$39)*(1+'Insumos - OPEX'!J$38))</f>
        <v>540480.81477469031</v>
      </c>
      <c r="O284" s="211">
        <f>IF(OR($B284="Ce Co No Imputables",$G284="M2 fijo"),$M284*(1+'Insumos - OPEX'!K$38),$M284*(1+'Insumos - OPEX'!K$29*'Insumos - OPEX'!K$39)*(1+'Insumos - OPEX'!K$38))</f>
        <v>568233.47924872732</v>
      </c>
      <c r="P284" s="211">
        <f>IF(OR($B284="Ce Co No Imputables",$G284="M2 fijo"),$M284*(1+'Insumos - OPEX'!L$38),$M284*(1+'Insumos - OPEX'!L$29*'Insumos - OPEX'!L$39)*(1+'Insumos - OPEX'!L$38))</f>
        <v>596337.34031545173</v>
      </c>
      <c r="Q284" s="211">
        <f>IF(OR($B284="Ce Co No Imputables",$G284="M2 fijo"),$M284*(1+'Insumos - OPEX'!M$38),$M284*(1+'Insumos - OPEX'!M$29*'Insumos - OPEX'!M$39)*(1+'Insumos - OPEX'!M$38))</f>
        <v>627232.19657563046</v>
      </c>
      <c r="R284" s="211">
        <f>IF(OR($B284="Ce Co No Imputables",$G284="M2 fijo"),$M284*(1+'Insumos - OPEX'!N$38),$M284*(1+'Insumos - OPEX'!N$29*'Insumos - OPEX'!N$39)*(1+'Insumos - OPEX'!N$38))</f>
        <v>658743.05663785408</v>
      </c>
      <c r="S284" s="111"/>
    </row>
    <row r="285" spans="1:19" x14ac:dyDescent="0.2">
      <c r="A285" s="8"/>
      <c r="B285" s="8" t="s">
        <v>434</v>
      </c>
      <c r="C285" s="8" t="s">
        <v>174</v>
      </c>
      <c r="D285" s="8">
        <v>6561000004</v>
      </c>
      <c r="E285" s="8" t="s">
        <v>359</v>
      </c>
      <c r="F285" s="89" t="s">
        <v>470</v>
      </c>
      <c r="G285" s="73" t="s">
        <v>136</v>
      </c>
      <c r="H285" s="112" t="s">
        <v>61</v>
      </c>
      <c r="I285" s="13" t="s">
        <v>436</v>
      </c>
      <c r="K285" s="186">
        <v>179589.41451470851</v>
      </c>
      <c r="L285" s="187"/>
      <c r="M285" s="214">
        <f>IF(OR(E285="Distribución Legal de la Renta",E285="Acopio carros portaequipajes"),0,IF(K285&lt;0,0,K285*(1+SUMIFS('Insumos - OPEX'!$G$82:$G$238,'Insumos - OPEX'!$B$82:$B$238,OPEX!D285))))</f>
        <v>187493.03617549449</v>
      </c>
      <c r="N285" s="211">
        <f>IF(OR($B285="Ce Co No Imputables",$G285="M2 fijo"),$M285*(1+'Insumos - OPEX'!J$38),$M285*(1+'Insumos - OPEX'!J$29*'Insumos - OPEX'!J$39)*(1+'Insumos - OPEX'!J$38))</f>
        <v>198245.87824328544</v>
      </c>
      <c r="O285" s="211">
        <f>IF(OR($B285="Ce Co No Imputables",$G285="M2 fijo"),$M285*(1+'Insumos - OPEX'!K$38),$M285*(1+'Insumos - OPEX'!K$29*'Insumos - OPEX'!K$39)*(1+'Insumos - OPEX'!K$38))</f>
        <v>208425.42799204061</v>
      </c>
      <c r="P285" s="211">
        <f>IF(OR($B285="Ce Co No Imputables",$G285="M2 fijo"),$M285*(1+'Insumos - OPEX'!L$38),$M285*(1+'Insumos - OPEX'!L$29*'Insumos - OPEX'!L$39)*(1+'Insumos - OPEX'!L$38))</f>
        <v>218733.79503652602</v>
      </c>
      <c r="Q285" s="211">
        <f>IF(OR($B285="Ce Co No Imputables",$G285="M2 fijo"),$M285*(1+'Insumos - OPEX'!M$38),$M285*(1+'Insumos - OPEX'!M$29*'Insumos - OPEX'!M$39)*(1+'Insumos - OPEX'!M$38))</f>
        <v>230065.8862876326</v>
      </c>
      <c r="R285" s="211">
        <f>IF(OR($B285="Ce Co No Imputables",$G285="M2 fijo"),$M285*(1+'Insumos - OPEX'!N$38),$M285*(1+'Insumos - OPEX'!N$29*'Insumos - OPEX'!N$39)*(1+'Insumos - OPEX'!N$38))</f>
        <v>241623.92490153032</v>
      </c>
      <c r="S285" s="111"/>
    </row>
    <row r="286" spans="1:19" x14ac:dyDescent="0.2">
      <c r="A286" s="8"/>
      <c r="B286" s="8" t="s">
        <v>434</v>
      </c>
      <c r="C286" s="8" t="s">
        <v>174</v>
      </c>
      <c r="D286" s="8">
        <v>6561000002</v>
      </c>
      <c r="E286" s="8" t="s">
        <v>356</v>
      </c>
      <c r="F286" s="89" t="s">
        <v>470</v>
      </c>
      <c r="G286" s="73" t="s">
        <v>136</v>
      </c>
      <c r="H286" s="112" t="s">
        <v>61</v>
      </c>
      <c r="I286" s="13" t="s">
        <v>436</v>
      </c>
      <c r="K286" s="186">
        <v>140385.98579111521</v>
      </c>
      <c r="L286" s="187"/>
      <c r="M286" s="214">
        <f>IF(OR(E286="Distribución Legal de la Renta",E286="Acopio carros portaequipajes"),0,IF(K286&lt;0,0,K286*(1+SUMIFS('Insumos - OPEX'!$G$82:$G$238,'Insumos - OPEX'!$B$82:$B$238,OPEX!D286))))</f>
        <v>146564.2882326468</v>
      </c>
      <c r="N286" s="211">
        <f>IF(OR($B286="Ce Co No Imputables",$G286="M2 fijo"),$M286*(1+'Insumos - OPEX'!J$38),$M286*(1+'Insumos - OPEX'!J$29*'Insumos - OPEX'!J$39)*(1+'Insumos - OPEX'!J$38))</f>
        <v>154969.84118699073</v>
      </c>
      <c r="O286" s="211">
        <f>IF(OR($B286="Ce Co No Imputables",$G286="M2 fijo"),$M286*(1+'Insumos - OPEX'!K$38),$M286*(1+'Insumos - OPEX'!K$29*'Insumos - OPEX'!K$39)*(1+'Insumos - OPEX'!K$38))</f>
        <v>162927.24853335554</v>
      </c>
      <c r="P286" s="211">
        <f>IF(OR($B286="Ce Co No Imputables",$G286="M2 fijo"),$M286*(1+'Insumos - OPEX'!L$38),$M286*(1+'Insumos - OPEX'!L$29*'Insumos - OPEX'!L$39)*(1+'Insumos - OPEX'!L$38))</f>
        <v>170985.35303437672</v>
      </c>
      <c r="Q286" s="211">
        <f>IF(OR($B286="Ce Co No Imputables",$G286="M2 fijo"),$M286*(1+'Insumos - OPEX'!M$38),$M286*(1+'Insumos - OPEX'!M$29*'Insumos - OPEX'!M$39)*(1+'Insumos - OPEX'!M$38))</f>
        <v>179843.70810870195</v>
      </c>
      <c r="R286" s="211">
        <f>IF(OR($B286="Ce Co No Imputables",$G286="M2 fijo"),$M286*(1+'Insumos - OPEX'!N$38),$M286*(1+'Insumos - OPEX'!N$29*'Insumos - OPEX'!N$39)*(1+'Insumos - OPEX'!N$38))</f>
        <v>188878.68741975105</v>
      </c>
      <c r="S286" s="111"/>
    </row>
    <row r="287" spans="1:19" x14ac:dyDescent="0.2">
      <c r="A287" s="8"/>
      <c r="B287" s="8" t="s">
        <v>434</v>
      </c>
      <c r="C287" s="8" t="s">
        <v>174</v>
      </c>
      <c r="D287" s="8">
        <v>6510000001</v>
      </c>
      <c r="E287" s="8" t="s">
        <v>182</v>
      </c>
      <c r="F287" s="89" t="s">
        <v>469</v>
      </c>
      <c r="G287" s="73" t="s">
        <v>480</v>
      </c>
      <c r="H287" s="112" t="s">
        <v>61</v>
      </c>
      <c r="I287" s="13" t="s">
        <v>436</v>
      </c>
      <c r="K287" s="186">
        <v>67972.268714038291</v>
      </c>
      <c r="L287" s="187"/>
      <c r="M287" s="214">
        <f>IF(OR(E287="Distribución Legal de la Renta",E287="Acopio carros portaequipajes"),0,IF(K287&lt;0,0,K287*(1+SUMIFS('Insumos - OPEX'!$G$82:$G$238,'Insumos - OPEX'!$B$82:$B$238,OPEX!D287))))</f>
        <v>94279.806348640355</v>
      </c>
      <c r="N287" s="211">
        <f>IF(OR($B287="Ce Co No Imputables",$G287="M2 fijo"),$M287*(1+'Insumos - OPEX'!J$38),$M287*(1+'Insumos - OPEX'!J$29*'Insumos - OPEX'!J$39)*(1+'Insumos - OPEX'!J$38))</f>
        <v>96260.625080025289</v>
      </c>
      <c r="O287" s="211">
        <f>IF(OR($B287="Ce Co No Imputables",$G287="M2 fijo"),$M287*(1+'Insumos - OPEX'!K$38),$M287*(1+'Insumos - OPEX'!K$29*'Insumos - OPEX'!K$39)*(1+'Insumos - OPEX'!K$38))</f>
        <v>98542.964500672679</v>
      </c>
      <c r="P287" s="211">
        <f>IF(OR($B287="Ce Co No Imputables",$G287="M2 fijo"),$M287*(1+'Insumos - OPEX'!L$38),$M287*(1+'Insumos - OPEX'!L$29*'Insumos - OPEX'!L$39)*(1+'Insumos - OPEX'!L$38))</f>
        <v>100646.85679276203</v>
      </c>
      <c r="Q287" s="211">
        <f>IF(OR($B287="Ce Co No Imputables",$G287="M2 fijo"),$M287*(1+'Insumos - OPEX'!M$38),$M287*(1+'Insumos - OPEX'!M$29*'Insumos - OPEX'!M$39)*(1+'Insumos - OPEX'!M$38))</f>
        <v>102812.77715094226</v>
      </c>
      <c r="R287" s="211">
        <f>IF(OR($B287="Ce Co No Imputables",$G287="M2 fijo"),$M287*(1+'Insumos - OPEX'!N$38),$M287*(1+'Insumos - OPEX'!N$29*'Insumos - OPEX'!N$39)*(1+'Insumos - OPEX'!N$38))</f>
        <v>105025.30811523054</v>
      </c>
      <c r="S287" s="111"/>
    </row>
    <row r="288" spans="1:19" x14ac:dyDescent="0.2">
      <c r="A288" s="8"/>
      <c r="B288" s="8" t="s">
        <v>434</v>
      </c>
      <c r="C288" s="8" t="s">
        <v>174</v>
      </c>
      <c r="D288" s="8">
        <v>6310000001</v>
      </c>
      <c r="E288" s="8" t="s">
        <v>371</v>
      </c>
      <c r="F288" s="89" t="s">
        <v>470</v>
      </c>
      <c r="G288" s="73" t="s">
        <v>136</v>
      </c>
      <c r="H288" s="112" t="s">
        <v>61</v>
      </c>
      <c r="I288" s="13" t="s">
        <v>436</v>
      </c>
      <c r="K288" s="186">
        <v>58511.95</v>
      </c>
      <c r="L288" s="187"/>
      <c r="M288" s="214">
        <f>IF(OR(E288="Distribución Legal de la Renta",E288="Acopio carros portaequipajes"),0,IF(K288&lt;0,0,K288*(1+SUMIFS('Insumos - OPEX'!$G$82:$G$238,'Insumos - OPEX'!$B$82:$B$238,OPEX!D288))))</f>
        <v>61087.025578282199</v>
      </c>
      <c r="N288" s="211">
        <f>IF(OR($B288="Ce Co No Imputables",$G288="M2 fijo"),$M288*(1+'Insumos - OPEX'!J$38),$M288*(1+'Insumos - OPEX'!J$29*'Insumos - OPEX'!J$39)*(1+'Insumos - OPEX'!J$38))</f>
        <v>64590.40443348165</v>
      </c>
      <c r="O288" s="211">
        <f>IF(OR($B288="Ce Co No Imputables",$G288="M2 fijo"),$M288*(1+'Insumos - OPEX'!K$38),$M288*(1+'Insumos - OPEX'!K$29*'Insumos - OPEX'!K$39)*(1+'Insumos - OPEX'!K$38))</f>
        <v>67906.99916447507</v>
      </c>
      <c r="P288" s="211">
        <f>IF(OR($B288="Ce Co No Imputables",$G288="M2 fijo"),$M288*(1+'Insumos - OPEX'!L$38),$M288*(1+'Insumos - OPEX'!L$29*'Insumos - OPEX'!L$39)*(1+'Insumos - OPEX'!L$38))</f>
        <v>71265.563803256606</v>
      </c>
      <c r="Q288" s="211">
        <f>IF(OR($B288="Ce Co No Imputables",$G288="M2 fijo"),$M288*(1+'Insumos - OPEX'!M$38),$M288*(1+'Insumos - OPEX'!M$29*'Insumos - OPEX'!M$39)*(1+'Insumos - OPEX'!M$38))</f>
        <v>74957.667586054333</v>
      </c>
      <c r="R288" s="211">
        <f>IF(OR($B288="Ce Co No Imputables",$G288="M2 fijo"),$M288*(1+'Insumos - OPEX'!N$38),$M288*(1+'Insumos - OPEX'!N$29*'Insumos - OPEX'!N$39)*(1+'Insumos - OPEX'!N$38))</f>
        <v>78723.387182066857</v>
      </c>
      <c r="S288" s="111"/>
    </row>
    <row r="289" spans="1:19" x14ac:dyDescent="0.2">
      <c r="A289" s="8"/>
      <c r="B289" s="8" t="s">
        <v>434</v>
      </c>
      <c r="C289" s="8" t="s">
        <v>174</v>
      </c>
      <c r="D289" s="8">
        <v>6430000001</v>
      </c>
      <c r="E289" s="8" t="s">
        <v>275</v>
      </c>
      <c r="F289" s="89" t="s">
        <v>469</v>
      </c>
      <c r="G289" s="73" t="s">
        <v>480</v>
      </c>
      <c r="H289" s="112" t="s">
        <v>61</v>
      </c>
      <c r="I289" s="13" t="s">
        <v>436</v>
      </c>
      <c r="K289" s="186">
        <v>33218.672321305647</v>
      </c>
      <c r="L289" s="187"/>
      <c r="M289" s="214">
        <f>IF(OR(E289="Distribución Legal de la Renta",E289="Acopio carros portaequipajes"),0,IF(K289&lt;0,0,K289*(1+SUMIFS('Insumos - OPEX'!$G$82:$G$238,'Insumos - OPEX'!$B$82:$B$238,OPEX!D289))))</f>
        <v>34680.60602608823</v>
      </c>
      <c r="N289" s="211">
        <f>IF(OR($B289="Ce Co No Imputables",$G289="M2 fijo"),$M289*(1+'Insumos - OPEX'!J$38),$M289*(1+'Insumos - OPEX'!J$29*'Insumos - OPEX'!J$39)*(1+'Insumos - OPEX'!J$38))</f>
        <v>35409.245558696341</v>
      </c>
      <c r="O289" s="211">
        <f>IF(OR($B289="Ce Co No Imputables",$G289="M2 fijo"),$M289*(1+'Insumos - OPEX'!K$38),$M289*(1+'Insumos - OPEX'!K$29*'Insumos - OPEX'!K$39)*(1+'Insumos - OPEX'!K$38))</f>
        <v>36248.79877089303</v>
      </c>
      <c r="P289" s="211">
        <f>IF(OR($B289="Ce Co No Imputables",$G289="M2 fijo"),$M289*(1+'Insumos - OPEX'!L$38),$M289*(1+'Insumos - OPEX'!L$29*'Insumos - OPEX'!L$39)*(1+'Insumos - OPEX'!L$38))</f>
        <v>37022.710624651598</v>
      </c>
      <c r="Q289" s="211">
        <f>IF(OR($B289="Ce Co No Imputables",$G289="M2 fijo"),$M289*(1+'Insumos - OPEX'!M$38),$M289*(1+'Insumos - OPEX'!M$29*'Insumos - OPEX'!M$39)*(1+'Insumos - OPEX'!M$38))</f>
        <v>37819.43935729409</v>
      </c>
      <c r="R289" s="211">
        <f>IF(OR($B289="Ce Co No Imputables",$G289="M2 fijo"),$M289*(1+'Insumos - OPEX'!N$38),$M289*(1+'Insumos - OPEX'!N$29*'Insumos - OPEX'!N$39)*(1+'Insumos - OPEX'!N$38))</f>
        <v>38633.313692263058</v>
      </c>
      <c r="S289" s="111"/>
    </row>
    <row r="290" spans="1:19" x14ac:dyDescent="0.2">
      <c r="A290" s="8"/>
      <c r="B290" s="8" t="s">
        <v>434</v>
      </c>
      <c r="C290" s="8" t="s">
        <v>174</v>
      </c>
      <c r="D290" s="8">
        <v>6410000001</v>
      </c>
      <c r="E290" s="8" t="s">
        <v>361</v>
      </c>
      <c r="F290" s="89" t="s">
        <v>470</v>
      </c>
      <c r="G290" s="73" t="s">
        <v>136</v>
      </c>
      <c r="H290" s="112" t="s">
        <v>61</v>
      </c>
      <c r="I290" s="13" t="s">
        <v>436</v>
      </c>
      <c r="K290" s="186">
        <v>31803.920506749997</v>
      </c>
      <c r="L290" s="187"/>
      <c r="M290" s="214">
        <f>IF(OR(E290="Distribución Legal de la Renta",E290="Acopio carros portaequipajes"),0,IF(K290&lt;0,0,K290*(1+SUMIFS('Insumos - OPEX'!$G$82:$G$238,'Insumos - OPEX'!$B$82:$B$238,OPEX!D290))))</f>
        <v>33203.591838684079</v>
      </c>
      <c r="N290" s="211">
        <f>IF(OR($B290="Ce Co No Imputables",$G290="M2 fijo"),$M290*(1+'Insumos - OPEX'!J$38),$M290*(1+'Insumos - OPEX'!J$29*'Insumos - OPEX'!J$39)*(1+'Insumos - OPEX'!J$38))</f>
        <v>35107.838451825366</v>
      </c>
      <c r="O290" s="211">
        <f>IF(OR($B290="Ce Co No Imputables",$G290="M2 fijo"),$M290*(1+'Insumos - OPEX'!K$38),$M290*(1+'Insumos - OPEX'!K$29*'Insumos - OPEX'!K$39)*(1+'Insumos - OPEX'!K$38))</f>
        <v>36910.559352045246</v>
      </c>
      <c r="P290" s="211">
        <f>IF(OR($B290="Ce Co No Imputables",$G290="M2 fijo"),$M290*(1+'Insumos - OPEX'!L$38),$M290*(1+'Insumos - OPEX'!L$29*'Insumos - OPEX'!L$39)*(1+'Insumos - OPEX'!L$38))</f>
        <v>38736.092816381839</v>
      </c>
      <c r="Q290" s="211">
        <f>IF(OR($B290="Ce Co No Imputables",$G290="M2 fijo"),$M290*(1+'Insumos - OPEX'!M$38),$M290*(1+'Insumos - OPEX'!M$29*'Insumos - OPEX'!M$39)*(1+'Insumos - OPEX'!M$38))</f>
        <v>40742.920057838834</v>
      </c>
      <c r="R290" s="211">
        <f>IF(OR($B290="Ce Co No Imputables",$G290="M2 fijo"),$M290*(1+'Insumos - OPEX'!N$38),$M290*(1+'Insumos - OPEX'!N$29*'Insumos - OPEX'!N$39)*(1+'Insumos - OPEX'!N$38))</f>
        <v>42789.760860141498</v>
      </c>
      <c r="S290" s="111"/>
    </row>
    <row r="291" spans="1:19" x14ac:dyDescent="0.2">
      <c r="A291" s="8"/>
      <c r="B291" s="8" t="s">
        <v>434</v>
      </c>
      <c r="C291" s="8" t="s">
        <v>174</v>
      </c>
      <c r="D291" s="8">
        <v>6561000001</v>
      </c>
      <c r="E291" s="8" t="s">
        <v>358</v>
      </c>
      <c r="F291" s="89" t="s">
        <v>470</v>
      </c>
      <c r="G291" s="73" t="s">
        <v>136</v>
      </c>
      <c r="H291" s="112" t="s">
        <v>61</v>
      </c>
      <c r="I291" s="13" t="s">
        <v>436</v>
      </c>
      <c r="K291" s="186">
        <v>24585.325019785079</v>
      </c>
      <c r="L291" s="187"/>
      <c r="M291" s="214">
        <f>IF(OR(E291="Distribución Legal de la Renta",E291="Acopio carros portaequipajes"),0,IF(K291&lt;0,0,K291*(1+SUMIFS('Insumos - OPEX'!$G$82:$G$238,'Insumos - OPEX'!$B$82:$B$238,OPEX!D291))))</f>
        <v>25667.310324369511</v>
      </c>
      <c r="N291" s="211">
        <f>IF(OR($B291="Ce Co No Imputables",$G291="M2 fijo"),$M291*(1+'Insumos - OPEX'!J$38),$M291*(1+'Insumos - OPEX'!J$29*'Insumos - OPEX'!J$39)*(1+'Insumos - OPEX'!J$38))</f>
        <v>27139.346512234064</v>
      </c>
      <c r="O291" s="211">
        <f>IF(OR($B291="Ce Co No Imputables",$G291="M2 fijo"),$M291*(1+'Insumos - OPEX'!K$38),$M291*(1+'Insumos - OPEX'!K$29*'Insumos - OPEX'!K$39)*(1+'Insumos - OPEX'!K$38))</f>
        <v>28532.900468654589</v>
      </c>
      <c r="P291" s="211">
        <f>IF(OR($B291="Ce Co No Imputables",$G291="M2 fijo"),$M291*(1+'Insumos - OPEX'!L$38),$M291*(1+'Insumos - OPEX'!L$29*'Insumos - OPEX'!L$39)*(1+'Insumos - OPEX'!L$38))</f>
        <v>29944.089178728358</v>
      </c>
      <c r="Q291" s="211">
        <f>IF(OR($B291="Ce Co No Imputables",$G291="M2 fijo"),$M291*(1+'Insumos - OPEX'!M$38),$M291*(1+'Insumos - OPEX'!M$29*'Insumos - OPEX'!M$39)*(1+'Insumos - OPEX'!M$38))</f>
        <v>31495.423077305662</v>
      </c>
      <c r="R291" s="211">
        <f>IF(OR($B291="Ce Co No Imputables",$G291="M2 fijo"),$M291*(1+'Insumos - OPEX'!N$38),$M291*(1+'Insumos - OPEX'!N$29*'Insumos - OPEX'!N$39)*(1+'Insumos - OPEX'!N$38))</f>
        <v>33077.68858377642</v>
      </c>
      <c r="S291" s="111"/>
    </row>
    <row r="292" spans="1:19" x14ac:dyDescent="0.2">
      <c r="A292" s="8"/>
      <c r="B292" s="8" t="s">
        <v>434</v>
      </c>
      <c r="C292" s="8" t="s">
        <v>174</v>
      </c>
      <c r="D292" s="8">
        <v>6530000002</v>
      </c>
      <c r="E292" s="8" t="s">
        <v>271</v>
      </c>
      <c r="F292" s="89" t="s">
        <v>469</v>
      </c>
      <c r="G292" s="73" t="s">
        <v>136</v>
      </c>
      <c r="H292" s="112" t="s">
        <v>61</v>
      </c>
      <c r="I292" s="13" t="s">
        <v>436</v>
      </c>
      <c r="K292" s="186">
        <v>6181.5468317650848</v>
      </c>
      <c r="L292" s="187"/>
      <c r="M292" s="214">
        <f>IF(OR(E292="Distribución Legal de la Renta",E292="Acopio carros portaequipajes"),0,IF(K292&lt;0,0,K292*(1+SUMIFS('Insumos - OPEX'!$G$82:$G$238,'Insumos - OPEX'!$B$82:$B$238,OPEX!D292))))</f>
        <v>14954.635687842749</v>
      </c>
      <c r="N292" s="211">
        <f>IF(OR($B292="Ce Co No Imputables",$G292="M2 fijo"),$M292*(1+'Insumos - OPEX'!J$38),$M292*(1+'Insumos - OPEX'!J$29*'Insumos - OPEX'!J$39)*(1+'Insumos - OPEX'!J$38))</f>
        <v>15812.293332162984</v>
      </c>
      <c r="O292" s="211">
        <f>IF(OR($B292="Ce Co No Imputables",$G292="M2 fijo"),$M292*(1+'Insumos - OPEX'!K$38),$M292*(1+'Insumos - OPEX'!K$29*'Insumos - OPEX'!K$39)*(1+'Insumos - OPEX'!K$38))</f>
        <v>16624.224596726941</v>
      </c>
      <c r="P292" s="211">
        <f>IF(OR($B292="Ce Co No Imputables",$G292="M2 fijo"),$M292*(1+'Insumos - OPEX'!L$38),$M292*(1+'Insumos - OPEX'!L$29*'Insumos - OPEX'!L$39)*(1+'Insumos - OPEX'!L$38))</f>
        <v>17446.430460109255</v>
      </c>
      <c r="Q292" s="211">
        <f>IF(OR($B292="Ce Co No Imputables",$G292="M2 fijo"),$M292*(1+'Insumos - OPEX'!M$38),$M292*(1+'Insumos - OPEX'!M$29*'Insumos - OPEX'!M$39)*(1+'Insumos - OPEX'!M$38))</f>
        <v>18350.289609752905</v>
      </c>
      <c r="R292" s="211">
        <f>IF(OR($B292="Ce Co No Imputables",$G292="M2 fijo"),$M292*(1+'Insumos - OPEX'!N$38),$M292*(1+'Insumos - OPEX'!N$29*'Insumos - OPEX'!N$39)*(1+'Insumos - OPEX'!N$38))</f>
        <v>19272.170551373983</v>
      </c>
      <c r="S292" s="111"/>
    </row>
    <row r="293" spans="1:19" x14ac:dyDescent="0.2">
      <c r="A293" s="8"/>
      <c r="B293" s="8" t="s">
        <v>434</v>
      </c>
      <c r="C293" s="8" t="s">
        <v>174</v>
      </c>
      <c r="D293" s="8">
        <v>6430000002</v>
      </c>
      <c r="E293" s="8" t="s">
        <v>362</v>
      </c>
      <c r="F293" s="89" t="s">
        <v>470</v>
      </c>
      <c r="G293" s="73" t="s">
        <v>480</v>
      </c>
      <c r="H293" s="112" t="s">
        <v>61</v>
      </c>
      <c r="I293" s="13" t="s">
        <v>436</v>
      </c>
      <c r="K293" s="186">
        <v>2493.2075213206135</v>
      </c>
      <c r="L293" s="187"/>
      <c r="M293" s="214">
        <f>IF(OR(E293="Distribución Legal de la Renta",E293="Acopio carros portaequipajes"),0,IF(K293&lt;0,0,K293*(1+SUMIFS('Insumos - OPEX'!$G$82:$G$238,'Insumos - OPEX'!$B$82:$B$238,OPEX!D293))))</f>
        <v>2602.9320784365909</v>
      </c>
      <c r="N293" s="211">
        <f>IF(OR($B293="Ce Co No Imputables",$G293="M2 fijo"),$M293*(1+'Insumos - OPEX'!J$38),$M293*(1+'Insumos - OPEX'!J$29*'Insumos - OPEX'!J$39)*(1+'Insumos - OPEX'!J$38))</f>
        <v>2657.6196814045438</v>
      </c>
      <c r="O293" s="211">
        <f>IF(OR($B293="Ce Co No Imputables",$G293="M2 fijo"),$M293*(1+'Insumos - OPEX'!K$38),$M293*(1+'Insumos - OPEX'!K$29*'Insumos - OPEX'!K$39)*(1+'Insumos - OPEX'!K$38))</f>
        <v>2720.6318440506452</v>
      </c>
      <c r="P293" s="211">
        <f>IF(OR($B293="Ce Co No Imputables",$G293="M2 fijo"),$M293*(1+'Insumos - OPEX'!L$38),$M293*(1+'Insumos - OPEX'!L$29*'Insumos - OPEX'!L$39)*(1+'Insumos - OPEX'!L$38))</f>
        <v>2778.7173339211263</v>
      </c>
      <c r="Q293" s="211">
        <f>IF(OR($B293="Ce Co No Imputables",$G293="M2 fijo"),$M293*(1+'Insumos - OPEX'!M$38),$M293*(1+'Insumos - OPEX'!M$29*'Insumos - OPEX'!M$39)*(1+'Insumos - OPEX'!M$38))</f>
        <v>2838.5153309471084</v>
      </c>
      <c r="R293" s="211">
        <f>IF(OR($B293="Ce Co No Imputables",$G293="M2 fijo"),$M293*(1+'Insumos - OPEX'!N$38),$M293*(1+'Insumos - OPEX'!N$29*'Insumos - OPEX'!N$39)*(1+'Insumos - OPEX'!N$38))</f>
        <v>2899.6001808690903</v>
      </c>
      <c r="S293" s="111"/>
    </row>
    <row r="294" spans="1:19" x14ac:dyDescent="0.2">
      <c r="A294" s="8"/>
      <c r="B294" s="8" t="s">
        <v>434</v>
      </c>
      <c r="C294" s="8" t="s">
        <v>174</v>
      </c>
      <c r="D294" s="8">
        <v>6590000002</v>
      </c>
      <c r="E294" s="8" t="s">
        <v>360</v>
      </c>
      <c r="F294" s="89" t="s">
        <v>470</v>
      </c>
      <c r="G294" s="73" t="s">
        <v>136</v>
      </c>
      <c r="H294" s="112" t="s">
        <v>61</v>
      </c>
      <c r="I294" s="13" t="s">
        <v>436</v>
      </c>
      <c r="K294" s="186">
        <v>1709.2446633906632</v>
      </c>
      <c r="L294" s="187"/>
      <c r="M294" s="214">
        <f>IF(OR(E294="Distribución Legal de la Renta",E294="Acopio carros portaequipajes"),0,IF(K294&lt;0,0,K294*(1+SUMIFS('Insumos - OPEX'!$G$82:$G$238,'Insumos - OPEX'!$B$82:$B$238,OPEX!D294))))</f>
        <v>1784.4674886427097</v>
      </c>
      <c r="N294" s="211">
        <f>IF(OR($B294="Ce Co No Imputables",$G294="M2 fijo"),$M294*(1+'Insumos - OPEX'!J$38),$M294*(1+'Insumos - OPEX'!J$29*'Insumos - OPEX'!J$39)*(1+'Insumos - OPEX'!J$38))</f>
        <v>1886.8078073653869</v>
      </c>
      <c r="O294" s="211">
        <f>IF(OR($B294="Ce Co No Imputables",$G294="M2 fijo"),$M294*(1+'Insumos - OPEX'!K$38),$M294*(1+'Insumos - OPEX'!K$29*'Insumos - OPEX'!K$39)*(1+'Insumos - OPEX'!K$38))</f>
        <v>1983.6918087459612</v>
      </c>
      <c r="P294" s="211">
        <f>IF(OR($B294="Ce Co No Imputables",$G294="M2 fijo"),$M294*(1+'Insumos - OPEX'!L$38),$M294*(1+'Insumos - OPEX'!L$29*'Insumos - OPEX'!L$39)*(1+'Insumos - OPEX'!L$38))</f>
        <v>2081.8018304678476</v>
      </c>
      <c r="Q294" s="211">
        <f>IF(OR($B294="Ce Co No Imputables",$G294="M2 fijo"),$M294*(1+'Insumos - OPEX'!M$38),$M294*(1+'Insumos - OPEX'!M$29*'Insumos - OPEX'!M$39)*(1+'Insumos - OPEX'!M$38))</f>
        <v>2189.6551610683746</v>
      </c>
      <c r="R294" s="211">
        <f>IF(OR($B294="Ce Co No Imputables",$G294="M2 fijo"),$M294*(1+'Insumos - OPEX'!N$38),$M294*(1+'Insumos - OPEX'!N$29*'Insumos - OPEX'!N$39)*(1+'Insumos - OPEX'!N$38))</f>
        <v>2299.6589487273068</v>
      </c>
      <c r="S294" s="111"/>
    </row>
    <row r="295" spans="1:19" x14ac:dyDescent="0.2">
      <c r="A295" s="8"/>
      <c r="B295" s="8" t="s">
        <v>434</v>
      </c>
      <c r="C295" s="8" t="s">
        <v>174</v>
      </c>
      <c r="D295" s="8">
        <v>6530000001</v>
      </c>
      <c r="E295" s="8" t="s">
        <v>364</v>
      </c>
      <c r="F295" s="89" t="s">
        <v>470</v>
      </c>
      <c r="G295" s="73" t="s">
        <v>136</v>
      </c>
      <c r="H295" s="112" t="s">
        <v>61</v>
      </c>
      <c r="I295" s="13" t="s">
        <v>436</v>
      </c>
      <c r="K295" s="186">
        <v>1220.7873248508249</v>
      </c>
      <c r="L295" s="187"/>
      <c r="M295" s="214">
        <f>IF(OR(E295="Distribución Legal de la Renta",E295="Acopio carros portaequipajes"),0,IF(K295&lt;0,0,K295*(1+SUMIFS('Insumos - OPEX'!$G$82:$G$238,'Insumos - OPEX'!$B$82:$B$238,OPEX!D295))))</f>
        <v>1274.5134376619656</v>
      </c>
      <c r="N295" s="211">
        <f>IF(OR($B295="Ce Co No Imputables",$G295="M2 fijo"),$M295*(1+'Insumos - OPEX'!J$38),$M295*(1+'Insumos - OPEX'!J$29*'Insumos - OPEX'!J$39)*(1+'Insumos - OPEX'!J$38))</f>
        <v>1347.6075748523667</v>
      </c>
      <c r="O295" s="211">
        <f>IF(OR($B295="Ce Co No Imputables",$G295="M2 fijo"),$M295*(1+'Insumos - OPEX'!K$38),$M295*(1+'Insumos - OPEX'!K$29*'Insumos - OPEX'!K$39)*(1+'Insumos - OPEX'!K$38))</f>
        <v>1416.8046672286041</v>
      </c>
      <c r="P295" s="211">
        <f>IF(OR($B295="Ce Co No Imputables",$G295="M2 fijo"),$M295*(1+'Insumos - OPEX'!L$38),$M295*(1+'Insumos - OPEX'!L$29*'Insumos - OPEX'!L$39)*(1+'Insumos - OPEX'!L$38))</f>
        <v>1486.8774154572427</v>
      </c>
      <c r="Q295" s="211">
        <f>IF(OR($B295="Ce Co No Imputables",$G295="M2 fijo"),$M295*(1+'Insumos - OPEX'!M$38),$M295*(1+'Insumos - OPEX'!M$29*'Insumos - OPEX'!M$39)*(1+'Insumos - OPEX'!M$38))</f>
        <v>1563.9090901847685</v>
      </c>
      <c r="R295" s="211">
        <f>IF(OR($B295="Ce Co No Imputables",$G295="M2 fijo"),$M295*(1+'Insumos - OPEX'!N$38),$M295*(1+'Insumos - OPEX'!N$29*'Insumos - OPEX'!N$39)*(1+'Insumos - OPEX'!N$38))</f>
        <v>1642.4766776904739</v>
      </c>
      <c r="S295" s="111"/>
    </row>
    <row r="296" spans="1:19" x14ac:dyDescent="0.2">
      <c r="A296" s="8"/>
      <c r="B296" s="8" t="s">
        <v>434</v>
      </c>
      <c r="C296" s="8" t="s">
        <v>174</v>
      </c>
      <c r="D296" s="8">
        <v>6561000005</v>
      </c>
      <c r="E296" s="8" t="s">
        <v>365</v>
      </c>
      <c r="F296" s="89" t="s">
        <v>470</v>
      </c>
      <c r="G296" s="73" t="s">
        <v>136</v>
      </c>
      <c r="H296" s="112" t="s">
        <v>61</v>
      </c>
      <c r="I296" s="13" t="s">
        <v>436</v>
      </c>
      <c r="J296" s="1"/>
      <c r="K296" s="186">
        <v>1014.7016640260002</v>
      </c>
      <c r="L296" s="187"/>
      <c r="M296" s="214">
        <f>IF(OR(E296="Distribución Legal de la Renta",E296="Acopio carros portaequipajes"),0,IF(K296&lt;0,0,K296*(1+SUMIFS('Insumos - OPEX'!$G$82:$G$238,'Insumos - OPEX'!$B$82:$B$238,OPEX!D296))))</f>
        <v>1059.3580713799795</v>
      </c>
      <c r="N296" s="211">
        <f>IF(OR($B296="Ce Co No Imputables",$G296="M2 fijo"),$M296*(1+'Insumos - OPEX'!J$38),$M296*(1+'Insumos - OPEX'!J$29*'Insumos - OPEX'!J$39)*(1+'Insumos - OPEX'!J$38))</f>
        <v>1120.1129146912072</v>
      </c>
      <c r="O296" s="211">
        <f>IF(OR($B296="Ce Co No Imputables",$G296="M2 fijo"),$M296*(1+'Insumos - OPEX'!K$38),$M296*(1+'Insumos - OPEX'!K$29*'Insumos - OPEX'!K$39)*(1+'Insumos - OPEX'!K$38))</f>
        <v>1177.6285878560716</v>
      </c>
      <c r="P296" s="211">
        <f>IF(OR($B296="Ce Co No Imputables",$G296="M2 fijo"),$M296*(1+'Insumos - OPEX'!L$38),$M296*(1+'Insumos - OPEX'!L$29*'Insumos - OPEX'!L$39)*(1+'Insumos - OPEX'!L$38))</f>
        <v>1235.8720941434285</v>
      </c>
      <c r="Q296" s="211">
        <f>IF(OR($B296="Ce Co No Imputables",$G296="M2 fijo"),$M296*(1+'Insumos - OPEX'!M$38),$M296*(1+'Insumos - OPEX'!M$29*'Insumos - OPEX'!M$39)*(1+'Insumos - OPEX'!M$38))</f>
        <v>1299.8997645964134</v>
      </c>
      <c r="R296" s="211">
        <f>IF(OR($B296="Ce Co No Imputables",$G296="M2 fijo"),$M296*(1+'Insumos - OPEX'!N$38),$M296*(1+'Insumos - OPEX'!N$29*'Insumos - OPEX'!N$39)*(1+'Insumos - OPEX'!N$38))</f>
        <v>1365.2040646638227</v>
      </c>
      <c r="S296" s="111"/>
    </row>
    <row r="297" spans="1:19" x14ac:dyDescent="0.2">
      <c r="A297" s="8"/>
      <c r="B297" s="8" t="s">
        <v>434</v>
      </c>
      <c r="C297" s="8" t="s">
        <v>174</v>
      </c>
      <c r="D297" s="8">
        <v>6540000001</v>
      </c>
      <c r="E297" s="8" t="s">
        <v>276</v>
      </c>
      <c r="F297" s="89" t="s">
        <v>469</v>
      </c>
      <c r="G297" s="73" t="s">
        <v>136</v>
      </c>
      <c r="H297" s="112" t="s">
        <v>61</v>
      </c>
      <c r="I297" s="13" t="s">
        <v>436</v>
      </c>
      <c r="J297" s="1"/>
      <c r="K297" s="186">
        <v>639.00447027229995</v>
      </c>
      <c r="L297" s="187"/>
      <c r="M297" s="214">
        <f>IF(OR(E297="Distribución Legal de la Renta",E297="Acopio carros portaequipajes"),0,IF(K297&lt;0,0,K297*(1+SUMIFS('Insumos - OPEX'!$G$82:$G$238,'Insumos - OPEX'!$B$82:$B$238,OPEX!D297))))</f>
        <v>667.1266710502839</v>
      </c>
      <c r="N297" s="211">
        <f>IF(OR($B297="Ce Co No Imputables",$G297="M2 fijo"),$M297*(1+'Insumos - OPEX'!J$38),$M297*(1+'Insumos - OPEX'!J$29*'Insumos - OPEX'!J$39)*(1+'Insumos - OPEX'!J$38))</f>
        <v>705.38679995608697</v>
      </c>
      <c r="O297" s="211">
        <f>IF(OR($B297="Ce Co No Imputables",$G297="M2 fijo"),$M297*(1+'Insumos - OPEX'!K$38),$M297*(1+'Insumos - OPEX'!K$29*'Insumos - OPEX'!K$39)*(1+'Insumos - OPEX'!K$38))</f>
        <v>741.60707392040285</v>
      </c>
      <c r="P297" s="211">
        <f>IF(OR($B297="Ce Co No Imputables",$G297="M2 fijo"),$M297*(1+'Insumos - OPEX'!L$38),$M297*(1+'Insumos - OPEX'!L$29*'Insumos - OPEX'!L$39)*(1+'Insumos - OPEX'!L$38))</f>
        <v>778.28569799428647</v>
      </c>
      <c r="Q297" s="211">
        <f>IF(OR($B297="Ce Co No Imputables",$G297="M2 fijo"),$M297*(1+'Insumos - OPEX'!M$38),$M297*(1+'Insumos - OPEX'!M$29*'Insumos - OPEX'!M$39)*(1+'Insumos - OPEX'!M$38))</f>
        <v>818.60687720497799</v>
      </c>
      <c r="R297" s="211">
        <f>IF(OR($B297="Ce Co No Imputables",$G297="M2 fijo"),$M297*(1+'Insumos - OPEX'!N$38),$M297*(1+'Insumos - OPEX'!N$29*'Insumos - OPEX'!N$39)*(1+'Insumos - OPEX'!N$38))</f>
        <v>859.73200900530242</v>
      </c>
      <c r="S297" s="111"/>
    </row>
    <row r="298" spans="1:19" x14ac:dyDescent="0.2">
      <c r="A298" s="8"/>
      <c r="B298" s="8" t="s">
        <v>434</v>
      </c>
      <c r="C298" s="8" t="s">
        <v>174</v>
      </c>
      <c r="D298" s="8">
        <v>6562000003</v>
      </c>
      <c r="E298" s="8" t="s">
        <v>366</v>
      </c>
      <c r="F298" s="89" t="s">
        <v>470</v>
      </c>
      <c r="G298" s="73" t="s">
        <v>136</v>
      </c>
      <c r="H298" s="112" t="s">
        <v>61</v>
      </c>
      <c r="I298" s="13" t="s">
        <v>436</v>
      </c>
      <c r="K298" s="186">
        <v>391.80883204144607</v>
      </c>
      <c r="L298" s="187"/>
      <c r="M298" s="214">
        <f>IF(OR(E298="Distribución Legal de la Renta",E298="Acopio carros portaequipajes"),0,IF(K298&lt;0,0,K298*(1+SUMIFS('Insumos - OPEX'!$G$82:$G$238,'Insumos - OPEX'!$B$82:$B$238,OPEX!D298))))</f>
        <v>409.05210208705557</v>
      </c>
      <c r="N298" s="211">
        <f>IF(OR($B298="Ce Co No Imputables",$G298="M2 fijo"),$M298*(1+'Insumos - OPEX'!J$38),$M298*(1+'Insumos - OPEX'!J$29*'Insumos - OPEX'!J$39)*(1+'Insumos - OPEX'!J$38))</f>
        <v>432.51149418481333</v>
      </c>
      <c r="O298" s="211">
        <f>IF(OR($B298="Ce Co No Imputables",$G298="M2 fijo"),$M298*(1+'Insumos - OPEX'!K$38),$M298*(1+'Insumos - OPEX'!K$29*'Insumos - OPEX'!K$39)*(1+'Insumos - OPEX'!K$38))</f>
        <v>454.72013887885186</v>
      </c>
      <c r="P298" s="211">
        <f>IF(OR($B298="Ce Co No Imputables",$G298="M2 fijo"),$M298*(1+'Insumos - OPEX'!L$38),$M298*(1+'Insumos - OPEX'!L$29*'Insumos - OPEX'!L$39)*(1+'Insumos - OPEX'!L$38))</f>
        <v>477.20982326736896</v>
      </c>
      <c r="Q298" s="211">
        <f>IF(OR($B298="Ce Co No Imputables",$G298="M2 fijo"),$M298*(1+'Insumos - OPEX'!M$38),$M298*(1+'Insumos - OPEX'!M$29*'Insumos - OPEX'!M$39)*(1+'Insumos - OPEX'!M$38))</f>
        <v>501.93295881342038</v>
      </c>
      <c r="R298" s="211">
        <f>IF(OR($B298="Ce Co No Imputables",$G298="M2 fijo"),$M298*(1+'Insumos - OPEX'!N$38),$M298*(1+'Insumos - OPEX'!N$29*'Insumos - OPEX'!N$39)*(1+'Insumos - OPEX'!N$38))</f>
        <v>527.14904196753253</v>
      </c>
      <c r="S298" s="111"/>
    </row>
    <row r="299" spans="1:19" x14ac:dyDescent="0.2">
      <c r="A299" s="8"/>
      <c r="B299" s="8" t="s">
        <v>434</v>
      </c>
      <c r="C299" s="8" t="s">
        <v>174</v>
      </c>
      <c r="D299" s="8">
        <v>6590000004</v>
      </c>
      <c r="E299" s="8" t="s">
        <v>380</v>
      </c>
      <c r="F299" s="89" t="s">
        <v>470</v>
      </c>
      <c r="G299" s="73" t="s">
        <v>136</v>
      </c>
      <c r="H299" s="112" t="s">
        <v>61</v>
      </c>
      <c r="I299" s="13" t="s">
        <v>436</v>
      </c>
      <c r="K299" s="186">
        <v>118.07812911802105</v>
      </c>
      <c r="L299" s="187"/>
      <c r="M299" s="214">
        <f>IF(OR(E299="Distribución Legal de la Renta",E299="Acopio carros portaequipajes"),0,IF(K299&lt;0,0,K299*(1+SUMIFS('Insumos - OPEX'!$G$82:$G$238,'Insumos - OPEX'!$B$82:$B$238,OPEX!D299))))</f>
        <v>123.27467626131518</v>
      </c>
      <c r="N299" s="211">
        <f>IF(OR($B299="Ce Co No Imputables",$G299="M2 fijo"),$M299*(1+'Insumos - OPEX'!J$38),$M299*(1+'Insumos - OPEX'!J$29*'Insumos - OPEX'!J$39)*(1+'Insumos - OPEX'!J$38))</f>
        <v>130.34455550501815</v>
      </c>
      <c r="O299" s="211">
        <f>IF(OR($B299="Ce Co No Imputables",$G299="M2 fijo"),$M299*(1+'Insumos - OPEX'!K$38),$M299*(1+'Insumos - OPEX'!K$29*'Insumos - OPEX'!K$39)*(1+'Insumos - OPEX'!K$38))</f>
        <v>137.03750114908556</v>
      </c>
      <c r="P299" s="211">
        <f>IF(OR($B299="Ce Co No Imputables",$G299="M2 fijo"),$M299*(1+'Insumos - OPEX'!L$38),$M299*(1+'Insumos - OPEX'!L$29*'Insumos - OPEX'!L$39)*(1+'Insumos - OPEX'!L$38))</f>
        <v>143.81514279441211</v>
      </c>
      <c r="Q299" s="211">
        <f>IF(OR($B299="Ce Co No Imputables",$G299="M2 fijo"),$M299*(1+'Insumos - OPEX'!M$38),$M299*(1+'Insumos - OPEX'!M$29*'Insumos - OPEX'!M$39)*(1+'Insumos - OPEX'!M$38))</f>
        <v>151.26587221263051</v>
      </c>
      <c r="R299" s="211">
        <f>IF(OR($B299="Ce Co No Imputables",$G299="M2 fijo"),$M299*(1+'Insumos - OPEX'!N$38),$M299*(1+'Insumos - OPEX'!N$29*'Insumos - OPEX'!N$39)*(1+'Insumos - OPEX'!N$38))</f>
        <v>158.86515961768589</v>
      </c>
      <c r="S299" s="111"/>
    </row>
    <row r="300" spans="1:19" x14ac:dyDescent="0.2">
      <c r="A300" s="8"/>
      <c r="B300" s="8" t="s">
        <v>434</v>
      </c>
      <c r="C300" s="8" t="s">
        <v>174</v>
      </c>
      <c r="D300" s="8">
        <v>6562000005</v>
      </c>
      <c r="E300" s="8" t="s">
        <v>367</v>
      </c>
      <c r="F300" s="89" t="s">
        <v>470</v>
      </c>
      <c r="G300" s="73" t="s">
        <v>136</v>
      </c>
      <c r="H300" s="112" t="s">
        <v>61</v>
      </c>
      <c r="I300" s="13" t="s">
        <v>436</v>
      </c>
      <c r="K300" s="186">
        <v>0.3190412905808368</v>
      </c>
      <c r="L300" s="187"/>
      <c r="M300" s="214">
        <f>IF(OR(E300="Distribución Legal de la Renta",E300="Acopio carros portaequipajes"),0,IF(K300&lt;0,0,K300*(1+SUMIFS('Insumos - OPEX'!$G$82:$G$238,'Insumos - OPEX'!$B$82:$B$238,OPEX!D300))))</f>
        <v>0.33308210507835995</v>
      </c>
      <c r="N300" s="211">
        <f>IF(OR($B300="Ce Co No Imputables",$G300="M2 fijo"),$M300*(1+'Insumos - OPEX'!J$38),$M300*(1+'Insumos - OPEX'!J$29*'Insumos - OPEX'!J$39)*(1+'Insumos - OPEX'!J$38))</f>
        <v>0.3521845706662689</v>
      </c>
      <c r="O300" s="211">
        <f>IF(OR($B300="Ce Co No Imputables",$G300="M2 fijo"),$M300*(1+'Insumos - OPEX'!K$38),$M300*(1+'Insumos - OPEX'!K$29*'Insumos - OPEX'!K$39)*(1+'Insumos - OPEX'!K$38))</f>
        <v>0.37026858022858467</v>
      </c>
      <c r="P300" s="211">
        <f>IF(OR($B300="Ce Co No Imputables",$G300="M2 fijo"),$M300*(1+'Insumos - OPEX'!L$38),$M300*(1+'Insumos - OPEX'!L$29*'Insumos - OPEX'!L$39)*(1+'Insumos - OPEX'!L$38))</f>
        <v>0.38858143421577918</v>
      </c>
      <c r="Q300" s="211">
        <f>IF(OR($B300="Ce Co No Imputables",$G300="M2 fijo"),$M300*(1+'Insumos - OPEX'!M$38),$M300*(1+'Insumos - OPEX'!M$29*'Insumos - OPEX'!M$39)*(1+'Insumos - OPEX'!M$38))</f>
        <v>0.4087129382217502</v>
      </c>
      <c r="R300" s="211">
        <f>IF(OR($B300="Ce Co No Imputables",$G300="M2 fijo"),$M300*(1+'Insumos - OPEX'!N$38),$M300*(1+'Insumos - OPEX'!N$29*'Insumos - OPEX'!N$39)*(1+'Insumos - OPEX'!N$38))</f>
        <v>0.42924583859299714</v>
      </c>
      <c r="S300" s="111"/>
    </row>
    <row r="301" spans="1:19" x14ac:dyDescent="0.2">
      <c r="A301" s="8"/>
      <c r="B301" s="8" t="s">
        <v>434</v>
      </c>
      <c r="C301" s="8" t="s">
        <v>174</v>
      </c>
      <c r="D301" s="8">
        <v>6380000005</v>
      </c>
      <c r="E301" s="8" t="s">
        <v>274</v>
      </c>
      <c r="F301" s="89" t="s">
        <v>469</v>
      </c>
      <c r="G301" s="73" t="s">
        <v>136</v>
      </c>
      <c r="H301" s="112" t="s">
        <v>61</v>
      </c>
      <c r="I301" s="13" t="s">
        <v>436</v>
      </c>
      <c r="K301" s="186">
        <v>0</v>
      </c>
      <c r="L301" s="187"/>
      <c r="M301" s="214">
        <f>IF(OR(E301="Distribución Legal de la Renta",E301="Acopio carros portaequipajes"),0,IF(K301&lt;0,0,K301*(1+SUMIFS('Insumos - OPEX'!$G$82:$G$238,'Insumos - OPEX'!$B$82:$B$238,OPEX!D301))))</f>
        <v>0</v>
      </c>
      <c r="N301" s="211">
        <f>IF(OR($B301="Ce Co No Imputables",$G301="M2 fijo"),$M301*(1+'Insumos - OPEX'!J$38),$M301*(1+'Insumos - OPEX'!J$29*'Insumos - OPEX'!J$39)*(1+'Insumos - OPEX'!J$38))</f>
        <v>0</v>
      </c>
      <c r="O301" s="211">
        <f>IF(OR($B301="Ce Co No Imputables",$G301="M2 fijo"),$M301*(1+'Insumos - OPEX'!K$38),$M301*(1+'Insumos - OPEX'!K$29*'Insumos - OPEX'!K$39)*(1+'Insumos - OPEX'!K$38))</f>
        <v>0</v>
      </c>
      <c r="P301" s="211">
        <f>IF(OR($B301="Ce Co No Imputables",$G301="M2 fijo"),$M301*(1+'Insumos - OPEX'!L$38),$M301*(1+'Insumos - OPEX'!L$29*'Insumos - OPEX'!L$39)*(1+'Insumos - OPEX'!L$38))</f>
        <v>0</v>
      </c>
      <c r="Q301" s="211">
        <f>IF(OR($B301="Ce Co No Imputables",$G301="M2 fijo"),$M301*(1+'Insumos - OPEX'!M$38),$M301*(1+'Insumos - OPEX'!M$29*'Insumos - OPEX'!M$39)*(1+'Insumos - OPEX'!M$38))</f>
        <v>0</v>
      </c>
      <c r="R301" s="211">
        <f>IF(OR($B301="Ce Co No Imputables",$G301="M2 fijo"),$M301*(1+'Insumos - OPEX'!N$38),$M301*(1+'Insumos - OPEX'!N$29*'Insumos - OPEX'!N$39)*(1+'Insumos - OPEX'!N$38))</f>
        <v>0</v>
      </c>
      <c r="S301" s="111"/>
    </row>
    <row r="302" spans="1:19" x14ac:dyDescent="0.2">
      <c r="A302" s="8"/>
      <c r="B302" s="8" t="s">
        <v>434</v>
      </c>
      <c r="C302" s="8" t="s">
        <v>174</v>
      </c>
      <c r="D302" s="8">
        <v>6563000005</v>
      </c>
      <c r="E302" s="8" t="s">
        <v>376</v>
      </c>
      <c r="F302" s="89" t="s">
        <v>470</v>
      </c>
      <c r="G302" s="73" t="s">
        <v>136</v>
      </c>
      <c r="H302" s="112" t="s">
        <v>61</v>
      </c>
      <c r="I302" s="13" t="s">
        <v>436</v>
      </c>
      <c r="K302" s="186">
        <v>0</v>
      </c>
      <c r="L302" s="187"/>
      <c r="M302" s="214">
        <f>IF(OR(E302="Distribución Legal de la Renta",E302="Acopio carros portaequipajes"),0,IF(K302&lt;0,0,K302*(1+SUMIFS('Insumos - OPEX'!$G$82:$G$238,'Insumos - OPEX'!$B$82:$B$238,OPEX!D302))))</f>
        <v>0</v>
      </c>
      <c r="N302" s="211">
        <f>IF(OR($B302="Ce Co No Imputables",$G302="M2 fijo"),$M302*(1+'Insumos - OPEX'!J$38),$M302*(1+'Insumos - OPEX'!J$29*'Insumos - OPEX'!J$39)*(1+'Insumos - OPEX'!J$38))</f>
        <v>0</v>
      </c>
      <c r="O302" s="211">
        <f>IF(OR($B302="Ce Co No Imputables",$G302="M2 fijo"),$M302*(1+'Insumos - OPEX'!K$38),$M302*(1+'Insumos - OPEX'!K$29*'Insumos - OPEX'!K$39)*(1+'Insumos - OPEX'!K$38))</f>
        <v>0</v>
      </c>
      <c r="P302" s="211">
        <f>IF(OR($B302="Ce Co No Imputables",$G302="M2 fijo"),$M302*(1+'Insumos - OPEX'!L$38),$M302*(1+'Insumos - OPEX'!L$29*'Insumos - OPEX'!L$39)*(1+'Insumos - OPEX'!L$38))</f>
        <v>0</v>
      </c>
      <c r="Q302" s="211">
        <f>IF(OR($B302="Ce Co No Imputables",$G302="M2 fijo"),$M302*(1+'Insumos - OPEX'!M$38),$M302*(1+'Insumos - OPEX'!M$29*'Insumos - OPEX'!M$39)*(1+'Insumos - OPEX'!M$38))</f>
        <v>0</v>
      </c>
      <c r="R302" s="211">
        <f>IF(OR($B302="Ce Co No Imputables",$G302="M2 fijo"),$M302*(1+'Insumos - OPEX'!N$38),$M302*(1+'Insumos - OPEX'!N$29*'Insumos - OPEX'!N$39)*(1+'Insumos - OPEX'!N$38))</f>
        <v>0</v>
      </c>
      <c r="S302" s="111"/>
    </row>
    <row r="303" spans="1:19" x14ac:dyDescent="0.2">
      <c r="A303" s="8"/>
      <c r="B303" s="8" t="s">
        <v>434</v>
      </c>
      <c r="C303" s="8" t="s">
        <v>174</v>
      </c>
      <c r="D303" s="8">
        <v>6563000003</v>
      </c>
      <c r="E303" s="8" t="s">
        <v>387</v>
      </c>
      <c r="F303" s="89" t="s">
        <v>470</v>
      </c>
      <c r="G303" s="73" t="s">
        <v>136</v>
      </c>
      <c r="H303" s="112" t="s">
        <v>61</v>
      </c>
      <c r="I303" s="13" t="s">
        <v>436</v>
      </c>
      <c r="K303" s="186">
        <v>0</v>
      </c>
      <c r="L303" s="187"/>
      <c r="M303" s="214">
        <f>IF(OR(E303="Distribución Legal de la Renta",E303="Acopio carros portaequipajes"),0,IF(K303&lt;0,0,K303*(1+SUMIFS('Insumos - OPEX'!$G$82:$G$238,'Insumos - OPEX'!$B$82:$B$238,OPEX!D303))))</f>
        <v>0</v>
      </c>
      <c r="N303" s="211">
        <f>IF(OR($B303="Ce Co No Imputables",$G303="M2 fijo"),$M303*(1+'Insumos - OPEX'!J$38),$M303*(1+'Insumos - OPEX'!J$29*'Insumos - OPEX'!J$39)*(1+'Insumos - OPEX'!J$38))</f>
        <v>0</v>
      </c>
      <c r="O303" s="211">
        <f>IF(OR($B303="Ce Co No Imputables",$G303="M2 fijo"),$M303*(1+'Insumos - OPEX'!K$38),$M303*(1+'Insumos - OPEX'!K$29*'Insumos - OPEX'!K$39)*(1+'Insumos - OPEX'!K$38))</f>
        <v>0</v>
      </c>
      <c r="P303" s="211">
        <f>IF(OR($B303="Ce Co No Imputables",$G303="M2 fijo"),$M303*(1+'Insumos - OPEX'!L$38),$M303*(1+'Insumos - OPEX'!L$29*'Insumos - OPEX'!L$39)*(1+'Insumos - OPEX'!L$38))</f>
        <v>0</v>
      </c>
      <c r="Q303" s="211">
        <f>IF(OR($B303="Ce Co No Imputables",$G303="M2 fijo"),$M303*(1+'Insumos - OPEX'!M$38),$M303*(1+'Insumos - OPEX'!M$29*'Insumos - OPEX'!M$39)*(1+'Insumos - OPEX'!M$38))</f>
        <v>0</v>
      </c>
      <c r="R303" s="211">
        <f>IF(OR($B303="Ce Co No Imputables",$G303="M2 fijo"),$M303*(1+'Insumos - OPEX'!N$38),$M303*(1+'Insumos - OPEX'!N$29*'Insumos - OPEX'!N$39)*(1+'Insumos - OPEX'!N$38))</f>
        <v>0</v>
      </c>
      <c r="S303" s="111"/>
    </row>
    <row r="304" spans="1:19" x14ac:dyDescent="0.2">
      <c r="A304" s="8"/>
      <c r="B304" s="8" t="s">
        <v>434</v>
      </c>
      <c r="C304" s="8" t="s">
        <v>174</v>
      </c>
      <c r="D304" s="8">
        <v>6430000003</v>
      </c>
      <c r="E304" s="8" t="s">
        <v>386</v>
      </c>
      <c r="F304" s="89" t="s">
        <v>470</v>
      </c>
      <c r="G304" s="73" t="s">
        <v>136</v>
      </c>
      <c r="H304" s="112" t="s">
        <v>61</v>
      </c>
      <c r="I304" s="13" t="s">
        <v>436</v>
      </c>
      <c r="K304" s="186">
        <v>0</v>
      </c>
      <c r="L304" s="187"/>
      <c r="M304" s="214">
        <f>IF(OR(E304="Distribución Legal de la Renta",E304="Acopio carros portaequipajes"),0,IF(K304&lt;0,0,K304*(1+SUMIFS('Insumos - OPEX'!$G$82:$G$238,'Insumos - OPEX'!$B$82:$B$238,OPEX!D304))))</f>
        <v>0</v>
      </c>
      <c r="N304" s="211">
        <f>IF(OR($B304="Ce Co No Imputables",$G304="M2 fijo"),$M304*(1+'Insumos - OPEX'!J$38),$M304*(1+'Insumos - OPEX'!J$29*'Insumos - OPEX'!J$39)*(1+'Insumos - OPEX'!J$38))</f>
        <v>0</v>
      </c>
      <c r="O304" s="211">
        <f>IF(OR($B304="Ce Co No Imputables",$G304="M2 fijo"),$M304*(1+'Insumos - OPEX'!K$38),$M304*(1+'Insumos - OPEX'!K$29*'Insumos - OPEX'!K$39)*(1+'Insumos - OPEX'!K$38))</f>
        <v>0</v>
      </c>
      <c r="P304" s="211">
        <f>IF(OR($B304="Ce Co No Imputables",$G304="M2 fijo"),$M304*(1+'Insumos - OPEX'!L$38),$M304*(1+'Insumos - OPEX'!L$29*'Insumos - OPEX'!L$39)*(1+'Insumos - OPEX'!L$38))</f>
        <v>0</v>
      </c>
      <c r="Q304" s="211">
        <f>IF(OR($B304="Ce Co No Imputables",$G304="M2 fijo"),$M304*(1+'Insumos - OPEX'!M$38),$M304*(1+'Insumos - OPEX'!M$29*'Insumos - OPEX'!M$39)*(1+'Insumos - OPEX'!M$38))</f>
        <v>0</v>
      </c>
      <c r="R304" s="211">
        <f>IF(OR($B304="Ce Co No Imputables",$G304="M2 fijo"),$M304*(1+'Insumos - OPEX'!N$38),$M304*(1+'Insumos - OPEX'!N$29*'Insumos - OPEX'!N$39)*(1+'Insumos - OPEX'!N$38))</f>
        <v>0</v>
      </c>
      <c r="S304" s="111"/>
    </row>
    <row r="305" spans="1:21" x14ac:dyDescent="0.2">
      <c r="A305" s="8"/>
      <c r="B305" s="8" t="s">
        <v>434</v>
      </c>
      <c r="C305" s="8" t="s">
        <v>174</v>
      </c>
      <c r="D305" s="8">
        <v>6391000003</v>
      </c>
      <c r="E305" s="8" t="s">
        <v>378</v>
      </c>
      <c r="F305" s="89" t="s">
        <v>470</v>
      </c>
      <c r="G305" s="73" t="s">
        <v>136</v>
      </c>
      <c r="H305" s="112" t="s">
        <v>61</v>
      </c>
      <c r="I305" s="13" t="s">
        <v>436</v>
      </c>
      <c r="K305" s="186">
        <v>0</v>
      </c>
      <c r="L305" s="187"/>
      <c r="M305" s="214">
        <f>IF(OR(E305="Distribución Legal de la Renta",E305="Acopio carros portaequipajes"),0,IF(K305&lt;0,0,K305*(1+SUMIFS('Insumos - OPEX'!$G$82:$G$238,'Insumos - OPEX'!$B$82:$B$238,OPEX!D305))))</f>
        <v>0</v>
      </c>
      <c r="N305" s="211">
        <f>IF(OR($B305="Ce Co No Imputables",$G305="M2 fijo"),$M305*(1+'Insumos - OPEX'!J$38),$M305*(1+'Insumos - OPEX'!J$29*'Insumos - OPEX'!J$39)*(1+'Insumos - OPEX'!J$38))</f>
        <v>0</v>
      </c>
      <c r="O305" s="211">
        <f>IF(OR($B305="Ce Co No Imputables",$G305="M2 fijo"),$M305*(1+'Insumos - OPEX'!K$38),$M305*(1+'Insumos - OPEX'!K$29*'Insumos - OPEX'!K$39)*(1+'Insumos - OPEX'!K$38))</f>
        <v>0</v>
      </c>
      <c r="P305" s="211">
        <f>IF(OR($B305="Ce Co No Imputables",$G305="M2 fijo"),$M305*(1+'Insumos - OPEX'!L$38),$M305*(1+'Insumos - OPEX'!L$29*'Insumos - OPEX'!L$39)*(1+'Insumos - OPEX'!L$38))</f>
        <v>0</v>
      </c>
      <c r="Q305" s="211">
        <f>IF(OR($B305="Ce Co No Imputables",$G305="M2 fijo"),$M305*(1+'Insumos - OPEX'!M$38),$M305*(1+'Insumos - OPEX'!M$29*'Insumos - OPEX'!M$39)*(1+'Insumos - OPEX'!M$38))</f>
        <v>0</v>
      </c>
      <c r="R305" s="211">
        <f>IF(OR($B305="Ce Co No Imputables",$G305="M2 fijo"),$M305*(1+'Insumos - OPEX'!N$38),$M305*(1+'Insumos - OPEX'!N$29*'Insumos - OPEX'!N$39)*(1+'Insumos - OPEX'!N$38))</f>
        <v>0</v>
      </c>
      <c r="S305" s="111"/>
    </row>
    <row r="306" spans="1:21" x14ac:dyDescent="0.2">
      <c r="A306" s="8"/>
      <c r="B306" s="8" t="s">
        <v>434</v>
      </c>
      <c r="C306" s="8" t="s">
        <v>174</v>
      </c>
      <c r="D306" s="8">
        <v>6391000001</v>
      </c>
      <c r="E306" s="8" t="s">
        <v>363</v>
      </c>
      <c r="F306" s="89" t="s">
        <v>470</v>
      </c>
      <c r="G306" s="73" t="s">
        <v>136</v>
      </c>
      <c r="H306" s="112" t="s">
        <v>61</v>
      </c>
      <c r="I306" s="13" t="s">
        <v>436</v>
      </c>
      <c r="K306" s="186">
        <v>0</v>
      </c>
      <c r="L306" s="187"/>
      <c r="M306" s="214">
        <f>IF(OR(E306="Distribución Legal de la Renta",E306="Acopio carros portaequipajes"),0,IF(K306&lt;0,0,K306*(1+SUMIFS('Insumos - OPEX'!$G$82:$G$238,'Insumos - OPEX'!$B$82:$B$238,OPEX!D306))))</f>
        <v>0</v>
      </c>
      <c r="N306" s="211">
        <f>IF(OR($B306="Ce Co No Imputables",$G306="M2 fijo"),$M306*(1+'Insumos - OPEX'!J$38),$M306*(1+'Insumos - OPEX'!J$29*'Insumos - OPEX'!J$39)*(1+'Insumos - OPEX'!J$38))</f>
        <v>0</v>
      </c>
      <c r="O306" s="211">
        <f>IF(OR($B306="Ce Co No Imputables",$G306="M2 fijo"),$M306*(1+'Insumos - OPEX'!K$38),$M306*(1+'Insumos - OPEX'!K$29*'Insumos - OPEX'!K$39)*(1+'Insumos - OPEX'!K$38))</f>
        <v>0</v>
      </c>
      <c r="P306" s="211">
        <f>IF(OR($B306="Ce Co No Imputables",$G306="M2 fijo"),$M306*(1+'Insumos - OPEX'!L$38),$M306*(1+'Insumos - OPEX'!L$29*'Insumos - OPEX'!L$39)*(1+'Insumos - OPEX'!L$38))</f>
        <v>0</v>
      </c>
      <c r="Q306" s="211">
        <f>IF(OR($B306="Ce Co No Imputables",$G306="M2 fijo"),$M306*(1+'Insumos - OPEX'!M$38),$M306*(1+'Insumos - OPEX'!M$29*'Insumos - OPEX'!M$39)*(1+'Insumos - OPEX'!M$38))</f>
        <v>0</v>
      </c>
      <c r="R306" s="211">
        <f>IF(OR($B306="Ce Co No Imputables",$G306="M2 fijo"),$M306*(1+'Insumos - OPEX'!N$38),$M306*(1+'Insumos - OPEX'!N$29*'Insumos - OPEX'!N$39)*(1+'Insumos - OPEX'!N$38))</f>
        <v>0</v>
      </c>
      <c r="S306" s="111"/>
    </row>
    <row r="307" spans="1:21" x14ac:dyDescent="0.2">
      <c r="A307" s="8"/>
      <c r="B307" s="8" t="s">
        <v>434</v>
      </c>
      <c r="C307" s="8" t="s">
        <v>174</v>
      </c>
      <c r="D307" s="8">
        <v>6590000006</v>
      </c>
      <c r="E307" s="8" t="s">
        <v>272</v>
      </c>
      <c r="F307" s="89" t="s">
        <v>469</v>
      </c>
      <c r="G307" s="73" t="s">
        <v>136</v>
      </c>
      <c r="H307" s="112" t="s">
        <v>61</v>
      </c>
      <c r="I307" s="13" t="s">
        <v>436</v>
      </c>
      <c r="K307" s="186">
        <v>0</v>
      </c>
      <c r="L307" s="187"/>
      <c r="M307" s="214">
        <f>IF(OR(E307="Distribución Legal de la Renta",E307="Acopio carros portaequipajes"),0,IF(K307&lt;0,0,K307*(1+SUMIFS('Insumos - OPEX'!$G$82:$G$238,'Insumos - OPEX'!$B$82:$B$238,OPEX!D307))))</f>
        <v>0</v>
      </c>
      <c r="N307" s="211">
        <f>IF(OR($B307="Ce Co No Imputables",$G307="M2 fijo"),$M307*(1+'Insumos - OPEX'!J$38),$M307*(1+'Insumos - OPEX'!J$29*'Insumos - OPEX'!J$39)*(1+'Insumos - OPEX'!J$38))</f>
        <v>0</v>
      </c>
      <c r="O307" s="211">
        <f>IF(OR($B307="Ce Co No Imputables",$G307="M2 fijo"),$M307*(1+'Insumos - OPEX'!K$38),$M307*(1+'Insumos - OPEX'!K$29*'Insumos - OPEX'!K$39)*(1+'Insumos - OPEX'!K$38))</f>
        <v>0</v>
      </c>
      <c r="P307" s="211">
        <f>IF(OR($B307="Ce Co No Imputables",$G307="M2 fijo"),$M307*(1+'Insumos - OPEX'!L$38),$M307*(1+'Insumos - OPEX'!L$29*'Insumos - OPEX'!L$39)*(1+'Insumos - OPEX'!L$38))</f>
        <v>0</v>
      </c>
      <c r="Q307" s="211">
        <f>IF(OR($B307="Ce Co No Imputables",$G307="M2 fijo"),$M307*(1+'Insumos - OPEX'!M$38),$M307*(1+'Insumos - OPEX'!M$29*'Insumos - OPEX'!M$39)*(1+'Insumos - OPEX'!M$38))</f>
        <v>0</v>
      </c>
      <c r="R307" s="211">
        <f>IF(OR($B307="Ce Co No Imputables",$G307="M2 fijo"),$M307*(1+'Insumos - OPEX'!N$38),$M307*(1+'Insumos - OPEX'!N$29*'Insumos - OPEX'!N$39)*(1+'Insumos - OPEX'!N$38))</f>
        <v>0</v>
      </c>
      <c r="S307" s="111"/>
    </row>
    <row r="308" spans="1:21" s="3" customFormat="1" x14ac:dyDescent="0.2">
      <c r="A308" s="8"/>
      <c r="B308" s="8" t="s">
        <v>434</v>
      </c>
      <c r="C308" s="8" t="s">
        <v>174</v>
      </c>
      <c r="D308" s="8">
        <v>6562000001</v>
      </c>
      <c r="E308" s="8" t="s">
        <v>373</v>
      </c>
      <c r="F308" s="89" t="s">
        <v>470</v>
      </c>
      <c r="G308" s="73" t="s">
        <v>136</v>
      </c>
      <c r="H308" s="112" t="s">
        <v>61</v>
      </c>
      <c r="I308" s="13" t="s">
        <v>436</v>
      </c>
      <c r="J308" s="11"/>
      <c r="K308" s="186">
        <v>0</v>
      </c>
      <c r="L308" s="187"/>
      <c r="M308" s="214">
        <f>IF(OR(E308="Distribución Legal de la Renta",E308="Acopio carros portaequipajes"),0,IF(K308&lt;0,0,K308*(1+SUMIFS('Insumos - OPEX'!$G$82:$G$238,'Insumos - OPEX'!$B$82:$B$238,OPEX!D308))))</f>
        <v>0</v>
      </c>
      <c r="N308" s="211">
        <f>IF(OR($B308="Ce Co No Imputables",$G308="M2 fijo"),$M308*(1+'Insumos - OPEX'!J$38),$M308*(1+'Insumos - OPEX'!J$29*'Insumos - OPEX'!J$39)*(1+'Insumos - OPEX'!J$38))</f>
        <v>0</v>
      </c>
      <c r="O308" s="211">
        <f>IF(OR($B308="Ce Co No Imputables",$G308="M2 fijo"),$M308*(1+'Insumos - OPEX'!K$38),$M308*(1+'Insumos - OPEX'!K$29*'Insumos - OPEX'!K$39)*(1+'Insumos - OPEX'!K$38))</f>
        <v>0</v>
      </c>
      <c r="P308" s="211">
        <f>IF(OR($B308="Ce Co No Imputables",$G308="M2 fijo"),$M308*(1+'Insumos - OPEX'!L$38),$M308*(1+'Insumos - OPEX'!L$29*'Insumos - OPEX'!L$39)*(1+'Insumos - OPEX'!L$38))</f>
        <v>0</v>
      </c>
      <c r="Q308" s="211">
        <f>IF(OR($B308="Ce Co No Imputables",$G308="M2 fijo"),$M308*(1+'Insumos - OPEX'!M$38),$M308*(1+'Insumos - OPEX'!M$29*'Insumos - OPEX'!M$39)*(1+'Insumos - OPEX'!M$38))</f>
        <v>0</v>
      </c>
      <c r="R308" s="211">
        <f>IF(OR($B308="Ce Co No Imputables",$G308="M2 fijo"),$M308*(1+'Insumos - OPEX'!N$38),$M308*(1+'Insumos - OPEX'!N$29*'Insumos - OPEX'!N$39)*(1+'Insumos - OPEX'!N$38))</f>
        <v>0</v>
      </c>
      <c r="S308" s="111"/>
      <c r="U308" s="1"/>
    </row>
    <row r="309" spans="1:21" x14ac:dyDescent="0.2">
      <c r="A309" s="8"/>
      <c r="B309" s="8" t="s">
        <v>434</v>
      </c>
      <c r="C309" s="8" t="s">
        <v>174</v>
      </c>
      <c r="D309" s="8">
        <v>6563000004</v>
      </c>
      <c r="E309" s="8" t="s">
        <v>370</v>
      </c>
      <c r="F309" s="89" t="s">
        <v>470</v>
      </c>
      <c r="G309" s="73" t="s">
        <v>136</v>
      </c>
      <c r="H309" s="112" t="s">
        <v>61</v>
      </c>
      <c r="I309" s="13" t="s">
        <v>436</v>
      </c>
      <c r="K309" s="186">
        <v>0</v>
      </c>
      <c r="L309" s="187"/>
      <c r="M309" s="214">
        <f>IF(OR(E309="Distribución Legal de la Renta",E309="Acopio carros portaequipajes"),0,IF(K309&lt;0,0,K309*(1+SUMIFS('Insumos - OPEX'!$G$82:$G$238,'Insumos - OPEX'!$B$82:$B$238,OPEX!D309))))</f>
        <v>0</v>
      </c>
      <c r="N309" s="211">
        <f>IF(OR($B309="Ce Co No Imputables",$G309="M2 fijo"),$M309*(1+'Insumos - OPEX'!J$38),$M309*(1+'Insumos - OPEX'!J$29*'Insumos - OPEX'!J$39)*(1+'Insumos - OPEX'!J$38))</f>
        <v>0</v>
      </c>
      <c r="O309" s="211">
        <f>IF(OR($B309="Ce Co No Imputables",$G309="M2 fijo"),$M309*(1+'Insumos - OPEX'!K$38),$M309*(1+'Insumos - OPEX'!K$29*'Insumos - OPEX'!K$39)*(1+'Insumos - OPEX'!K$38))</f>
        <v>0</v>
      </c>
      <c r="P309" s="211">
        <f>IF(OR($B309="Ce Co No Imputables",$G309="M2 fijo"),$M309*(1+'Insumos - OPEX'!L$38),$M309*(1+'Insumos - OPEX'!L$29*'Insumos - OPEX'!L$39)*(1+'Insumos - OPEX'!L$38))</f>
        <v>0</v>
      </c>
      <c r="Q309" s="211">
        <f>IF(OR($B309="Ce Co No Imputables",$G309="M2 fijo"),$M309*(1+'Insumos - OPEX'!M$38),$M309*(1+'Insumos - OPEX'!M$29*'Insumos - OPEX'!M$39)*(1+'Insumos - OPEX'!M$38))</f>
        <v>0</v>
      </c>
      <c r="R309" s="211">
        <f>IF(OR($B309="Ce Co No Imputables",$G309="M2 fijo"),$M309*(1+'Insumos - OPEX'!N$38),$M309*(1+'Insumos - OPEX'!N$29*'Insumos - OPEX'!N$39)*(1+'Insumos - OPEX'!N$38))</f>
        <v>0</v>
      </c>
      <c r="S309" s="111"/>
    </row>
    <row r="310" spans="1:21" x14ac:dyDescent="0.2">
      <c r="A310" s="8"/>
      <c r="B310" s="8" t="s">
        <v>434</v>
      </c>
      <c r="C310" s="8" t="s">
        <v>174</v>
      </c>
      <c r="D310" s="8">
        <v>6410000002</v>
      </c>
      <c r="E310" s="8" t="s">
        <v>357</v>
      </c>
      <c r="F310" s="89" t="s">
        <v>470</v>
      </c>
      <c r="G310" s="73" t="s">
        <v>136</v>
      </c>
      <c r="H310" s="112" t="s">
        <v>61</v>
      </c>
      <c r="I310" s="13" t="s">
        <v>436</v>
      </c>
      <c r="K310" s="186">
        <v>0</v>
      </c>
      <c r="L310" s="187"/>
      <c r="M310" s="214">
        <f>IF(OR(E310="Distribución Legal de la Renta",E310="Acopio carros portaequipajes"),0,IF(K310&lt;0,0,K310*(1+SUMIFS('Insumos - OPEX'!$G$82:$G$238,'Insumos - OPEX'!$B$82:$B$238,OPEX!D310))))</f>
        <v>0</v>
      </c>
      <c r="N310" s="211">
        <f>IF(OR($B310="Ce Co No Imputables",$G310="M2 fijo"),$M310*(1+'Insumos - OPEX'!J$38),$M310*(1+'Insumos - OPEX'!J$29*'Insumos - OPEX'!J$39)*(1+'Insumos - OPEX'!J$38))</f>
        <v>0</v>
      </c>
      <c r="O310" s="211">
        <f>IF(OR($B310="Ce Co No Imputables",$G310="M2 fijo"),$M310*(1+'Insumos - OPEX'!K$38),$M310*(1+'Insumos - OPEX'!K$29*'Insumos - OPEX'!K$39)*(1+'Insumos - OPEX'!K$38))</f>
        <v>0</v>
      </c>
      <c r="P310" s="211">
        <f>IF(OR($B310="Ce Co No Imputables",$G310="M2 fijo"),$M310*(1+'Insumos - OPEX'!L$38),$M310*(1+'Insumos - OPEX'!L$29*'Insumos - OPEX'!L$39)*(1+'Insumos - OPEX'!L$38))</f>
        <v>0</v>
      </c>
      <c r="Q310" s="211">
        <f>IF(OR($B310="Ce Co No Imputables",$G310="M2 fijo"),$M310*(1+'Insumos - OPEX'!M$38),$M310*(1+'Insumos - OPEX'!M$29*'Insumos - OPEX'!M$39)*(1+'Insumos - OPEX'!M$38))</f>
        <v>0</v>
      </c>
      <c r="R310" s="211">
        <f>IF(OR($B310="Ce Co No Imputables",$G310="M2 fijo"),$M310*(1+'Insumos - OPEX'!N$38),$M310*(1+'Insumos - OPEX'!N$29*'Insumos - OPEX'!N$39)*(1+'Insumos - OPEX'!N$38))</f>
        <v>0</v>
      </c>
      <c r="S310" s="111"/>
    </row>
    <row r="311" spans="1:21" x14ac:dyDescent="0.2">
      <c r="A311" s="8"/>
      <c r="B311" s="8" t="s">
        <v>434</v>
      </c>
      <c r="C311" s="8" t="s">
        <v>174</v>
      </c>
      <c r="D311" s="8">
        <v>6590000001</v>
      </c>
      <c r="E311" s="8" t="s">
        <v>369</v>
      </c>
      <c r="F311" s="89" t="s">
        <v>470</v>
      </c>
      <c r="G311" s="73" t="s">
        <v>136</v>
      </c>
      <c r="H311" s="112" t="s">
        <v>61</v>
      </c>
      <c r="I311" s="13" t="s">
        <v>436</v>
      </c>
      <c r="K311" s="186">
        <v>0</v>
      </c>
      <c r="L311" s="187"/>
      <c r="M311" s="214">
        <f>IF(OR(E311="Distribución Legal de la Renta",E311="Acopio carros portaequipajes"),0,IF(K311&lt;0,0,K311*(1+SUMIFS('Insumos - OPEX'!$G$82:$G$238,'Insumos - OPEX'!$B$82:$B$238,OPEX!D311))))</f>
        <v>0</v>
      </c>
      <c r="N311" s="211">
        <f>IF(OR($B311="Ce Co No Imputables",$G311="M2 fijo"),$M311*(1+'Insumos - OPEX'!J$38),$M311*(1+'Insumos - OPEX'!J$29*'Insumos - OPEX'!J$39)*(1+'Insumos - OPEX'!J$38))</f>
        <v>0</v>
      </c>
      <c r="O311" s="211">
        <f>IF(OR($B311="Ce Co No Imputables",$G311="M2 fijo"),$M311*(1+'Insumos - OPEX'!K$38),$M311*(1+'Insumos - OPEX'!K$29*'Insumos - OPEX'!K$39)*(1+'Insumos - OPEX'!K$38))</f>
        <v>0</v>
      </c>
      <c r="P311" s="211">
        <f>IF(OR($B311="Ce Co No Imputables",$G311="M2 fijo"),$M311*(1+'Insumos - OPEX'!L$38),$M311*(1+'Insumos - OPEX'!L$29*'Insumos - OPEX'!L$39)*(1+'Insumos - OPEX'!L$38))</f>
        <v>0</v>
      </c>
      <c r="Q311" s="211">
        <f>IF(OR($B311="Ce Co No Imputables",$G311="M2 fijo"),$M311*(1+'Insumos - OPEX'!M$38),$M311*(1+'Insumos - OPEX'!M$29*'Insumos - OPEX'!M$39)*(1+'Insumos - OPEX'!M$38))</f>
        <v>0</v>
      </c>
      <c r="R311" s="211">
        <f>IF(OR($B311="Ce Co No Imputables",$G311="M2 fijo"),$M311*(1+'Insumos - OPEX'!N$38),$M311*(1+'Insumos - OPEX'!N$29*'Insumos - OPEX'!N$39)*(1+'Insumos - OPEX'!N$38))</f>
        <v>0</v>
      </c>
      <c r="S311" s="111"/>
    </row>
    <row r="312" spans="1:21" x14ac:dyDescent="0.2">
      <c r="A312" s="8"/>
      <c r="B312" s="8" t="s">
        <v>434</v>
      </c>
      <c r="C312" s="8" t="s">
        <v>174</v>
      </c>
      <c r="D312" s="8">
        <v>6562000004</v>
      </c>
      <c r="E312" s="8" t="s">
        <v>377</v>
      </c>
      <c r="F312" s="89" t="s">
        <v>470</v>
      </c>
      <c r="G312" s="73" t="s">
        <v>136</v>
      </c>
      <c r="H312" s="112" t="s">
        <v>61</v>
      </c>
      <c r="I312" s="13" t="s">
        <v>436</v>
      </c>
      <c r="K312" s="186">
        <v>0</v>
      </c>
      <c r="L312" s="187"/>
      <c r="M312" s="214">
        <f>IF(OR(E312="Distribución Legal de la Renta",E312="Acopio carros portaequipajes"),0,IF(K312&lt;0,0,K312*(1+SUMIFS('Insumos - OPEX'!$G$82:$G$238,'Insumos - OPEX'!$B$82:$B$238,OPEX!D312))))</f>
        <v>0</v>
      </c>
      <c r="N312" s="211">
        <f>IF(OR($B312="Ce Co No Imputables",$G312="M2 fijo"),$M312*(1+'Insumos - OPEX'!J$38),$M312*(1+'Insumos - OPEX'!J$29*'Insumos - OPEX'!J$39)*(1+'Insumos - OPEX'!J$38))</f>
        <v>0</v>
      </c>
      <c r="O312" s="211">
        <f>IF(OR($B312="Ce Co No Imputables",$G312="M2 fijo"),$M312*(1+'Insumos - OPEX'!K$38),$M312*(1+'Insumos - OPEX'!K$29*'Insumos - OPEX'!K$39)*(1+'Insumos - OPEX'!K$38))</f>
        <v>0</v>
      </c>
      <c r="P312" s="211">
        <f>IF(OR($B312="Ce Co No Imputables",$G312="M2 fijo"),$M312*(1+'Insumos - OPEX'!L$38),$M312*(1+'Insumos - OPEX'!L$29*'Insumos - OPEX'!L$39)*(1+'Insumos - OPEX'!L$38))</f>
        <v>0</v>
      </c>
      <c r="Q312" s="211">
        <f>IF(OR($B312="Ce Co No Imputables",$G312="M2 fijo"),$M312*(1+'Insumos - OPEX'!M$38),$M312*(1+'Insumos - OPEX'!M$29*'Insumos - OPEX'!M$39)*(1+'Insumos - OPEX'!M$38))</f>
        <v>0</v>
      </c>
      <c r="R312" s="211">
        <f>IF(OR($B312="Ce Co No Imputables",$G312="M2 fijo"),$M312*(1+'Insumos - OPEX'!N$38),$M312*(1+'Insumos - OPEX'!N$29*'Insumos - OPEX'!N$39)*(1+'Insumos - OPEX'!N$38))</f>
        <v>0</v>
      </c>
      <c r="S312" s="111"/>
    </row>
    <row r="313" spans="1:21" x14ac:dyDescent="0.2">
      <c r="A313" s="8"/>
      <c r="B313" s="8" t="s">
        <v>434</v>
      </c>
      <c r="C313" s="8" t="s">
        <v>174</v>
      </c>
      <c r="D313" s="8">
        <v>6590000003</v>
      </c>
      <c r="E313" s="8" t="s">
        <v>372</v>
      </c>
      <c r="F313" s="89" t="s">
        <v>470</v>
      </c>
      <c r="G313" s="73" t="s">
        <v>136</v>
      </c>
      <c r="H313" s="112" t="s">
        <v>61</v>
      </c>
      <c r="I313" s="13" t="s">
        <v>436</v>
      </c>
      <c r="K313" s="186">
        <v>0</v>
      </c>
      <c r="L313" s="187"/>
      <c r="M313" s="214">
        <f>IF(OR(E313="Distribución Legal de la Renta",E313="Acopio carros portaequipajes"),0,IF(K313&lt;0,0,K313*(1+SUMIFS('Insumos - OPEX'!$G$82:$G$238,'Insumos - OPEX'!$B$82:$B$238,OPEX!D313))))</f>
        <v>0</v>
      </c>
      <c r="N313" s="211">
        <f>IF(OR($B313="Ce Co No Imputables",$G313="M2 fijo"),$M313*(1+'Insumos - OPEX'!J$38),$M313*(1+'Insumos - OPEX'!J$29*'Insumos - OPEX'!J$39)*(1+'Insumos - OPEX'!J$38))</f>
        <v>0</v>
      </c>
      <c r="O313" s="211">
        <f>IF(OR($B313="Ce Co No Imputables",$G313="M2 fijo"),$M313*(1+'Insumos - OPEX'!K$38),$M313*(1+'Insumos - OPEX'!K$29*'Insumos - OPEX'!K$39)*(1+'Insumos - OPEX'!K$38))</f>
        <v>0</v>
      </c>
      <c r="P313" s="211">
        <f>IF(OR($B313="Ce Co No Imputables",$G313="M2 fijo"),$M313*(1+'Insumos - OPEX'!L$38),$M313*(1+'Insumos - OPEX'!L$29*'Insumos - OPEX'!L$39)*(1+'Insumos - OPEX'!L$38))</f>
        <v>0</v>
      </c>
      <c r="Q313" s="211">
        <f>IF(OR($B313="Ce Co No Imputables",$G313="M2 fijo"),$M313*(1+'Insumos - OPEX'!M$38),$M313*(1+'Insumos - OPEX'!M$29*'Insumos - OPEX'!M$39)*(1+'Insumos - OPEX'!M$38))</f>
        <v>0</v>
      </c>
      <c r="R313" s="211">
        <f>IF(OR($B313="Ce Co No Imputables",$G313="M2 fijo"),$M313*(1+'Insumos - OPEX'!N$38),$M313*(1+'Insumos - OPEX'!N$29*'Insumos - OPEX'!N$39)*(1+'Insumos - OPEX'!N$38))</f>
        <v>0</v>
      </c>
      <c r="S313" s="111"/>
    </row>
    <row r="314" spans="1:21" x14ac:dyDescent="0.2">
      <c r="A314" s="8"/>
      <c r="B314" s="8" t="s">
        <v>434</v>
      </c>
      <c r="C314" s="8" t="s">
        <v>174</v>
      </c>
      <c r="D314" s="8">
        <v>6590000007</v>
      </c>
      <c r="E314" s="8" t="s">
        <v>382</v>
      </c>
      <c r="F314" s="89" t="s">
        <v>470</v>
      </c>
      <c r="G314" s="73" t="s">
        <v>136</v>
      </c>
      <c r="H314" s="112" t="s">
        <v>61</v>
      </c>
      <c r="I314" s="13" t="s">
        <v>436</v>
      </c>
      <c r="K314" s="186">
        <v>0</v>
      </c>
      <c r="L314" s="187"/>
      <c r="M314" s="214">
        <f>IF(OR(E314="Distribución Legal de la Renta",E314="Acopio carros portaequipajes"),0,IF(K314&lt;0,0,K314*(1+SUMIFS('Insumos - OPEX'!$G$82:$G$238,'Insumos - OPEX'!$B$82:$B$238,OPEX!D314))))</f>
        <v>0</v>
      </c>
      <c r="N314" s="211">
        <f>IF(OR($B314="Ce Co No Imputables",$G314="M2 fijo"),$M314*(1+'Insumos - OPEX'!J$38),$M314*(1+'Insumos - OPEX'!J$29*'Insumos - OPEX'!J$39)*(1+'Insumos - OPEX'!J$38))</f>
        <v>0</v>
      </c>
      <c r="O314" s="211">
        <f>IF(OR($B314="Ce Co No Imputables",$G314="M2 fijo"),$M314*(1+'Insumos - OPEX'!K$38),$M314*(1+'Insumos - OPEX'!K$29*'Insumos - OPEX'!K$39)*(1+'Insumos - OPEX'!K$38))</f>
        <v>0</v>
      </c>
      <c r="P314" s="211">
        <f>IF(OR($B314="Ce Co No Imputables",$G314="M2 fijo"),$M314*(1+'Insumos - OPEX'!L$38),$M314*(1+'Insumos - OPEX'!L$29*'Insumos - OPEX'!L$39)*(1+'Insumos - OPEX'!L$38))</f>
        <v>0</v>
      </c>
      <c r="Q314" s="211">
        <f>IF(OR($B314="Ce Co No Imputables",$G314="M2 fijo"),$M314*(1+'Insumos - OPEX'!M$38),$M314*(1+'Insumos - OPEX'!M$29*'Insumos - OPEX'!M$39)*(1+'Insumos - OPEX'!M$38))</f>
        <v>0</v>
      </c>
      <c r="R314" s="211">
        <f>IF(OR($B314="Ce Co No Imputables",$G314="M2 fijo"),$M314*(1+'Insumos - OPEX'!N$38),$M314*(1+'Insumos - OPEX'!N$29*'Insumos - OPEX'!N$39)*(1+'Insumos - OPEX'!N$38))</f>
        <v>0</v>
      </c>
      <c r="S314" s="111"/>
    </row>
    <row r="315" spans="1:21" x14ac:dyDescent="0.2">
      <c r="A315" s="8"/>
      <c r="B315" s="8" t="s">
        <v>434</v>
      </c>
      <c r="C315" s="8" t="s">
        <v>174</v>
      </c>
      <c r="D315" s="8">
        <v>6590000005</v>
      </c>
      <c r="E315" s="8" t="s">
        <v>379</v>
      </c>
      <c r="F315" s="89" t="s">
        <v>470</v>
      </c>
      <c r="G315" s="73" t="s">
        <v>136</v>
      </c>
      <c r="H315" s="112" t="s">
        <v>61</v>
      </c>
      <c r="I315" s="13" t="s">
        <v>436</v>
      </c>
      <c r="K315" s="186">
        <v>0</v>
      </c>
      <c r="L315" s="187"/>
      <c r="M315" s="214">
        <f>IF(OR(E315="Distribución Legal de la Renta",E315="Acopio carros portaequipajes"),0,IF(K315&lt;0,0,K315*(1+SUMIFS('Insumos - OPEX'!$G$82:$G$238,'Insumos - OPEX'!$B$82:$B$238,OPEX!D315))))</f>
        <v>0</v>
      </c>
      <c r="N315" s="211">
        <f>IF(OR($B315="Ce Co No Imputables",$G315="M2 fijo"),$M315*(1+'Insumos - OPEX'!J$38),$M315*(1+'Insumos - OPEX'!J$29*'Insumos - OPEX'!J$39)*(1+'Insumos - OPEX'!J$38))</f>
        <v>0</v>
      </c>
      <c r="O315" s="211">
        <f>IF(OR($B315="Ce Co No Imputables",$G315="M2 fijo"),$M315*(1+'Insumos - OPEX'!K$38),$M315*(1+'Insumos - OPEX'!K$29*'Insumos - OPEX'!K$39)*(1+'Insumos - OPEX'!K$38))</f>
        <v>0</v>
      </c>
      <c r="P315" s="211">
        <f>IF(OR($B315="Ce Co No Imputables",$G315="M2 fijo"),$M315*(1+'Insumos - OPEX'!L$38),$M315*(1+'Insumos - OPEX'!L$29*'Insumos - OPEX'!L$39)*(1+'Insumos - OPEX'!L$38))</f>
        <v>0</v>
      </c>
      <c r="Q315" s="211">
        <f>IF(OR($B315="Ce Co No Imputables",$G315="M2 fijo"),$M315*(1+'Insumos - OPEX'!M$38),$M315*(1+'Insumos - OPEX'!M$29*'Insumos - OPEX'!M$39)*(1+'Insumos - OPEX'!M$38))</f>
        <v>0</v>
      </c>
      <c r="R315" s="211">
        <f>IF(OR($B315="Ce Co No Imputables",$G315="M2 fijo"),$M315*(1+'Insumos - OPEX'!N$38),$M315*(1+'Insumos - OPEX'!N$29*'Insumos - OPEX'!N$39)*(1+'Insumos - OPEX'!N$38))</f>
        <v>0</v>
      </c>
      <c r="S315" s="111"/>
    </row>
    <row r="316" spans="1:21" x14ac:dyDescent="0.2">
      <c r="A316" s="8"/>
      <c r="B316" s="8" t="s">
        <v>434</v>
      </c>
      <c r="C316" s="8" t="s">
        <v>174</v>
      </c>
      <c r="D316" s="8">
        <v>6590000010</v>
      </c>
      <c r="E316" s="8" t="s">
        <v>381</v>
      </c>
      <c r="F316" s="89" t="s">
        <v>470</v>
      </c>
      <c r="G316" s="73" t="s">
        <v>136</v>
      </c>
      <c r="H316" s="112" t="s">
        <v>61</v>
      </c>
      <c r="I316" s="13" t="s">
        <v>436</v>
      </c>
      <c r="K316" s="186">
        <v>0</v>
      </c>
      <c r="L316" s="187"/>
      <c r="M316" s="214">
        <f>IF(OR(E316="Distribución Legal de la Renta",E316="Acopio carros portaequipajes"),0,IF(K316&lt;0,0,K316*(1+SUMIFS('Insumos - OPEX'!$G$82:$G$238,'Insumos - OPEX'!$B$82:$B$238,OPEX!D316))))</f>
        <v>0</v>
      </c>
      <c r="N316" s="211">
        <f>IF(OR($B316="Ce Co No Imputables",$G316="M2 fijo"),$M316*(1+'Insumos - OPEX'!J$38),$M316*(1+'Insumos - OPEX'!J$29*'Insumos - OPEX'!J$39)*(1+'Insumos - OPEX'!J$38))</f>
        <v>0</v>
      </c>
      <c r="O316" s="211">
        <f>IF(OR($B316="Ce Co No Imputables",$G316="M2 fijo"),$M316*(1+'Insumos - OPEX'!K$38),$M316*(1+'Insumos - OPEX'!K$29*'Insumos - OPEX'!K$39)*(1+'Insumos - OPEX'!K$38))</f>
        <v>0</v>
      </c>
      <c r="P316" s="211">
        <f>IF(OR($B316="Ce Co No Imputables",$G316="M2 fijo"),$M316*(1+'Insumos - OPEX'!L$38),$M316*(1+'Insumos - OPEX'!L$29*'Insumos - OPEX'!L$39)*(1+'Insumos - OPEX'!L$38))</f>
        <v>0</v>
      </c>
      <c r="Q316" s="211">
        <f>IF(OR($B316="Ce Co No Imputables",$G316="M2 fijo"),$M316*(1+'Insumos - OPEX'!M$38),$M316*(1+'Insumos - OPEX'!M$29*'Insumos - OPEX'!M$39)*(1+'Insumos - OPEX'!M$38))</f>
        <v>0</v>
      </c>
      <c r="R316" s="211">
        <f>IF(OR($B316="Ce Co No Imputables",$G316="M2 fijo"),$M316*(1+'Insumos - OPEX'!N$38),$M316*(1+'Insumos - OPEX'!N$29*'Insumos - OPEX'!N$39)*(1+'Insumos - OPEX'!N$38))</f>
        <v>0</v>
      </c>
      <c r="S316" s="111"/>
    </row>
    <row r="317" spans="1:21" x14ac:dyDescent="0.2">
      <c r="A317" s="8"/>
      <c r="B317" s="8" t="s">
        <v>434</v>
      </c>
      <c r="C317" s="8" t="s">
        <v>174</v>
      </c>
      <c r="D317" s="8">
        <v>6390000001</v>
      </c>
      <c r="E317" s="8" t="s">
        <v>368</v>
      </c>
      <c r="F317" s="89" t="s">
        <v>470</v>
      </c>
      <c r="G317" s="73" t="s">
        <v>136</v>
      </c>
      <c r="H317" s="112" t="s">
        <v>61</v>
      </c>
      <c r="I317" s="13" t="s">
        <v>436</v>
      </c>
      <c r="K317" s="186">
        <v>0</v>
      </c>
      <c r="L317" s="187"/>
      <c r="M317" s="214">
        <f>IF(OR(E317="Distribución Legal de la Renta",E317="Acopio carros portaequipajes"),0,IF(K317&lt;0,0,K317*(1+SUMIFS('Insumos - OPEX'!$G$82:$G$238,'Insumos - OPEX'!$B$82:$B$238,OPEX!D317))))</f>
        <v>0</v>
      </c>
      <c r="N317" s="211">
        <f>IF(OR($B317="Ce Co No Imputables",$G317="M2 fijo"),$M317*(1+'Insumos - OPEX'!J$38),$M317*(1+'Insumos - OPEX'!J$29*'Insumos - OPEX'!J$39)*(1+'Insumos - OPEX'!J$38))</f>
        <v>0</v>
      </c>
      <c r="O317" s="211">
        <f>IF(OR($B317="Ce Co No Imputables",$G317="M2 fijo"),$M317*(1+'Insumos - OPEX'!K$38),$M317*(1+'Insumos - OPEX'!K$29*'Insumos - OPEX'!K$39)*(1+'Insumos - OPEX'!K$38))</f>
        <v>0</v>
      </c>
      <c r="P317" s="211">
        <f>IF(OR($B317="Ce Co No Imputables",$G317="M2 fijo"),$M317*(1+'Insumos - OPEX'!L$38),$M317*(1+'Insumos - OPEX'!L$29*'Insumos - OPEX'!L$39)*(1+'Insumos - OPEX'!L$38))</f>
        <v>0</v>
      </c>
      <c r="Q317" s="211">
        <f>IF(OR($B317="Ce Co No Imputables",$G317="M2 fijo"),$M317*(1+'Insumos - OPEX'!M$38),$M317*(1+'Insumos - OPEX'!M$29*'Insumos - OPEX'!M$39)*(1+'Insumos - OPEX'!M$38))</f>
        <v>0</v>
      </c>
      <c r="R317" s="211">
        <f>IF(OR($B317="Ce Co No Imputables",$G317="M2 fijo"),$M317*(1+'Insumos - OPEX'!N$38),$M317*(1+'Insumos - OPEX'!N$29*'Insumos - OPEX'!N$39)*(1+'Insumos - OPEX'!N$38))</f>
        <v>0</v>
      </c>
      <c r="S317" s="111"/>
    </row>
    <row r="318" spans="1:21" s="3" customFormat="1" x14ac:dyDescent="0.2">
      <c r="A318" s="8"/>
      <c r="B318" s="8" t="s">
        <v>434</v>
      </c>
      <c r="C318" s="8" t="s">
        <v>174</v>
      </c>
      <c r="D318" s="8">
        <v>6840000001</v>
      </c>
      <c r="E318" s="8" t="s">
        <v>374</v>
      </c>
      <c r="F318" s="89" t="s">
        <v>470</v>
      </c>
      <c r="G318" s="73" t="s">
        <v>136</v>
      </c>
      <c r="H318" s="112" t="s">
        <v>61</v>
      </c>
      <c r="I318" s="13" t="s">
        <v>436</v>
      </c>
      <c r="J318" s="11"/>
      <c r="K318" s="186">
        <v>0</v>
      </c>
      <c r="L318" s="187"/>
      <c r="M318" s="214">
        <f>IF(OR(E318="Distribución Legal de la Renta",E318="Acopio carros portaequipajes"),0,IF(K318&lt;0,0,K318*(1+SUMIFS('Insumos - OPEX'!$G$82:$G$238,'Insumos - OPEX'!$B$82:$B$238,OPEX!D318))))</f>
        <v>0</v>
      </c>
      <c r="N318" s="211">
        <f>IF(OR($B318="Ce Co No Imputables",$G318="M2 fijo"),$M318*(1+'Insumos - OPEX'!J$38),$M318*(1+'Insumos - OPEX'!J$29*'Insumos - OPEX'!J$39)*(1+'Insumos - OPEX'!J$38))</f>
        <v>0</v>
      </c>
      <c r="O318" s="211">
        <f>IF(OR($B318="Ce Co No Imputables",$G318="M2 fijo"),$M318*(1+'Insumos - OPEX'!K$38),$M318*(1+'Insumos - OPEX'!K$29*'Insumos - OPEX'!K$39)*(1+'Insumos - OPEX'!K$38))</f>
        <v>0</v>
      </c>
      <c r="P318" s="211">
        <f>IF(OR($B318="Ce Co No Imputables",$G318="M2 fijo"),$M318*(1+'Insumos - OPEX'!L$38),$M318*(1+'Insumos - OPEX'!L$29*'Insumos - OPEX'!L$39)*(1+'Insumos - OPEX'!L$38))</f>
        <v>0</v>
      </c>
      <c r="Q318" s="211">
        <f>IF(OR($B318="Ce Co No Imputables",$G318="M2 fijo"),$M318*(1+'Insumos - OPEX'!M$38),$M318*(1+'Insumos - OPEX'!M$29*'Insumos - OPEX'!M$39)*(1+'Insumos - OPEX'!M$38))</f>
        <v>0</v>
      </c>
      <c r="R318" s="211">
        <f>IF(OR($B318="Ce Co No Imputables",$G318="M2 fijo"),$M318*(1+'Insumos - OPEX'!N$38),$M318*(1+'Insumos - OPEX'!N$29*'Insumos - OPEX'!N$39)*(1+'Insumos - OPEX'!N$38))</f>
        <v>0</v>
      </c>
      <c r="S318" s="111"/>
      <c r="U318" s="1"/>
    </row>
    <row r="319" spans="1:21" x14ac:dyDescent="0.2">
      <c r="A319" s="8"/>
      <c r="B319" s="8" t="s">
        <v>434</v>
      </c>
      <c r="C319" s="8" t="s">
        <v>174</v>
      </c>
      <c r="D319" s="8">
        <v>6590000011</v>
      </c>
      <c r="E319" s="8" t="s">
        <v>384</v>
      </c>
      <c r="F319" s="89" t="s">
        <v>470</v>
      </c>
      <c r="G319" s="73" t="s">
        <v>136</v>
      </c>
      <c r="H319" s="112" t="s">
        <v>61</v>
      </c>
      <c r="I319" s="13" t="s">
        <v>436</v>
      </c>
      <c r="K319" s="186">
        <v>0</v>
      </c>
      <c r="L319" s="187"/>
      <c r="M319" s="214">
        <f>IF(OR(E319="Distribución Legal de la Renta",E319="Acopio carros portaequipajes"),0,IF(K319&lt;0,0,K319*(1+SUMIFS('Insumos - OPEX'!$G$82:$G$238,'Insumos - OPEX'!$B$82:$B$238,OPEX!D319))))</f>
        <v>0</v>
      </c>
      <c r="N319" s="211">
        <f>IF(OR($B319="Ce Co No Imputables",$G319="M2 fijo"),$M319*(1+'Insumos - OPEX'!J$38),$M319*(1+'Insumos - OPEX'!J$29*'Insumos - OPEX'!J$39)*(1+'Insumos - OPEX'!J$38))</f>
        <v>0</v>
      </c>
      <c r="O319" s="211">
        <f>IF(OR($B319="Ce Co No Imputables",$G319="M2 fijo"),$M319*(1+'Insumos - OPEX'!K$38),$M319*(1+'Insumos - OPEX'!K$29*'Insumos - OPEX'!K$39)*(1+'Insumos - OPEX'!K$38))</f>
        <v>0</v>
      </c>
      <c r="P319" s="211">
        <f>IF(OR($B319="Ce Co No Imputables",$G319="M2 fijo"),$M319*(1+'Insumos - OPEX'!L$38),$M319*(1+'Insumos - OPEX'!L$29*'Insumos - OPEX'!L$39)*(1+'Insumos - OPEX'!L$38))</f>
        <v>0</v>
      </c>
      <c r="Q319" s="211">
        <f>IF(OR($B319="Ce Co No Imputables",$G319="M2 fijo"),$M319*(1+'Insumos - OPEX'!M$38),$M319*(1+'Insumos - OPEX'!M$29*'Insumos - OPEX'!M$39)*(1+'Insumos - OPEX'!M$38))</f>
        <v>0</v>
      </c>
      <c r="R319" s="211">
        <f>IF(OR($B319="Ce Co No Imputables",$G319="M2 fijo"),$M319*(1+'Insumos - OPEX'!N$38),$M319*(1+'Insumos - OPEX'!N$29*'Insumos - OPEX'!N$39)*(1+'Insumos - OPEX'!N$38))</f>
        <v>0</v>
      </c>
      <c r="S319" s="111"/>
    </row>
    <row r="320" spans="1:21" s="3" customFormat="1" x14ac:dyDescent="0.2">
      <c r="A320" s="8"/>
      <c r="B320" s="8" t="s">
        <v>434</v>
      </c>
      <c r="C320" s="8" t="s">
        <v>174</v>
      </c>
      <c r="D320" s="8">
        <v>6563000001</v>
      </c>
      <c r="E320" s="8" t="s">
        <v>383</v>
      </c>
      <c r="F320" s="89" t="s">
        <v>470</v>
      </c>
      <c r="G320" s="73" t="s">
        <v>136</v>
      </c>
      <c r="H320" s="112" t="s">
        <v>61</v>
      </c>
      <c r="I320" s="13" t="s">
        <v>436</v>
      </c>
      <c r="J320" s="11"/>
      <c r="K320" s="186">
        <v>0</v>
      </c>
      <c r="L320" s="187"/>
      <c r="M320" s="214">
        <f>IF(OR(E320="Distribución Legal de la Renta",E320="Acopio carros portaequipajes"),0,IF(K320&lt;0,0,K320*(1+SUMIFS('Insumos - OPEX'!$G$82:$G$238,'Insumos - OPEX'!$B$82:$B$238,OPEX!D320))))</f>
        <v>0</v>
      </c>
      <c r="N320" s="211">
        <f>IF(OR($B320="Ce Co No Imputables",$G320="M2 fijo"),$M320*(1+'Insumos - OPEX'!J$38),$M320*(1+'Insumos - OPEX'!J$29*'Insumos - OPEX'!J$39)*(1+'Insumos - OPEX'!J$38))</f>
        <v>0</v>
      </c>
      <c r="O320" s="211">
        <f>IF(OR($B320="Ce Co No Imputables",$G320="M2 fijo"),$M320*(1+'Insumos - OPEX'!K$38),$M320*(1+'Insumos - OPEX'!K$29*'Insumos - OPEX'!K$39)*(1+'Insumos - OPEX'!K$38))</f>
        <v>0</v>
      </c>
      <c r="P320" s="211">
        <f>IF(OR($B320="Ce Co No Imputables",$G320="M2 fijo"),$M320*(1+'Insumos - OPEX'!L$38),$M320*(1+'Insumos - OPEX'!L$29*'Insumos - OPEX'!L$39)*(1+'Insumos - OPEX'!L$38))</f>
        <v>0</v>
      </c>
      <c r="Q320" s="211">
        <f>IF(OR($B320="Ce Co No Imputables",$G320="M2 fijo"),$M320*(1+'Insumos - OPEX'!M$38),$M320*(1+'Insumos - OPEX'!M$29*'Insumos - OPEX'!M$39)*(1+'Insumos - OPEX'!M$38))</f>
        <v>0</v>
      </c>
      <c r="R320" s="211">
        <f>IF(OR($B320="Ce Co No Imputables",$G320="M2 fijo"),$M320*(1+'Insumos - OPEX'!N$38),$M320*(1+'Insumos - OPEX'!N$29*'Insumos - OPEX'!N$39)*(1+'Insumos - OPEX'!N$38))</f>
        <v>0</v>
      </c>
      <c r="S320" s="111"/>
      <c r="U320" s="1"/>
    </row>
    <row r="321" spans="1:21" x14ac:dyDescent="0.2">
      <c r="A321" s="8"/>
      <c r="B321" s="8" t="s">
        <v>434</v>
      </c>
      <c r="C321" s="8" t="s">
        <v>174</v>
      </c>
      <c r="D321" s="8">
        <v>6380000003</v>
      </c>
      <c r="E321" s="8" t="s">
        <v>375</v>
      </c>
      <c r="F321" s="89" t="s">
        <v>470</v>
      </c>
      <c r="G321" s="73" t="s">
        <v>136</v>
      </c>
      <c r="H321" s="112" t="s">
        <v>61</v>
      </c>
      <c r="I321" s="13" t="s">
        <v>436</v>
      </c>
      <c r="K321" s="186">
        <v>0</v>
      </c>
      <c r="L321" s="187"/>
      <c r="M321" s="214">
        <f>IF(OR(E321="Distribución Legal de la Renta",E321="Acopio carros portaequipajes"),0,IF(K321&lt;0,0,K321*(1+SUMIFS('Insumos - OPEX'!$G$82:$G$238,'Insumos - OPEX'!$B$82:$B$238,OPEX!D321))))</f>
        <v>0</v>
      </c>
      <c r="N321" s="211">
        <f>IF(OR($B321="Ce Co No Imputables",$G321="M2 fijo"),$M321*(1+'Insumos - OPEX'!J$38),$M321*(1+'Insumos - OPEX'!J$29*'Insumos - OPEX'!J$39)*(1+'Insumos - OPEX'!J$38))</f>
        <v>0</v>
      </c>
      <c r="O321" s="211">
        <f>IF(OR($B321="Ce Co No Imputables",$G321="M2 fijo"),$M321*(1+'Insumos - OPEX'!K$38),$M321*(1+'Insumos - OPEX'!K$29*'Insumos - OPEX'!K$39)*(1+'Insumos - OPEX'!K$38))</f>
        <v>0</v>
      </c>
      <c r="P321" s="211">
        <f>IF(OR($B321="Ce Co No Imputables",$G321="M2 fijo"),$M321*(1+'Insumos - OPEX'!L$38),$M321*(1+'Insumos - OPEX'!L$29*'Insumos - OPEX'!L$39)*(1+'Insumos - OPEX'!L$38))</f>
        <v>0</v>
      </c>
      <c r="Q321" s="211">
        <f>IF(OR($B321="Ce Co No Imputables",$G321="M2 fijo"),$M321*(1+'Insumos - OPEX'!M$38),$M321*(1+'Insumos - OPEX'!M$29*'Insumos - OPEX'!M$39)*(1+'Insumos - OPEX'!M$38))</f>
        <v>0</v>
      </c>
      <c r="R321" s="211">
        <f>IF(OR($B321="Ce Co No Imputables",$G321="M2 fijo"),$M321*(1+'Insumos - OPEX'!N$38),$M321*(1+'Insumos - OPEX'!N$29*'Insumos - OPEX'!N$39)*(1+'Insumos - OPEX'!N$38))</f>
        <v>0</v>
      </c>
      <c r="S321" s="111"/>
    </row>
    <row r="322" spans="1:21" x14ac:dyDescent="0.2">
      <c r="A322" s="8"/>
      <c r="B322" s="8" t="s">
        <v>434</v>
      </c>
      <c r="C322" s="8" t="s">
        <v>174</v>
      </c>
      <c r="D322" s="8">
        <v>6563000002</v>
      </c>
      <c r="E322" s="8" t="s">
        <v>385</v>
      </c>
      <c r="F322" s="89" t="s">
        <v>470</v>
      </c>
      <c r="G322" s="73" t="s">
        <v>136</v>
      </c>
      <c r="H322" s="112" t="s">
        <v>61</v>
      </c>
      <c r="I322" s="13" t="s">
        <v>436</v>
      </c>
      <c r="K322" s="186">
        <v>0</v>
      </c>
      <c r="L322" s="187"/>
      <c r="M322" s="214">
        <f>IF(OR(E322="Distribución Legal de la Renta",E322="Acopio carros portaequipajes"),0,IF(K322&lt;0,0,K322*(1+SUMIFS('Insumos - OPEX'!$G$82:$G$238,'Insumos - OPEX'!$B$82:$B$238,OPEX!D322))))</f>
        <v>0</v>
      </c>
      <c r="N322" s="211">
        <f>IF(OR($B322="Ce Co No Imputables",$G322="M2 fijo"),$M322*(1+'Insumos - OPEX'!J$38),$M322*(1+'Insumos - OPEX'!J$29*'Insumos - OPEX'!J$39)*(1+'Insumos - OPEX'!J$38))</f>
        <v>0</v>
      </c>
      <c r="O322" s="211">
        <f>IF(OR($B322="Ce Co No Imputables",$G322="M2 fijo"),$M322*(1+'Insumos - OPEX'!K$38),$M322*(1+'Insumos - OPEX'!K$29*'Insumos - OPEX'!K$39)*(1+'Insumos - OPEX'!K$38))</f>
        <v>0</v>
      </c>
      <c r="P322" s="211">
        <f>IF(OR($B322="Ce Co No Imputables",$G322="M2 fijo"),$M322*(1+'Insumos - OPEX'!L$38),$M322*(1+'Insumos - OPEX'!L$29*'Insumos - OPEX'!L$39)*(1+'Insumos - OPEX'!L$38))</f>
        <v>0</v>
      </c>
      <c r="Q322" s="211">
        <f>IF(OR($B322="Ce Co No Imputables",$G322="M2 fijo"),$M322*(1+'Insumos - OPEX'!M$38),$M322*(1+'Insumos - OPEX'!M$29*'Insumos - OPEX'!M$39)*(1+'Insumos - OPEX'!M$38))</f>
        <v>0</v>
      </c>
      <c r="R322" s="211">
        <f>IF(OR($B322="Ce Co No Imputables",$G322="M2 fijo"),$M322*(1+'Insumos - OPEX'!N$38),$M322*(1+'Insumos - OPEX'!N$29*'Insumos - OPEX'!N$39)*(1+'Insumos - OPEX'!N$38))</f>
        <v>0</v>
      </c>
      <c r="S322" s="111"/>
    </row>
    <row r="323" spans="1:21" x14ac:dyDescent="0.2">
      <c r="A323" s="8"/>
      <c r="B323" s="8" t="s">
        <v>434</v>
      </c>
      <c r="C323" s="8" t="s">
        <v>174</v>
      </c>
      <c r="D323" s="8">
        <v>6562000002</v>
      </c>
      <c r="E323" s="8" t="s">
        <v>388</v>
      </c>
      <c r="F323" s="89" t="s">
        <v>470</v>
      </c>
      <c r="G323" s="73" t="s">
        <v>136</v>
      </c>
      <c r="H323" s="112" t="s">
        <v>61</v>
      </c>
      <c r="I323" s="13" t="s">
        <v>436</v>
      </c>
      <c r="K323" s="186">
        <v>-652.70595563337213</v>
      </c>
      <c r="L323" s="187"/>
      <c r="M323" s="214">
        <f>IF(OR(E323="Distribución Legal de la Renta",E323="Acopio carros portaequipajes"),0,IF(K323&lt;0,0,K323*(1+SUMIFS('Insumos - OPEX'!$G$82:$G$238,'Insumos - OPEX'!$B$82:$B$238,OPEX!D323))))</f>
        <v>0</v>
      </c>
      <c r="N323" s="211">
        <f>IF(OR($B323="Ce Co No Imputables",$G323="M2 fijo"),$M323*(1+'Insumos - OPEX'!J$38),$M323*(1+'Insumos - OPEX'!J$29*'Insumos - OPEX'!J$39)*(1+'Insumos - OPEX'!J$38))</f>
        <v>0</v>
      </c>
      <c r="O323" s="211">
        <f>IF(OR($B323="Ce Co No Imputables",$G323="M2 fijo"),$M323*(1+'Insumos - OPEX'!K$38),$M323*(1+'Insumos - OPEX'!K$29*'Insumos - OPEX'!K$39)*(1+'Insumos - OPEX'!K$38))</f>
        <v>0</v>
      </c>
      <c r="P323" s="211">
        <f>IF(OR($B323="Ce Co No Imputables",$G323="M2 fijo"),$M323*(1+'Insumos - OPEX'!L$38),$M323*(1+'Insumos - OPEX'!L$29*'Insumos - OPEX'!L$39)*(1+'Insumos - OPEX'!L$38))</f>
        <v>0</v>
      </c>
      <c r="Q323" s="211">
        <f>IF(OR($B323="Ce Co No Imputables",$G323="M2 fijo"),$M323*(1+'Insumos - OPEX'!M$38),$M323*(1+'Insumos - OPEX'!M$29*'Insumos - OPEX'!M$39)*(1+'Insumos - OPEX'!M$38))</f>
        <v>0</v>
      </c>
      <c r="R323" s="211">
        <f>IF(OR($B323="Ce Co No Imputables",$G323="M2 fijo"),$M323*(1+'Insumos - OPEX'!N$38),$M323*(1+'Insumos - OPEX'!N$29*'Insumos - OPEX'!N$39)*(1+'Insumos - OPEX'!N$38))</f>
        <v>0</v>
      </c>
      <c r="S323" s="111"/>
    </row>
    <row r="324" spans="1:21" x14ac:dyDescent="0.2">
      <c r="A324" s="8"/>
      <c r="B324" s="8" t="s">
        <v>435</v>
      </c>
      <c r="C324" s="8" t="s">
        <v>170</v>
      </c>
      <c r="D324" s="8">
        <v>6211000001</v>
      </c>
      <c r="E324" s="8" t="s">
        <v>253</v>
      </c>
      <c r="F324" s="89" t="s">
        <v>469</v>
      </c>
      <c r="G324" s="73" t="s">
        <v>136</v>
      </c>
      <c r="H324" s="112" t="s">
        <v>61</v>
      </c>
      <c r="I324" s="13" t="s">
        <v>436</v>
      </c>
      <c r="K324" s="186">
        <v>1619818.6656390617</v>
      </c>
      <c r="L324" s="187"/>
      <c r="M324" s="214">
        <f>IF(OR(E324="Distribución Legal de la Renta",E324="Acopio carros portaequipajes"),0,IF(K324&lt;0,0,K324*(1+SUMIFS('Insumos - OPEX'!$G$82:$G$238,'Insumos - OPEX'!$B$82:$B$238,OPEX!D324))))</f>
        <v>2326333.5650908016</v>
      </c>
      <c r="N324" s="211">
        <f>IF(OR($B324="Ce Co No Imputables",$G324="M2 fijo"),$M324*(1+'Insumos - OPEX'!J$38),$M324*(1+'Insumos - OPEX'!J$29*'Insumos - OPEX'!J$39)*(1+'Insumos - OPEX'!J$38))</f>
        <v>2375209.8332933593</v>
      </c>
      <c r="O324" s="211">
        <f>IF(OR($B324="Ce Co No Imputables",$G324="M2 fijo"),$M324*(1+'Insumos - OPEX'!K$38),$M324*(1+'Insumos - OPEX'!K$29*'Insumos - OPEX'!K$39)*(1+'Insumos - OPEX'!K$38))</f>
        <v>2431526.0584407449</v>
      </c>
      <c r="P324" s="211">
        <f>IF(OR($B324="Ce Co No Imputables",$G324="M2 fijo"),$M324*(1+'Insumos - OPEX'!L$38),$M324*(1+'Insumos - OPEX'!L$29*'Insumos - OPEX'!L$39)*(1+'Insumos - OPEX'!L$38))</f>
        <v>2483439.1397884544</v>
      </c>
      <c r="Q324" s="211">
        <f>IF(OR($B324="Ce Co No Imputables",$G324="M2 fijo"),$M324*(1+'Insumos - OPEX'!M$38),$M324*(1+'Insumos - OPEX'!M$29*'Insumos - OPEX'!M$39)*(1+'Insumos - OPEX'!M$38))</f>
        <v>2536882.7500767014</v>
      </c>
      <c r="R324" s="211">
        <f>IF(OR($B324="Ce Co No Imputables",$G324="M2 fijo"),$M324*(1+'Insumos - OPEX'!N$38),$M324*(1+'Insumos - OPEX'!N$29*'Insumos - OPEX'!N$39)*(1+'Insumos - OPEX'!N$38))</f>
        <v>2591476.4668583521</v>
      </c>
      <c r="S324" s="111"/>
    </row>
    <row r="325" spans="1:21" x14ac:dyDescent="0.2">
      <c r="A325" s="8"/>
      <c r="B325" s="8" t="s">
        <v>435</v>
      </c>
      <c r="C325" s="8" t="s">
        <v>170</v>
      </c>
      <c r="D325" s="8">
        <v>6212000001</v>
      </c>
      <c r="E325" s="8" t="s">
        <v>254</v>
      </c>
      <c r="F325" s="89" t="s">
        <v>469</v>
      </c>
      <c r="G325" s="73" t="s">
        <v>136</v>
      </c>
      <c r="H325" s="112" t="s">
        <v>61</v>
      </c>
      <c r="I325" s="13" t="s">
        <v>436</v>
      </c>
      <c r="K325" s="186">
        <v>390657.47398890735</v>
      </c>
      <c r="L325" s="187"/>
      <c r="M325" s="214">
        <f>IF(OR(E325="Distribución Legal de la Renta",E325="Acopio carros portaequipajes"),0,IF(K325&lt;0,0,K325*(1+SUMIFS('Insumos - OPEX'!$G$82:$G$238,'Insumos - OPEX'!$B$82:$B$238,OPEX!D325))))</f>
        <v>561050.20486070041</v>
      </c>
      <c r="N325" s="211">
        <f>IF(OR($B325="Ce Co No Imputables",$G325="M2 fijo"),$M325*(1+'Insumos - OPEX'!J$38),$M325*(1+'Insumos - OPEX'!J$29*'Insumos - OPEX'!J$39)*(1+'Insumos - OPEX'!J$38))</f>
        <v>572837.86966482375</v>
      </c>
      <c r="O325" s="211">
        <f>IF(OR($B325="Ce Co No Imputables",$G325="M2 fijo"),$M325*(1+'Insumos - OPEX'!K$38),$M325*(1+'Insumos - OPEX'!K$29*'Insumos - OPEX'!K$39)*(1+'Insumos - OPEX'!K$38))</f>
        <v>586419.85555457661</v>
      </c>
      <c r="P325" s="211">
        <f>IF(OR($B325="Ce Co No Imputables",$G325="M2 fijo"),$M325*(1+'Insumos - OPEX'!L$38),$M325*(1+'Insumos - OPEX'!L$29*'Insumos - OPEX'!L$39)*(1+'Insumos - OPEX'!L$38))</f>
        <v>598939.91947066679</v>
      </c>
      <c r="Q325" s="211">
        <f>IF(OR($B325="Ce Co No Imputables",$G325="M2 fijo"),$M325*(1+'Insumos - OPEX'!M$38),$M325*(1+'Insumos - OPEX'!M$29*'Insumos - OPEX'!M$39)*(1+'Insumos - OPEX'!M$38))</f>
        <v>611829.10653767549</v>
      </c>
      <c r="R325" s="211">
        <f>IF(OR($B325="Ce Co No Imputables",$G325="M2 fijo"),$M325*(1+'Insumos - OPEX'!N$38),$M325*(1+'Insumos - OPEX'!N$29*'Insumos - OPEX'!N$39)*(1+'Insumos - OPEX'!N$38))</f>
        <v>624995.66891036625</v>
      </c>
      <c r="S325" s="111"/>
    </row>
    <row r="326" spans="1:21" x14ac:dyDescent="0.2">
      <c r="A326" s="8"/>
      <c r="B326" s="8" t="s">
        <v>435</v>
      </c>
      <c r="C326" s="8" t="s">
        <v>170</v>
      </c>
      <c r="D326" s="8">
        <v>6250000005</v>
      </c>
      <c r="E326" s="8" t="s">
        <v>266</v>
      </c>
      <c r="F326" s="89" t="s">
        <v>469</v>
      </c>
      <c r="G326" s="73" t="s">
        <v>136</v>
      </c>
      <c r="H326" s="112" t="s">
        <v>61</v>
      </c>
      <c r="I326" s="13" t="s">
        <v>436</v>
      </c>
      <c r="K326" s="186">
        <v>169537.05250585201</v>
      </c>
      <c r="L326" s="187"/>
      <c r="M326" s="214">
        <f>IF(OR(E326="Distribución Legal de la Renta",E326="Acopio carros portaequipajes"),0,IF(K326&lt;0,0,K326*(1+SUMIFS('Insumos - OPEX'!$G$82:$G$238,'Insumos - OPEX'!$B$82:$B$238,OPEX!D326))))</f>
        <v>243483.88133638643</v>
      </c>
      <c r="N326" s="211">
        <f>IF(OR($B326="Ce Co No Imputables",$G326="M2 fijo"),$M326*(1+'Insumos - OPEX'!J$38),$M326*(1+'Insumos - OPEX'!J$29*'Insumos - OPEX'!J$39)*(1+'Insumos - OPEX'!J$38))</f>
        <v>248599.47768326392</v>
      </c>
      <c r="O326" s="211">
        <f>IF(OR($B326="Ce Co No Imputables",$G326="M2 fijo"),$M326*(1+'Insumos - OPEX'!K$38),$M326*(1+'Insumos - OPEX'!K$29*'Insumos - OPEX'!K$39)*(1+'Insumos - OPEX'!K$38))</f>
        <v>254493.7712991341</v>
      </c>
      <c r="P326" s="211">
        <f>IF(OR($B326="Ce Co No Imputables",$G326="M2 fijo"),$M326*(1+'Insumos - OPEX'!L$38),$M326*(1+'Insumos - OPEX'!L$29*'Insumos - OPEX'!L$39)*(1+'Insumos - OPEX'!L$38))</f>
        <v>259927.21331637059</v>
      </c>
      <c r="Q326" s="211">
        <f>IF(OR($B326="Ce Co No Imputables",$G326="M2 fijo"),$M326*(1+'Insumos - OPEX'!M$38),$M326*(1+'Insumos - OPEX'!M$29*'Insumos - OPEX'!M$39)*(1+'Insumos - OPEX'!M$38))</f>
        <v>265520.84694693884</v>
      </c>
      <c r="R326" s="211">
        <f>IF(OR($B326="Ce Co No Imputables",$G326="M2 fijo"),$M326*(1+'Insumos - OPEX'!N$38),$M326*(1+'Insumos - OPEX'!N$29*'Insumos - OPEX'!N$39)*(1+'Insumos - OPEX'!N$38))</f>
        <v>271234.85557323694</v>
      </c>
      <c r="S326" s="111"/>
    </row>
    <row r="327" spans="1:21" x14ac:dyDescent="0.2">
      <c r="A327" s="8"/>
      <c r="B327" s="8" t="s">
        <v>435</v>
      </c>
      <c r="C327" s="8" t="s">
        <v>170</v>
      </c>
      <c r="D327" s="8">
        <v>6290000001</v>
      </c>
      <c r="E327" s="8" t="s">
        <v>426</v>
      </c>
      <c r="F327" s="89" t="s">
        <v>469</v>
      </c>
      <c r="G327" s="73" t="s">
        <v>136</v>
      </c>
      <c r="H327" s="112" t="s">
        <v>61</v>
      </c>
      <c r="I327" s="13" t="s">
        <v>436</v>
      </c>
      <c r="K327" s="186">
        <v>168314.1050426029</v>
      </c>
      <c r="L327" s="187"/>
      <c r="M327" s="214">
        <f>IF(OR(E327="Distribución Legal de la Renta",E327="Acopio carros portaequipajes"),0,IF(K327&lt;0,0,K327*(1+SUMIFS('Insumos - OPEX'!$G$82:$G$238,'Insumos - OPEX'!$B$82:$B$238,OPEX!D327))))</f>
        <v>241727.52194107312</v>
      </c>
      <c r="N327" s="211">
        <f>IF(OR($B327="Ce Co No Imputables",$G327="M2 fijo"),$M327*(1+'Insumos - OPEX'!J$38),$M327*(1+'Insumos - OPEX'!J$29*'Insumos - OPEX'!J$39)*(1+'Insumos - OPEX'!J$38))</f>
        <v>246806.21717705505</v>
      </c>
      <c r="O327" s="211">
        <f>IF(OR($B327="Ce Co No Imputables",$G327="M2 fijo"),$M327*(1+'Insumos - OPEX'!K$38),$M327*(1+'Insumos - OPEX'!K$29*'Insumos - OPEX'!K$39)*(1+'Insumos - OPEX'!K$38))</f>
        <v>252657.99258632303</v>
      </c>
      <c r="P327" s="211">
        <f>IF(OR($B327="Ce Co No Imputables",$G327="M2 fijo"),$M327*(1+'Insumos - OPEX'!L$38),$M327*(1+'Insumos - OPEX'!L$29*'Insumos - OPEX'!L$39)*(1+'Insumos - OPEX'!L$38))</f>
        <v>258052.24072804101</v>
      </c>
      <c r="Q327" s="211">
        <f>IF(OR($B327="Ce Co No Imputables",$G327="M2 fijo"),$M327*(1+'Insumos - OPEX'!M$38),$M327*(1+'Insumos - OPEX'!M$29*'Insumos - OPEX'!M$39)*(1+'Insumos - OPEX'!M$38))</f>
        <v>263605.52494850842</v>
      </c>
      <c r="R327" s="211">
        <f>IF(OR($B327="Ce Co No Imputables",$G327="M2 fijo"),$M327*(1+'Insumos - OPEX'!N$38),$M327*(1+'Insumos - OPEX'!N$29*'Insumos - OPEX'!N$39)*(1+'Insumos - OPEX'!N$38))</f>
        <v>269278.31584540033</v>
      </c>
      <c r="S327" s="111"/>
    </row>
    <row r="328" spans="1:21" x14ac:dyDescent="0.2">
      <c r="A328" s="8"/>
      <c r="B328" s="8" t="s">
        <v>435</v>
      </c>
      <c r="C328" s="8" t="s">
        <v>170</v>
      </c>
      <c r="D328" s="8">
        <v>6213000001</v>
      </c>
      <c r="E328" s="8" t="s">
        <v>255</v>
      </c>
      <c r="F328" s="89" t="s">
        <v>469</v>
      </c>
      <c r="G328" s="73" t="s">
        <v>136</v>
      </c>
      <c r="H328" s="112" t="s">
        <v>61</v>
      </c>
      <c r="I328" s="13" t="s">
        <v>436</v>
      </c>
      <c r="K328" s="186">
        <v>145870.87799893142</v>
      </c>
      <c r="L328" s="187"/>
      <c r="M328" s="214">
        <f>IF(OR(E328="Distribución Legal de la Renta",E328="Acopio carros portaequipajes"),0,IF(K328&lt;0,0,K328*(1+SUMIFS('Insumos - OPEX'!$G$82:$G$238,'Insumos - OPEX'!$B$82:$B$238,OPEX!D328))))</f>
        <v>209495.25206532862</v>
      </c>
      <c r="N328" s="211">
        <f>IF(OR($B328="Ce Co No Imputables",$G328="M2 fijo"),$M328*(1+'Insumos - OPEX'!J$38),$M328*(1+'Insumos - OPEX'!J$29*'Insumos - OPEX'!J$39)*(1+'Insumos - OPEX'!J$38))</f>
        <v>213896.74731122117</v>
      </c>
      <c r="O328" s="211">
        <f>IF(OR($B328="Ce Co No Imputables",$G328="M2 fijo"),$M328*(1+'Insumos - OPEX'!K$38),$M328*(1+'Insumos - OPEX'!K$29*'Insumos - OPEX'!K$39)*(1+'Insumos - OPEX'!K$38))</f>
        <v>218968.23918997022</v>
      </c>
      <c r="P328" s="211">
        <f>IF(OR($B328="Ce Co No Imputables",$G328="M2 fijo"),$M328*(1+'Insumos - OPEX'!L$38),$M328*(1+'Insumos - OPEX'!L$29*'Insumos - OPEX'!L$39)*(1+'Insumos - OPEX'!L$38))</f>
        <v>223643.21109667607</v>
      </c>
      <c r="Q328" s="211">
        <f>IF(OR($B328="Ce Co No Imputables",$G328="M2 fijo"),$M328*(1+'Insumos - OPEX'!M$38),$M328*(1+'Insumos - OPEX'!M$29*'Insumos - OPEX'!M$39)*(1+'Insumos - OPEX'!M$38))</f>
        <v>228456.01299947649</v>
      </c>
      <c r="R328" s="211">
        <f>IF(OR($B328="Ce Co No Imputables",$G328="M2 fijo"),$M328*(1+'Insumos - OPEX'!N$38),$M328*(1+'Insumos - OPEX'!N$29*'Insumos - OPEX'!N$39)*(1+'Insumos - OPEX'!N$38))</f>
        <v>233372.38639922524</v>
      </c>
      <c r="S328" s="111"/>
    </row>
    <row r="329" spans="1:21" x14ac:dyDescent="0.2">
      <c r="A329" s="8"/>
      <c r="B329" s="8" t="s">
        <v>435</v>
      </c>
      <c r="C329" s="8" t="s">
        <v>170</v>
      </c>
      <c r="D329" s="8">
        <v>6270000002</v>
      </c>
      <c r="E329" s="8" t="s">
        <v>427</v>
      </c>
      <c r="F329" s="89" t="s">
        <v>469</v>
      </c>
      <c r="G329" s="73" t="s">
        <v>136</v>
      </c>
      <c r="H329" s="112" t="s">
        <v>61</v>
      </c>
      <c r="I329" s="13" t="s">
        <v>436</v>
      </c>
      <c r="K329" s="186">
        <v>139518.02264652459</v>
      </c>
      <c r="L329" s="187"/>
      <c r="M329" s="214">
        <f>IF(OR(E329="Distribución Legal de la Renta",E329="Acopio carros portaequipajes"),0,IF(K329&lt;0,0,K329*(1+SUMIFS('Insumos - OPEX'!$G$82:$G$238,'Insumos - OPEX'!$B$82:$B$238,OPEX!D329))))</f>
        <v>200371.47731573955</v>
      </c>
      <c r="N329" s="211">
        <f>IF(OR($B329="Ce Co No Imputables",$G329="M2 fijo"),$M329*(1+'Insumos - OPEX'!J$38),$M329*(1+'Insumos - OPEX'!J$29*'Insumos - OPEX'!J$39)*(1+'Insumos - OPEX'!J$38))</f>
        <v>204581.28205414323</v>
      </c>
      <c r="O329" s="211">
        <f>IF(OR($B329="Ce Co No Imputables",$G329="M2 fijo"),$M329*(1+'Insumos - OPEX'!K$38),$M329*(1+'Insumos - OPEX'!K$29*'Insumos - OPEX'!K$39)*(1+'Insumos - OPEX'!K$38))</f>
        <v>209431.90425164698</v>
      </c>
      <c r="P329" s="211">
        <f>IF(OR($B329="Ce Co No Imputables",$G329="M2 fijo"),$M329*(1+'Insumos - OPEX'!L$38),$M329*(1+'Insumos - OPEX'!L$29*'Insumos - OPEX'!L$39)*(1+'Insumos - OPEX'!L$38))</f>
        <v>213903.2754074196</v>
      </c>
      <c r="Q329" s="211">
        <f>IF(OR($B329="Ce Co No Imputables",$G329="M2 fijo"),$M329*(1+'Insumos - OPEX'!M$38),$M329*(1+'Insumos - OPEX'!M$29*'Insumos - OPEX'!M$39)*(1+'Insumos - OPEX'!M$38))</f>
        <v>218506.47389418725</v>
      </c>
      <c r="R329" s="211">
        <f>IF(OR($B329="Ce Co No Imputables",$G329="M2 fijo"),$M329*(1+'Insumos - OPEX'!N$38),$M329*(1+'Insumos - OPEX'!N$29*'Insumos - OPEX'!N$39)*(1+'Insumos - OPEX'!N$38))</f>
        <v>223208.73321239016</v>
      </c>
      <c r="S329" s="111"/>
    </row>
    <row r="330" spans="1:21" s="3" customFormat="1" x14ac:dyDescent="0.2">
      <c r="A330" s="8"/>
      <c r="B330" s="8" t="s">
        <v>435</v>
      </c>
      <c r="C330" s="8" t="s">
        <v>170</v>
      </c>
      <c r="D330" s="8">
        <v>8710000001</v>
      </c>
      <c r="E330" s="8" t="s">
        <v>268</v>
      </c>
      <c r="F330" s="89" t="s">
        <v>469</v>
      </c>
      <c r="G330" s="73" t="s">
        <v>136</v>
      </c>
      <c r="H330" s="112" t="s">
        <v>61</v>
      </c>
      <c r="I330" s="13" t="s">
        <v>436</v>
      </c>
      <c r="J330" s="11"/>
      <c r="K330" s="186">
        <v>95425.104328841175</v>
      </c>
      <c r="L330" s="187"/>
      <c r="M330" s="214">
        <f>IF(OR(E330="Distribución Legal de la Renta",E330="Acopio carros portaequipajes"),0,IF(K330&lt;0,0,K330*(1+SUMIFS('Insumos - OPEX'!$G$82:$G$238,'Insumos - OPEX'!$B$82:$B$238,OPEX!D330))))</f>
        <v>0</v>
      </c>
      <c r="N330" s="211">
        <f>IF(OR($B330="Ce Co No Imputables",$G330="M2 fijo"),$M330*(1+'Insumos - OPEX'!J$38),$M330*(1+'Insumos - OPEX'!J$29*'Insumos - OPEX'!J$39)*(1+'Insumos - OPEX'!J$38))</f>
        <v>0</v>
      </c>
      <c r="O330" s="211">
        <f>IF(OR($B330="Ce Co No Imputables",$G330="M2 fijo"),$M330*(1+'Insumos - OPEX'!K$38),$M330*(1+'Insumos - OPEX'!K$29*'Insumos - OPEX'!K$39)*(1+'Insumos - OPEX'!K$38))</f>
        <v>0</v>
      </c>
      <c r="P330" s="211">
        <f>IF(OR($B330="Ce Co No Imputables",$G330="M2 fijo"),$M330*(1+'Insumos - OPEX'!L$38),$M330*(1+'Insumos - OPEX'!L$29*'Insumos - OPEX'!L$39)*(1+'Insumos - OPEX'!L$38))</f>
        <v>0</v>
      </c>
      <c r="Q330" s="211">
        <f>IF(OR($B330="Ce Co No Imputables",$G330="M2 fijo"),$M330*(1+'Insumos - OPEX'!M$38),$M330*(1+'Insumos - OPEX'!M$29*'Insumos - OPEX'!M$39)*(1+'Insumos - OPEX'!M$38))</f>
        <v>0</v>
      </c>
      <c r="R330" s="211">
        <f>IF(OR($B330="Ce Co No Imputables",$G330="M2 fijo"),$M330*(1+'Insumos - OPEX'!N$38),$M330*(1+'Insumos - OPEX'!N$29*'Insumos - OPEX'!N$39)*(1+'Insumos - OPEX'!N$38))</f>
        <v>0</v>
      </c>
      <c r="S330" s="111"/>
      <c r="U330" s="1"/>
    </row>
    <row r="331" spans="1:21" x14ac:dyDescent="0.2">
      <c r="A331" s="8"/>
      <c r="B331" s="8" t="s">
        <v>435</v>
      </c>
      <c r="C331" s="8" t="s">
        <v>170</v>
      </c>
      <c r="D331" s="8">
        <v>6250000009</v>
      </c>
      <c r="E331" s="8" t="s">
        <v>433</v>
      </c>
      <c r="F331" s="89" t="s">
        <v>469</v>
      </c>
      <c r="G331" s="73" t="s">
        <v>136</v>
      </c>
      <c r="H331" s="112" t="s">
        <v>61</v>
      </c>
      <c r="I331" s="13" t="s">
        <v>436</v>
      </c>
      <c r="K331" s="186">
        <v>62319.072211822386</v>
      </c>
      <c r="L331" s="187"/>
      <c r="M331" s="214">
        <f>IF(OR(E331="Distribución Legal de la Renta",E331="Acopio carros portaequipajes"),0,IF(K331&lt;0,0,K331*(1+SUMIFS('Insumos - OPEX'!$G$82:$G$238,'Insumos - OPEX'!$B$82:$B$238,OPEX!D331))))</f>
        <v>89500.7277709591</v>
      </c>
      <c r="N331" s="211">
        <f>IF(OR($B331="Ce Co No Imputables",$G331="M2 fijo"),$M331*(1+'Insumos - OPEX'!J$38),$M331*(1+'Insumos - OPEX'!J$29*'Insumos - OPEX'!J$39)*(1+'Insumos - OPEX'!J$38))</f>
        <v>91381.138061426944</v>
      </c>
      <c r="O331" s="211">
        <f>IF(OR($B331="Ce Co No Imputables",$G331="M2 fijo"),$M331*(1+'Insumos - OPEX'!K$38),$M331*(1+'Insumos - OPEX'!K$29*'Insumos - OPEX'!K$39)*(1+'Insumos - OPEX'!K$38))</f>
        <v>93547.784844863374</v>
      </c>
      <c r="P331" s="211">
        <f>IF(OR($B331="Ce Co No Imputables",$G331="M2 fijo"),$M331*(1+'Insumos - OPEX'!L$38),$M331*(1+'Insumos - OPEX'!L$29*'Insumos - OPEX'!L$39)*(1+'Insumos - OPEX'!L$38))</f>
        <v>95545.030051301204</v>
      </c>
      <c r="Q331" s="211">
        <f>IF(OR($B331="Ce Co No Imputables",$G331="M2 fijo"),$M331*(1+'Insumos - OPEX'!M$38),$M331*(1+'Insumos - OPEX'!M$29*'Insumos - OPEX'!M$39)*(1+'Insumos - OPEX'!M$38))</f>
        <v>97601.159098005184</v>
      </c>
      <c r="R331" s="211">
        <f>IF(OR($B331="Ce Co No Imputables",$G331="M2 fijo"),$M331*(1+'Insumos - OPEX'!N$38),$M331*(1+'Insumos - OPEX'!N$29*'Insumos - OPEX'!N$39)*(1+'Insumos - OPEX'!N$38))</f>
        <v>99701.536041794257</v>
      </c>
      <c r="S331" s="111"/>
    </row>
    <row r="332" spans="1:21" x14ac:dyDescent="0.2">
      <c r="A332" s="8"/>
      <c r="B332" s="8" t="s">
        <v>435</v>
      </c>
      <c r="C332" s="8" t="s">
        <v>170</v>
      </c>
      <c r="D332" s="8">
        <v>6250000007</v>
      </c>
      <c r="E332" s="8" t="s">
        <v>260</v>
      </c>
      <c r="F332" s="89" t="s">
        <v>469</v>
      </c>
      <c r="G332" s="73" t="s">
        <v>136</v>
      </c>
      <c r="H332" s="112" t="s">
        <v>61</v>
      </c>
      <c r="I332" s="13" t="s">
        <v>436</v>
      </c>
      <c r="K332" s="186">
        <v>49294.365351194865</v>
      </c>
      <c r="L332" s="187"/>
      <c r="M332" s="214">
        <f>IF(OR(E332="Distribución Legal de la Renta",E332="Acopio carros portaequipajes"),0,IF(K332&lt;0,0,K332*(1+SUMIFS('Insumos - OPEX'!$G$82:$G$238,'Insumos - OPEX'!$B$82:$B$238,OPEX!D332))))</f>
        <v>70795.045839955943</v>
      </c>
      <c r="N332" s="211">
        <f>IF(OR($B332="Ce Co No Imputables",$G332="M2 fijo"),$M332*(1+'Insumos - OPEX'!J$38),$M332*(1+'Insumos - OPEX'!J$29*'Insumos - OPEX'!J$39)*(1+'Insumos - OPEX'!J$38))</f>
        <v>72282.449753053414</v>
      </c>
      <c r="O332" s="211">
        <f>IF(OR($B332="Ce Co No Imputables",$G332="M2 fijo"),$M332*(1+'Insumos - OPEX'!K$38),$M332*(1+'Insumos - OPEX'!K$29*'Insumos - OPEX'!K$39)*(1+'Insumos - OPEX'!K$38))</f>
        <v>73996.266636698303</v>
      </c>
      <c r="P332" s="211">
        <f>IF(OR($B332="Ce Co No Imputables",$G332="M2 fijo"),$M332*(1+'Insumos - OPEX'!L$38),$M332*(1+'Insumos - OPEX'!L$29*'Insumos - OPEX'!L$39)*(1+'Insumos - OPEX'!L$38))</f>
        <v>75576.086929391808</v>
      </c>
      <c r="Q332" s="211">
        <f>IF(OR($B332="Ce Co No Imputables",$G332="M2 fijo"),$M332*(1+'Insumos - OPEX'!M$38),$M332*(1+'Insumos - OPEX'!M$29*'Insumos - OPEX'!M$39)*(1+'Insumos - OPEX'!M$38))</f>
        <v>77202.484320112315</v>
      </c>
      <c r="R332" s="211">
        <f>IF(OR($B332="Ce Co No Imputables",$G332="M2 fijo"),$M332*(1+'Insumos - OPEX'!N$38),$M332*(1+'Insumos - OPEX'!N$29*'Insumos - OPEX'!N$39)*(1+'Insumos - OPEX'!N$38))</f>
        <v>78863.881782681128</v>
      </c>
      <c r="S332" s="111"/>
    </row>
    <row r="333" spans="1:21" x14ac:dyDescent="0.2">
      <c r="A333" s="8"/>
      <c r="B333" s="8" t="s">
        <v>435</v>
      </c>
      <c r="C333" s="8" t="s">
        <v>170</v>
      </c>
      <c r="D333" s="8">
        <v>6270000006</v>
      </c>
      <c r="E333" s="8" t="s">
        <v>261</v>
      </c>
      <c r="F333" s="89" t="s">
        <v>469</v>
      </c>
      <c r="G333" s="73" t="s">
        <v>136</v>
      </c>
      <c r="H333" s="112" t="s">
        <v>61</v>
      </c>
      <c r="I333" s="13" t="s">
        <v>436</v>
      </c>
      <c r="K333" s="186">
        <v>45282.536411218134</v>
      </c>
      <c r="L333" s="187"/>
      <c r="M333" s="214">
        <f>IF(OR(E333="Distribución Legal de la Renta",E333="Acopio carros portaequipajes"),0,IF(K333&lt;0,0,K333*(1+SUMIFS('Insumos - OPEX'!$G$82:$G$238,'Insumos - OPEX'!$B$82:$B$238,OPEX!D333))))</f>
        <v>65033.38095829558</v>
      </c>
      <c r="N333" s="211">
        <f>IF(OR($B333="Ce Co No Imputables",$G333="M2 fijo"),$M333*(1+'Insumos - OPEX'!J$38),$M333*(1+'Insumos - OPEX'!J$29*'Insumos - OPEX'!J$39)*(1+'Insumos - OPEX'!J$38))</f>
        <v>66399.732292229368</v>
      </c>
      <c r="O333" s="211">
        <f>IF(OR($B333="Ce Co No Imputables",$G333="M2 fijo"),$M333*(1+'Insumos - OPEX'!K$38),$M333*(1+'Insumos - OPEX'!K$29*'Insumos - OPEX'!K$39)*(1+'Insumos - OPEX'!K$38))</f>
        <v>67974.069944878123</v>
      </c>
      <c r="P333" s="211">
        <f>IF(OR($B333="Ce Co No Imputables",$G333="M2 fijo"),$M333*(1+'Insumos - OPEX'!L$38),$M333*(1+'Insumos - OPEX'!L$29*'Insumos - OPEX'!L$39)*(1+'Insumos - OPEX'!L$38))</f>
        <v>69425.316338201272</v>
      </c>
      <c r="Q333" s="211">
        <f>IF(OR($B333="Ce Co No Imputables",$G333="M2 fijo"),$M333*(1+'Insumos - OPEX'!M$38),$M333*(1+'Insumos - OPEX'!M$29*'Insumos - OPEX'!M$39)*(1+'Insumos - OPEX'!M$38))</f>
        <v>70919.349145799337</v>
      </c>
      <c r="R333" s="211">
        <f>IF(OR($B333="Ce Co No Imputables",$G333="M2 fijo"),$M333*(1+'Insumos - OPEX'!N$38),$M333*(1+'Insumos - OPEX'!N$29*'Insumos - OPEX'!N$39)*(1+'Insumos - OPEX'!N$38))</f>
        <v>72445.533539416952</v>
      </c>
      <c r="S333" s="111"/>
    </row>
    <row r="334" spans="1:21" x14ac:dyDescent="0.2">
      <c r="A334" s="8"/>
      <c r="B334" s="8" t="s">
        <v>435</v>
      </c>
      <c r="C334" s="8" t="s">
        <v>170</v>
      </c>
      <c r="D334" s="8">
        <v>6270000001</v>
      </c>
      <c r="E334" s="8" t="s">
        <v>259</v>
      </c>
      <c r="F334" s="89" t="s">
        <v>469</v>
      </c>
      <c r="G334" s="73" t="s">
        <v>136</v>
      </c>
      <c r="H334" s="112" t="s">
        <v>61</v>
      </c>
      <c r="I334" s="13" t="s">
        <v>436</v>
      </c>
      <c r="K334" s="186">
        <v>41743.345712294475</v>
      </c>
      <c r="L334" s="187"/>
      <c r="M334" s="214">
        <f>IF(OR(E334="Distribución Legal de la Renta",E334="Acopio carros portaequipajes"),0,IF(K334&lt;0,0,K334*(1+SUMIFS('Insumos - OPEX'!$G$82:$G$238,'Insumos - OPEX'!$B$82:$B$238,OPEX!D334))))</f>
        <v>59950.504528473102</v>
      </c>
      <c r="N334" s="211">
        <f>IF(OR($B334="Ce Co No Imputables",$G334="M2 fijo"),$M334*(1+'Insumos - OPEX'!J$38),$M334*(1+'Insumos - OPEX'!J$29*'Insumos - OPEX'!J$39)*(1+'Insumos - OPEX'!J$38))</f>
        <v>61210.064628616317</v>
      </c>
      <c r="O334" s="211">
        <f>IF(OR($B334="Ce Co No Imputables",$G334="M2 fijo"),$M334*(1+'Insumos - OPEX'!K$38),$M334*(1+'Insumos - OPEX'!K$29*'Insumos - OPEX'!K$39)*(1+'Insumos - OPEX'!K$38))</f>
        <v>62661.355260960809</v>
      </c>
      <c r="P334" s="211">
        <f>IF(OR($B334="Ce Co No Imputables",$G334="M2 fijo"),$M334*(1+'Insumos - OPEX'!L$38),$M334*(1+'Insumos - OPEX'!L$29*'Insumos - OPEX'!L$39)*(1+'Insumos - OPEX'!L$38))</f>
        <v>63999.175195782322</v>
      </c>
      <c r="Q334" s="211">
        <f>IF(OR($B334="Ce Co No Imputables",$G334="M2 fijo"),$M334*(1+'Insumos - OPEX'!M$38),$M334*(1+'Insumos - OPEX'!M$29*'Insumos - OPEX'!M$39)*(1+'Insumos - OPEX'!M$38))</f>
        <v>65376.437445995543</v>
      </c>
      <c r="R334" s="211">
        <f>IF(OR($B334="Ce Co No Imputables",$G334="M2 fijo"),$M334*(1+'Insumos - OPEX'!N$38),$M334*(1+'Insumos - OPEX'!N$29*'Insumos - OPEX'!N$39)*(1+'Insumos - OPEX'!N$38))</f>
        <v>66783.338379833367</v>
      </c>
      <c r="S334" s="111"/>
    </row>
    <row r="335" spans="1:21" x14ac:dyDescent="0.2">
      <c r="A335" s="8"/>
      <c r="B335" s="8" t="s">
        <v>435</v>
      </c>
      <c r="C335" s="8" t="s">
        <v>170</v>
      </c>
      <c r="D335" s="8">
        <v>6221000001</v>
      </c>
      <c r="E335" s="8" t="s">
        <v>257</v>
      </c>
      <c r="F335" s="89" t="s">
        <v>469</v>
      </c>
      <c r="G335" s="73" t="s">
        <v>136</v>
      </c>
      <c r="H335" s="112" t="s">
        <v>61</v>
      </c>
      <c r="I335" s="13" t="s">
        <v>436</v>
      </c>
      <c r="K335" s="186">
        <v>40244.098474970247</v>
      </c>
      <c r="L335" s="187"/>
      <c r="M335" s="214">
        <f>IF(OR(E335="Distribución Legal de la Renta",E335="Acopio carros portaequipajes"),0,IF(K335&lt;0,0,K335*(1+SUMIFS('Insumos - OPEX'!$G$82:$G$238,'Insumos - OPEX'!$B$82:$B$238,OPEX!D335))))</f>
        <v>57797.331926785002</v>
      </c>
      <c r="N335" s="211">
        <f>IF(OR($B335="Ce Co No Imputables",$G335="M2 fijo"),$M335*(1+'Insumos - OPEX'!J$38),$M335*(1+'Insumos - OPEX'!J$29*'Insumos - OPEX'!J$39)*(1+'Insumos - OPEX'!J$38))</f>
        <v>59011.653870566755</v>
      </c>
      <c r="O335" s="211">
        <f>IF(OR($B335="Ce Co No Imputables",$G335="M2 fijo"),$M335*(1+'Insumos - OPEX'!K$38),$M335*(1+'Insumos - OPEX'!K$29*'Insumos - OPEX'!K$39)*(1+'Insumos - OPEX'!K$38))</f>
        <v>60410.820183837888</v>
      </c>
      <c r="P335" s="211">
        <f>IF(OR($B335="Ce Co No Imputables",$G335="M2 fijo"),$M335*(1+'Insumos - OPEX'!L$38),$M335*(1+'Insumos - OPEX'!L$29*'Insumos - OPEX'!L$39)*(1+'Insumos - OPEX'!L$38))</f>
        <v>61700.591194762826</v>
      </c>
      <c r="Q335" s="211">
        <f>IF(OR($B335="Ce Co No Imputables",$G335="M2 fijo"),$M335*(1+'Insumos - OPEX'!M$38),$M335*(1+'Insumos - OPEX'!M$29*'Insumos - OPEX'!M$39)*(1+'Insumos - OPEX'!M$38))</f>
        <v>63028.387917274107</v>
      </c>
      <c r="R335" s="211">
        <f>IF(OR($B335="Ce Co No Imputables",$G335="M2 fijo"),$M335*(1+'Insumos - OPEX'!N$38),$M335*(1+'Insumos - OPEX'!N$29*'Insumos - OPEX'!N$39)*(1+'Insumos - OPEX'!N$38))</f>
        <v>64384.758825253848</v>
      </c>
      <c r="S335" s="111"/>
    </row>
    <row r="336" spans="1:21" x14ac:dyDescent="0.2">
      <c r="A336" s="8"/>
      <c r="B336" s="8" t="s">
        <v>435</v>
      </c>
      <c r="C336" s="8" t="s">
        <v>170</v>
      </c>
      <c r="D336" s="8">
        <v>6250000003</v>
      </c>
      <c r="E336" s="8" t="s">
        <v>428</v>
      </c>
      <c r="F336" s="89" t="s">
        <v>469</v>
      </c>
      <c r="G336" s="73" t="s">
        <v>136</v>
      </c>
      <c r="H336" s="112" t="s">
        <v>61</v>
      </c>
      <c r="I336" s="13" t="s">
        <v>436</v>
      </c>
      <c r="K336" s="186">
        <v>23571.194333622894</v>
      </c>
      <c r="L336" s="187"/>
      <c r="M336" s="214">
        <f>IF(OR(E336="Distribución Legal de la Renta",E336="Acopio carros portaequipajes"),0,IF(K336&lt;0,0,K336*(1+SUMIFS('Insumos - OPEX'!$G$82:$G$238,'Insumos - OPEX'!$B$82:$B$238,OPEX!D336))))</f>
        <v>33852.221678129252</v>
      </c>
      <c r="N336" s="211">
        <f>IF(OR($B336="Ce Co No Imputables",$G336="M2 fijo"),$M336*(1+'Insumos - OPEX'!J$38),$M336*(1+'Insumos - OPEX'!J$29*'Insumos - OPEX'!J$39)*(1+'Insumos - OPEX'!J$38))</f>
        <v>34563.456855586744</v>
      </c>
      <c r="O336" s="211">
        <f>IF(OR($B336="Ce Co No Imputables",$G336="M2 fijo"),$M336*(1+'Insumos - OPEX'!K$38),$M336*(1+'Insumos - OPEX'!K$29*'Insumos - OPEX'!K$39)*(1+'Insumos - OPEX'!K$38))</f>
        <v>35382.956417632704</v>
      </c>
      <c r="P336" s="211">
        <f>IF(OR($B336="Ce Co No Imputables",$G336="M2 fijo"),$M336*(1+'Insumos - OPEX'!L$38),$M336*(1+'Insumos - OPEX'!L$29*'Insumos - OPEX'!L$39)*(1+'Insumos - OPEX'!L$38))</f>
        <v>36138.382537149162</v>
      </c>
      <c r="Q336" s="211">
        <f>IF(OR($B336="Ce Co No Imputables",$G336="M2 fijo"),$M336*(1+'Insumos - OPEX'!M$38),$M336*(1+'Insumos - OPEX'!M$29*'Insumos - OPEX'!M$39)*(1+'Insumos - OPEX'!M$38))</f>
        <v>36916.080529348605</v>
      </c>
      <c r="R336" s="211">
        <f>IF(OR($B336="Ce Co No Imputables",$G336="M2 fijo"),$M336*(1+'Insumos - OPEX'!N$38),$M336*(1+'Insumos - OPEX'!N$29*'Insumos - OPEX'!N$39)*(1+'Insumos - OPEX'!N$38))</f>
        <v>37710.514582340191</v>
      </c>
      <c r="S336" s="111"/>
    </row>
    <row r="337" spans="1:19" x14ac:dyDescent="0.2">
      <c r="A337" s="8"/>
      <c r="B337" s="8" t="s">
        <v>435</v>
      </c>
      <c r="C337" s="8" t="s">
        <v>170</v>
      </c>
      <c r="D337" s="8">
        <v>6240000001</v>
      </c>
      <c r="E337" s="8" t="s">
        <v>265</v>
      </c>
      <c r="F337" s="89" t="s">
        <v>469</v>
      </c>
      <c r="G337" s="73" t="s">
        <v>136</v>
      </c>
      <c r="H337" s="112" t="s">
        <v>61</v>
      </c>
      <c r="I337" s="13" t="s">
        <v>436</v>
      </c>
      <c r="K337" s="186">
        <v>16506.753532328494</v>
      </c>
      <c r="L337" s="187"/>
      <c r="M337" s="214">
        <f>IF(OR(E337="Distribución Legal de la Renta",E337="Acopio carros portaequipajes"),0,IF(K337&lt;0,0,K337*(1+SUMIFS('Insumos - OPEX'!$G$82:$G$238,'Insumos - OPEX'!$B$82:$B$238,OPEX!D337))))</f>
        <v>23706.489872918595</v>
      </c>
      <c r="N337" s="211">
        <f>IF(OR($B337="Ce Co No Imputables",$G337="M2 fijo"),$M337*(1+'Insumos - OPEX'!J$38),$M337*(1+'Insumos - OPEX'!J$29*'Insumos - OPEX'!J$39)*(1+'Insumos - OPEX'!J$38))</f>
        <v>24204.563225148613</v>
      </c>
      <c r="O337" s="211">
        <f>IF(OR($B337="Ce Co No Imputables",$G337="M2 fijo"),$M337*(1+'Insumos - OPEX'!K$38),$M337*(1+'Insumos - OPEX'!K$29*'Insumos - OPEX'!K$39)*(1+'Insumos - OPEX'!K$38))</f>
        <v>24778.453419216887</v>
      </c>
      <c r="P337" s="211">
        <f>IF(OR($B337="Ce Co No Imputables",$G337="M2 fijo"),$M337*(1+'Insumos - OPEX'!L$38),$M337*(1+'Insumos - OPEX'!L$29*'Insumos - OPEX'!L$39)*(1+'Insumos - OPEX'!L$38))</f>
        <v>25307.473399717164</v>
      </c>
      <c r="Q337" s="211">
        <f>IF(OR($B337="Ce Co No Imputables",$G337="M2 fijo"),$M337*(1+'Insumos - OPEX'!M$38),$M337*(1+'Insumos - OPEX'!M$29*'Insumos - OPEX'!M$39)*(1+'Insumos - OPEX'!M$38))</f>
        <v>25852.090227279074</v>
      </c>
      <c r="R337" s="211">
        <f>IF(OR($B337="Ce Co No Imputables",$G337="M2 fijo"),$M337*(1+'Insumos - OPEX'!N$38),$M337*(1+'Insumos - OPEX'!N$29*'Insumos - OPEX'!N$39)*(1+'Insumos - OPEX'!N$38))</f>
        <v>26408.427208970123</v>
      </c>
      <c r="S337" s="111"/>
    </row>
    <row r="338" spans="1:19" x14ac:dyDescent="0.2">
      <c r="A338" s="8"/>
      <c r="B338" s="8" t="s">
        <v>435</v>
      </c>
      <c r="C338" s="8" t="s">
        <v>170</v>
      </c>
      <c r="D338" s="8">
        <v>6250000008</v>
      </c>
      <c r="E338" s="8" t="s">
        <v>267</v>
      </c>
      <c r="F338" s="89" t="s">
        <v>469</v>
      </c>
      <c r="G338" s="73" t="s">
        <v>136</v>
      </c>
      <c r="H338" s="112" t="s">
        <v>61</v>
      </c>
      <c r="I338" s="13" t="s">
        <v>436</v>
      </c>
      <c r="K338" s="186">
        <v>11066.134538221866</v>
      </c>
      <c r="L338" s="187"/>
      <c r="M338" s="214">
        <f>IF(OR(E338="Distribución Legal de la Renta",E338="Acopio carros portaequipajes"),0,IF(K338&lt;0,0,K338*(1+SUMIFS('Insumos - OPEX'!$G$82:$G$238,'Insumos - OPEX'!$B$82:$B$238,OPEX!D338))))</f>
        <v>15892.840821117232</v>
      </c>
      <c r="N338" s="211">
        <f>IF(OR($B338="Ce Co No Imputables",$G338="M2 fijo"),$M338*(1+'Insumos - OPEX'!J$38),$M338*(1+'Insumos - OPEX'!J$29*'Insumos - OPEX'!J$39)*(1+'Insumos - OPEX'!J$38))</f>
        <v>16226.749406768904</v>
      </c>
      <c r="O338" s="211">
        <f>IF(OR($B338="Ce Co No Imputables",$G338="M2 fijo"),$M338*(1+'Insumos - OPEX'!K$38),$M338*(1+'Insumos - OPEX'!K$29*'Insumos - OPEX'!K$39)*(1+'Insumos - OPEX'!K$38))</f>
        <v>16611.485635203393</v>
      </c>
      <c r="P338" s="211">
        <f>IF(OR($B338="Ce Co No Imputables",$G338="M2 fijo"),$M338*(1+'Insumos - OPEX'!L$38),$M338*(1+'Insumos - OPEX'!L$29*'Insumos - OPEX'!L$39)*(1+'Insumos - OPEX'!L$38))</f>
        <v>16966.140853514986</v>
      </c>
      <c r="Q338" s="211">
        <f>IF(OR($B338="Ce Co No Imputables",$G338="M2 fijo"),$M338*(1+'Insumos - OPEX'!M$38),$M338*(1+'Insumos - OPEX'!M$29*'Insumos - OPEX'!M$39)*(1+'Insumos - OPEX'!M$38))</f>
        <v>17331.252204682623</v>
      </c>
      <c r="R338" s="211">
        <f>IF(OR($B338="Ce Co No Imputables",$G338="M2 fijo"),$M338*(1+'Insumos - OPEX'!N$38),$M338*(1+'Insumos - OPEX'!N$29*'Insumos - OPEX'!N$39)*(1+'Insumos - OPEX'!N$38))</f>
        <v>17704.220752127396</v>
      </c>
      <c r="S338" s="111"/>
    </row>
    <row r="339" spans="1:19" x14ac:dyDescent="0.2">
      <c r="A339" s="8"/>
      <c r="B339" s="8" t="s">
        <v>435</v>
      </c>
      <c r="C339" s="8" t="s">
        <v>170</v>
      </c>
      <c r="D339" s="8">
        <v>6270000005</v>
      </c>
      <c r="E339" s="8" t="s">
        <v>430</v>
      </c>
      <c r="F339" s="89" t="s">
        <v>469</v>
      </c>
      <c r="G339" s="73" t="s">
        <v>136</v>
      </c>
      <c r="H339" s="112" t="s">
        <v>61</v>
      </c>
      <c r="I339" s="13" t="s">
        <v>436</v>
      </c>
      <c r="K339" s="186">
        <v>8335.7613389365579</v>
      </c>
      <c r="L339" s="187"/>
      <c r="M339" s="214">
        <f>IF(OR(E339="Distribución Legal de la Renta",E339="Acopio carros portaequipajes"),0,IF(K339&lt;0,0,K339*(1+SUMIFS('Insumos - OPEX'!$G$82:$G$238,'Insumos - OPEX'!$B$82:$B$238,OPEX!D339))))</f>
        <v>11971.563116729358</v>
      </c>
      <c r="N339" s="211">
        <f>IF(OR($B339="Ce Co No Imputables",$G339="M2 fijo"),$M339*(1+'Insumos - OPEX'!J$38),$M339*(1+'Insumos - OPEX'!J$29*'Insumos - OPEX'!J$39)*(1+'Insumos - OPEX'!J$38))</f>
        <v>12223.085657811842</v>
      </c>
      <c r="O339" s="211">
        <f>IF(OR($B339="Ce Co No Imputables",$G339="M2 fijo"),$M339*(1+'Insumos - OPEX'!K$38),$M339*(1+'Insumos - OPEX'!K$29*'Insumos - OPEX'!K$39)*(1+'Insumos - OPEX'!K$38))</f>
        <v>12512.89501875856</v>
      </c>
      <c r="P339" s="211">
        <f>IF(OR($B339="Ce Co No Imputables",$G339="M2 fijo"),$M339*(1+'Insumos - OPEX'!L$38),$M339*(1+'Insumos - OPEX'!L$29*'Insumos - OPEX'!L$39)*(1+'Insumos - OPEX'!L$38))</f>
        <v>12780.045327409054</v>
      </c>
      <c r="Q339" s="211">
        <f>IF(OR($B339="Ce Co No Imputables",$G339="M2 fijo"),$M339*(1+'Insumos - OPEX'!M$38),$M339*(1+'Insumos - OPEX'!M$29*'Insumos - OPEX'!M$39)*(1+'Insumos - OPEX'!M$38))</f>
        <v>13055.071902854894</v>
      </c>
      <c r="R339" s="211">
        <f>IF(OR($B339="Ce Co No Imputables",$G339="M2 fijo"),$M339*(1+'Insumos - OPEX'!N$38),$M339*(1+'Insumos - OPEX'!N$29*'Insumos - OPEX'!N$39)*(1+'Insumos - OPEX'!N$38))</f>
        <v>13336.017050204333</v>
      </c>
      <c r="S339" s="111"/>
    </row>
    <row r="340" spans="1:19" x14ac:dyDescent="0.2">
      <c r="A340" s="8"/>
      <c r="B340" s="8" t="s">
        <v>435</v>
      </c>
      <c r="C340" s="8" t="s">
        <v>170</v>
      </c>
      <c r="D340" s="8">
        <v>6250000006</v>
      </c>
      <c r="E340" s="8" t="s">
        <v>429</v>
      </c>
      <c r="F340" s="89" t="s">
        <v>469</v>
      </c>
      <c r="G340" s="73" t="s">
        <v>136</v>
      </c>
      <c r="H340" s="112" t="s">
        <v>61</v>
      </c>
      <c r="I340" s="13" t="s">
        <v>436</v>
      </c>
      <c r="K340" s="186">
        <v>7052.9828494624826</v>
      </c>
      <c r="L340" s="187"/>
      <c r="M340" s="214">
        <f>IF(OR(E340="Distribución Legal de la Renta",E340="Acopio carros portaequipajes"),0,IF(K340&lt;0,0,K340*(1+SUMIFS('Insumos - OPEX'!$G$82:$G$238,'Insumos - OPEX'!$B$82:$B$238,OPEX!D340))))</f>
        <v>10129.276248487422</v>
      </c>
      <c r="N340" s="211">
        <f>IF(OR($B340="Ce Co No Imputables",$G340="M2 fijo"),$M340*(1+'Insumos - OPEX'!J$38),$M340*(1+'Insumos - OPEX'!J$29*'Insumos - OPEX'!J$39)*(1+'Insumos - OPEX'!J$38))</f>
        <v>10342.092342468142</v>
      </c>
      <c r="O340" s="211">
        <f>IF(OR($B340="Ce Co No Imputables",$G340="M2 fijo"),$M340*(1+'Insumos - OPEX'!K$38),$M340*(1+'Insumos - OPEX'!K$29*'Insumos - OPEX'!K$39)*(1+'Insumos - OPEX'!K$38))</f>
        <v>10587.303351908062</v>
      </c>
      <c r="P340" s="211">
        <f>IF(OR($B340="Ce Co No Imputables",$G340="M2 fijo"),$M340*(1+'Insumos - OPEX'!L$38),$M340*(1+'Insumos - OPEX'!L$29*'Insumos - OPEX'!L$39)*(1+'Insumos - OPEX'!L$38))</f>
        <v>10813.342278471298</v>
      </c>
      <c r="Q340" s="211">
        <f>IF(OR($B340="Ce Co No Imputables",$G340="M2 fijo"),$M340*(1+'Insumos - OPEX'!M$38),$M340*(1+'Insumos - OPEX'!M$29*'Insumos - OPEX'!M$39)*(1+'Insumos - OPEX'!M$38))</f>
        <v>11046.045404303997</v>
      </c>
      <c r="R340" s="211">
        <f>IF(OR($B340="Ce Co No Imputables",$G340="M2 fijo"),$M340*(1+'Insumos - OPEX'!N$38),$M340*(1+'Insumos - OPEX'!N$29*'Insumos - OPEX'!N$39)*(1+'Insumos - OPEX'!N$38))</f>
        <v>11283.756301404621</v>
      </c>
      <c r="S340" s="111"/>
    </row>
    <row r="341" spans="1:19" x14ac:dyDescent="0.2">
      <c r="A341" s="8"/>
      <c r="B341" s="8" t="s">
        <v>435</v>
      </c>
      <c r="C341" s="8" t="s">
        <v>170</v>
      </c>
      <c r="D341" s="8">
        <v>6250000001</v>
      </c>
      <c r="E341" s="8" t="s">
        <v>262</v>
      </c>
      <c r="F341" s="89" t="s">
        <v>469</v>
      </c>
      <c r="G341" s="73" t="s">
        <v>136</v>
      </c>
      <c r="H341" s="112" t="s">
        <v>61</v>
      </c>
      <c r="I341" s="13" t="s">
        <v>436</v>
      </c>
      <c r="K341" s="186">
        <v>6108.1179336365585</v>
      </c>
      <c r="L341" s="187"/>
      <c r="M341" s="214">
        <f>IF(OR(E341="Distribución Legal de la Renta",E341="Acopio carros portaequipajes"),0,IF(K341&lt;0,0,K341*(1+SUMIFS('Insumos - OPEX'!$G$82:$G$238,'Insumos - OPEX'!$B$82:$B$238,OPEX!D341))))</f>
        <v>8772.2904235985952</v>
      </c>
      <c r="N341" s="211">
        <f>IF(OR($B341="Ce Co No Imputables",$G341="M2 fijo"),$M341*(1+'Insumos - OPEX'!J$38),$M341*(1+'Insumos - OPEX'!J$29*'Insumos - OPEX'!J$39)*(1+'Insumos - OPEX'!J$38))</f>
        <v>8956.5962453984012</v>
      </c>
      <c r="O341" s="211">
        <f>IF(OR($B341="Ce Co No Imputables",$G341="M2 fijo"),$M341*(1+'Insumos - OPEX'!K$38),$M341*(1+'Insumos - OPEX'!K$29*'Insumos - OPEX'!K$39)*(1+'Insumos - OPEX'!K$38))</f>
        <v>9168.9571423767975</v>
      </c>
      <c r="P341" s="211">
        <f>IF(OR($B341="Ce Co No Imputables",$G341="M2 fijo"),$M341*(1+'Insumos - OPEX'!L$38),$M341*(1+'Insumos - OPEX'!L$29*'Insumos - OPEX'!L$39)*(1+'Insumos - OPEX'!L$38))</f>
        <v>9364.7143773665412</v>
      </c>
      <c r="Q341" s="211">
        <f>IF(OR($B341="Ce Co No Imputables",$G341="M2 fijo"),$M341*(1+'Insumos - OPEX'!M$38),$M341*(1+'Insumos - OPEX'!M$29*'Insumos - OPEX'!M$39)*(1+'Insumos - OPEX'!M$38))</f>
        <v>9566.2430307674676</v>
      </c>
      <c r="R341" s="211">
        <f>IF(OR($B341="Ce Co No Imputables",$G341="M2 fijo"),$M341*(1+'Insumos - OPEX'!N$38),$M341*(1+'Insumos - OPEX'!N$29*'Insumos - OPEX'!N$39)*(1+'Insumos - OPEX'!N$38))</f>
        <v>9772.1085807895834</v>
      </c>
      <c r="S341" s="111"/>
    </row>
    <row r="342" spans="1:19" x14ac:dyDescent="0.2">
      <c r="A342" s="8"/>
      <c r="B342" s="8" t="s">
        <v>435</v>
      </c>
      <c r="C342" s="8" t="s">
        <v>170</v>
      </c>
      <c r="D342" s="8">
        <v>6214000001</v>
      </c>
      <c r="E342" s="8" t="s">
        <v>256</v>
      </c>
      <c r="F342" s="89" t="s">
        <v>469</v>
      </c>
      <c r="G342" s="73" t="s">
        <v>136</v>
      </c>
      <c r="H342" s="112" t="s">
        <v>61</v>
      </c>
      <c r="I342" s="13" t="s">
        <v>436</v>
      </c>
      <c r="K342" s="186">
        <v>4743.8508696617118</v>
      </c>
      <c r="L342" s="187"/>
      <c r="M342" s="214">
        <f>IF(OR(E342="Distribución Legal de la Renta",E342="Acopio carros portaequipajes"),0,IF(K342&lt;0,0,K342*(1+SUMIFS('Insumos - OPEX'!$G$82:$G$238,'Insumos - OPEX'!$B$82:$B$238,OPEX!D342))))</f>
        <v>6812.9721801454361</v>
      </c>
      <c r="N342" s="211">
        <f>IF(OR($B342="Ce Co No Imputables",$G342="M2 fijo"),$M342*(1+'Insumos - OPEX'!J$38),$M342*(1+'Insumos - OPEX'!J$29*'Insumos - OPEX'!J$39)*(1+'Insumos - OPEX'!J$38))</f>
        <v>6956.1127256502914</v>
      </c>
      <c r="O342" s="211">
        <f>IF(OR($B342="Ce Co No Imputables",$G342="M2 fijo"),$M342*(1+'Insumos - OPEX'!K$38),$M342*(1+'Insumos - OPEX'!K$29*'Insumos - OPEX'!K$39)*(1+'Insumos - OPEX'!K$38))</f>
        <v>7121.0421583754596</v>
      </c>
      <c r="P342" s="211">
        <f>IF(OR($B342="Ce Co No Imputables",$G342="M2 fijo"),$M342*(1+'Insumos - OPEX'!L$38),$M342*(1+'Insumos - OPEX'!L$29*'Insumos - OPEX'!L$39)*(1+'Insumos - OPEX'!L$38))</f>
        <v>7273.0764084567754</v>
      </c>
      <c r="Q342" s="211">
        <f>IF(OR($B342="Ce Co No Imputables",$G342="M2 fijo"),$M342*(1+'Insumos - OPEX'!M$38),$M342*(1+'Insumos - OPEX'!M$29*'Insumos - OPEX'!M$39)*(1+'Insumos - OPEX'!M$38))</f>
        <v>7429.5930127667634</v>
      </c>
      <c r="R342" s="211">
        <f>IF(OR($B342="Ce Co No Imputables",$G342="M2 fijo"),$M342*(1+'Insumos - OPEX'!N$38),$M342*(1+'Insumos - OPEX'!N$29*'Insumos - OPEX'!N$39)*(1+'Insumos - OPEX'!N$38))</f>
        <v>7589.4778544015044</v>
      </c>
      <c r="S342" s="111"/>
    </row>
    <row r="343" spans="1:19" x14ac:dyDescent="0.2">
      <c r="A343" s="8"/>
      <c r="B343" s="8" t="s">
        <v>435</v>
      </c>
      <c r="C343" s="8" t="s">
        <v>170</v>
      </c>
      <c r="D343" s="8">
        <v>6270000004</v>
      </c>
      <c r="E343" s="8" t="s">
        <v>431</v>
      </c>
      <c r="F343" s="89" t="s">
        <v>469</v>
      </c>
      <c r="G343" s="73" t="s">
        <v>136</v>
      </c>
      <c r="H343" s="112" t="s">
        <v>61</v>
      </c>
      <c r="I343" s="13" t="s">
        <v>436</v>
      </c>
      <c r="K343" s="186">
        <v>4521.0046482221896</v>
      </c>
      <c r="L343" s="187"/>
      <c r="M343" s="214">
        <f>IF(OR(E343="Distribución Legal de la Renta",E343="Acopio carros portaequipajes"),0,IF(K343&lt;0,0,K343*(1+SUMIFS('Insumos - OPEX'!$G$82:$G$238,'Insumos - OPEX'!$B$82:$B$238,OPEX!D343))))</f>
        <v>6492.927315997702</v>
      </c>
      <c r="N343" s="211">
        <f>IF(OR($B343="Ce Co No Imputables",$G343="M2 fijo"),$M343*(1+'Insumos - OPEX'!J$38),$M343*(1+'Insumos - OPEX'!J$29*'Insumos - OPEX'!J$39)*(1+'Insumos - OPEX'!J$38))</f>
        <v>6629.3437189068136</v>
      </c>
      <c r="O343" s="211">
        <f>IF(OR($B343="Ce Co No Imputables",$G343="M2 fijo"),$M343*(1+'Insumos - OPEX'!K$38),$M343*(1+'Insumos - OPEX'!K$29*'Insumos - OPEX'!K$39)*(1+'Insumos - OPEX'!K$38))</f>
        <v>6786.5254584820941</v>
      </c>
      <c r="P343" s="211">
        <f>IF(OR($B343="Ce Co No Imputables",$G343="M2 fijo"),$M343*(1+'Insumos - OPEX'!L$38),$M343*(1+'Insumos - OPEX'!L$29*'Insumos - OPEX'!L$39)*(1+'Insumos - OPEX'!L$38))</f>
        <v>6931.4177770206861</v>
      </c>
      <c r="Q343" s="211">
        <f>IF(OR($B343="Ce Co No Imputables",$G343="M2 fijo"),$M343*(1+'Insumos - OPEX'!M$38),$M343*(1+'Insumos - OPEX'!M$29*'Insumos - OPEX'!M$39)*(1+'Insumos - OPEX'!M$38))</f>
        <v>7080.5818875821697</v>
      </c>
      <c r="R343" s="211">
        <f>IF(OR($B343="Ce Co No Imputables",$G343="M2 fijo"),$M343*(1+'Insumos - OPEX'!N$38),$M343*(1+'Insumos - OPEX'!N$29*'Insumos - OPEX'!N$39)*(1+'Insumos - OPEX'!N$38))</f>
        <v>7232.9560098029388</v>
      </c>
      <c r="S343" s="111"/>
    </row>
    <row r="344" spans="1:19" x14ac:dyDescent="0.2">
      <c r="A344" s="8"/>
      <c r="B344" s="8" t="s">
        <v>435</v>
      </c>
      <c r="C344" s="8" t="s">
        <v>170</v>
      </c>
      <c r="D344" s="8">
        <v>6270000003</v>
      </c>
      <c r="E344" s="8" t="s">
        <v>432</v>
      </c>
      <c r="F344" s="89" t="s">
        <v>469</v>
      </c>
      <c r="G344" s="73" t="s">
        <v>136</v>
      </c>
      <c r="H344" s="112" t="s">
        <v>61</v>
      </c>
      <c r="I344" s="13" t="s">
        <v>436</v>
      </c>
      <c r="K344" s="186">
        <v>3685.1144162774021</v>
      </c>
      <c r="L344" s="187"/>
      <c r="M344" s="214">
        <f>IF(OR(E344="Distribución Legal de la Renta",E344="Acopio carros portaequipajes"),0,IF(K344&lt;0,0,K344*(1+SUMIFS('Insumos - OPEX'!$G$82:$G$238,'Insumos - OPEX'!$B$82:$B$238,OPEX!D344))))</f>
        <v>5292.4475681380773</v>
      </c>
      <c r="N344" s="211">
        <f>IF(OR($B344="Ce Co No Imputables",$G344="M2 fijo"),$M344*(1+'Insumos - OPEX'!J$38),$M344*(1+'Insumos - OPEX'!J$29*'Insumos - OPEX'!J$39)*(1+'Insumos - OPEX'!J$38))</f>
        <v>5403.6418915446584</v>
      </c>
      <c r="O344" s="211">
        <f>IF(OR($B344="Ce Co No Imputables",$G344="M2 fijo"),$M344*(1+'Insumos - OPEX'!K$38),$M344*(1+'Insumos - OPEX'!K$29*'Insumos - OPEX'!K$39)*(1+'Insumos - OPEX'!K$38))</f>
        <v>5531.7622407931822</v>
      </c>
      <c r="P344" s="211">
        <f>IF(OR($B344="Ce Co No Imputables",$G344="M2 fijo"),$M344*(1+'Insumos - OPEX'!L$38),$M344*(1+'Insumos - OPEX'!L$29*'Insumos - OPEX'!L$39)*(1+'Insumos - OPEX'!L$38))</f>
        <v>5649.8653646341154</v>
      </c>
      <c r="Q344" s="211">
        <f>IF(OR($B344="Ce Co No Imputables",$G344="M2 fijo"),$M344*(1+'Insumos - OPEX'!M$38),$M344*(1+'Insumos - OPEX'!M$29*'Insumos - OPEX'!M$39)*(1+'Insumos - OPEX'!M$38))</f>
        <v>5771.4504672810408</v>
      </c>
      <c r="R344" s="211">
        <f>IF(OR($B344="Ce Co No Imputables",$G344="M2 fijo"),$M344*(1+'Insumos - OPEX'!N$38),$M344*(1+'Insumos - OPEX'!N$29*'Insumos - OPEX'!N$39)*(1+'Insumos - OPEX'!N$38))</f>
        <v>5895.6520813369289</v>
      </c>
      <c r="S344" s="111"/>
    </row>
    <row r="345" spans="1:19" x14ac:dyDescent="0.2">
      <c r="A345" s="8"/>
      <c r="B345" s="8" t="s">
        <v>435</v>
      </c>
      <c r="C345" s="8" t="s">
        <v>170</v>
      </c>
      <c r="D345" s="8">
        <v>6250000004</v>
      </c>
      <c r="E345" s="8" t="s">
        <v>264</v>
      </c>
      <c r="F345" s="89" t="s">
        <v>469</v>
      </c>
      <c r="G345" s="73" t="s">
        <v>136</v>
      </c>
      <c r="H345" s="112" t="s">
        <v>61</v>
      </c>
      <c r="I345" s="13" t="s">
        <v>436</v>
      </c>
      <c r="K345" s="186">
        <v>3639.6998315560909</v>
      </c>
      <c r="L345" s="187"/>
      <c r="M345" s="214">
        <f>IF(OR(E345="Distribución Legal de la Renta",E345="Acopio carros portaequipajes"),0,IF(K345&lt;0,0,K345*(1+SUMIFS('Insumos - OPEX'!$G$82:$G$238,'Insumos - OPEX'!$B$82:$B$238,OPEX!D345))))</f>
        <v>5227.2245434730512</v>
      </c>
      <c r="N345" s="211">
        <f>IF(OR($B345="Ce Co No Imputables",$G345="M2 fijo"),$M345*(1+'Insumos - OPEX'!J$38),$M345*(1+'Insumos - OPEX'!J$29*'Insumos - OPEX'!J$39)*(1+'Insumos - OPEX'!J$38))</f>
        <v>5337.0485311314196</v>
      </c>
      <c r="O345" s="211">
        <f>IF(OR($B345="Ce Co No Imputables",$G345="M2 fijo"),$M345*(1+'Insumos - OPEX'!K$38),$M345*(1+'Insumos - OPEX'!K$29*'Insumos - OPEX'!K$39)*(1+'Insumos - OPEX'!K$38))</f>
        <v>5463.5899518045453</v>
      </c>
      <c r="P345" s="211">
        <f>IF(OR($B345="Ce Co No Imputables",$G345="M2 fijo"),$M345*(1+'Insumos - OPEX'!L$38),$M345*(1+'Insumos - OPEX'!L$29*'Insumos - OPEX'!L$39)*(1+'Insumos - OPEX'!L$38))</f>
        <v>5580.2375972755726</v>
      </c>
      <c r="Q345" s="211">
        <f>IF(OR($B345="Ce Co No Imputables",$G345="M2 fijo"),$M345*(1+'Insumos - OPEX'!M$38),$M345*(1+'Insumos - OPEX'!M$29*'Insumos - OPEX'!M$39)*(1+'Insumos - OPEX'!M$38))</f>
        <v>5700.324310368941</v>
      </c>
      <c r="R345" s="211">
        <f>IF(OR($B345="Ce Co No Imputables",$G345="M2 fijo"),$M345*(1+'Insumos - OPEX'!N$38),$M345*(1+'Insumos - OPEX'!N$29*'Insumos - OPEX'!N$39)*(1+'Insumos - OPEX'!N$38))</f>
        <v>5822.9952895280812</v>
      </c>
      <c r="S345" s="111"/>
    </row>
    <row r="346" spans="1:19" x14ac:dyDescent="0.2">
      <c r="A346" s="8"/>
      <c r="B346" s="8" t="s">
        <v>435</v>
      </c>
      <c r="C346" s="8" t="s">
        <v>170</v>
      </c>
      <c r="D346" s="8">
        <v>6231000001</v>
      </c>
      <c r="E346" s="8" t="s">
        <v>258</v>
      </c>
      <c r="F346" s="89" t="s">
        <v>469</v>
      </c>
      <c r="G346" s="73" t="s">
        <v>136</v>
      </c>
      <c r="H346" s="112" t="s">
        <v>61</v>
      </c>
      <c r="I346" s="13" t="s">
        <v>436</v>
      </c>
      <c r="K346" s="186">
        <v>0</v>
      </c>
      <c r="L346" s="187"/>
      <c r="M346" s="214">
        <f>IF(OR(E346="Distribución Legal de la Renta",E346="Acopio carros portaequipajes"),0,IF(K346&lt;0,0,K346*(1+SUMIFS('Insumos - OPEX'!$G$82:$G$238,'Insumos - OPEX'!$B$82:$B$238,OPEX!D346))))</f>
        <v>0</v>
      </c>
      <c r="N346" s="211">
        <f>IF(OR($B346="Ce Co No Imputables",$G346="M2 fijo"),$M346*(1+'Insumos - OPEX'!J$38),$M346*(1+'Insumos - OPEX'!J$29*'Insumos - OPEX'!J$39)*(1+'Insumos - OPEX'!J$38))</f>
        <v>0</v>
      </c>
      <c r="O346" s="211">
        <f>IF(OR($B346="Ce Co No Imputables",$G346="M2 fijo"),$M346*(1+'Insumos - OPEX'!K$38),$M346*(1+'Insumos - OPEX'!K$29*'Insumos - OPEX'!K$39)*(1+'Insumos - OPEX'!K$38))</f>
        <v>0</v>
      </c>
      <c r="P346" s="211">
        <f>IF(OR($B346="Ce Co No Imputables",$G346="M2 fijo"),$M346*(1+'Insumos - OPEX'!L$38),$M346*(1+'Insumos - OPEX'!L$29*'Insumos - OPEX'!L$39)*(1+'Insumos - OPEX'!L$38))</f>
        <v>0</v>
      </c>
      <c r="Q346" s="211">
        <f>IF(OR($B346="Ce Co No Imputables",$G346="M2 fijo"),$M346*(1+'Insumos - OPEX'!M$38),$M346*(1+'Insumos - OPEX'!M$29*'Insumos - OPEX'!M$39)*(1+'Insumos - OPEX'!M$38))</f>
        <v>0</v>
      </c>
      <c r="R346" s="211">
        <f>IF(OR($B346="Ce Co No Imputables",$G346="M2 fijo"),$M346*(1+'Insumos - OPEX'!N$38),$M346*(1+'Insumos - OPEX'!N$29*'Insumos - OPEX'!N$39)*(1+'Insumos - OPEX'!N$38))</f>
        <v>0</v>
      </c>
      <c r="S346" s="111"/>
    </row>
    <row r="347" spans="1:19" x14ac:dyDescent="0.2">
      <c r="A347" s="8"/>
      <c r="B347" s="8" t="s">
        <v>435</v>
      </c>
      <c r="C347" s="8" t="s">
        <v>170</v>
      </c>
      <c r="D347" s="8">
        <v>6270000007</v>
      </c>
      <c r="E347" s="8" t="s">
        <v>263</v>
      </c>
      <c r="F347" s="89" t="s">
        <v>469</v>
      </c>
      <c r="G347" s="73" t="s">
        <v>136</v>
      </c>
      <c r="H347" s="112" t="s">
        <v>61</v>
      </c>
      <c r="I347" s="13" t="s">
        <v>436</v>
      </c>
      <c r="K347" s="186">
        <v>-1.4857918786869371</v>
      </c>
      <c r="L347" s="187"/>
      <c r="M347" s="214">
        <f>IF(OR(E347="Distribución Legal de la Renta",E347="Acopio carros portaequipajes"),0,IF(K347&lt;0,0,K347*(1+SUMIFS('Insumos - OPEX'!$G$82:$G$238,'Insumos - OPEX'!$B$82:$B$238,OPEX!D347))))</f>
        <v>0</v>
      </c>
      <c r="N347" s="211">
        <f>IF(OR($B347="Ce Co No Imputables",$G347="M2 fijo"),$M347*(1+'Insumos - OPEX'!J$38),$M347*(1+'Insumos - OPEX'!J$29*'Insumos - OPEX'!J$39)*(1+'Insumos - OPEX'!J$38))</f>
        <v>0</v>
      </c>
      <c r="O347" s="211">
        <f>IF(OR($B347="Ce Co No Imputables",$G347="M2 fijo"),$M347*(1+'Insumos - OPEX'!K$38),$M347*(1+'Insumos - OPEX'!K$29*'Insumos - OPEX'!K$39)*(1+'Insumos - OPEX'!K$38))</f>
        <v>0</v>
      </c>
      <c r="P347" s="211">
        <f>IF(OR($B347="Ce Co No Imputables",$G347="M2 fijo"),$M347*(1+'Insumos - OPEX'!L$38),$M347*(1+'Insumos - OPEX'!L$29*'Insumos - OPEX'!L$39)*(1+'Insumos - OPEX'!L$38))</f>
        <v>0</v>
      </c>
      <c r="Q347" s="211">
        <f>IF(OR($B347="Ce Co No Imputables",$G347="M2 fijo"),$M347*(1+'Insumos - OPEX'!M$38),$M347*(1+'Insumos - OPEX'!M$29*'Insumos - OPEX'!M$39)*(1+'Insumos - OPEX'!M$38))</f>
        <v>0</v>
      </c>
      <c r="R347" s="211">
        <f>IF(OR($B347="Ce Co No Imputables",$G347="M2 fijo"),$M347*(1+'Insumos - OPEX'!N$38),$M347*(1+'Insumos - OPEX'!N$29*'Insumos - OPEX'!N$39)*(1+'Insumos - OPEX'!N$38))</f>
        <v>0</v>
      </c>
      <c r="S347" s="111"/>
    </row>
    <row r="348" spans="1:19" x14ac:dyDescent="0.2">
      <c r="A348" s="8"/>
      <c r="B348" s="8" t="s">
        <v>435</v>
      </c>
      <c r="C348" s="8" t="s">
        <v>171</v>
      </c>
      <c r="D348" s="8">
        <v>6320000001</v>
      </c>
      <c r="E348" s="8" t="s">
        <v>324</v>
      </c>
      <c r="F348" s="89" t="s">
        <v>469</v>
      </c>
      <c r="G348" s="73" t="s">
        <v>136</v>
      </c>
      <c r="H348" s="112" t="s">
        <v>61</v>
      </c>
      <c r="I348" s="13" t="s">
        <v>436</v>
      </c>
      <c r="K348" s="186">
        <v>1006824.1716510508</v>
      </c>
      <c r="L348" s="187"/>
      <c r="M348" s="214">
        <f>IF(OR(E348="Distribución Legal de la Renta",E348="Acopio carros portaequipajes"),0,IF(K348&lt;0,0,K348*(1+SUMIFS('Insumos - OPEX'!$G$82:$G$238,'Insumos - OPEX'!$B$82:$B$238,OPEX!D348))))</f>
        <v>1914792.6859806937</v>
      </c>
      <c r="N348" s="211">
        <f>IF(OR($B348="Ce Co No Imputables",$G348="M2 fijo"),$M348*(1+'Insumos - OPEX'!J$38),$M348*(1+'Insumos - OPEX'!J$29*'Insumos - OPEX'!J$39)*(1+'Insumos - OPEX'!J$38))</f>
        <v>1955022.4803131479</v>
      </c>
      <c r="O348" s="211">
        <f>IF(OR($B348="Ce Co No Imputables",$G348="M2 fijo"),$M348*(1+'Insumos - OPEX'!K$38),$M348*(1+'Insumos - OPEX'!K$29*'Insumos - OPEX'!K$39)*(1+'Insumos - OPEX'!K$38))</f>
        <v>2001376.0633213727</v>
      </c>
      <c r="P348" s="211">
        <f>IF(OR($B348="Ce Co No Imputables",$G348="M2 fijo"),$M348*(1+'Insumos - OPEX'!L$38),$M348*(1+'Insumos - OPEX'!L$29*'Insumos - OPEX'!L$39)*(1+'Insumos - OPEX'!L$38))</f>
        <v>2044105.4422732838</v>
      </c>
      <c r="Q348" s="211">
        <f>IF(OR($B348="Ce Co No Imputables",$G348="M2 fijo"),$M348*(1+'Insumos - OPEX'!M$38),$M348*(1+'Insumos - OPEX'!M$29*'Insumos - OPEX'!M$39)*(1+'Insumos - OPEX'!M$38))</f>
        <v>2088094.5913910044</v>
      </c>
      <c r="R348" s="211">
        <f>IF(OR($B348="Ce Co No Imputables",$G348="M2 fijo"),$M348*(1+'Insumos - OPEX'!N$38),$M348*(1+'Insumos - OPEX'!N$29*'Insumos - OPEX'!N$39)*(1+'Insumos - OPEX'!N$38))</f>
        <v>2133030.3869977389</v>
      </c>
      <c r="S348" s="111"/>
    </row>
    <row r="349" spans="1:19" x14ac:dyDescent="0.2">
      <c r="A349" s="8"/>
      <c r="B349" s="8" t="s">
        <v>435</v>
      </c>
      <c r="C349" s="8" t="s">
        <v>171</v>
      </c>
      <c r="D349" s="8">
        <v>6320000004</v>
      </c>
      <c r="E349" s="8" t="s">
        <v>340</v>
      </c>
      <c r="F349" s="89" t="s">
        <v>470</v>
      </c>
      <c r="G349" s="73" t="s">
        <v>136</v>
      </c>
      <c r="H349" s="112" t="s">
        <v>61</v>
      </c>
      <c r="I349" s="13" t="s">
        <v>436</v>
      </c>
      <c r="K349" s="186">
        <v>741360.865192889</v>
      </c>
      <c r="L349" s="187"/>
      <c r="M349" s="214">
        <f>IF(OR(E349="Distribución Legal de la Renta",E349="Acopio carros portaequipajes"),0,IF(K349&lt;0,0,K349*(1+SUMIFS('Insumos - OPEX'!$G$82:$G$238,'Insumos - OPEX'!$B$82:$B$238,OPEX!D349))))</f>
        <v>773987.70908806555</v>
      </c>
      <c r="N349" s="211">
        <f>IF(OR($B349="Ce Co No Imputables",$G349="M2 fijo"),$M349*(1+'Insumos - OPEX'!J$38),$M349*(1+'Insumos - OPEX'!J$29*'Insumos - OPEX'!J$39)*(1+'Insumos - OPEX'!J$38))</f>
        <v>790249.19085600576</v>
      </c>
      <c r="O349" s="211">
        <f>IF(OR($B349="Ce Co No Imputables",$G349="M2 fijo"),$M349*(1+'Insumos - OPEX'!K$38),$M349*(1+'Insumos - OPEX'!K$29*'Insumos - OPEX'!K$39)*(1+'Insumos - OPEX'!K$38))</f>
        <v>808985.99917120161</v>
      </c>
      <c r="P349" s="211">
        <f>IF(OR($B349="Ce Co No Imputables",$G349="M2 fijo"),$M349*(1+'Insumos - OPEX'!L$38),$M349*(1+'Insumos - OPEX'!L$29*'Insumos - OPEX'!L$39)*(1+'Insumos - OPEX'!L$38))</f>
        <v>826257.8502535068</v>
      </c>
      <c r="Q349" s="211">
        <f>IF(OR($B349="Ce Co No Imputables",$G349="M2 fijo"),$M349*(1+'Insumos - OPEX'!M$38),$M349*(1+'Insumos - OPEX'!M$29*'Insumos - OPEX'!M$39)*(1+'Insumos - OPEX'!M$38))</f>
        <v>844038.91919096198</v>
      </c>
      <c r="R349" s="211">
        <f>IF(OR($B349="Ce Co No Imputables",$G349="M2 fijo"),$M349*(1+'Insumos - OPEX'!N$38),$M349*(1+'Insumos - OPEX'!N$29*'Insumos - OPEX'!N$39)*(1+'Insumos - OPEX'!N$38))</f>
        <v>862202.63673195161</v>
      </c>
      <c r="S349" s="111"/>
    </row>
    <row r="350" spans="1:19" x14ac:dyDescent="0.2">
      <c r="A350" s="8"/>
      <c r="B350" s="8" t="s">
        <v>435</v>
      </c>
      <c r="C350" s="8" t="s">
        <v>171</v>
      </c>
      <c r="D350" s="8">
        <v>6380000030</v>
      </c>
      <c r="E350" s="8" t="s">
        <v>326</v>
      </c>
      <c r="F350" s="89" t="s">
        <v>469</v>
      </c>
      <c r="G350" s="73" t="s">
        <v>136</v>
      </c>
      <c r="H350" s="112" t="s">
        <v>61</v>
      </c>
      <c r="I350" s="13" t="s">
        <v>436</v>
      </c>
      <c r="K350" s="186">
        <v>314224.49817257142</v>
      </c>
      <c r="L350" s="187"/>
      <c r="M350" s="214">
        <f>IF(OR(E350="Distribución Legal de la Renta",E350="Acopio carros portaequipajes"),0,IF(K350&lt;0,0,K350*(1+SUMIFS('Insumos - OPEX'!$G$82:$G$238,'Insumos - OPEX'!$B$82:$B$238,OPEX!D350))))</f>
        <v>1470629.9651357047</v>
      </c>
      <c r="N350" s="211">
        <f>IF(OR($B350="Ce Co No Imputables",$G350="M2 fijo"),$M350*(1+'Insumos - OPEX'!J$38),$M350*(1+'Insumos - OPEX'!J$29*'Insumos - OPEX'!J$39)*(1+'Insumos - OPEX'!J$38))</f>
        <v>1501527.9007032057</v>
      </c>
      <c r="O350" s="211">
        <f>IF(OR($B350="Ce Co No Imputables",$G350="M2 fijo"),$M350*(1+'Insumos - OPEX'!K$38),$M350*(1+'Insumos - OPEX'!K$29*'Insumos - OPEX'!K$39)*(1+'Insumos - OPEX'!K$38))</f>
        <v>1537129.1272288789</v>
      </c>
      <c r="P350" s="211">
        <f>IF(OR($B350="Ce Co No Imputables",$G350="M2 fijo"),$M350*(1+'Insumos - OPEX'!L$38),$M350*(1+'Insumos - OPEX'!L$29*'Insumos - OPEX'!L$39)*(1+'Insumos - OPEX'!L$38))</f>
        <v>1569946.8340952152</v>
      </c>
      <c r="Q350" s="211">
        <f>IF(OR($B350="Ce Co No Imputables",$G350="M2 fijo"),$M350*(1+'Insumos - OPEX'!M$38),$M350*(1+'Insumos - OPEX'!M$29*'Insumos - OPEX'!M$39)*(1+'Insumos - OPEX'!M$38))</f>
        <v>1603732.0899649439</v>
      </c>
      <c r="R350" s="211">
        <f>IF(OR($B350="Ce Co No Imputables",$G350="M2 fijo"),$M350*(1+'Insumos - OPEX'!N$38),$M350*(1+'Insumos - OPEX'!N$29*'Insumos - OPEX'!N$39)*(1+'Insumos - OPEX'!N$38))</f>
        <v>1638244.4045409895</v>
      </c>
      <c r="S350" s="111"/>
    </row>
    <row r="351" spans="1:19" x14ac:dyDescent="0.2">
      <c r="A351" s="8"/>
      <c r="B351" s="8" t="s">
        <v>435</v>
      </c>
      <c r="C351" s="8" t="s">
        <v>171</v>
      </c>
      <c r="D351" s="8">
        <v>6356000001</v>
      </c>
      <c r="E351" s="8" t="s">
        <v>343</v>
      </c>
      <c r="F351" s="89" t="s">
        <v>469</v>
      </c>
      <c r="G351" s="73" t="s">
        <v>136</v>
      </c>
      <c r="H351" s="112" t="s">
        <v>61</v>
      </c>
      <c r="I351" s="13" t="s">
        <v>436</v>
      </c>
      <c r="K351" s="186">
        <v>275273.32869512431</v>
      </c>
      <c r="L351" s="187"/>
      <c r="M351" s="214">
        <f>IF(OR(E351="Distribución Legal de la Renta",E351="Acopio carros portaequipajes"),0,IF(K351&lt;0,0,K351*(1+SUMIFS('Insumos - OPEX'!$G$82:$G$238,'Insumos - OPEX'!$B$82:$B$238,OPEX!D351))))</f>
        <v>287387.94162590621</v>
      </c>
      <c r="N351" s="211">
        <f>IF(OR($B351="Ce Co No Imputables",$G351="M2 fijo"),$M351*(1+'Insumos - OPEX'!J$38),$M351*(1+'Insumos - OPEX'!J$29*'Insumos - OPEX'!J$39)*(1+'Insumos - OPEX'!J$38))</f>
        <v>293425.9622794665</v>
      </c>
      <c r="O351" s="211">
        <f>IF(OR($B351="Ce Co No Imputables",$G351="M2 fijo"),$M351*(1+'Insumos - OPEX'!K$38),$M351*(1+'Insumos - OPEX'!K$29*'Insumos - OPEX'!K$39)*(1+'Insumos - OPEX'!K$38))</f>
        <v>300383.09184511262</v>
      </c>
      <c r="P351" s="211">
        <f>IF(OR($B351="Ce Co No Imputables",$G351="M2 fijo"),$M351*(1+'Insumos - OPEX'!L$38),$M351*(1+'Insumos - OPEX'!L$29*'Insumos - OPEX'!L$39)*(1+'Insumos - OPEX'!L$38))</f>
        <v>306796.27085600578</v>
      </c>
      <c r="Q351" s="211">
        <f>IF(OR($B351="Ce Co No Imputables",$G351="M2 fijo"),$M351*(1+'Insumos - OPEX'!M$38),$M351*(1+'Insumos - OPEX'!M$29*'Insumos - OPEX'!M$39)*(1+'Insumos - OPEX'!M$38))</f>
        <v>313398.52660482697</v>
      </c>
      <c r="R351" s="211">
        <f>IF(OR($B351="Ce Co No Imputables",$G351="M2 fijo"),$M351*(1+'Insumos - OPEX'!N$38),$M351*(1+'Insumos - OPEX'!N$29*'Insumos - OPEX'!N$39)*(1+'Insumos - OPEX'!N$38))</f>
        <v>320142.86289736285</v>
      </c>
      <c r="S351" s="111"/>
    </row>
    <row r="352" spans="1:19" x14ac:dyDescent="0.2">
      <c r="A352" s="8"/>
      <c r="B352" s="8" t="s">
        <v>435</v>
      </c>
      <c r="C352" s="8" t="s">
        <v>171</v>
      </c>
      <c r="D352" s="8">
        <v>6354000001</v>
      </c>
      <c r="E352" s="8" t="s">
        <v>336</v>
      </c>
      <c r="F352" s="89" t="s">
        <v>469</v>
      </c>
      <c r="G352" s="73" t="s">
        <v>136</v>
      </c>
      <c r="H352" s="112" t="s">
        <v>61</v>
      </c>
      <c r="I352" s="13" t="s">
        <v>436</v>
      </c>
      <c r="K352" s="186">
        <v>134936.09564495957</v>
      </c>
      <c r="L352" s="187"/>
      <c r="M352" s="214">
        <f>IF(OR(E352="Distribución Legal de la Renta",E352="Acopio carros portaequipajes"),0,IF(K352&lt;0,0,K352*(1+SUMIFS('Insumos - OPEX'!$G$82:$G$238,'Insumos - OPEX'!$B$82:$B$238,OPEX!D352))))</f>
        <v>287105.49146245676</v>
      </c>
      <c r="N352" s="211">
        <f>IF(OR($B352="Ce Co No Imputables",$G352="M2 fijo"),$M352*(1+'Insumos - OPEX'!J$38),$M352*(1+'Insumos - OPEX'!J$29*'Insumos - OPEX'!J$39)*(1+'Insumos - OPEX'!J$38))</f>
        <v>293137.57783808297</v>
      </c>
      <c r="O352" s="211">
        <f>IF(OR($B352="Ce Co No Imputables",$G352="M2 fijo"),$M352*(1+'Insumos - OPEX'!K$38),$M352*(1+'Insumos - OPEX'!K$29*'Insumos - OPEX'!K$39)*(1+'Insumos - OPEX'!K$38))</f>
        <v>300087.86980862392</v>
      </c>
      <c r="P352" s="211">
        <f>IF(OR($B352="Ce Co No Imputables",$G352="M2 fijo"),$M352*(1+'Insumos - OPEX'!L$38),$M352*(1+'Insumos - OPEX'!L$29*'Insumos - OPEX'!L$39)*(1+'Insumos - OPEX'!L$38))</f>
        <v>306494.74582903803</v>
      </c>
      <c r="Q352" s="211">
        <f>IF(OR($B352="Ce Co No Imputables",$G352="M2 fijo"),$M352*(1+'Insumos - OPEX'!M$38),$M352*(1+'Insumos - OPEX'!M$29*'Insumos - OPEX'!M$39)*(1+'Insumos - OPEX'!M$38))</f>
        <v>313090.51275927882</v>
      </c>
      <c r="R352" s="211">
        <f>IF(OR($B352="Ce Co No Imputables",$G352="M2 fijo"),$M352*(1+'Insumos - OPEX'!N$38),$M352*(1+'Insumos - OPEX'!N$29*'Insumos - OPEX'!N$39)*(1+'Insumos - OPEX'!N$38))</f>
        <v>319828.22059385857</v>
      </c>
      <c r="S352" s="111"/>
    </row>
    <row r="353" spans="1:19" x14ac:dyDescent="0.2">
      <c r="A353" s="8"/>
      <c r="B353" s="8" t="s">
        <v>435</v>
      </c>
      <c r="C353" s="8" t="s">
        <v>171</v>
      </c>
      <c r="D353" s="8">
        <v>6370000001</v>
      </c>
      <c r="E353" s="8" t="s">
        <v>270</v>
      </c>
      <c r="F353" s="89" t="s">
        <v>469</v>
      </c>
      <c r="G353" s="73" t="s">
        <v>136</v>
      </c>
      <c r="H353" s="112" t="s">
        <v>61</v>
      </c>
      <c r="I353" s="13" t="s">
        <v>436</v>
      </c>
      <c r="K353" s="186">
        <v>96932.548870668252</v>
      </c>
      <c r="L353" s="187"/>
      <c r="M353" s="214">
        <f>IF(OR(E353="Distribución Legal de la Renta",E353="Acopio carros portaequipajes"),0,IF(K353&lt;0,0,K353*(1+SUMIFS('Insumos - OPEX'!$G$82:$G$238,'Insumos - OPEX'!$B$82:$B$238,OPEX!D353))))</f>
        <v>179832.46006853483</v>
      </c>
      <c r="N353" s="211">
        <f>IF(OR($B353="Ce Co No Imputables",$G353="M2 fijo"),$M353*(1+'Insumos - OPEX'!J$38),$M353*(1+'Insumos - OPEX'!J$29*'Insumos - OPEX'!J$39)*(1+'Insumos - OPEX'!J$38))</f>
        <v>183610.74005457474</v>
      </c>
      <c r="O353" s="211">
        <f>IF(OR($B353="Ce Co No Imputables",$G353="M2 fijo"),$M353*(1+'Insumos - OPEX'!K$38),$M353*(1+'Insumos - OPEX'!K$29*'Insumos - OPEX'!K$39)*(1+'Insumos - OPEX'!K$38))</f>
        <v>187964.15070126869</v>
      </c>
      <c r="P353" s="211">
        <f>IF(OR($B353="Ce Co No Imputables",$G353="M2 fijo"),$M353*(1+'Insumos - OPEX'!L$38),$M353*(1+'Insumos - OPEX'!L$29*'Insumos - OPEX'!L$39)*(1+'Insumos - OPEX'!L$38))</f>
        <v>191977.18531874078</v>
      </c>
      <c r="Q353" s="211">
        <f>IF(OR($B353="Ce Co No Imputables",$G353="M2 fijo"),$M353*(1+'Insumos - OPEX'!M$38),$M353*(1+'Insumos - OPEX'!M$29*'Insumos - OPEX'!M$39)*(1+'Insumos - OPEX'!M$38))</f>
        <v>196108.53434680004</v>
      </c>
      <c r="R353" s="211">
        <f>IF(OR($B353="Ce Co No Imputables",$G353="M2 fijo"),$M353*(1+'Insumos - OPEX'!N$38),$M353*(1+'Insumos - OPEX'!N$29*'Insumos - OPEX'!N$39)*(1+'Insumos - OPEX'!N$38))</f>
        <v>200328.79000594318</v>
      </c>
      <c r="S353" s="111"/>
    </row>
    <row r="354" spans="1:19" x14ac:dyDescent="0.2">
      <c r="A354" s="8"/>
      <c r="B354" s="8" t="s">
        <v>435</v>
      </c>
      <c r="C354" s="8" t="s">
        <v>171</v>
      </c>
      <c r="D354" s="8">
        <v>6382000001</v>
      </c>
      <c r="E354" s="8" t="s">
        <v>349</v>
      </c>
      <c r="F354" s="89" t="s">
        <v>469</v>
      </c>
      <c r="G354" s="73" t="s">
        <v>136</v>
      </c>
      <c r="H354" s="112" t="s">
        <v>61</v>
      </c>
      <c r="I354" s="13" t="s">
        <v>436</v>
      </c>
      <c r="K354" s="186">
        <v>76696.46308064046</v>
      </c>
      <c r="L354" s="187"/>
      <c r="M354" s="214">
        <f>IF(OR(E354="Distribución Legal de la Renta",E354="Acopio carros portaequipajes"),0,IF(K354&lt;0,0,K354*(1+SUMIFS('Insumos - OPEX'!$G$82:$G$238,'Insumos - OPEX'!$B$82:$B$238,OPEX!D354))))</f>
        <v>181303.55390346362</v>
      </c>
      <c r="N354" s="211">
        <f>IF(OR($B354="Ce Co No Imputables",$G354="M2 fijo"),$M354*(1+'Insumos - OPEX'!J$38),$M354*(1+'Insumos - OPEX'!J$29*'Insumos - OPEX'!J$39)*(1+'Insumos - OPEX'!J$38))</f>
        <v>185112.74157097537</v>
      </c>
      <c r="O354" s="211">
        <f>IF(OR($B354="Ce Co No Imputables",$G354="M2 fijo"),$M354*(1+'Insumos - OPEX'!K$38),$M354*(1+'Insumos - OPEX'!K$29*'Insumos - OPEX'!K$39)*(1+'Insumos - OPEX'!K$38))</f>
        <v>189501.7646736232</v>
      </c>
      <c r="P354" s="211">
        <f>IF(OR($B354="Ce Co No Imputables",$G354="M2 fijo"),$M354*(1+'Insumos - OPEX'!L$38),$M354*(1+'Insumos - OPEX'!L$29*'Insumos - OPEX'!L$39)*(1+'Insumos - OPEX'!L$38))</f>
        <v>193547.62734940505</v>
      </c>
      <c r="Q354" s="211">
        <f>IF(OR($B354="Ce Co No Imputables",$G354="M2 fijo"),$M354*(1+'Insumos - OPEX'!M$38),$M354*(1+'Insumos - OPEX'!M$29*'Insumos - OPEX'!M$39)*(1+'Insumos - OPEX'!M$38))</f>
        <v>197712.7722899642</v>
      </c>
      <c r="R354" s="211">
        <f>IF(OR($B354="Ce Co No Imputables",$G354="M2 fijo"),$M354*(1+'Insumos - OPEX'!N$38),$M354*(1+'Insumos - OPEX'!N$29*'Insumos - OPEX'!N$39)*(1+'Insumos - OPEX'!N$38))</f>
        <v>201967.55114964425</v>
      </c>
      <c r="S354" s="111"/>
    </row>
    <row r="355" spans="1:19" x14ac:dyDescent="0.2">
      <c r="A355" s="8"/>
      <c r="B355" s="8" t="s">
        <v>435</v>
      </c>
      <c r="C355" s="8" t="s">
        <v>171</v>
      </c>
      <c r="D355" s="8">
        <v>6380000021</v>
      </c>
      <c r="E355" s="8" t="s">
        <v>330</v>
      </c>
      <c r="F355" s="89" t="s">
        <v>469</v>
      </c>
      <c r="G355" s="73" t="s">
        <v>136</v>
      </c>
      <c r="H355" s="112" t="s">
        <v>61</v>
      </c>
      <c r="I355" s="13" t="s">
        <v>436</v>
      </c>
      <c r="K355" s="186">
        <v>74990.26992626673</v>
      </c>
      <c r="L355" s="187"/>
      <c r="M355" s="214">
        <f>IF(OR(E355="Distribución Legal de la Renta",E355="Acopio carros portaequipajes"),0,IF(K355&lt;0,0,K355*(1+SUMIFS('Insumos - OPEX'!$G$82:$G$238,'Insumos - OPEX'!$B$82:$B$238,OPEX!D355))))</f>
        <v>78290.546411598698</v>
      </c>
      <c r="N355" s="211">
        <f>IF(OR($B355="Ce Co No Imputables",$G355="M2 fijo"),$M355*(1+'Insumos - OPEX'!J$38),$M355*(1+'Insumos - OPEX'!J$29*'Insumos - OPEX'!J$39)*(1+'Insumos - OPEX'!J$38))</f>
        <v>79935.430791706385</v>
      </c>
      <c r="O355" s="211">
        <f>IF(OR($B355="Ce Co No Imputables",$G355="M2 fijo"),$M355*(1+'Insumos - OPEX'!K$38),$M355*(1+'Insumos - OPEX'!K$29*'Insumos - OPEX'!K$39)*(1+'Insumos - OPEX'!K$38))</f>
        <v>81830.699855777741</v>
      </c>
      <c r="P355" s="211">
        <f>IF(OR($B355="Ce Co No Imputables",$G355="M2 fijo"),$M355*(1+'Insumos - OPEX'!L$38),$M355*(1+'Insumos - OPEX'!L$29*'Insumos - OPEX'!L$39)*(1+'Insumos - OPEX'!L$38))</f>
        <v>83577.785297698589</v>
      </c>
      <c r="Q355" s="211">
        <f>IF(OR($B355="Ce Co No Imputables",$G355="M2 fijo"),$M355*(1+'Insumos - OPEX'!M$38),$M355*(1+'Insumos - OPEX'!M$29*'Insumos - OPEX'!M$39)*(1+'Insumos - OPEX'!M$38))</f>
        <v>85376.379237305038</v>
      </c>
      <c r="R355" s="211">
        <f>IF(OR($B355="Ce Co No Imputables",$G355="M2 fijo"),$M355*(1+'Insumos - OPEX'!N$38),$M355*(1+'Insumos - OPEX'!N$29*'Insumos - OPEX'!N$39)*(1+'Insumos - OPEX'!N$38))</f>
        <v>87213.67891849186</v>
      </c>
      <c r="S355" s="111"/>
    </row>
    <row r="356" spans="1:19" x14ac:dyDescent="0.2">
      <c r="A356" s="8"/>
      <c r="B356" s="8" t="s">
        <v>435</v>
      </c>
      <c r="C356" s="8" t="s">
        <v>171</v>
      </c>
      <c r="D356" s="8">
        <v>6380000007</v>
      </c>
      <c r="E356" s="8" t="s">
        <v>329</v>
      </c>
      <c r="F356" s="89" t="s">
        <v>470</v>
      </c>
      <c r="G356" s="73" t="s">
        <v>471</v>
      </c>
      <c r="H356" s="112" t="s">
        <v>61</v>
      </c>
      <c r="I356" s="13" t="s">
        <v>436</v>
      </c>
      <c r="J356" s="11"/>
      <c r="K356" s="186">
        <v>42087.410876030888</v>
      </c>
      <c r="L356" s="187"/>
      <c r="M356" s="214">
        <f>IF(OR(E356="Distribución Legal de la Renta",E356="Acopio carros portaequipajes"),0,IF(K356&lt;0,0,K356*(1+SUMIFS('Insumos - OPEX'!$G$82:$G$238,'Insumos - OPEX'!$B$82:$B$238,OPEX!D356))))</f>
        <v>43939.65240788884</v>
      </c>
      <c r="N356" s="211">
        <f>IF(OR($B356="Ce Co No Imputables",$G356="M2 fijo"),$M356*(1+'Insumos - OPEX'!J$38),$M356*(1+'Insumos - OPEX'!J$29*'Insumos - OPEX'!J$39)*(1+'Insumos - OPEX'!J$38))</f>
        <v>44862.824504978584</v>
      </c>
      <c r="O356" s="211">
        <f>IF(OR($B356="Ce Co No Imputables",$G356="M2 fijo"),$M356*(1+'Insumos - OPEX'!K$38),$M356*(1+'Insumos - OPEX'!K$29*'Insumos - OPEX'!K$39)*(1+'Insumos - OPEX'!K$38))</f>
        <v>45926.522073991626</v>
      </c>
      <c r="P356" s="211">
        <f>IF(OR($B356="Ce Co No Imputables",$G356="M2 fijo"),$M356*(1+'Insumos - OPEX'!L$38),$M356*(1+'Insumos - OPEX'!L$29*'Insumos - OPEX'!L$39)*(1+'Insumos - OPEX'!L$38))</f>
        <v>46907.053320271341</v>
      </c>
      <c r="Q356" s="211">
        <f>IF(OR($B356="Ce Co No Imputables",$G356="M2 fijo"),$M356*(1+'Insumos - OPEX'!M$38),$M356*(1+'Insumos - OPEX'!M$29*'Insumos - OPEX'!M$39)*(1+'Insumos - OPEX'!M$38))</f>
        <v>47916.493107723574</v>
      </c>
      <c r="R356" s="211">
        <f>IF(OR($B356="Ce Co No Imputables",$G356="M2 fijo"),$M356*(1+'Insumos - OPEX'!N$38),$M356*(1+'Insumos - OPEX'!N$29*'Insumos - OPEX'!N$39)*(1+'Insumos - OPEX'!N$38))</f>
        <v>48947.656039401787</v>
      </c>
      <c r="S356" s="111"/>
    </row>
    <row r="357" spans="1:19" x14ac:dyDescent="0.2">
      <c r="A357" s="8"/>
      <c r="B357" s="8" t="s">
        <v>435</v>
      </c>
      <c r="C357" s="8" t="s">
        <v>171</v>
      </c>
      <c r="D357" s="8">
        <v>6320000002</v>
      </c>
      <c r="E357" s="8" t="s">
        <v>346</v>
      </c>
      <c r="F357" s="89" t="s">
        <v>470</v>
      </c>
      <c r="G357" s="73" t="s">
        <v>136</v>
      </c>
      <c r="H357" s="112" t="s">
        <v>61</v>
      </c>
      <c r="I357" s="13" t="s">
        <v>436</v>
      </c>
      <c r="K357" s="186">
        <v>38382.583617795637</v>
      </c>
      <c r="L357" s="187"/>
      <c r="M357" s="214">
        <f>IF(OR(E357="Distribución Legal de la Renta",E357="Acopio carros portaequipajes"),0,IF(K357&lt;0,0,K357*(1+SUMIFS('Insumos - OPEX'!$G$82:$G$238,'Insumos - OPEX'!$B$82:$B$238,OPEX!D357))))</f>
        <v>40071.777939734318</v>
      </c>
      <c r="N357" s="211">
        <f>IF(OR($B357="Ce Co No Imputables",$G357="M2 fijo"),$M357*(1+'Insumos - OPEX'!J$38),$M357*(1+'Insumos - OPEX'!J$29*'Insumos - OPEX'!J$39)*(1+'Insumos - OPEX'!J$38))</f>
        <v>40913.685994248139</v>
      </c>
      <c r="O357" s="211">
        <f>IF(OR($B357="Ce Co No Imputables",$G357="M2 fijo"),$M357*(1+'Insumos - OPEX'!K$38),$M357*(1+'Insumos - OPEX'!K$29*'Insumos - OPEX'!K$39)*(1+'Insumos - OPEX'!K$38))</f>
        <v>41883.749489171758</v>
      </c>
      <c r="P357" s="211">
        <f>IF(OR($B357="Ce Co No Imputables",$G357="M2 fijo"),$M357*(1+'Insumos - OPEX'!L$38),$M357*(1+'Insumos - OPEX'!L$29*'Insumos - OPEX'!L$39)*(1+'Insumos - OPEX'!L$38))</f>
        <v>42777.967540765574</v>
      </c>
      <c r="Q357" s="211">
        <f>IF(OR($B357="Ce Co No Imputables",$G357="M2 fijo"),$M357*(1+'Insumos - OPEX'!M$38),$M357*(1+'Insumos - OPEX'!M$29*'Insumos - OPEX'!M$39)*(1+'Insumos - OPEX'!M$38))</f>
        <v>43698.549402242839</v>
      </c>
      <c r="R357" s="211">
        <f>IF(OR($B357="Ce Co No Imputables",$G357="M2 fijo"),$M357*(1+'Insumos - OPEX'!N$38),$M357*(1+'Insumos - OPEX'!N$29*'Insumos - OPEX'!N$39)*(1+'Insumos - OPEX'!N$38))</f>
        <v>44638.942185379106</v>
      </c>
      <c r="S357" s="111"/>
    </row>
    <row r="358" spans="1:19" x14ac:dyDescent="0.2">
      <c r="A358" s="8"/>
      <c r="B358" s="8" t="s">
        <v>435</v>
      </c>
      <c r="C358" s="8" t="s">
        <v>171</v>
      </c>
      <c r="D358" s="8">
        <v>6360000001</v>
      </c>
      <c r="E358" s="8" t="s">
        <v>331</v>
      </c>
      <c r="F358" s="89" t="s">
        <v>470</v>
      </c>
      <c r="G358" s="73" t="s">
        <v>136</v>
      </c>
      <c r="H358" s="112" t="s">
        <v>61</v>
      </c>
      <c r="I358" s="13" t="s">
        <v>436</v>
      </c>
      <c r="K358" s="186">
        <v>27597.985221649687</v>
      </c>
      <c r="L358" s="187"/>
      <c r="M358" s="214">
        <f>IF(OR(E358="Distribución Legal de la Renta",E358="Acopio carros portaequipajes"),0,IF(K358&lt;0,0,K358*(1+SUMIFS('Insumos - OPEX'!$G$82:$G$238,'Insumos - OPEX'!$B$82:$B$238,OPEX!D358))))</f>
        <v>28812.555882071418</v>
      </c>
      <c r="N358" s="211">
        <f>IF(OR($B358="Ce Co No Imputables",$G358="M2 fijo"),$M358*(1+'Insumos - OPEX'!J$38),$M358*(1+'Insumos - OPEX'!J$29*'Insumos - OPEX'!J$39)*(1+'Insumos - OPEX'!J$38))</f>
        <v>29417.907681153738</v>
      </c>
      <c r="O358" s="211">
        <f>IF(OR($B358="Ce Co No Imputables",$G358="M2 fijo"),$M358*(1+'Insumos - OPEX'!K$38),$M358*(1+'Insumos - OPEX'!K$29*'Insumos - OPEX'!K$39)*(1+'Insumos - OPEX'!K$38))</f>
        <v>30115.406272273893</v>
      </c>
      <c r="P358" s="211">
        <f>IF(OR($B358="Ce Co No Imputables",$G358="M2 fijo"),$M358*(1+'Insumos - OPEX'!L$38),$M358*(1+'Insumos - OPEX'!L$29*'Insumos - OPEX'!L$39)*(1+'Insumos - OPEX'!L$38))</f>
        <v>30758.370196186937</v>
      </c>
      <c r="Q358" s="211">
        <f>IF(OR($B358="Ce Co No Imputables",$G358="M2 fijo"),$M358*(1+'Insumos - OPEX'!M$38),$M358*(1+'Insumos - OPEX'!M$29*'Insumos - OPEX'!M$39)*(1+'Insumos - OPEX'!M$38))</f>
        <v>31420.290322808873</v>
      </c>
      <c r="R358" s="211">
        <f>IF(OR($B358="Ce Co No Imputables",$G358="M2 fijo"),$M358*(1+'Insumos - OPEX'!N$38),$M358*(1+'Insumos - OPEX'!N$29*'Insumos - OPEX'!N$39)*(1+'Insumos - OPEX'!N$38))</f>
        <v>32096.454970555722</v>
      </c>
      <c r="S358" s="111"/>
    </row>
    <row r="359" spans="1:19" x14ac:dyDescent="0.2">
      <c r="A359" s="8"/>
      <c r="B359" s="8" t="s">
        <v>435</v>
      </c>
      <c r="C359" s="8" t="s">
        <v>171</v>
      </c>
      <c r="D359" s="8">
        <v>6360000002</v>
      </c>
      <c r="E359" s="8" t="s">
        <v>320</v>
      </c>
      <c r="F359" s="89" t="s">
        <v>469</v>
      </c>
      <c r="G359" s="73" t="s">
        <v>471</v>
      </c>
      <c r="H359" s="112" t="s">
        <v>61</v>
      </c>
      <c r="I359" s="13" t="s">
        <v>436</v>
      </c>
      <c r="K359" s="186">
        <v>22244.379470303178</v>
      </c>
      <c r="L359" s="187"/>
      <c r="M359" s="214">
        <f>IF(OR(E359="Distribución Legal de la Renta",E359="Acopio carros portaequipajes"),0,IF(K359&lt;0,0,K359*(1+SUMIFS('Insumos - OPEX'!$G$82:$G$238,'Insumos - OPEX'!$B$82:$B$238,OPEX!D359))))</f>
        <v>46786.691585923872</v>
      </c>
      <c r="N359" s="211">
        <f>IF(OR($B359="Ce Co No Imputables",$G359="M2 fijo"),$M359*(1+'Insumos - OPEX'!J$38),$M359*(1+'Insumos - OPEX'!J$29*'Insumos - OPEX'!J$39)*(1+'Insumos - OPEX'!J$38))</f>
        <v>47769.679976144129</v>
      </c>
      <c r="O359" s="211">
        <f>IF(OR($B359="Ce Co No Imputables",$G359="M2 fijo"),$M359*(1+'Insumos - OPEX'!K$38),$M359*(1+'Insumos - OPEX'!K$29*'Insumos - OPEX'!K$39)*(1+'Insumos - OPEX'!K$38))</f>
        <v>48902.29908837851</v>
      </c>
      <c r="P359" s="211">
        <f>IF(OR($B359="Ce Co No Imputables",$G359="M2 fijo"),$M359*(1+'Insumos - OPEX'!L$38),$M359*(1+'Insumos - OPEX'!L$29*'Insumos - OPEX'!L$39)*(1+'Insumos - OPEX'!L$38))</f>
        <v>49946.363173915386</v>
      </c>
      <c r="Q359" s="211">
        <f>IF(OR($B359="Ce Co No Imputables",$G359="M2 fijo"),$M359*(1+'Insumos - OPEX'!M$38),$M359*(1+'Insumos - OPEX'!M$29*'Insumos - OPEX'!M$39)*(1+'Insumos - OPEX'!M$38))</f>
        <v>51021.208909418034</v>
      </c>
      <c r="R359" s="211">
        <f>IF(OR($B359="Ce Co No Imputables",$G359="M2 fijo"),$M359*(1+'Insumos - OPEX'!N$38),$M359*(1+'Insumos - OPEX'!N$29*'Insumos - OPEX'!N$39)*(1+'Insumos - OPEX'!N$38))</f>
        <v>52119.185325148712</v>
      </c>
      <c r="S359" s="111"/>
    </row>
    <row r="360" spans="1:19" x14ac:dyDescent="0.2">
      <c r="A360" s="8"/>
      <c r="B360" s="8" t="s">
        <v>435</v>
      </c>
      <c r="C360" s="8" t="s">
        <v>171</v>
      </c>
      <c r="D360" s="8">
        <v>6382000002</v>
      </c>
      <c r="E360" s="8" t="s">
        <v>351</v>
      </c>
      <c r="F360" s="89" t="s">
        <v>470</v>
      </c>
      <c r="G360" s="73" t="s">
        <v>136</v>
      </c>
      <c r="H360" s="112" t="s">
        <v>61</v>
      </c>
      <c r="I360" s="13" t="s">
        <v>436</v>
      </c>
      <c r="K360" s="186">
        <v>17840.866975890927</v>
      </c>
      <c r="L360" s="187"/>
      <c r="M360" s="214">
        <f>IF(OR(E360="Distribución Legal de la Renta",E360="Acopio carros portaequipajes"),0,IF(K360&lt;0,0,K360*(1+SUMIFS('Insumos - OPEX'!$G$82:$G$238,'Insumos - OPEX'!$B$82:$B$238,OPEX!D360))))</f>
        <v>18626.032755616234</v>
      </c>
      <c r="N360" s="211">
        <f>IF(OR($B360="Ce Co No Imputables",$G360="M2 fijo"),$M360*(1+'Insumos - OPEX'!J$38),$M360*(1+'Insumos - OPEX'!J$29*'Insumos - OPEX'!J$39)*(1+'Insumos - OPEX'!J$38))</f>
        <v>19017.365703811731</v>
      </c>
      <c r="O360" s="211">
        <f>IF(OR($B360="Ce Co No Imputables",$G360="M2 fijo"),$M360*(1+'Insumos - OPEX'!K$38),$M360*(1+'Insumos - OPEX'!K$29*'Insumos - OPEX'!K$39)*(1+'Insumos - OPEX'!K$38))</f>
        <v>19468.267444649107</v>
      </c>
      <c r="P360" s="211">
        <f>IF(OR($B360="Ce Co No Imputables",$G360="M2 fijo"),$M360*(1+'Insumos - OPEX'!L$38),$M360*(1+'Insumos - OPEX'!L$29*'Insumos - OPEX'!L$39)*(1+'Insumos - OPEX'!L$38))</f>
        <v>19883.914954592361</v>
      </c>
      <c r="Q360" s="211">
        <f>IF(OR($B360="Ce Co No Imputables",$G360="M2 fijo"),$M360*(1+'Insumos - OPEX'!M$38),$M360*(1+'Insumos - OPEX'!M$29*'Insumos - OPEX'!M$39)*(1+'Insumos - OPEX'!M$38))</f>
        <v>20311.816804415186</v>
      </c>
      <c r="R360" s="211">
        <f>IF(OR($B360="Ce Co No Imputables",$G360="M2 fijo"),$M360*(1+'Insumos - OPEX'!N$38),$M360*(1+'Insumos - OPEX'!N$29*'Insumos - OPEX'!N$39)*(1+'Insumos - OPEX'!N$38))</f>
        <v>20748.927102046204</v>
      </c>
      <c r="S360" s="111"/>
    </row>
    <row r="361" spans="1:19" x14ac:dyDescent="0.2">
      <c r="A361" s="8"/>
      <c r="B361" s="8" t="s">
        <v>435</v>
      </c>
      <c r="C361" s="8" t="s">
        <v>171</v>
      </c>
      <c r="D361" s="8">
        <v>6370000003</v>
      </c>
      <c r="E361" s="8" t="s">
        <v>339</v>
      </c>
      <c r="F361" s="89" t="s">
        <v>470</v>
      </c>
      <c r="G361" s="73" t="s">
        <v>136</v>
      </c>
      <c r="H361" s="112" t="s">
        <v>61</v>
      </c>
      <c r="I361" s="13" t="s">
        <v>436</v>
      </c>
      <c r="K361" s="186">
        <v>14239.959623127756</v>
      </c>
      <c r="L361" s="187"/>
      <c r="M361" s="214">
        <f>IF(OR(E361="Distribución Legal de la Renta",E361="Acopio carros portaequipajes"),0,IF(K361&lt;0,0,K361*(1+SUMIFS('Insumos - OPEX'!$G$82:$G$238,'Insumos - OPEX'!$B$82:$B$238,OPEX!D361))))</f>
        <v>14866.651645205997</v>
      </c>
      <c r="N361" s="211">
        <f>IF(OR($B361="Ce Co No Imputables",$G361="M2 fijo"),$M361*(1+'Insumos - OPEX'!J$38),$M361*(1+'Insumos - OPEX'!J$29*'Insumos - OPEX'!J$39)*(1+'Insumos - OPEX'!J$38))</f>
        <v>15178.999996271774</v>
      </c>
      <c r="O361" s="211">
        <f>IF(OR($B361="Ce Co No Imputables",$G361="M2 fijo"),$M361*(1+'Insumos - OPEX'!K$38),$M361*(1+'Insumos - OPEX'!K$29*'Insumos - OPEX'!K$39)*(1+'Insumos - OPEX'!K$38))</f>
        <v>15538.894086183378</v>
      </c>
      <c r="P361" s="211">
        <f>IF(OR($B361="Ce Co No Imputables",$G361="M2 fijo"),$M361*(1+'Insumos - OPEX'!L$38),$M361*(1+'Insumos - OPEX'!L$29*'Insumos - OPEX'!L$39)*(1+'Insumos - OPEX'!L$38))</f>
        <v>15870.649474923392</v>
      </c>
      <c r="Q361" s="211">
        <f>IF(OR($B361="Ce Co No Imputables",$G361="M2 fijo"),$M361*(1+'Insumos - OPEX'!M$38),$M361*(1+'Insumos - OPEX'!M$29*'Insumos - OPEX'!M$39)*(1+'Insumos - OPEX'!M$38))</f>
        <v>16212.185851623739</v>
      </c>
      <c r="R361" s="211">
        <f>IF(OR($B361="Ce Co No Imputables",$G361="M2 fijo"),$M361*(1+'Insumos - OPEX'!N$38),$M361*(1+'Insumos - OPEX'!N$29*'Insumos - OPEX'!N$39)*(1+'Insumos - OPEX'!N$38))</f>
        <v>16561.072091150683</v>
      </c>
      <c r="S361" s="111"/>
    </row>
    <row r="362" spans="1:19" x14ac:dyDescent="0.2">
      <c r="A362" s="8"/>
      <c r="B362" s="8" t="s">
        <v>435</v>
      </c>
      <c r="C362" s="8" t="s">
        <v>171</v>
      </c>
      <c r="D362" s="8">
        <v>6380000012</v>
      </c>
      <c r="E362" s="8" t="s">
        <v>345</v>
      </c>
      <c r="F362" s="89" t="s">
        <v>470</v>
      </c>
      <c r="G362" s="73" t="s">
        <v>136</v>
      </c>
      <c r="H362" s="112" t="s">
        <v>61</v>
      </c>
      <c r="I362" s="13" t="s">
        <v>436</v>
      </c>
      <c r="K362" s="186">
        <v>5387.2451980098895</v>
      </c>
      <c r="L362" s="187"/>
      <c r="M362" s="214">
        <f>IF(OR(E362="Distribución Legal de la Renta",E362="Acopio carros portaequipajes"),0,IF(K362&lt;0,0,K362*(1+SUMIFS('Insumos - OPEX'!$G$82:$G$238,'Insumos - OPEX'!$B$82:$B$238,OPEX!D362))))</f>
        <v>5624.3346052782053</v>
      </c>
      <c r="N362" s="211">
        <f>IF(OR($B362="Ce Co No Imputables",$G362="M2 fijo"),$M362*(1+'Insumos - OPEX'!J$38),$M362*(1+'Insumos - OPEX'!J$29*'Insumos - OPEX'!J$39)*(1+'Insumos - OPEX'!J$38))</f>
        <v>5742.5018753351005</v>
      </c>
      <c r="O362" s="211">
        <f>IF(OR($B362="Ce Co No Imputables",$G362="M2 fijo"),$M362*(1+'Insumos - OPEX'!K$38),$M362*(1+'Insumos - OPEX'!K$29*'Insumos - OPEX'!K$39)*(1+'Insumos - OPEX'!K$38))</f>
        <v>5878.6565947992949</v>
      </c>
      <c r="P362" s="211">
        <f>IF(OR($B362="Ce Co No Imputables",$G362="M2 fijo"),$M362*(1+'Insumos - OPEX'!L$38),$M362*(1+'Insumos - OPEX'!L$29*'Insumos - OPEX'!L$39)*(1+'Insumos - OPEX'!L$38))</f>
        <v>6004.1659130982598</v>
      </c>
      <c r="Q362" s="211">
        <f>IF(OR($B362="Ce Co No Imputables",$G362="M2 fijo"),$M362*(1+'Insumos - OPEX'!M$38),$M362*(1+'Insumos - OPEX'!M$29*'Insumos - OPEX'!M$39)*(1+'Insumos - OPEX'!M$38))</f>
        <v>6133.375563548133</v>
      </c>
      <c r="R362" s="211">
        <f>IF(OR($B362="Ce Co No Imputables",$G362="M2 fijo"),$M362*(1+'Insumos - OPEX'!N$38),$M362*(1+'Insumos - OPEX'!N$29*'Insumos - OPEX'!N$39)*(1+'Insumos - OPEX'!N$38))</f>
        <v>6265.3658056756894</v>
      </c>
      <c r="S362" s="111"/>
    </row>
    <row r="363" spans="1:19" x14ac:dyDescent="0.2">
      <c r="A363" s="8"/>
      <c r="B363" s="8" t="s">
        <v>435</v>
      </c>
      <c r="C363" s="8" t="s">
        <v>171</v>
      </c>
      <c r="D363" s="8">
        <v>6360000003</v>
      </c>
      <c r="E363" s="8" t="s">
        <v>322</v>
      </c>
      <c r="F363" s="89" t="s">
        <v>469</v>
      </c>
      <c r="G363" s="73" t="s">
        <v>471</v>
      </c>
      <c r="H363" s="112" t="s">
        <v>61</v>
      </c>
      <c r="I363" s="13" t="s">
        <v>436</v>
      </c>
      <c r="K363" s="186">
        <v>4232.0873999141158</v>
      </c>
      <c r="L363" s="187"/>
      <c r="M363" s="214">
        <f>IF(OR(E363="Distribución Legal de la Renta",E363="Acopio carros portaequipajes"),0,IF(K363&lt;0,0,K363*(1+SUMIFS('Insumos - OPEX'!$G$82:$G$238,'Insumos - OPEX'!$B$82:$B$238,OPEX!D363))))</f>
        <v>5653.6441591971943</v>
      </c>
      <c r="N363" s="211">
        <f>IF(OR($B363="Ce Co No Imputables",$G363="M2 fijo"),$M363*(1+'Insumos - OPEX'!J$38),$M363*(1+'Insumos - OPEX'!J$29*'Insumos - OPEX'!J$39)*(1+'Insumos - OPEX'!J$38))</f>
        <v>5772.4272229819271</v>
      </c>
      <c r="O363" s="211">
        <f>IF(OR($B363="Ce Co No Imputables",$G363="M2 fijo"),$M363*(1+'Insumos - OPEX'!K$38),$M363*(1+'Insumos - OPEX'!K$29*'Insumos - OPEX'!K$39)*(1+'Insumos - OPEX'!K$38))</f>
        <v>5909.2914724388284</v>
      </c>
      <c r="P363" s="211">
        <f>IF(OR($B363="Ce Co No Imputables",$G363="M2 fijo"),$M363*(1+'Insumos - OPEX'!L$38),$M363*(1+'Insumos - OPEX'!L$29*'Insumos - OPEX'!L$39)*(1+'Insumos - OPEX'!L$38))</f>
        <v>6035.4548453753969</v>
      </c>
      <c r="Q363" s="211">
        <f>IF(OR($B363="Ce Co No Imputables",$G363="M2 fijo"),$M363*(1+'Insumos - OPEX'!M$38),$M363*(1+'Insumos - OPEX'!M$29*'Insumos - OPEX'!M$39)*(1+'Insumos - OPEX'!M$38))</f>
        <v>6165.3378336478745</v>
      </c>
      <c r="R363" s="211">
        <f>IF(OR($B363="Ce Co No Imputables",$G363="M2 fijo"),$M363*(1+'Insumos - OPEX'!N$38),$M363*(1+'Insumos - OPEX'!N$29*'Insumos - OPEX'!N$39)*(1+'Insumos - OPEX'!N$38))</f>
        <v>6298.0159038279771</v>
      </c>
      <c r="S363" s="111"/>
    </row>
    <row r="364" spans="1:19" x14ac:dyDescent="0.2">
      <c r="A364" s="8"/>
      <c r="B364" s="8" t="s">
        <v>435</v>
      </c>
      <c r="C364" s="8" t="s">
        <v>171</v>
      </c>
      <c r="D364" s="8">
        <v>6380000010</v>
      </c>
      <c r="E364" s="8" t="s">
        <v>332</v>
      </c>
      <c r="F364" s="89" t="s">
        <v>470</v>
      </c>
      <c r="G364" s="73" t="s">
        <v>136</v>
      </c>
      <c r="H364" s="112" t="s">
        <v>61</v>
      </c>
      <c r="I364" s="13" t="s">
        <v>436</v>
      </c>
      <c r="K364" s="186">
        <v>2779.4560737464744</v>
      </c>
      <c r="L364" s="187"/>
      <c r="M364" s="214">
        <f>IF(OR(E364="Distribución Legal de la Renta",E364="Acopio carros portaequipajes"),0,IF(K364&lt;0,0,K364*(1+SUMIFS('Insumos - OPEX'!$G$82:$G$238,'Insumos - OPEX'!$B$82:$B$238,OPEX!D364))))</f>
        <v>2901.7782567605886</v>
      </c>
      <c r="N364" s="211">
        <f>IF(OR($B364="Ce Co No Imputables",$G364="M2 fijo"),$M364*(1+'Insumos - OPEX'!J$38),$M364*(1+'Insumos - OPEX'!J$29*'Insumos - OPEX'!J$39)*(1+'Insumos - OPEX'!J$38))</f>
        <v>2962.7446179351286</v>
      </c>
      <c r="O364" s="211">
        <f>IF(OR($B364="Ce Co No Imputables",$G364="M2 fijo"),$M364*(1+'Insumos - OPEX'!K$38),$M364*(1+'Insumos - OPEX'!K$29*'Insumos - OPEX'!K$39)*(1+'Insumos - OPEX'!K$38))</f>
        <v>3032.9912928263702</v>
      </c>
      <c r="P364" s="211">
        <f>IF(OR($B364="Ce Co No Imputables",$G364="M2 fijo"),$M364*(1+'Insumos - OPEX'!L$38),$M364*(1+'Insumos - OPEX'!L$29*'Insumos - OPEX'!L$39)*(1+'Insumos - OPEX'!L$38))</f>
        <v>3097.7456569282131</v>
      </c>
      <c r="Q364" s="211">
        <f>IF(OR($B364="Ce Co No Imputables",$G364="M2 fijo"),$M364*(1+'Insumos - OPEX'!M$38),$M364*(1+'Insumos - OPEX'!M$29*'Insumos - OPEX'!M$39)*(1+'Insumos - OPEX'!M$38))</f>
        <v>3164.4091434653078</v>
      </c>
      <c r="R364" s="211">
        <f>IF(OR($B364="Ce Co No Imputables",$G364="M2 fijo"),$M364*(1+'Insumos - OPEX'!N$38),$M364*(1+'Insumos - OPEX'!N$29*'Insumos - OPEX'!N$39)*(1+'Insumos - OPEX'!N$38))</f>
        <v>3232.5072282326814</v>
      </c>
      <c r="S364" s="111"/>
    </row>
    <row r="365" spans="1:19" x14ac:dyDescent="0.2">
      <c r="A365" s="8"/>
      <c r="B365" s="8" t="s">
        <v>435</v>
      </c>
      <c r="C365" s="8" t="s">
        <v>171</v>
      </c>
      <c r="D365" s="8">
        <v>6357000001</v>
      </c>
      <c r="E365" s="8" t="s">
        <v>334</v>
      </c>
      <c r="F365" s="89" t="s">
        <v>470</v>
      </c>
      <c r="G365" s="73" t="s">
        <v>136</v>
      </c>
      <c r="H365" s="112" t="s">
        <v>61</v>
      </c>
      <c r="I365" s="13" t="s">
        <v>436</v>
      </c>
      <c r="K365" s="186">
        <v>2381.6350932991045</v>
      </c>
      <c r="L365" s="187"/>
      <c r="M365" s="214">
        <f>IF(OR(E365="Distribución Legal de la Renta",E365="Acopio carros portaequipajes"),0,IF(K365&lt;0,0,K365*(1+SUMIFS('Insumos - OPEX'!$G$82:$G$238,'Insumos - OPEX'!$B$82:$B$238,OPEX!D365))))</f>
        <v>2486.4494152476018</v>
      </c>
      <c r="N365" s="211">
        <f>IF(OR($B365="Ce Co No Imputables",$G365="M2 fijo"),$M365*(1+'Insumos - OPEX'!J$38),$M365*(1+'Insumos - OPEX'!J$29*'Insumos - OPEX'!J$39)*(1+'Insumos - OPEX'!J$38))</f>
        <v>2538.6897174619539</v>
      </c>
      <c r="O365" s="211">
        <f>IF(OR($B365="Ce Co No Imputables",$G365="M2 fijo"),$M365*(1+'Insumos - OPEX'!K$38),$M365*(1+'Insumos - OPEX'!K$29*'Insumos - OPEX'!K$39)*(1+'Insumos - OPEX'!K$38))</f>
        <v>2598.8820506629768</v>
      </c>
      <c r="P365" s="211">
        <f>IF(OR($B365="Ce Co No Imputables",$G365="M2 fijo"),$M365*(1+'Insumos - OPEX'!L$38),$M365*(1+'Insumos - OPEX'!L$29*'Insumos - OPEX'!L$39)*(1+'Insumos - OPEX'!L$38))</f>
        <v>2654.3681824446312</v>
      </c>
      <c r="Q365" s="211">
        <f>IF(OR($B365="Ce Co No Imputables",$G365="M2 fijo"),$M365*(1+'Insumos - OPEX'!M$38),$M365*(1+'Insumos - OPEX'!M$29*'Insumos - OPEX'!M$39)*(1+'Insumos - OPEX'!M$38))</f>
        <v>2711.4901857308391</v>
      </c>
      <c r="R365" s="211">
        <f>IF(OR($B365="Ce Co No Imputables",$G365="M2 fijo"),$M365*(1+'Insumos - OPEX'!N$38),$M365*(1+'Insumos - OPEX'!N$29*'Insumos - OPEX'!N$39)*(1+'Insumos - OPEX'!N$38))</f>
        <v>2769.8414545277669</v>
      </c>
      <c r="S365" s="111"/>
    </row>
    <row r="366" spans="1:19" x14ac:dyDescent="0.2">
      <c r="A366" s="8"/>
      <c r="B366" s="8" t="s">
        <v>435</v>
      </c>
      <c r="C366" s="8" t="s">
        <v>171</v>
      </c>
      <c r="D366" s="8">
        <v>6311300001</v>
      </c>
      <c r="E366" s="8" t="s">
        <v>352</v>
      </c>
      <c r="F366" s="89" t="s">
        <v>470</v>
      </c>
      <c r="G366" s="73" t="s">
        <v>136</v>
      </c>
      <c r="H366" s="112" t="s">
        <v>61</v>
      </c>
      <c r="I366" s="13" t="s">
        <v>436</v>
      </c>
      <c r="K366" s="186">
        <v>621.40505629158508</v>
      </c>
      <c r="L366" s="187"/>
      <c r="M366" s="214">
        <f>IF(OR(E366="Distribución Legal de la Renta",E366="Acopio carros portaequipajes"),0,IF(K366&lt;0,0,K366*(1+SUMIFS('Insumos - OPEX'!$G$82:$G$238,'Insumos - OPEX'!$B$82:$B$238,OPEX!D366))))</f>
        <v>648.75271749032379</v>
      </c>
      <c r="N366" s="211">
        <f>IF(OR($B366="Ce Co No Imputables",$G366="M2 fijo"),$M366*(1+'Insumos - OPEX'!J$38),$M366*(1+'Insumos - OPEX'!J$29*'Insumos - OPEX'!J$39)*(1+'Insumos - OPEX'!J$38))</f>
        <v>662.3830120847955</v>
      </c>
      <c r="O366" s="211">
        <f>IF(OR($B366="Ce Co No Imputables",$G366="M2 fijo"),$M366*(1+'Insumos - OPEX'!K$38),$M366*(1+'Insumos - OPEX'!K$29*'Insumos - OPEX'!K$39)*(1+'Insumos - OPEX'!K$38))</f>
        <v>678.08811330132596</v>
      </c>
      <c r="P366" s="211">
        <f>IF(OR($B366="Ce Co No Imputables",$G366="M2 fijo"),$M366*(1+'Insumos - OPEX'!L$38),$M366*(1+'Insumos - OPEX'!L$29*'Insumos - OPEX'!L$39)*(1+'Insumos - OPEX'!L$38))</f>
        <v>692.56529452030918</v>
      </c>
      <c r="Q366" s="211">
        <f>IF(OR($B366="Ce Co No Imputables",$G366="M2 fijo"),$M366*(1+'Insumos - OPEX'!M$38),$M366*(1+'Insumos - OPEX'!M$29*'Insumos - OPEX'!M$39)*(1+'Insumos - OPEX'!M$38))</f>
        <v>707.46929965838615</v>
      </c>
      <c r="R366" s="211">
        <f>IF(OR($B366="Ce Co No Imputables",$G366="M2 fijo"),$M366*(1+'Insumos - OPEX'!N$38),$M366*(1+'Insumos - OPEX'!N$29*'Insumos - OPEX'!N$39)*(1+'Insumos - OPEX'!N$38))</f>
        <v>722.69403898703467</v>
      </c>
      <c r="S366" s="111"/>
    </row>
    <row r="367" spans="1:19" x14ac:dyDescent="0.2">
      <c r="A367" s="8"/>
      <c r="B367" s="8" t="s">
        <v>435</v>
      </c>
      <c r="C367" s="8" t="s">
        <v>171</v>
      </c>
      <c r="D367" s="8">
        <v>6380000022</v>
      </c>
      <c r="E367" s="8" t="s">
        <v>328</v>
      </c>
      <c r="F367" s="89" t="s">
        <v>470</v>
      </c>
      <c r="G367" s="73" t="s">
        <v>136</v>
      </c>
      <c r="H367" s="112" t="s">
        <v>61</v>
      </c>
      <c r="I367" s="13" t="s">
        <v>436</v>
      </c>
      <c r="K367" s="186">
        <v>353.46566375549401</v>
      </c>
      <c r="L367" s="187"/>
      <c r="M367" s="214">
        <f>IF(OR(E367="Distribución Legal de la Renta",E367="Acopio carros portaequipajes"),0,IF(K367&lt;0,0,K367*(1+SUMIFS('Insumos - OPEX'!$G$82:$G$238,'Insumos - OPEX'!$B$82:$B$238,OPEX!D367))))</f>
        <v>369.02147412411244</v>
      </c>
      <c r="N367" s="211">
        <f>IF(OR($B367="Ce Co No Imputables",$G367="M2 fijo"),$M367*(1+'Insumos - OPEX'!J$38),$M367*(1+'Insumos - OPEX'!J$29*'Insumos - OPEX'!J$39)*(1+'Insumos - OPEX'!J$38))</f>
        <v>376.77461529546002</v>
      </c>
      <c r="O367" s="211">
        <f>IF(OR($B367="Ce Co No Imputables",$G367="M2 fijo"),$M367*(1+'Insumos - OPEX'!K$38),$M367*(1+'Insumos - OPEX'!K$29*'Insumos - OPEX'!K$39)*(1+'Insumos - OPEX'!K$38))</f>
        <v>385.7079414241154</v>
      </c>
      <c r="P367" s="211">
        <f>IF(OR($B367="Ce Co No Imputables",$G367="M2 fijo"),$M367*(1+'Insumos - OPEX'!L$38),$M367*(1+'Insumos - OPEX'!L$29*'Insumos - OPEX'!L$39)*(1+'Insumos - OPEX'!L$38))</f>
        <v>393.94280597352019</v>
      </c>
      <c r="Q367" s="211">
        <f>IF(OR($B367="Ce Co No Imputables",$G367="M2 fijo"),$M367*(1+'Insumos - OPEX'!M$38),$M367*(1+'Insumos - OPEX'!M$29*'Insumos - OPEX'!M$39)*(1+'Insumos - OPEX'!M$38))</f>
        <v>402.4204551580703</v>
      </c>
      <c r="R367" s="211">
        <f>IF(OR($B367="Ce Co No Imputables",$G367="M2 fijo"),$M367*(1+'Insumos - OPEX'!N$38),$M367*(1+'Insumos - OPEX'!N$29*'Insumos - OPEX'!N$39)*(1+'Insumos - OPEX'!N$38))</f>
        <v>411.08054335307202</v>
      </c>
      <c r="S367" s="111"/>
    </row>
    <row r="368" spans="1:19" x14ac:dyDescent="0.2">
      <c r="A368" s="8"/>
      <c r="B368" s="8" t="s">
        <v>435</v>
      </c>
      <c r="C368" s="8" t="s">
        <v>171</v>
      </c>
      <c r="D368" s="8">
        <v>6311300002</v>
      </c>
      <c r="E368" s="8" t="s">
        <v>347</v>
      </c>
      <c r="F368" s="89" t="s">
        <v>470</v>
      </c>
      <c r="G368" s="73" t="s">
        <v>136</v>
      </c>
      <c r="H368" s="112" t="s">
        <v>61</v>
      </c>
      <c r="I368" s="13" t="s">
        <v>436</v>
      </c>
      <c r="K368" s="186">
        <v>340.39118639056699</v>
      </c>
      <c r="L368" s="187"/>
      <c r="M368" s="214">
        <f>IF(OR(E368="Distribución Legal de la Renta",E368="Acopio carros portaequipajes"),0,IF(K368&lt;0,0,K368*(1+SUMIFS('Insumos - OPEX'!$G$82:$G$238,'Insumos - OPEX'!$B$82:$B$238,OPEX!D368))))</f>
        <v>355.37159690733927</v>
      </c>
      <c r="N368" s="211">
        <f>IF(OR($B368="Ce Co No Imputables",$G368="M2 fijo"),$M368*(1+'Insumos - OPEX'!J$38),$M368*(1+'Insumos - OPEX'!J$29*'Insumos - OPEX'!J$39)*(1+'Insumos - OPEX'!J$38))</f>
        <v>362.83795415836244</v>
      </c>
      <c r="O368" s="211">
        <f>IF(OR($B368="Ce Co No Imputables",$G368="M2 fijo"),$M368*(1+'Insumos - OPEX'!K$38),$M368*(1+'Insumos - OPEX'!K$29*'Insumos - OPEX'!K$39)*(1+'Insumos - OPEX'!K$38))</f>
        <v>371.4408420514572</v>
      </c>
      <c r="P368" s="211">
        <f>IF(OR($B368="Ce Co No Imputables",$G368="M2 fijo"),$M368*(1+'Insumos - OPEX'!L$38),$M368*(1+'Insumos - OPEX'!L$29*'Insumos - OPEX'!L$39)*(1+'Insumos - OPEX'!L$38))</f>
        <v>379.37110402925578</v>
      </c>
      <c r="Q368" s="211">
        <f>IF(OR($B368="Ce Co No Imputables",$G368="M2 fijo"),$M368*(1+'Insumos - OPEX'!M$38),$M368*(1+'Insumos - OPEX'!M$29*'Insumos - OPEX'!M$39)*(1+'Insumos - OPEX'!M$38))</f>
        <v>387.53517018796532</v>
      </c>
      <c r="R368" s="211">
        <f>IF(OR($B368="Ce Co No Imputables",$G368="M2 fijo"),$M368*(1+'Insumos - OPEX'!N$38),$M368*(1+'Insumos - OPEX'!N$29*'Insumos - OPEX'!N$39)*(1+'Insumos - OPEX'!N$38))</f>
        <v>395.87492705041035</v>
      </c>
      <c r="S368" s="111"/>
    </row>
    <row r="369" spans="1:19" x14ac:dyDescent="0.2">
      <c r="A369" s="8"/>
      <c r="B369" s="8" t="s">
        <v>435</v>
      </c>
      <c r="C369" s="8" t="s">
        <v>171</v>
      </c>
      <c r="D369" s="8">
        <v>6380000015</v>
      </c>
      <c r="E369" s="8" t="s">
        <v>327</v>
      </c>
      <c r="F369" s="89" t="s">
        <v>470</v>
      </c>
      <c r="G369" s="73" t="s">
        <v>136</v>
      </c>
      <c r="H369" s="112" t="s">
        <v>61</v>
      </c>
      <c r="I369" s="13" t="s">
        <v>436</v>
      </c>
      <c r="K369" s="186">
        <v>0</v>
      </c>
      <c r="L369" s="187"/>
      <c r="M369" s="214">
        <f>IF(OR(E369="Distribución Legal de la Renta",E369="Acopio carros portaequipajes"),0,IF(K369&lt;0,0,K369*(1+SUMIFS('Insumos - OPEX'!$G$82:$G$238,'Insumos - OPEX'!$B$82:$B$238,OPEX!D369))))</f>
        <v>0</v>
      </c>
      <c r="N369" s="211">
        <f>IF(OR($B369="Ce Co No Imputables",$G369="M2 fijo"),$M369*(1+'Insumos - OPEX'!J$38),$M369*(1+'Insumos - OPEX'!J$29*'Insumos - OPEX'!J$39)*(1+'Insumos - OPEX'!J$38))</f>
        <v>0</v>
      </c>
      <c r="O369" s="211">
        <f>IF(OR($B369="Ce Co No Imputables",$G369="M2 fijo"),$M369*(1+'Insumos - OPEX'!K$38),$M369*(1+'Insumos - OPEX'!K$29*'Insumos - OPEX'!K$39)*(1+'Insumos - OPEX'!K$38))</f>
        <v>0</v>
      </c>
      <c r="P369" s="211">
        <f>IF(OR($B369="Ce Co No Imputables",$G369="M2 fijo"),$M369*(1+'Insumos - OPEX'!L$38),$M369*(1+'Insumos - OPEX'!L$29*'Insumos - OPEX'!L$39)*(1+'Insumos - OPEX'!L$38))</f>
        <v>0</v>
      </c>
      <c r="Q369" s="211">
        <f>IF(OR($B369="Ce Co No Imputables",$G369="M2 fijo"),$M369*(1+'Insumos - OPEX'!M$38),$M369*(1+'Insumos - OPEX'!M$29*'Insumos - OPEX'!M$39)*(1+'Insumos - OPEX'!M$38))</f>
        <v>0</v>
      </c>
      <c r="R369" s="211">
        <f>IF(OR($B369="Ce Co No Imputables",$G369="M2 fijo"),$M369*(1+'Insumos - OPEX'!N$38),$M369*(1+'Insumos - OPEX'!N$29*'Insumos - OPEX'!N$39)*(1+'Insumos - OPEX'!N$38))</f>
        <v>0</v>
      </c>
      <c r="S369" s="111"/>
    </row>
    <row r="370" spans="1:19" x14ac:dyDescent="0.2">
      <c r="A370" s="8"/>
      <c r="B370" s="8" t="s">
        <v>435</v>
      </c>
      <c r="C370" s="8" t="s">
        <v>171</v>
      </c>
      <c r="D370" s="8">
        <v>6320000003</v>
      </c>
      <c r="E370" s="8" t="s">
        <v>325</v>
      </c>
      <c r="F370" s="89" t="s">
        <v>470</v>
      </c>
      <c r="G370" s="73" t="s">
        <v>136</v>
      </c>
      <c r="H370" s="112" t="s">
        <v>61</v>
      </c>
      <c r="I370" s="13" t="s">
        <v>436</v>
      </c>
      <c r="K370" s="186">
        <v>0</v>
      </c>
      <c r="L370" s="187"/>
      <c r="M370" s="214">
        <f>IF(OR(E370="Distribución Legal de la Renta",E370="Acopio carros portaequipajes"),0,IF(K370&lt;0,0,K370*(1+SUMIFS('Insumos - OPEX'!$G$82:$G$238,'Insumos - OPEX'!$B$82:$B$238,OPEX!D370))))</f>
        <v>0</v>
      </c>
      <c r="N370" s="211">
        <f>IF(OR($B370="Ce Co No Imputables",$G370="M2 fijo"),$M370*(1+'Insumos - OPEX'!J$38),$M370*(1+'Insumos - OPEX'!J$29*'Insumos - OPEX'!J$39)*(1+'Insumos - OPEX'!J$38))</f>
        <v>0</v>
      </c>
      <c r="O370" s="211">
        <f>IF(OR($B370="Ce Co No Imputables",$G370="M2 fijo"),$M370*(1+'Insumos - OPEX'!K$38),$M370*(1+'Insumos - OPEX'!K$29*'Insumos - OPEX'!K$39)*(1+'Insumos - OPEX'!K$38))</f>
        <v>0</v>
      </c>
      <c r="P370" s="211">
        <f>IF(OR($B370="Ce Co No Imputables",$G370="M2 fijo"),$M370*(1+'Insumos - OPEX'!L$38),$M370*(1+'Insumos - OPEX'!L$29*'Insumos - OPEX'!L$39)*(1+'Insumos - OPEX'!L$38))</f>
        <v>0</v>
      </c>
      <c r="Q370" s="211">
        <f>IF(OR($B370="Ce Co No Imputables",$G370="M2 fijo"),$M370*(1+'Insumos - OPEX'!M$38),$M370*(1+'Insumos - OPEX'!M$29*'Insumos - OPEX'!M$39)*(1+'Insumos - OPEX'!M$38))</f>
        <v>0</v>
      </c>
      <c r="R370" s="211">
        <f>IF(OR($B370="Ce Co No Imputables",$G370="M2 fijo"),$M370*(1+'Insumos - OPEX'!N$38),$M370*(1+'Insumos - OPEX'!N$29*'Insumos - OPEX'!N$39)*(1+'Insumos - OPEX'!N$38))</f>
        <v>0</v>
      </c>
      <c r="S370" s="111"/>
    </row>
    <row r="371" spans="1:19" x14ac:dyDescent="0.2">
      <c r="A371" s="8"/>
      <c r="B371" s="8" t="s">
        <v>435</v>
      </c>
      <c r="C371" s="8" t="s">
        <v>171</v>
      </c>
      <c r="D371" s="8">
        <v>6356000002</v>
      </c>
      <c r="E371" s="8" t="s">
        <v>337</v>
      </c>
      <c r="F371" s="89" t="s">
        <v>470</v>
      </c>
      <c r="G371" s="73" t="s">
        <v>136</v>
      </c>
      <c r="H371" s="112" t="s">
        <v>61</v>
      </c>
      <c r="I371" s="13" t="s">
        <v>436</v>
      </c>
      <c r="K371" s="186">
        <v>0</v>
      </c>
      <c r="L371" s="187"/>
      <c r="M371" s="214">
        <f>IF(OR(E371="Distribución Legal de la Renta",E371="Acopio carros portaequipajes"),0,IF(K371&lt;0,0,K371*(1+SUMIFS('Insumos - OPEX'!$G$82:$G$238,'Insumos - OPEX'!$B$82:$B$238,OPEX!D371))))</f>
        <v>0</v>
      </c>
      <c r="N371" s="211">
        <f>IF(OR($B371="Ce Co No Imputables",$G371="M2 fijo"),$M371*(1+'Insumos - OPEX'!J$38),$M371*(1+'Insumos - OPEX'!J$29*'Insumos - OPEX'!J$39)*(1+'Insumos - OPEX'!J$38))</f>
        <v>0</v>
      </c>
      <c r="O371" s="211">
        <f>IF(OR($B371="Ce Co No Imputables",$G371="M2 fijo"),$M371*(1+'Insumos - OPEX'!K$38),$M371*(1+'Insumos - OPEX'!K$29*'Insumos - OPEX'!K$39)*(1+'Insumos - OPEX'!K$38))</f>
        <v>0</v>
      </c>
      <c r="P371" s="211">
        <f>IF(OR($B371="Ce Co No Imputables",$G371="M2 fijo"),$M371*(1+'Insumos - OPEX'!L$38),$M371*(1+'Insumos - OPEX'!L$29*'Insumos - OPEX'!L$39)*(1+'Insumos - OPEX'!L$38))</f>
        <v>0</v>
      </c>
      <c r="Q371" s="211">
        <f>IF(OR($B371="Ce Co No Imputables",$G371="M2 fijo"),$M371*(1+'Insumos - OPEX'!M$38),$M371*(1+'Insumos - OPEX'!M$29*'Insumos - OPEX'!M$39)*(1+'Insumos - OPEX'!M$38))</f>
        <v>0</v>
      </c>
      <c r="R371" s="211">
        <f>IF(OR($B371="Ce Co No Imputables",$G371="M2 fijo"),$M371*(1+'Insumos - OPEX'!N$38),$M371*(1+'Insumos - OPEX'!N$29*'Insumos - OPEX'!N$39)*(1+'Insumos - OPEX'!N$38))</f>
        <v>0</v>
      </c>
      <c r="S371" s="111"/>
    </row>
    <row r="372" spans="1:19" x14ac:dyDescent="0.2">
      <c r="A372" s="8"/>
      <c r="B372" s="8" t="s">
        <v>435</v>
      </c>
      <c r="C372" s="8" t="s">
        <v>171</v>
      </c>
      <c r="D372" s="8">
        <v>6380000002</v>
      </c>
      <c r="E372" s="8" t="s">
        <v>333</v>
      </c>
      <c r="F372" s="89" t="s">
        <v>470</v>
      </c>
      <c r="G372" s="73" t="s">
        <v>136</v>
      </c>
      <c r="H372" s="112" t="s">
        <v>61</v>
      </c>
      <c r="I372" s="13" t="s">
        <v>436</v>
      </c>
      <c r="K372" s="186">
        <v>0</v>
      </c>
      <c r="L372" s="187"/>
      <c r="M372" s="214">
        <f>IF(OR(E372="Distribución Legal de la Renta",E372="Acopio carros portaequipajes"),0,IF(K372&lt;0,0,K372*(1+SUMIFS('Insumos - OPEX'!$G$82:$G$238,'Insumos - OPEX'!$B$82:$B$238,OPEX!D372))))</f>
        <v>0</v>
      </c>
      <c r="N372" s="211">
        <f>IF(OR($B372="Ce Co No Imputables",$G372="M2 fijo"),$M372*(1+'Insumos - OPEX'!J$38),$M372*(1+'Insumos - OPEX'!J$29*'Insumos - OPEX'!J$39)*(1+'Insumos - OPEX'!J$38))</f>
        <v>0</v>
      </c>
      <c r="O372" s="211">
        <f>IF(OR($B372="Ce Co No Imputables",$G372="M2 fijo"),$M372*(1+'Insumos - OPEX'!K$38),$M372*(1+'Insumos - OPEX'!K$29*'Insumos - OPEX'!K$39)*(1+'Insumos - OPEX'!K$38))</f>
        <v>0</v>
      </c>
      <c r="P372" s="211">
        <f>IF(OR($B372="Ce Co No Imputables",$G372="M2 fijo"),$M372*(1+'Insumos - OPEX'!L$38),$M372*(1+'Insumos - OPEX'!L$29*'Insumos - OPEX'!L$39)*(1+'Insumos - OPEX'!L$38))</f>
        <v>0</v>
      </c>
      <c r="Q372" s="211">
        <f>IF(OR($B372="Ce Co No Imputables",$G372="M2 fijo"),$M372*(1+'Insumos - OPEX'!M$38),$M372*(1+'Insumos - OPEX'!M$29*'Insumos - OPEX'!M$39)*(1+'Insumos - OPEX'!M$38))</f>
        <v>0</v>
      </c>
      <c r="R372" s="211">
        <f>IF(OR($B372="Ce Co No Imputables",$G372="M2 fijo"),$M372*(1+'Insumos - OPEX'!N$38),$M372*(1+'Insumos - OPEX'!N$29*'Insumos - OPEX'!N$39)*(1+'Insumos - OPEX'!N$38))</f>
        <v>0</v>
      </c>
      <c r="S372" s="111"/>
    </row>
    <row r="373" spans="1:19" x14ac:dyDescent="0.2">
      <c r="A373" s="8"/>
      <c r="B373" s="8" t="s">
        <v>435</v>
      </c>
      <c r="C373" s="8" t="s">
        <v>171</v>
      </c>
      <c r="D373" s="8">
        <v>6358000001</v>
      </c>
      <c r="E373" s="8" t="s">
        <v>335</v>
      </c>
      <c r="F373" s="89" t="s">
        <v>470</v>
      </c>
      <c r="G373" s="73" t="s">
        <v>136</v>
      </c>
      <c r="H373" s="112" t="s">
        <v>61</v>
      </c>
      <c r="I373" s="13" t="s">
        <v>436</v>
      </c>
      <c r="K373" s="186">
        <v>0</v>
      </c>
      <c r="L373" s="187"/>
      <c r="M373" s="214">
        <f>IF(OR(E373="Distribución Legal de la Renta",E373="Acopio carros portaequipajes"),0,IF(K373&lt;0,0,K373*(1+SUMIFS('Insumos - OPEX'!$G$82:$G$238,'Insumos - OPEX'!$B$82:$B$238,OPEX!D373))))</f>
        <v>0</v>
      </c>
      <c r="N373" s="211">
        <f>IF(OR($B373="Ce Co No Imputables",$G373="M2 fijo"),$M373*(1+'Insumos - OPEX'!J$38),$M373*(1+'Insumos - OPEX'!J$29*'Insumos - OPEX'!J$39)*(1+'Insumos - OPEX'!J$38))</f>
        <v>0</v>
      </c>
      <c r="O373" s="211">
        <f>IF(OR($B373="Ce Co No Imputables",$G373="M2 fijo"),$M373*(1+'Insumos - OPEX'!K$38),$M373*(1+'Insumos - OPEX'!K$29*'Insumos - OPEX'!K$39)*(1+'Insumos - OPEX'!K$38))</f>
        <v>0</v>
      </c>
      <c r="P373" s="211">
        <f>IF(OR($B373="Ce Co No Imputables",$G373="M2 fijo"),$M373*(1+'Insumos - OPEX'!L$38),$M373*(1+'Insumos - OPEX'!L$29*'Insumos - OPEX'!L$39)*(1+'Insumos - OPEX'!L$38))</f>
        <v>0</v>
      </c>
      <c r="Q373" s="211">
        <f>IF(OR($B373="Ce Co No Imputables",$G373="M2 fijo"),$M373*(1+'Insumos - OPEX'!M$38),$M373*(1+'Insumos - OPEX'!M$29*'Insumos - OPEX'!M$39)*(1+'Insumos - OPEX'!M$38))</f>
        <v>0</v>
      </c>
      <c r="R373" s="211">
        <f>IF(OR($B373="Ce Co No Imputables",$G373="M2 fijo"),$M373*(1+'Insumos - OPEX'!N$38),$M373*(1+'Insumos - OPEX'!N$29*'Insumos - OPEX'!N$39)*(1+'Insumos - OPEX'!N$38))</f>
        <v>0</v>
      </c>
      <c r="S373" s="111"/>
    </row>
    <row r="374" spans="1:19" x14ac:dyDescent="0.2">
      <c r="A374" s="8"/>
      <c r="B374" s="8" t="s">
        <v>435</v>
      </c>
      <c r="C374" s="8" t="s">
        <v>171</v>
      </c>
      <c r="D374" s="8">
        <v>6320000006</v>
      </c>
      <c r="E374" s="8" t="s">
        <v>344</v>
      </c>
      <c r="F374" s="89" t="s">
        <v>470</v>
      </c>
      <c r="G374" s="73" t="s">
        <v>136</v>
      </c>
      <c r="H374" s="112" t="s">
        <v>61</v>
      </c>
      <c r="I374" s="13" t="s">
        <v>436</v>
      </c>
      <c r="K374" s="186">
        <v>0</v>
      </c>
      <c r="L374" s="187"/>
      <c r="M374" s="214">
        <f>IF(OR(E374="Distribución Legal de la Renta",E374="Acopio carros portaequipajes"),0,IF(K374&lt;0,0,K374*(1+SUMIFS('Insumos - OPEX'!$G$82:$G$238,'Insumos - OPEX'!$B$82:$B$238,OPEX!D374))))</f>
        <v>0</v>
      </c>
      <c r="N374" s="211">
        <f>IF(OR($B374="Ce Co No Imputables",$G374="M2 fijo"),$M374*(1+'Insumos - OPEX'!J$38),$M374*(1+'Insumos - OPEX'!J$29*'Insumos - OPEX'!J$39)*(1+'Insumos - OPEX'!J$38))</f>
        <v>0</v>
      </c>
      <c r="O374" s="211">
        <f>IF(OR($B374="Ce Co No Imputables",$G374="M2 fijo"),$M374*(1+'Insumos - OPEX'!K$38),$M374*(1+'Insumos - OPEX'!K$29*'Insumos - OPEX'!K$39)*(1+'Insumos - OPEX'!K$38))</f>
        <v>0</v>
      </c>
      <c r="P374" s="211">
        <f>IF(OR($B374="Ce Co No Imputables",$G374="M2 fijo"),$M374*(1+'Insumos - OPEX'!L$38),$M374*(1+'Insumos - OPEX'!L$29*'Insumos - OPEX'!L$39)*(1+'Insumos - OPEX'!L$38))</f>
        <v>0</v>
      </c>
      <c r="Q374" s="211">
        <f>IF(OR($B374="Ce Co No Imputables",$G374="M2 fijo"),$M374*(1+'Insumos - OPEX'!M$38),$M374*(1+'Insumos - OPEX'!M$29*'Insumos - OPEX'!M$39)*(1+'Insumos - OPEX'!M$38))</f>
        <v>0</v>
      </c>
      <c r="R374" s="211">
        <f>IF(OR($B374="Ce Co No Imputables",$G374="M2 fijo"),$M374*(1+'Insumos - OPEX'!N$38),$M374*(1+'Insumos - OPEX'!N$29*'Insumos - OPEX'!N$39)*(1+'Insumos - OPEX'!N$38))</f>
        <v>0</v>
      </c>
      <c r="S374" s="111"/>
    </row>
    <row r="375" spans="1:19" x14ac:dyDescent="0.2">
      <c r="A375" s="8"/>
      <c r="B375" s="8" t="s">
        <v>435</v>
      </c>
      <c r="C375" s="8" t="s">
        <v>171</v>
      </c>
      <c r="D375" s="8">
        <v>6320000005</v>
      </c>
      <c r="E375" s="8" t="s">
        <v>342</v>
      </c>
      <c r="F375" s="89" t="s">
        <v>470</v>
      </c>
      <c r="G375" s="73" t="s">
        <v>136</v>
      </c>
      <c r="H375" s="112" t="s">
        <v>61</v>
      </c>
      <c r="I375" s="13" t="s">
        <v>436</v>
      </c>
      <c r="K375" s="186">
        <v>0</v>
      </c>
      <c r="L375" s="187"/>
      <c r="M375" s="214">
        <f>IF(OR(E375="Distribución Legal de la Renta",E375="Acopio carros portaequipajes"),0,IF(K375&lt;0,0,K375*(1+SUMIFS('Insumos - OPEX'!$G$82:$G$238,'Insumos - OPEX'!$B$82:$B$238,OPEX!D375))))</f>
        <v>0</v>
      </c>
      <c r="N375" s="211">
        <f>IF(OR($B375="Ce Co No Imputables",$G375="M2 fijo"),$M375*(1+'Insumos - OPEX'!J$38),$M375*(1+'Insumos - OPEX'!J$29*'Insumos - OPEX'!J$39)*(1+'Insumos - OPEX'!J$38))</f>
        <v>0</v>
      </c>
      <c r="O375" s="211">
        <f>IF(OR($B375="Ce Co No Imputables",$G375="M2 fijo"),$M375*(1+'Insumos - OPEX'!K$38),$M375*(1+'Insumos - OPEX'!K$29*'Insumos - OPEX'!K$39)*(1+'Insumos - OPEX'!K$38))</f>
        <v>0</v>
      </c>
      <c r="P375" s="211">
        <f>IF(OR($B375="Ce Co No Imputables",$G375="M2 fijo"),$M375*(1+'Insumos - OPEX'!L$38),$M375*(1+'Insumos - OPEX'!L$29*'Insumos - OPEX'!L$39)*(1+'Insumos - OPEX'!L$38))</f>
        <v>0</v>
      </c>
      <c r="Q375" s="211">
        <f>IF(OR($B375="Ce Co No Imputables",$G375="M2 fijo"),$M375*(1+'Insumos - OPEX'!M$38),$M375*(1+'Insumos - OPEX'!M$29*'Insumos - OPEX'!M$39)*(1+'Insumos - OPEX'!M$38))</f>
        <v>0</v>
      </c>
      <c r="R375" s="211">
        <f>IF(OR($B375="Ce Co No Imputables",$G375="M2 fijo"),$M375*(1+'Insumos - OPEX'!N$38),$M375*(1+'Insumos - OPEX'!N$29*'Insumos - OPEX'!N$39)*(1+'Insumos - OPEX'!N$38))</f>
        <v>0</v>
      </c>
      <c r="S375" s="111"/>
    </row>
    <row r="376" spans="1:19" x14ac:dyDescent="0.2">
      <c r="A376" s="8"/>
      <c r="B376" s="8" t="s">
        <v>435</v>
      </c>
      <c r="C376" s="8" t="s">
        <v>171</v>
      </c>
      <c r="D376" s="8">
        <v>6370000002</v>
      </c>
      <c r="E376" s="8" t="s">
        <v>338</v>
      </c>
      <c r="F376" s="89" t="s">
        <v>470</v>
      </c>
      <c r="G376" s="73" t="s">
        <v>136</v>
      </c>
      <c r="H376" s="112" t="s">
        <v>61</v>
      </c>
      <c r="I376" s="13" t="s">
        <v>436</v>
      </c>
      <c r="K376" s="186">
        <v>0</v>
      </c>
      <c r="L376" s="187"/>
      <c r="M376" s="214">
        <f>IF(OR(E376="Distribución Legal de la Renta",E376="Acopio carros portaequipajes"),0,IF(K376&lt;0,0,K376*(1+SUMIFS('Insumos - OPEX'!$G$82:$G$238,'Insumos - OPEX'!$B$82:$B$238,OPEX!D376))))</f>
        <v>0</v>
      </c>
      <c r="N376" s="211">
        <f>IF(OR($B376="Ce Co No Imputables",$G376="M2 fijo"),$M376*(1+'Insumos - OPEX'!J$38),$M376*(1+'Insumos - OPEX'!J$29*'Insumos - OPEX'!J$39)*(1+'Insumos - OPEX'!J$38))</f>
        <v>0</v>
      </c>
      <c r="O376" s="211">
        <f>IF(OR($B376="Ce Co No Imputables",$G376="M2 fijo"),$M376*(1+'Insumos - OPEX'!K$38),$M376*(1+'Insumos - OPEX'!K$29*'Insumos - OPEX'!K$39)*(1+'Insumos - OPEX'!K$38))</f>
        <v>0</v>
      </c>
      <c r="P376" s="211">
        <f>IF(OR($B376="Ce Co No Imputables",$G376="M2 fijo"),$M376*(1+'Insumos - OPEX'!L$38),$M376*(1+'Insumos - OPEX'!L$29*'Insumos - OPEX'!L$39)*(1+'Insumos - OPEX'!L$38))</f>
        <v>0</v>
      </c>
      <c r="Q376" s="211">
        <f>IF(OR($B376="Ce Co No Imputables",$G376="M2 fijo"),$M376*(1+'Insumos - OPEX'!M$38),$M376*(1+'Insumos - OPEX'!M$29*'Insumos - OPEX'!M$39)*(1+'Insumos - OPEX'!M$38))</f>
        <v>0</v>
      </c>
      <c r="R376" s="211">
        <f>IF(OR($B376="Ce Co No Imputables",$G376="M2 fijo"),$M376*(1+'Insumos - OPEX'!N$38),$M376*(1+'Insumos - OPEX'!N$29*'Insumos - OPEX'!N$39)*(1+'Insumos - OPEX'!N$38))</f>
        <v>0</v>
      </c>
      <c r="S376" s="111"/>
    </row>
    <row r="377" spans="1:19" x14ac:dyDescent="0.2">
      <c r="A377" s="8"/>
      <c r="B377" s="8" t="s">
        <v>435</v>
      </c>
      <c r="C377" s="8" t="s">
        <v>171</v>
      </c>
      <c r="D377" s="8">
        <v>6380000009</v>
      </c>
      <c r="E377" s="8" t="s">
        <v>321</v>
      </c>
      <c r="F377" s="89" t="s">
        <v>469</v>
      </c>
      <c r="G377" s="73" t="s">
        <v>136</v>
      </c>
      <c r="H377" s="112" t="s">
        <v>61</v>
      </c>
      <c r="I377" s="13" t="s">
        <v>436</v>
      </c>
      <c r="K377" s="186">
        <v>0</v>
      </c>
      <c r="L377" s="187"/>
      <c r="M377" s="214">
        <f>IF(OR(E377="Distribución Legal de la Renta",E377="Acopio carros portaequipajes"),0,IF(K377&lt;0,0,K377*(1+SUMIFS('Insumos - OPEX'!$G$82:$G$238,'Insumos - OPEX'!$B$82:$B$238,OPEX!D377))))</f>
        <v>0</v>
      </c>
      <c r="N377" s="211">
        <f>IF(OR($B377="Ce Co No Imputables",$G377="M2 fijo"),$M377*(1+'Insumos - OPEX'!J$38),$M377*(1+'Insumos - OPEX'!J$29*'Insumos - OPEX'!J$39)*(1+'Insumos - OPEX'!J$38))</f>
        <v>0</v>
      </c>
      <c r="O377" s="211">
        <f>IF(OR($B377="Ce Co No Imputables",$G377="M2 fijo"),$M377*(1+'Insumos - OPEX'!K$38),$M377*(1+'Insumos - OPEX'!K$29*'Insumos - OPEX'!K$39)*(1+'Insumos - OPEX'!K$38))</f>
        <v>0</v>
      </c>
      <c r="P377" s="211">
        <f>IF(OR($B377="Ce Co No Imputables",$G377="M2 fijo"),$M377*(1+'Insumos - OPEX'!L$38),$M377*(1+'Insumos - OPEX'!L$29*'Insumos - OPEX'!L$39)*(1+'Insumos - OPEX'!L$38))</f>
        <v>0</v>
      </c>
      <c r="Q377" s="211">
        <f>IF(OR($B377="Ce Co No Imputables",$G377="M2 fijo"),$M377*(1+'Insumos - OPEX'!M$38),$M377*(1+'Insumos - OPEX'!M$29*'Insumos - OPEX'!M$39)*(1+'Insumos - OPEX'!M$38))</f>
        <v>0</v>
      </c>
      <c r="R377" s="211">
        <f>IF(OR($B377="Ce Co No Imputables",$G377="M2 fijo"),$M377*(1+'Insumos - OPEX'!N$38),$M377*(1+'Insumos - OPEX'!N$29*'Insumos - OPEX'!N$39)*(1+'Insumos - OPEX'!N$38))</f>
        <v>0</v>
      </c>
      <c r="S377" s="111"/>
    </row>
    <row r="378" spans="1:19" x14ac:dyDescent="0.2">
      <c r="A378" s="8"/>
      <c r="B378" s="8" t="s">
        <v>435</v>
      </c>
      <c r="C378" s="8" t="s">
        <v>171</v>
      </c>
      <c r="D378" s="8">
        <v>6380000029</v>
      </c>
      <c r="E378" s="8" t="s">
        <v>348</v>
      </c>
      <c r="F378" s="89" t="s">
        <v>470</v>
      </c>
      <c r="G378" s="73" t="s">
        <v>136</v>
      </c>
      <c r="H378" s="112" t="s">
        <v>61</v>
      </c>
      <c r="I378" s="13" t="s">
        <v>436</v>
      </c>
      <c r="K378" s="186">
        <v>0</v>
      </c>
      <c r="L378" s="187"/>
      <c r="M378" s="214">
        <f>IF(OR(E378="Distribución Legal de la Renta",E378="Acopio carros portaequipajes"),0,IF(K378&lt;0,0,K378*(1+SUMIFS('Insumos - OPEX'!$G$82:$G$238,'Insumos - OPEX'!$B$82:$B$238,OPEX!D378))))</f>
        <v>0</v>
      </c>
      <c r="N378" s="211">
        <f>IF(OR($B378="Ce Co No Imputables",$G378="M2 fijo"),$M378*(1+'Insumos - OPEX'!J$38),$M378*(1+'Insumos - OPEX'!J$29*'Insumos - OPEX'!J$39)*(1+'Insumos - OPEX'!J$38))</f>
        <v>0</v>
      </c>
      <c r="O378" s="211">
        <f>IF(OR($B378="Ce Co No Imputables",$G378="M2 fijo"),$M378*(1+'Insumos - OPEX'!K$38),$M378*(1+'Insumos - OPEX'!K$29*'Insumos - OPEX'!K$39)*(1+'Insumos - OPEX'!K$38))</f>
        <v>0</v>
      </c>
      <c r="P378" s="211">
        <f>IF(OR($B378="Ce Co No Imputables",$G378="M2 fijo"),$M378*(1+'Insumos - OPEX'!L$38),$M378*(1+'Insumos - OPEX'!L$29*'Insumos - OPEX'!L$39)*(1+'Insumos - OPEX'!L$38))</f>
        <v>0</v>
      </c>
      <c r="Q378" s="211">
        <f>IF(OR($B378="Ce Co No Imputables",$G378="M2 fijo"),$M378*(1+'Insumos - OPEX'!M$38),$M378*(1+'Insumos - OPEX'!M$29*'Insumos - OPEX'!M$39)*(1+'Insumos - OPEX'!M$38))</f>
        <v>0</v>
      </c>
      <c r="R378" s="211">
        <f>IF(OR($B378="Ce Co No Imputables",$G378="M2 fijo"),$M378*(1+'Insumos - OPEX'!N$38),$M378*(1+'Insumos - OPEX'!N$29*'Insumos - OPEX'!N$39)*(1+'Insumos - OPEX'!N$38))</f>
        <v>0</v>
      </c>
      <c r="S378" s="111"/>
    </row>
    <row r="379" spans="1:19" x14ac:dyDescent="0.2">
      <c r="A379" s="8"/>
      <c r="B379" s="8" t="s">
        <v>435</v>
      </c>
      <c r="C379" s="8" t="s">
        <v>171</v>
      </c>
      <c r="D379" s="8">
        <v>6381000004</v>
      </c>
      <c r="E379" s="8" t="s">
        <v>350</v>
      </c>
      <c r="F379" s="89" t="s">
        <v>470</v>
      </c>
      <c r="G379" s="73" t="s">
        <v>136</v>
      </c>
      <c r="H379" s="112" t="s">
        <v>61</v>
      </c>
      <c r="I379" s="13" t="s">
        <v>436</v>
      </c>
      <c r="K379" s="186">
        <v>0</v>
      </c>
      <c r="L379" s="187"/>
      <c r="M379" s="214">
        <f>IF(OR(E379="Distribución Legal de la Renta",E379="Acopio carros portaequipajes"),0,IF(K379&lt;0,0,K379*(1+SUMIFS('Insumos - OPEX'!$G$82:$G$238,'Insumos - OPEX'!$B$82:$B$238,OPEX!D379))))</f>
        <v>0</v>
      </c>
      <c r="N379" s="211">
        <f>IF(OR($B379="Ce Co No Imputables",$G379="M2 fijo"),$M379*(1+'Insumos - OPEX'!J$38),$M379*(1+'Insumos - OPEX'!J$29*'Insumos - OPEX'!J$39)*(1+'Insumos - OPEX'!J$38))</f>
        <v>0</v>
      </c>
      <c r="O379" s="211">
        <f>IF(OR($B379="Ce Co No Imputables",$G379="M2 fijo"),$M379*(1+'Insumos - OPEX'!K$38),$M379*(1+'Insumos - OPEX'!K$29*'Insumos - OPEX'!K$39)*(1+'Insumos - OPEX'!K$38))</f>
        <v>0</v>
      </c>
      <c r="P379" s="211">
        <f>IF(OR($B379="Ce Co No Imputables",$G379="M2 fijo"),$M379*(1+'Insumos - OPEX'!L$38),$M379*(1+'Insumos - OPEX'!L$29*'Insumos - OPEX'!L$39)*(1+'Insumos - OPEX'!L$38))</f>
        <v>0</v>
      </c>
      <c r="Q379" s="211">
        <f>IF(OR($B379="Ce Co No Imputables",$G379="M2 fijo"),$M379*(1+'Insumos - OPEX'!M$38),$M379*(1+'Insumos - OPEX'!M$29*'Insumos - OPEX'!M$39)*(1+'Insumos - OPEX'!M$38))</f>
        <v>0</v>
      </c>
      <c r="R379" s="211">
        <f>IF(OR($B379="Ce Co No Imputables",$G379="M2 fijo"),$M379*(1+'Insumos - OPEX'!N$38),$M379*(1+'Insumos - OPEX'!N$29*'Insumos - OPEX'!N$39)*(1+'Insumos - OPEX'!N$38))</f>
        <v>0</v>
      </c>
      <c r="S379" s="111"/>
    </row>
    <row r="380" spans="1:19" x14ac:dyDescent="0.2">
      <c r="A380" s="8"/>
      <c r="B380" s="8" t="s">
        <v>435</v>
      </c>
      <c r="C380" s="8" t="s">
        <v>171</v>
      </c>
      <c r="D380" s="8">
        <v>6329000003</v>
      </c>
      <c r="E380" s="8" t="s">
        <v>341</v>
      </c>
      <c r="F380" s="89" t="s">
        <v>470</v>
      </c>
      <c r="G380" s="73" t="s">
        <v>136</v>
      </c>
      <c r="H380" s="112" t="s">
        <v>61</v>
      </c>
      <c r="I380" s="13" t="s">
        <v>436</v>
      </c>
      <c r="K380" s="186">
        <v>0</v>
      </c>
      <c r="L380" s="187"/>
      <c r="M380" s="214">
        <f>IF(OR(E380="Distribución Legal de la Renta",E380="Acopio carros portaequipajes"),0,IF(K380&lt;0,0,K380*(1+SUMIFS('Insumos - OPEX'!$G$82:$G$238,'Insumos - OPEX'!$B$82:$B$238,OPEX!D380))))</f>
        <v>0</v>
      </c>
      <c r="N380" s="211">
        <f>IF(OR($B380="Ce Co No Imputables",$G380="M2 fijo"),$M380*(1+'Insumos - OPEX'!J$38),$M380*(1+'Insumos - OPEX'!J$29*'Insumos - OPEX'!J$39)*(1+'Insumos - OPEX'!J$38))</f>
        <v>0</v>
      </c>
      <c r="O380" s="211">
        <f>IF(OR($B380="Ce Co No Imputables",$G380="M2 fijo"),$M380*(1+'Insumos - OPEX'!K$38),$M380*(1+'Insumos - OPEX'!K$29*'Insumos - OPEX'!K$39)*(1+'Insumos - OPEX'!K$38))</f>
        <v>0</v>
      </c>
      <c r="P380" s="211">
        <f>IF(OR($B380="Ce Co No Imputables",$G380="M2 fijo"),$M380*(1+'Insumos - OPEX'!L$38),$M380*(1+'Insumos - OPEX'!L$29*'Insumos - OPEX'!L$39)*(1+'Insumos - OPEX'!L$38))</f>
        <v>0</v>
      </c>
      <c r="Q380" s="211">
        <f>IF(OR($B380="Ce Co No Imputables",$G380="M2 fijo"),$M380*(1+'Insumos - OPEX'!M$38),$M380*(1+'Insumos - OPEX'!M$29*'Insumos - OPEX'!M$39)*(1+'Insumos - OPEX'!M$38))</f>
        <v>0</v>
      </c>
      <c r="R380" s="211">
        <f>IF(OR($B380="Ce Co No Imputables",$G380="M2 fijo"),$M380*(1+'Insumos - OPEX'!N$38),$M380*(1+'Insumos - OPEX'!N$29*'Insumos - OPEX'!N$39)*(1+'Insumos - OPEX'!N$38))</f>
        <v>0</v>
      </c>
      <c r="S380" s="111"/>
    </row>
    <row r="381" spans="1:19" x14ac:dyDescent="0.2">
      <c r="A381" s="8"/>
      <c r="B381" s="8" t="s">
        <v>435</v>
      </c>
      <c r="C381" s="8" t="s">
        <v>171</v>
      </c>
      <c r="D381" s="8">
        <v>6380000008</v>
      </c>
      <c r="E381" s="8" t="s">
        <v>323</v>
      </c>
      <c r="F381" s="89" t="s">
        <v>469</v>
      </c>
      <c r="G381" s="73" t="s">
        <v>136</v>
      </c>
      <c r="H381" s="112" t="s">
        <v>61</v>
      </c>
      <c r="I381" s="13" t="s">
        <v>436</v>
      </c>
      <c r="K381" s="186">
        <v>0</v>
      </c>
      <c r="L381" s="187"/>
      <c r="M381" s="214">
        <f>IF(OR(E381="Distribución Legal de la Renta",E381="Acopio carros portaequipajes"),0,IF(K381&lt;0,0,K381*(1+SUMIFS('Insumos - OPEX'!$G$82:$G$238,'Insumos - OPEX'!$B$82:$B$238,OPEX!D381))))</f>
        <v>0</v>
      </c>
      <c r="N381" s="211">
        <f>IF(OR($B381="Ce Co No Imputables",$G381="M2 fijo"),$M381*(1+'Insumos - OPEX'!J$38),$M381*(1+'Insumos - OPEX'!J$29*'Insumos - OPEX'!J$39)*(1+'Insumos - OPEX'!J$38))</f>
        <v>0</v>
      </c>
      <c r="O381" s="211">
        <f>IF(OR($B381="Ce Co No Imputables",$G381="M2 fijo"),$M381*(1+'Insumos - OPEX'!K$38),$M381*(1+'Insumos - OPEX'!K$29*'Insumos - OPEX'!K$39)*(1+'Insumos - OPEX'!K$38))</f>
        <v>0</v>
      </c>
      <c r="P381" s="211">
        <f>IF(OR($B381="Ce Co No Imputables",$G381="M2 fijo"),$M381*(1+'Insumos - OPEX'!L$38),$M381*(1+'Insumos - OPEX'!L$29*'Insumos - OPEX'!L$39)*(1+'Insumos - OPEX'!L$38))</f>
        <v>0</v>
      </c>
      <c r="Q381" s="211">
        <f>IF(OR($B381="Ce Co No Imputables",$G381="M2 fijo"),$M381*(1+'Insumos - OPEX'!M$38),$M381*(1+'Insumos - OPEX'!M$29*'Insumos - OPEX'!M$39)*(1+'Insumos - OPEX'!M$38))</f>
        <v>0</v>
      </c>
      <c r="R381" s="211">
        <f>IF(OR($B381="Ce Co No Imputables",$G381="M2 fijo"),$M381*(1+'Insumos - OPEX'!N$38),$M381*(1+'Insumos - OPEX'!N$29*'Insumos - OPEX'!N$39)*(1+'Insumos - OPEX'!N$38))</f>
        <v>0</v>
      </c>
      <c r="S381" s="111"/>
    </row>
    <row r="382" spans="1:19" x14ac:dyDescent="0.2">
      <c r="A382" s="8"/>
      <c r="B382" s="8" t="s">
        <v>435</v>
      </c>
      <c r="C382" s="8" t="s">
        <v>171</v>
      </c>
      <c r="D382" s="8">
        <v>6360000004</v>
      </c>
      <c r="E382" s="8" t="s">
        <v>353</v>
      </c>
      <c r="F382" s="89" t="s">
        <v>470</v>
      </c>
      <c r="G382" s="73" t="s">
        <v>136</v>
      </c>
      <c r="H382" s="112" t="s">
        <v>61</v>
      </c>
      <c r="I382" s="13" t="s">
        <v>436</v>
      </c>
      <c r="K382" s="186">
        <v>0</v>
      </c>
      <c r="L382" s="187"/>
      <c r="M382" s="214">
        <f>IF(OR(E382="Distribución Legal de la Renta",E382="Acopio carros portaequipajes"),0,IF(K382&lt;0,0,K382*(1+SUMIFS('Insumos - OPEX'!$G$82:$G$238,'Insumos - OPEX'!$B$82:$B$238,OPEX!D382))))</f>
        <v>0</v>
      </c>
      <c r="N382" s="211">
        <f>IF(OR($B382="Ce Co No Imputables",$G382="M2 fijo"),$M382*(1+'Insumos - OPEX'!J$38),$M382*(1+'Insumos - OPEX'!J$29*'Insumos - OPEX'!J$39)*(1+'Insumos - OPEX'!J$38))</f>
        <v>0</v>
      </c>
      <c r="O382" s="211">
        <f>IF(OR($B382="Ce Co No Imputables",$G382="M2 fijo"),$M382*(1+'Insumos - OPEX'!K$38),$M382*(1+'Insumos - OPEX'!K$29*'Insumos - OPEX'!K$39)*(1+'Insumos - OPEX'!K$38))</f>
        <v>0</v>
      </c>
      <c r="P382" s="211">
        <f>IF(OR($B382="Ce Co No Imputables",$G382="M2 fijo"),$M382*(1+'Insumos - OPEX'!L$38),$M382*(1+'Insumos - OPEX'!L$29*'Insumos - OPEX'!L$39)*(1+'Insumos - OPEX'!L$38))</f>
        <v>0</v>
      </c>
      <c r="Q382" s="211">
        <f>IF(OR($B382="Ce Co No Imputables",$G382="M2 fijo"),$M382*(1+'Insumos - OPEX'!M$38),$M382*(1+'Insumos - OPEX'!M$29*'Insumos - OPEX'!M$39)*(1+'Insumos - OPEX'!M$38))</f>
        <v>0</v>
      </c>
      <c r="R382" s="211">
        <f>IF(OR($B382="Ce Co No Imputables",$G382="M2 fijo"),$M382*(1+'Insumos - OPEX'!N$38),$M382*(1+'Insumos - OPEX'!N$29*'Insumos - OPEX'!N$39)*(1+'Insumos - OPEX'!N$38))</f>
        <v>0</v>
      </c>
      <c r="S382" s="111"/>
    </row>
    <row r="383" spans="1:19" x14ac:dyDescent="0.2">
      <c r="A383" s="8"/>
      <c r="B383" s="8" t="s">
        <v>435</v>
      </c>
      <c r="C383" s="8" t="s">
        <v>171</v>
      </c>
      <c r="D383" s="8">
        <v>6360000005</v>
      </c>
      <c r="E383" s="8" t="s">
        <v>354</v>
      </c>
      <c r="F383" s="89" t="s">
        <v>470</v>
      </c>
      <c r="G383" s="73" t="s">
        <v>136</v>
      </c>
      <c r="H383" s="112" t="s">
        <v>61</v>
      </c>
      <c r="I383" s="13" t="s">
        <v>436</v>
      </c>
      <c r="J383" s="11"/>
      <c r="K383" s="186">
        <v>0</v>
      </c>
      <c r="L383" s="187"/>
      <c r="M383" s="214">
        <f>IF(OR(E383="Distribución Legal de la Renta",E383="Acopio carros portaequipajes"),0,IF(K383&lt;0,0,K383*(1+SUMIFS('Insumos - OPEX'!$G$82:$G$238,'Insumos - OPEX'!$B$82:$B$238,OPEX!D383))))</f>
        <v>0</v>
      </c>
      <c r="N383" s="211">
        <f>IF(OR($B383="Ce Co No Imputables",$G383="M2 fijo"),$M383*(1+'Insumos - OPEX'!J$38),$M383*(1+'Insumos - OPEX'!J$29*'Insumos - OPEX'!J$39)*(1+'Insumos - OPEX'!J$38))</f>
        <v>0</v>
      </c>
      <c r="O383" s="211">
        <f>IF(OR($B383="Ce Co No Imputables",$G383="M2 fijo"),$M383*(1+'Insumos - OPEX'!K$38),$M383*(1+'Insumos - OPEX'!K$29*'Insumos - OPEX'!K$39)*(1+'Insumos - OPEX'!K$38))</f>
        <v>0</v>
      </c>
      <c r="P383" s="211">
        <f>IF(OR($B383="Ce Co No Imputables",$G383="M2 fijo"),$M383*(1+'Insumos - OPEX'!L$38),$M383*(1+'Insumos - OPEX'!L$29*'Insumos - OPEX'!L$39)*(1+'Insumos - OPEX'!L$38))</f>
        <v>0</v>
      </c>
      <c r="Q383" s="211">
        <f>IF(OR($B383="Ce Co No Imputables",$G383="M2 fijo"),$M383*(1+'Insumos - OPEX'!M$38),$M383*(1+'Insumos - OPEX'!M$29*'Insumos - OPEX'!M$39)*(1+'Insumos - OPEX'!M$38))</f>
        <v>0</v>
      </c>
      <c r="R383" s="211">
        <f>IF(OR($B383="Ce Co No Imputables",$G383="M2 fijo"),$M383*(1+'Insumos - OPEX'!N$38),$M383*(1+'Insumos - OPEX'!N$29*'Insumos - OPEX'!N$39)*(1+'Insumos - OPEX'!N$38))</f>
        <v>0</v>
      </c>
      <c r="S383" s="111"/>
    </row>
    <row r="384" spans="1:19" x14ac:dyDescent="0.2">
      <c r="A384" s="8"/>
      <c r="B384" s="8" t="s">
        <v>435</v>
      </c>
      <c r="C384" s="8" t="s">
        <v>171</v>
      </c>
      <c r="D384" s="8">
        <v>6380000019</v>
      </c>
      <c r="E384" s="8" t="s">
        <v>355</v>
      </c>
      <c r="F384" s="89" t="s">
        <v>470</v>
      </c>
      <c r="G384" s="73" t="s">
        <v>136</v>
      </c>
      <c r="H384" s="112" t="s">
        <v>61</v>
      </c>
      <c r="I384" s="13" t="s">
        <v>436</v>
      </c>
      <c r="K384" s="186">
        <v>-1656.5114424817596</v>
      </c>
      <c r="L384" s="187"/>
      <c r="M384" s="214">
        <f>IF(OR(E384="Distribución Legal de la Renta",E384="Acopio carros portaequipajes"),0,IF(K384&lt;0,0,K384*(1+SUMIFS('Insumos - OPEX'!$G$82:$G$238,'Insumos - OPEX'!$B$82:$B$238,OPEX!D384))))</f>
        <v>0</v>
      </c>
      <c r="N384" s="211">
        <f>IF(OR($B384="Ce Co No Imputables",$G384="M2 fijo"),$M384*(1+'Insumos - OPEX'!J$38),$M384*(1+'Insumos - OPEX'!J$29*'Insumos - OPEX'!J$39)*(1+'Insumos - OPEX'!J$38))</f>
        <v>0</v>
      </c>
      <c r="O384" s="211">
        <f>IF(OR($B384="Ce Co No Imputables",$G384="M2 fijo"),$M384*(1+'Insumos - OPEX'!K$38),$M384*(1+'Insumos - OPEX'!K$29*'Insumos - OPEX'!K$39)*(1+'Insumos - OPEX'!K$38))</f>
        <v>0</v>
      </c>
      <c r="P384" s="211">
        <f>IF(OR($B384="Ce Co No Imputables",$G384="M2 fijo"),$M384*(1+'Insumos - OPEX'!L$38),$M384*(1+'Insumos - OPEX'!L$29*'Insumos - OPEX'!L$39)*(1+'Insumos - OPEX'!L$38))</f>
        <v>0</v>
      </c>
      <c r="Q384" s="211">
        <f>IF(OR($B384="Ce Co No Imputables",$G384="M2 fijo"),$M384*(1+'Insumos - OPEX'!M$38),$M384*(1+'Insumos - OPEX'!M$29*'Insumos - OPEX'!M$39)*(1+'Insumos - OPEX'!M$38))</f>
        <v>0</v>
      </c>
      <c r="R384" s="211">
        <f>IF(OR($B384="Ce Co No Imputables",$G384="M2 fijo"),$M384*(1+'Insumos - OPEX'!N$38),$M384*(1+'Insumos - OPEX'!N$29*'Insumos - OPEX'!N$39)*(1+'Insumos - OPEX'!N$38))</f>
        <v>0</v>
      </c>
      <c r="S384" s="111"/>
    </row>
    <row r="385" spans="1:19" x14ac:dyDescent="0.2">
      <c r="A385" s="8"/>
      <c r="B385" s="8" t="s">
        <v>435</v>
      </c>
      <c r="C385" s="8" t="s">
        <v>174</v>
      </c>
      <c r="D385" s="8">
        <v>6540000001</v>
      </c>
      <c r="E385" s="8" t="s">
        <v>276</v>
      </c>
      <c r="F385" s="89" t="s">
        <v>469</v>
      </c>
      <c r="G385" s="73" t="s">
        <v>136</v>
      </c>
      <c r="H385" s="112" t="s">
        <v>61</v>
      </c>
      <c r="I385" s="13" t="s">
        <v>436</v>
      </c>
      <c r="J385" s="40"/>
      <c r="K385" s="186">
        <v>327993.18896137341</v>
      </c>
      <c r="L385" s="187"/>
      <c r="M385" s="214">
        <f>IF(OR(E385="Distribución Legal de la Renta",E385="Acopio carros portaequipajes"),0,IF(K385&lt;0,0,K385*(1+SUMIFS('Insumos - OPEX'!$G$82:$G$238,'Insumos - OPEX'!$B$82:$B$238,OPEX!D385))))</f>
        <v>342427.97109967732</v>
      </c>
      <c r="N385" s="211">
        <f>IF(OR($B385="Ce Co No Imputables",$G385="M2 fijo"),$M385*(1+'Insumos - OPEX'!J$38),$M385*(1+'Insumos - OPEX'!J$29*'Insumos - OPEX'!J$39)*(1+'Insumos - OPEX'!J$38))</f>
        <v>349622.38277248153</v>
      </c>
      <c r="O385" s="211">
        <f>IF(OR($B385="Ce Co No Imputables",$G385="M2 fijo"),$M385*(1+'Insumos - OPEX'!K$38),$M385*(1+'Insumos - OPEX'!K$29*'Insumos - OPEX'!K$39)*(1+'Insumos - OPEX'!K$38))</f>
        <v>357911.92946801707</v>
      </c>
      <c r="P385" s="211">
        <f>IF(OR($B385="Ce Co No Imputables",$G385="M2 fijo"),$M385*(1+'Insumos - OPEX'!L$38),$M385*(1+'Insumos - OPEX'!L$29*'Insumos - OPEX'!L$39)*(1+'Insumos - OPEX'!L$38))</f>
        <v>365553.3491621592</v>
      </c>
      <c r="Q385" s="211">
        <f>IF(OR($B385="Ce Co No Imputables",$G385="M2 fijo"),$M385*(1+'Insumos - OPEX'!M$38),$M385*(1+'Insumos - OPEX'!M$29*'Insumos - OPEX'!M$39)*(1+'Insumos - OPEX'!M$38))</f>
        <v>373420.05723612878</v>
      </c>
      <c r="R385" s="211">
        <f>IF(OR($B385="Ce Co No Imputables",$G385="M2 fijo"),$M385*(1+'Insumos - OPEX'!N$38),$M385*(1+'Insumos - OPEX'!N$29*'Insumos - OPEX'!N$39)*(1+'Insumos - OPEX'!N$38))</f>
        <v>381456.0568678503</v>
      </c>
      <c r="S385" s="111"/>
    </row>
    <row r="386" spans="1:19" x14ac:dyDescent="0.2">
      <c r="A386" s="8"/>
      <c r="B386" s="8" t="s">
        <v>435</v>
      </c>
      <c r="C386" s="8" t="s">
        <v>174</v>
      </c>
      <c r="D386" s="8">
        <v>6590000006</v>
      </c>
      <c r="E386" s="8" t="s">
        <v>272</v>
      </c>
      <c r="F386" s="89" t="s">
        <v>469</v>
      </c>
      <c r="G386" s="73" t="s">
        <v>136</v>
      </c>
      <c r="H386" s="112" t="s">
        <v>61</v>
      </c>
      <c r="I386" s="13" t="s">
        <v>436</v>
      </c>
      <c r="K386" s="186">
        <v>162791.88621001935</v>
      </c>
      <c r="L386" s="187"/>
      <c r="M386" s="214">
        <f>IF(OR(E386="Distribución Legal de la Renta",E386="Acopio carros portaequipajes"),0,IF(K386&lt;0,0,K386*(1+SUMIFS('Insumos - OPEX'!$G$82:$G$238,'Insumos - OPEX'!$B$82:$B$238,OPEX!D386))))</f>
        <v>675625.3108240182</v>
      </c>
      <c r="N386" s="211">
        <f>IF(OR($B386="Ce Co No Imputables",$G386="M2 fijo"),$M386*(1+'Insumos - OPEX'!J$38),$M386*(1+'Insumos - OPEX'!J$29*'Insumos - OPEX'!J$39)*(1+'Insumos - OPEX'!J$38))</f>
        <v>689820.19860443077</v>
      </c>
      <c r="O386" s="211">
        <f>IF(OR($B386="Ce Co No Imputables",$G386="M2 fijo"),$M386*(1+'Insumos - OPEX'!K$38),$M386*(1+'Insumos - OPEX'!K$29*'Insumos - OPEX'!K$39)*(1+'Insumos - OPEX'!K$38))</f>
        <v>706175.83551334182</v>
      </c>
      <c r="P386" s="211">
        <f>IF(OR($B386="Ce Co No Imputables",$G386="M2 fijo"),$M386*(1+'Insumos - OPEX'!L$38),$M386*(1+'Insumos - OPEX'!L$29*'Insumos - OPEX'!L$39)*(1+'Insumos - OPEX'!L$38))</f>
        <v>721252.68960155162</v>
      </c>
      <c r="Q386" s="211">
        <f>IF(OR($B386="Ce Co No Imputables",$G386="M2 fijo"),$M386*(1+'Insumos - OPEX'!M$38),$M386*(1+'Insumos - OPEX'!M$29*'Insumos - OPEX'!M$39)*(1+'Insumos - OPEX'!M$38))</f>
        <v>736774.04748177691</v>
      </c>
      <c r="R386" s="211">
        <f>IF(OR($B386="Ce Co No Imputables",$G386="M2 fijo"),$M386*(1+'Insumos - OPEX'!N$38),$M386*(1+'Insumos - OPEX'!N$29*'Insumos - OPEX'!N$39)*(1+'Insumos - OPEX'!N$38))</f>
        <v>752629.42498358479</v>
      </c>
      <c r="S386" s="111"/>
    </row>
    <row r="387" spans="1:19" x14ac:dyDescent="0.2">
      <c r="A387" s="8"/>
      <c r="B387" s="8" t="s">
        <v>435</v>
      </c>
      <c r="C387" s="8" t="s">
        <v>174</v>
      </c>
      <c r="D387" s="8">
        <v>6561000003</v>
      </c>
      <c r="E387" s="8" t="s">
        <v>269</v>
      </c>
      <c r="F387" s="89" t="s">
        <v>469</v>
      </c>
      <c r="G387" s="73" t="s">
        <v>136</v>
      </c>
      <c r="H387" s="112" t="s">
        <v>61</v>
      </c>
      <c r="I387" s="13" t="s">
        <v>436</v>
      </c>
      <c r="J387" s="40"/>
      <c r="K387" s="186">
        <v>119628.08879087138</v>
      </c>
      <c r="L387" s="187"/>
      <c r="M387" s="214">
        <f>IF(OR(E387="Distribución Legal de la Renta",E387="Acopio carros portaequipajes"),0,IF(K387&lt;0,0,K387*(1+SUMIFS('Insumos - OPEX'!$G$82:$G$238,'Insumos - OPEX'!$B$82:$B$238,OPEX!D387))))</f>
        <v>135902.93203551829</v>
      </c>
      <c r="N387" s="211">
        <f>IF(OR($B387="Ce Co No Imputables",$G387="M2 fijo"),$M387*(1+'Insumos - OPEX'!J$38),$M387*(1+'Insumos - OPEX'!J$29*'Insumos - OPEX'!J$39)*(1+'Insumos - OPEX'!J$38))</f>
        <v>138758.25263758452</v>
      </c>
      <c r="O387" s="211">
        <f>IF(OR($B387="Ce Co No Imputables",$G387="M2 fijo"),$M387*(1+'Insumos - OPEX'!K$38),$M387*(1+'Insumos - OPEX'!K$29*'Insumos - OPEX'!K$39)*(1+'Insumos - OPEX'!K$38))</f>
        <v>142048.21080762165</v>
      </c>
      <c r="P387" s="211">
        <f>IF(OR($B387="Ce Co No Imputables",$G387="M2 fijo"),$M387*(1+'Insumos - OPEX'!L$38),$M387*(1+'Insumos - OPEX'!L$29*'Insumos - OPEX'!L$39)*(1+'Insumos - OPEX'!L$38))</f>
        <v>145080.94010836436</v>
      </c>
      <c r="Q387" s="211">
        <f>IF(OR($B387="Ce Co No Imputables",$G387="M2 fijo"),$M387*(1+'Insumos - OPEX'!M$38),$M387*(1+'Insumos - OPEX'!M$29*'Insumos - OPEX'!M$39)*(1+'Insumos - OPEX'!M$38))</f>
        <v>148203.08193949633</v>
      </c>
      <c r="R387" s="211">
        <f>IF(OR($B387="Ce Co No Imputables",$G387="M2 fijo"),$M387*(1+'Insumos - OPEX'!N$38),$M387*(1+'Insumos - OPEX'!N$29*'Insumos - OPEX'!N$39)*(1+'Insumos - OPEX'!N$38))</f>
        <v>151392.41226283429</v>
      </c>
      <c r="S387" s="111"/>
    </row>
    <row r="388" spans="1:19" x14ac:dyDescent="0.2">
      <c r="A388" s="8"/>
      <c r="B388" s="8" t="s">
        <v>435</v>
      </c>
      <c r="C388" s="8" t="s">
        <v>174</v>
      </c>
      <c r="D388" s="8">
        <v>6530000002</v>
      </c>
      <c r="E388" s="8" t="s">
        <v>271</v>
      </c>
      <c r="F388" s="89" t="s">
        <v>469</v>
      </c>
      <c r="G388" s="73" t="s">
        <v>136</v>
      </c>
      <c r="H388" s="112" t="s">
        <v>61</v>
      </c>
      <c r="I388" s="13" t="s">
        <v>436</v>
      </c>
      <c r="K388" s="186">
        <v>82068.36780162483</v>
      </c>
      <c r="L388" s="187"/>
      <c r="M388" s="214">
        <f>IF(OR(E388="Distribución Legal de la Renta",E388="Acopio carros portaequipajes"),0,IF(K388&lt;0,0,K388*(1+SUMIFS('Insumos - OPEX'!$G$82:$G$238,'Insumos - OPEX'!$B$82:$B$238,OPEX!D388))))</f>
        <v>198542.94974559601</v>
      </c>
      <c r="N388" s="211">
        <f>IF(OR($B388="Ce Co No Imputables",$G388="M2 fijo"),$M388*(1+'Insumos - OPEX'!J$38),$M388*(1+'Insumos - OPEX'!J$29*'Insumos - OPEX'!J$39)*(1+'Insumos - OPEX'!J$38))</f>
        <v>202714.33711975097</v>
      </c>
      <c r="O388" s="211">
        <f>IF(OR($B388="Ce Co No Imputables",$G388="M2 fijo"),$M388*(1+'Insumos - OPEX'!K$38),$M388*(1+'Insumos - OPEX'!K$29*'Insumos - OPEX'!K$39)*(1+'Insumos - OPEX'!K$38))</f>
        <v>207520.69405286026</v>
      </c>
      <c r="P388" s="211">
        <f>IF(OR($B388="Ce Co No Imputables",$G388="M2 fijo"),$M388*(1+'Insumos - OPEX'!L$38),$M388*(1+'Insumos - OPEX'!L$29*'Insumos - OPEX'!L$39)*(1+'Insumos - OPEX'!L$38))</f>
        <v>211951.2608708888</v>
      </c>
      <c r="Q388" s="211">
        <f>IF(OR($B388="Ce Co No Imputables",$G388="M2 fijo"),$M388*(1+'Insumos - OPEX'!M$38),$M388*(1+'Insumos - OPEX'!M$29*'Insumos - OPEX'!M$39)*(1+'Insumos - OPEX'!M$38))</f>
        <v>216512.45200483029</v>
      </c>
      <c r="R388" s="211">
        <f>IF(OR($B388="Ce Co No Imputables",$G388="M2 fijo"),$M388*(1+'Insumos - OPEX'!N$38),$M388*(1+'Insumos - OPEX'!N$29*'Insumos - OPEX'!N$39)*(1+'Insumos - OPEX'!N$38))</f>
        <v>221171.79997197425</v>
      </c>
      <c r="S388" s="111"/>
    </row>
    <row r="389" spans="1:19" x14ac:dyDescent="0.2">
      <c r="A389" s="8"/>
      <c r="B389" s="8" t="s">
        <v>435</v>
      </c>
      <c r="C389" s="8" t="s">
        <v>174</v>
      </c>
      <c r="D389" s="8">
        <v>6561000002</v>
      </c>
      <c r="E389" s="8" t="s">
        <v>356</v>
      </c>
      <c r="F389" s="89" t="s">
        <v>470</v>
      </c>
      <c r="G389" s="73" t="s">
        <v>136</v>
      </c>
      <c r="H389" s="112" t="s">
        <v>61</v>
      </c>
      <c r="I389" s="13" t="s">
        <v>436</v>
      </c>
      <c r="K389" s="186">
        <v>70380.7892779213</v>
      </c>
      <c r="L389" s="187"/>
      <c r="M389" s="214">
        <f>IF(OR(E389="Distribución Legal de la Renta",E389="Acopio carros portaequipajes"),0,IF(K389&lt;0,0,K389*(1+SUMIFS('Insumos - OPEX'!$G$82:$G$238,'Insumos - OPEX'!$B$82:$B$238,OPEX!D389))))</f>
        <v>73478.2053040459</v>
      </c>
      <c r="N389" s="211">
        <f>IF(OR($B389="Ce Co No Imputables",$G389="M2 fijo"),$M389*(1+'Insumos - OPEX'!J$38),$M389*(1+'Insumos - OPEX'!J$29*'Insumos - OPEX'!J$39)*(1+'Insumos - OPEX'!J$38))</f>
        <v>75021.982397483909</v>
      </c>
      <c r="O389" s="211">
        <f>IF(OR($B389="Ce Co No Imputables",$G389="M2 fijo"),$M389*(1+'Insumos - OPEX'!K$38),$M389*(1+'Insumos - OPEX'!K$29*'Insumos - OPEX'!K$39)*(1+'Insumos - OPEX'!K$38))</f>
        <v>76800.753600128242</v>
      </c>
      <c r="P389" s="211">
        <f>IF(OR($B389="Ce Co No Imputables",$G389="M2 fijo"),$M389*(1+'Insumos - OPEX'!L$38),$M389*(1+'Insumos - OPEX'!L$29*'Insumos - OPEX'!L$39)*(1+'Insumos - OPEX'!L$38))</f>
        <v>78440.449689490968</v>
      </c>
      <c r="Q389" s="211">
        <f>IF(OR($B389="Ce Co No Imputables",$G389="M2 fijo"),$M389*(1+'Insumos - OPEX'!M$38),$M389*(1+'Insumos - OPEX'!M$29*'Insumos - OPEX'!M$39)*(1+'Insumos - OPEX'!M$38))</f>
        <v>80128.488166808806</v>
      </c>
      <c r="R389" s="211">
        <f>IF(OR($B389="Ce Co No Imputables",$G389="M2 fijo"),$M389*(1+'Insumos - OPEX'!N$38),$M389*(1+'Insumos - OPEX'!N$29*'Insumos - OPEX'!N$39)*(1+'Insumos - OPEX'!N$38))</f>
        <v>81852.853232158537</v>
      </c>
      <c r="S389" s="111"/>
    </row>
    <row r="390" spans="1:19" x14ac:dyDescent="0.2">
      <c r="A390" s="8"/>
      <c r="B390" s="8" t="s">
        <v>435</v>
      </c>
      <c r="C390" s="8" t="s">
        <v>174</v>
      </c>
      <c r="D390" s="8">
        <v>6391000001</v>
      </c>
      <c r="E390" s="8" t="s">
        <v>363</v>
      </c>
      <c r="F390" s="89" t="s">
        <v>470</v>
      </c>
      <c r="G390" s="73" t="s">
        <v>136</v>
      </c>
      <c r="H390" s="112" t="s">
        <v>61</v>
      </c>
      <c r="I390" s="13" t="s">
        <v>436</v>
      </c>
      <c r="K390" s="186">
        <v>66908.970771889712</v>
      </c>
      <c r="L390" s="187"/>
      <c r="M390" s="214">
        <f>IF(OR(E390="Distribución Legal de la Renta",E390="Acopio carros portaequipajes"),0,IF(K390&lt;0,0,K390*(1+SUMIFS('Insumos - OPEX'!$G$82:$G$238,'Insumos - OPEX'!$B$82:$B$238,OPEX!D390))))</f>
        <v>69853.594162542242</v>
      </c>
      <c r="N390" s="211">
        <f>IF(OR($B390="Ce Co No Imputables",$G390="M2 fijo"),$M390*(1+'Insumos - OPEX'!J$38),$M390*(1+'Insumos - OPEX'!J$29*'Insumos - OPEX'!J$39)*(1+'Insumos - OPEX'!J$38))</f>
        <v>71321.218175897258</v>
      </c>
      <c r="O390" s="211">
        <f>IF(OR($B390="Ce Co No Imputables",$G390="M2 fijo"),$M390*(1+'Insumos - OPEX'!K$38),$M390*(1+'Insumos - OPEX'!K$29*'Insumos - OPEX'!K$39)*(1+'Insumos - OPEX'!K$38))</f>
        <v>73012.244258847772</v>
      </c>
      <c r="P390" s="211">
        <f>IF(OR($B390="Ce Co No Imputables",$G390="M2 fijo"),$M390*(1+'Insumos - OPEX'!L$38),$M390*(1+'Insumos - OPEX'!L$29*'Insumos - OPEX'!L$39)*(1+'Insumos - OPEX'!L$38))</f>
        <v>74571.055673774172</v>
      </c>
      <c r="Q390" s="211">
        <f>IF(OR($B390="Ce Co No Imputables",$G390="M2 fijo"),$M390*(1+'Insumos - OPEX'!M$38),$M390*(1+'Insumos - OPEX'!M$29*'Insumos - OPEX'!M$39)*(1+'Insumos - OPEX'!M$38))</f>
        <v>76175.824791873776</v>
      </c>
      <c r="R390" s="211">
        <f>IF(OR($B390="Ce Co No Imputables",$G390="M2 fijo"),$M390*(1+'Insumos - OPEX'!N$38),$M390*(1+'Insumos - OPEX'!N$29*'Insumos - OPEX'!N$39)*(1+'Insumos - OPEX'!N$38))</f>
        <v>77815.128541394908</v>
      </c>
      <c r="S390" s="111"/>
    </row>
    <row r="391" spans="1:19" x14ac:dyDescent="0.2">
      <c r="A391" s="8"/>
      <c r="B391" s="8" t="s">
        <v>435</v>
      </c>
      <c r="C391" s="8" t="s">
        <v>174</v>
      </c>
      <c r="D391" s="8">
        <v>6310000001</v>
      </c>
      <c r="E391" s="8" t="s">
        <v>371</v>
      </c>
      <c r="F391" s="89" t="s">
        <v>470</v>
      </c>
      <c r="G391" s="73" t="s">
        <v>136</v>
      </c>
      <c r="H391" s="112" t="s">
        <v>61</v>
      </c>
      <c r="I391" s="13" t="s">
        <v>436</v>
      </c>
      <c r="K391" s="186">
        <v>51088.351135172481</v>
      </c>
      <c r="L391" s="187"/>
      <c r="M391" s="214">
        <f>IF(OR(E391="Distribución Legal de la Renta",E391="Acopio carros portaequipajes"),0,IF(K391&lt;0,0,K391*(1+SUMIFS('Insumos - OPEX'!$G$82:$G$238,'Insumos - OPEX'!$B$82:$B$238,OPEX!D391))))</f>
        <v>53336.718611267344</v>
      </c>
      <c r="N391" s="211">
        <f>IF(OR($B391="Ce Co No Imputables",$G391="M2 fijo"),$M391*(1+'Insumos - OPEX'!J$38),$M391*(1+'Insumos - OPEX'!J$29*'Insumos - OPEX'!J$39)*(1+'Insumos - OPEX'!J$38))</f>
        <v>54457.323069290069</v>
      </c>
      <c r="O391" s="211">
        <f>IF(OR($B391="Ce Co No Imputables",$G391="M2 fijo"),$M391*(1+'Insumos - OPEX'!K$38),$M391*(1+'Insumos - OPEX'!K$29*'Insumos - OPEX'!K$39)*(1+'Insumos - OPEX'!K$38))</f>
        <v>55748.506199262934</v>
      </c>
      <c r="P391" s="211">
        <f>IF(OR($B391="Ce Co No Imputables",$G391="M2 fijo"),$M391*(1+'Insumos - OPEX'!L$38),$M391*(1+'Insumos - OPEX'!L$29*'Insumos - OPEX'!L$39)*(1+'Insumos - OPEX'!L$38))</f>
        <v>56938.736806617191</v>
      </c>
      <c r="Q391" s="211">
        <f>IF(OR($B391="Ce Co No Imputables",$G391="M2 fijo"),$M391*(1+'Insumos - OPEX'!M$38),$M391*(1+'Insumos - OPEX'!M$29*'Insumos - OPEX'!M$39)*(1+'Insumos - OPEX'!M$38))</f>
        <v>58164.058422695583</v>
      </c>
      <c r="R391" s="211">
        <f>IF(OR($B391="Ce Co No Imputables",$G391="M2 fijo"),$M391*(1+'Insumos - OPEX'!N$38),$M391*(1+'Insumos - OPEX'!N$29*'Insumos - OPEX'!N$39)*(1+'Insumos - OPEX'!N$38))</f>
        <v>59415.748959951998</v>
      </c>
      <c r="S391" s="111"/>
    </row>
    <row r="392" spans="1:19" x14ac:dyDescent="0.2">
      <c r="A392" s="8"/>
      <c r="B392" s="8" t="s">
        <v>435</v>
      </c>
      <c r="C392" s="8" t="s">
        <v>174</v>
      </c>
      <c r="D392" s="8">
        <v>6590000005</v>
      </c>
      <c r="E392" s="8" t="s">
        <v>379</v>
      </c>
      <c r="F392" s="89" t="s">
        <v>470</v>
      </c>
      <c r="G392" s="73" t="s">
        <v>136</v>
      </c>
      <c r="H392" s="112" t="s">
        <v>61</v>
      </c>
      <c r="I392" s="13" t="s">
        <v>436</v>
      </c>
      <c r="K392" s="186">
        <v>40204.390513425838</v>
      </c>
      <c r="L392" s="187"/>
      <c r="M392" s="214">
        <f>IF(OR(E392="Distribución Legal de la Renta",E392="Acopio carros portaequipajes"),0,IF(K392&lt;0,0,K392*(1+SUMIFS('Insumos - OPEX'!$G$82:$G$238,'Insumos - OPEX'!$B$82:$B$238,OPEX!D392))))</f>
        <v>41973.761456469845</v>
      </c>
      <c r="N392" s="211">
        <f>IF(OR($B392="Ce Co No Imputables",$G392="M2 fijo"),$M392*(1+'Insumos - OPEX'!J$38),$M392*(1+'Insumos - OPEX'!J$29*'Insumos - OPEX'!J$39)*(1+'Insumos - OPEX'!J$38))</f>
        <v>42855.630184670277</v>
      </c>
      <c r="O392" s="211">
        <f>IF(OR($B392="Ce Co No Imputables",$G392="M2 fijo"),$M392*(1+'Insumos - OPEX'!K$38),$M392*(1+'Insumos - OPEX'!K$29*'Insumos - OPEX'!K$39)*(1+'Insumos - OPEX'!K$38))</f>
        <v>43871.737176348804</v>
      </c>
      <c r="P392" s="211">
        <f>IF(OR($B392="Ce Co No Imputables",$G392="M2 fijo"),$M392*(1+'Insumos - OPEX'!L$38),$M392*(1+'Insumos - OPEX'!L$29*'Insumos - OPEX'!L$39)*(1+'Insumos - OPEX'!L$38))</f>
        <v>44808.398765063852</v>
      </c>
      <c r="Q392" s="211">
        <f>IF(OR($B392="Ce Co No Imputables",$G392="M2 fijo"),$M392*(1+'Insumos - OPEX'!M$38),$M392*(1+'Insumos - OPEX'!M$29*'Insumos - OPEX'!M$39)*(1+'Insumos - OPEX'!M$38))</f>
        <v>45772.675506488013</v>
      </c>
      <c r="R392" s="211">
        <f>IF(OR($B392="Ce Co No Imputables",$G392="M2 fijo"),$M392*(1+'Insumos - OPEX'!N$38),$M392*(1+'Insumos - OPEX'!N$29*'Insumos - OPEX'!N$39)*(1+'Insumos - OPEX'!N$38))</f>
        <v>46757.703483387639</v>
      </c>
      <c r="S392" s="111"/>
    </row>
    <row r="393" spans="1:19" x14ac:dyDescent="0.2">
      <c r="A393" s="8"/>
      <c r="B393" s="8" t="s">
        <v>435</v>
      </c>
      <c r="C393" s="8" t="s">
        <v>174</v>
      </c>
      <c r="D393" s="8">
        <v>6391000003</v>
      </c>
      <c r="E393" s="8" t="s">
        <v>378</v>
      </c>
      <c r="F393" s="89" t="s">
        <v>470</v>
      </c>
      <c r="G393" s="73" t="s">
        <v>136</v>
      </c>
      <c r="H393" s="112" t="s">
        <v>61</v>
      </c>
      <c r="I393" s="13" t="s">
        <v>436</v>
      </c>
      <c r="K393" s="186">
        <v>36278.213539739998</v>
      </c>
      <c r="L393" s="187"/>
      <c r="M393" s="214">
        <f>IF(OR(E393="Distribución Legal de la Renta",E393="Acopio carros portaequipajes"),0,IF(K393&lt;0,0,K393*(1+SUMIFS('Insumos - OPEX'!$G$82:$G$238,'Insumos - OPEX'!$B$82:$B$238,OPEX!D393))))</f>
        <v>37874.79580558298</v>
      </c>
      <c r="N393" s="211">
        <f>IF(OR($B393="Ce Co No Imputables",$G393="M2 fijo"),$M393*(1+'Insumos - OPEX'!J$38),$M393*(1+'Insumos - OPEX'!J$29*'Insumos - OPEX'!J$39)*(1+'Insumos - OPEX'!J$38))</f>
        <v>38670.545265458277</v>
      </c>
      <c r="O393" s="211">
        <f>IF(OR($B393="Ce Co No Imputables",$G393="M2 fijo"),$M393*(1+'Insumos - OPEX'!K$38),$M393*(1+'Insumos - OPEX'!K$29*'Insumos - OPEX'!K$39)*(1+'Insumos - OPEX'!K$38))</f>
        <v>39587.423893702289</v>
      </c>
      <c r="P393" s="211">
        <f>IF(OR($B393="Ce Co No Imputables",$G393="M2 fijo"),$M393*(1+'Insumos - OPEX'!L$38),$M393*(1+'Insumos - OPEX'!L$29*'Insumos - OPEX'!L$39)*(1+'Insumos - OPEX'!L$38))</f>
        <v>40432.615393832835</v>
      </c>
      <c r="Q393" s="211">
        <f>IF(OR($B393="Ce Co No Imputables",$G393="M2 fijo"),$M393*(1+'Insumos - OPEX'!M$38),$M393*(1+'Insumos - OPEX'!M$29*'Insumos - OPEX'!M$39)*(1+'Insumos - OPEX'!M$38))</f>
        <v>41302.725277108104</v>
      </c>
      <c r="R393" s="211">
        <f>IF(OR($B393="Ce Co No Imputables",$G393="M2 fijo"),$M393*(1+'Insumos - OPEX'!N$38),$M393*(1+'Insumos - OPEX'!N$29*'Insumos - OPEX'!N$39)*(1+'Insumos - OPEX'!N$38))</f>
        <v>42191.559925071473</v>
      </c>
      <c r="S393" s="111"/>
    </row>
    <row r="394" spans="1:19" x14ac:dyDescent="0.2">
      <c r="A394" s="8"/>
      <c r="B394" s="8" t="s">
        <v>435</v>
      </c>
      <c r="C394" s="8" t="s">
        <v>174</v>
      </c>
      <c r="D394" s="8">
        <v>6410000001</v>
      </c>
      <c r="E394" s="8" t="s">
        <v>361</v>
      </c>
      <c r="F394" s="89" t="s">
        <v>470</v>
      </c>
      <c r="G394" s="73" t="s">
        <v>136</v>
      </c>
      <c r="H394" s="112" t="s">
        <v>61</v>
      </c>
      <c r="I394" s="13" t="s">
        <v>436</v>
      </c>
      <c r="K394" s="186">
        <v>31409.395999679804</v>
      </c>
      <c r="L394" s="187"/>
      <c r="M394" s="214">
        <f>IF(OR(E394="Distribución Legal de la Renta",E394="Acopio carros portaequipajes"),0,IF(K394&lt;0,0,K394*(1+SUMIFS('Insumos - OPEX'!$G$82:$G$238,'Insumos - OPEX'!$B$82:$B$238,OPEX!D394))))</f>
        <v>32791.704546350535</v>
      </c>
      <c r="N394" s="211">
        <f>IF(OR($B394="Ce Co No Imputables",$G394="M2 fijo"),$M394*(1+'Insumos - OPEX'!J$38),$M394*(1+'Insumos - OPEX'!J$29*'Insumos - OPEX'!J$39)*(1+'Insumos - OPEX'!J$38))</f>
        <v>33480.658258869356</v>
      </c>
      <c r="O394" s="211">
        <f>IF(OR($B394="Ce Co No Imputables",$G394="M2 fijo"),$M394*(1+'Insumos - OPEX'!K$38),$M394*(1+'Insumos - OPEX'!K$29*'Insumos - OPEX'!K$39)*(1+'Insumos - OPEX'!K$38))</f>
        <v>34274.484666187149</v>
      </c>
      <c r="P394" s="211">
        <f>IF(OR($B394="Ce Co No Imputables",$G394="M2 fijo"),$M394*(1+'Insumos - OPEX'!L$38),$M394*(1+'Insumos - OPEX'!L$29*'Insumos - OPEX'!L$39)*(1+'Insumos - OPEX'!L$38))</f>
        <v>35006.244913810246</v>
      </c>
      <c r="Q394" s="211">
        <f>IF(OR($B394="Ce Co No Imputables",$G394="M2 fijo"),$M394*(1+'Insumos - OPEX'!M$38),$M394*(1+'Insumos - OPEX'!M$29*'Insumos - OPEX'!M$39)*(1+'Insumos - OPEX'!M$38))</f>
        <v>35759.579304355429</v>
      </c>
      <c r="R394" s="211">
        <f>IF(OR($B394="Ce Co No Imputables",$G394="M2 fijo"),$M394*(1+'Insumos - OPEX'!N$38),$M394*(1+'Insumos - OPEX'!N$29*'Insumos - OPEX'!N$39)*(1+'Insumos - OPEX'!N$38))</f>
        <v>36529.125450985164</v>
      </c>
      <c r="S394" s="111"/>
    </row>
    <row r="395" spans="1:19" x14ac:dyDescent="0.2">
      <c r="A395" s="8"/>
      <c r="B395" s="8" t="s">
        <v>435</v>
      </c>
      <c r="C395" s="8" t="s">
        <v>174</v>
      </c>
      <c r="D395" s="8">
        <v>6510000001</v>
      </c>
      <c r="E395" s="8" t="s">
        <v>182</v>
      </c>
      <c r="F395" s="89" t="s">
        <v>469</v>
      </c>
      <c r="G395" s="73" t="s">
        <v>480</v>
      </c>
      <c r="H395" s="112" t="s">
        <v>61</v>
      </c>
      <c r="I395" s="13" t="s">
        <v>436</v>
      </c>
      <c r="K395" s="186">
        <v>27387.188422098901</v>
      </c>
      <c r="L395" s="187"/>
      <c r="M395" s="214">
        <f>IF(OR(E395="Distribución Legal de la Renta",E395="Acopio carros portaequipajes"),0,IF(K395&lt;0,0,K395*(1+SUMIFS('Insumos - OPEX'!$G$82:$G$238,'Insumos - OPEX'!$B$82:$B$238,OPEX!D395))))</f>
        <v>37986.944819099997</v>
      </c>
      <c r="N395" s="211">
        <f>IF(OR($B395="Ce Co No Imputables",$G395="M2 fijo"),$M395*(1+'Insumos - OPEX'!J$38),$M395*(1+'Insumos - OPEX'!J$29*'Insumos - OPEX'!J$39)*(1+'Insumos - OPEX'!J$38))</f>
        <v>38785.050529749285</v>
      </c>
      <c r="O395" s="211">
        <f>IF(OR($B395="Ce Co No Imputables",$G395="M2 fijo"),$M395*(1+'Insumos - OPEX'!K$38),$M395*(1+'Insumos - OPEX'!K$29*'Insumos - OPEX'!K$39)*(1+'Insumos - OPEX'!K$38))</f>
        <v>39704.644077809644</v>
      </c>
      <c r="P395" s="211">
        <f>IF(OR($B395="Ce Co No Imputables",$G395="M2 fijo"),$M395*(1+'Insumos - OPEX'!L$38),$M395*(1+'Insumos - OPEX'!L$29*'Insumos - OPEX'!L$39)*(1+'Insumos - OPEX'!L$38))</f>
        <v>40552.338228870874</v>
      </c>
      <c r="Q395" s="211">
        <f>IF(OR($B395="Ce Co No Imputables",$G395="M2 fijo"),$M395*(1+'Insumos - OPEX'!M$38),$M395*(1+'Insumos - OPEX'!M$29*'Insumos - OPEX'!M$39)*(1+'Insumos - OPEX'!M$38))</f>
        <v>41425.024547556168</v>
      </c>
      <c r="R395" s="211">
        <f>IF(OR($B395="Ce Co No Imputables",$G395="M2 fijo"),$M395*(1+'Insumos - OPEX'!N$38),$M395*(1+'Insumos - OPEX'!N$29*'Insumos - OPEX'!N$39)*(1+'Insumos - OPEX'!N$38))</f>
        <v>42316.491075819577</v>
      </c>
      <c r="S395" s="111"/>
    </row>
    <row r="396" spans="1:19" x14ac:dyDescent="0.2">
      <c r="A396" s="8"/>
      <c r="B396" s="8" t="s">
        <v>435</v>
      </c>
      <c r="C396" s="8" t="s">
        <v>174</v>
      </c>
      <c r="D396" s="8">
        <v>6561000004</v>
      </c>
      <c r="E396" s="8" t="s">
        <v>359</v>
      </c>
      <c r="F396" s="89" t="s">
        <v>470</v>
      </c>
      <c r="G396" s="73" t="s">
        <v>136</v>
      </c>
      <c r="H396" s="112" t="s">
        <v>61</v>
      </c>
      <c r="I396" s="13" t="s">
        <v>436</v>
      </c>
      <c r="K396" s="186">
        <v>24291.73883384054</v>
      </c>
      <c r="L396" s="187"/>
      <c r="M396" s="214">
        <f>IF(OR(E396="Distribución Legal de la Renta",E396="Acopio carros portaequipajes"),0,IF(K396&lt;0,0,K396*(1+SUMIFS('Insumos - OPEX'!$G$82:$G$238,'Insumos - OPEX'!$B$82:$B$238,OPEX!D396))))</f>
        <v>25360.803587707607</v>
      </c>
      <c r="N396" s="211">
        <f>IF(OR($B396="Ce Co No Imputables",$G396="M2 fijo"),$M396*(1+'Insumos - OPEX'!J$38),$M396*(1+'Insumos - OPEX'!J$29*'Insumos - OPEX'!J$39)*(1+'Insumos - OPEX'!J$38))</f>
        <v>25893.634071085344</v>
      </c>
      <c r="O396" s="211">
        <f>IF(OR($B396="Ce Co No Imputables",$G396="M2 fijo"),$M396*(1+'Insumos - OPEX'!K$38),$M396*(1+'Insumos - OPEX'!K$29*'Insumos - OPEX'!K$39)*(1+'Insumos - OPEX'!K$38))</f>
        <v>26507.572134910777</v>
      </c>
      <c r="P396" s="211">
        <f>IF(OR($B396="Ce Co No Imputables",$G396="M2 fijo"),$M396*(1+'Insumos - OPEX'!L$38),$M396*(1+'Insumos - OPEX'!L$29*'Insumos - OPEX'!L$39)*(1+'Insumos - OPEX'!L$38))</f>
        <v>27073.508799991119</v>
      </c>
      <c r="Q396" s="211">
        <f>IF(OR($B396="Ce Co No Imputables",$G396="M2 fijo"),$M396*(1+'Insumos - OPEX'!M$38),$M396*(1+'Insumos - OPEX'!M$29*'Insumos - OPEX'!M$39)*(1+'Insumos - OPEX'!M$38))</f>
        <v>27656.130709366924</v>
      </c>
      <c r="R396" s="211">
        <f>IF(OR($B396="Ce Co No Imputables",$G396="M2 fijo"),$M396*(1+'Insumos - OPEX'!N$38),$M396*(1+'Insumos - OPEX'!N$29*'Insumos - OPEX'!N$39)*(1+'Insumos - OPEX'!N$38))</f>
        <v>28251.2906422325</v>
      </c>
      <c r="S396" s="111"/>
    </row>
    <row r="397" spans="1:19" x14ac:dyDescent="0.2">
      <c r="A397" s="8"/>
      <c r="B397" s="8" t="s">
        <v>435</v>
      </c>
      <c r="C397" s="8" t="s">
        <v>174</v>
      </c>
      <c r="D397" s="8">
        <v>6590000002</v>
      </c>
      <c r="E397" s="8" t="s">
        <v>360</v>
      </c>
      <c r="F397" s="89" t="s">
        <v>470</v>
      </c>
      <c r="G397" s="73" t="s">
        <v>136</v>
      </c>
      <c r="H397" s="112" t="s">
        <v>61</v>
      </c>
      <c r="I397" s="13" t="s">
        <v>436</v>
      </c>
      <c r="K397" s="186">
        <v>16693.65323047018</v>
      </c>
      <c r="L397" s="187"/>
      <c r="M397" s="214">
        <f>IF(OR(E397="Distribución Legal de la Renta",E397="Acopio carros portaequipajes"),0,IF(K397&lt;0,0,K397*(1+SUMIFS('Insumos - OPEX'!$G$82:$G$238,'Insumos - OPEX'!$B$82:$B$238,OPEX!D397))))</f>
        <v>17428.330826176621</v>
      </c>
      <c r="N397" s="211">
        <f>IF(OR($B397="Ce Co No Imputables",$G397="M2 fijo"),$M397*(1+'Insumos - OPEX'!J$38),$M397*(1+'Insumos - OPEX'!J$29*'Insumos - OPEX'!J$39)*(1+'Insumos - OPEX'!J$38))</f>
        <v>17794.500056834593</v>
      </c>
      <c r="O397" s="211">
        <f>IF(OR($B397="Ce Co No Imputables",$G397="M2 fijo"),$M397*(1+'Insumos - OPEX'!K$38),$M397*(1+'Insumos - OPEX'!K$29*'Insumos - OPEX'!K$39)*(1+'Insumos - OPEX'!K$38))</f>
        <v>18216.407653182141</v>
      </c>
      <c r="P397" s="211">
        <f>IF(OR($B397="Ce Co No Imputables",$G397="M2 fijo"),$M397*(1+'Insumos - OPEX'!L$38),$M397*(1+'Insumos - OPEX'!L$29*'Insumos - OPEX'!L$39)*(1+'Insumos - OPEX'!L$38))</f>
        <v>18605.327956577577</v>
      </c>
      <c r="Q397" s="211">
        <f>IF(OR($B397="Ce Co No Imputables",$G397="M2 fijo"),$M397*(1+'Insumos - OPEX'!M$38),$M397*(1+'Insumos - OPEX'!M$29*'Insumos - OPEX'!M$39)*(1+'Insumos - OPEX'!M$38))</f>
        <v>19005.714614203123</v>
      </c>
      <c r="R397" s="211">
        <f>IF(OR($B397="Ce Co No Imputables",$G397="M2 fijo"),$M397*(1+'Insumos - OPEX'!N$38),$M397*(1+'Insumos - OPEX'!N$29*'Insumos - OPEX'!N$39)*(1+'Insumos - OPEX'!N$38))</f>
        <v>19414.717592700774</v>
      </c>
      <c r="S397" s="111"/>
    </row>
    <row r="398" spans="1:19" x14ac:dyDescent="0.2">
      <c r="A398" s="8"/>
      <c r="B398" s="8" t="s">
        <v>435</v>
      </c>
      <c r="C398" s="8" t="s">
        <v>174</v>
      </c>
      <c r="D398" s="8">
        <v>6430000001</v>
      </c>
      <c r="E398" s="8" t="s">
        <v>275</v>
      </c>
      <c r="F398" s="89" t="s">
        <v>469</v>
      </c>
      <c r="G398" s="73" t="s">
        <v>480</v>
      </c>
      <c r="H398" s="112" t="s">
        <v>61</v>
      </c>
      <c r="I398" s="13" t="s">
        <v>436</v>
      </c>
      <c r="K398" s="186">
        <v>15660.996449479668</v>
      </c>
      <c r="L398" s="187"/>
      <c r="M398" s="214">
        <f>IF(OR(E398="Distribución Legal de la Renta",E398="Acopio carros portaequipajes"),0,IF(K398&lt;0,0,K398*(1+SUMIFS('Insumos - OPEX'!$G$82:$G$238,'Insumos - OPEX'!$B$82:$B$238,OPEX!D398))))</f>
        <v>16350.227443979415</v>
      </c>
      <c r="N398" s="211">
        <f>IF(OR($B398="Ce Co No Imputables",$G398="M2 fijo"),$M398*(1+'Insumos - OPEX'!J$38),$M398*(1+'Insumos - OPEX'!J$29*'Insumos - OPEX'!J$39)*(1+'Insumos - OPEX'!J$38))</f>
        <v>16693.745722577423</v>
      </c>
      <c r="O398" s="211">
        <f>IF(OR($B398="Ce Co No Imputables",$G398="M2 fijo"),$M398*(1+'Insumos - OPEX'!K$38),$M398*(1+'Insumos - OPEX'!K$29*'Insumos - OPEX'!K$39)*(1+'Insumos - OPEX'!K$38))</f>
        <v>17089.55443365973</v>
      </c>
      <c r="P398" s="211">
        <f>IF(OR($B398="Ce Co No Imputables",$G398="M2 fijo"),$M398*(1+'Insumos - OPEX'!L$38),$M398*(1+'Insumos - OPEX'!L$29*'Insumos - OPEX'!L$39)*(1+'Insumos - OPEX'!L$38))</f>
        <v>17454.416420818365</v>
      </c>
      <c r="Q398" s="211">
        <f>IF(OR($B398="Ce Co No Imputables",$G398="M2 fijo"),$M398*(1+'Insumos - OPEX'!M$38),$M398*(1+'Insumos - OPEX'!M$29*'Insumos - OPEX'!M$39)*(1+'Insumos - OPEX'!M$38))</f>
        <v>17830.035462194373</v>
      </c>
      <c r="R398" s="211">
        <f>IF(OR($B398="Ce Co No Imputables",$G398="M2 fijo"),$M398*(1+'Insumos - OPEX'!N$38),$M398*(1+'Insumos - OPEX'!N$29*'Insumos - OPEX'!N$39)*(1+'Insumos - OPEX'!N$38))</f>
        <v>18213.737825340799</v>
      </c>
      <c r="S398" s="111"/>
    </row>
    <row r="399" spans="1:19" x14ac:dyDescent="0.2">
      <c r="A399" s="8"/>
      <c r="B399" s="8" t="s">
        <v>435</v>
      </c>
      <c r="C399" s="8" t="s">
        <v>174</v>
      </c>
      <c r="D399" s="8">
        <v>6530000001</v>
      </c>
      <c r="E399" s="8" t="s">
        <v>364</v>
      </c>
      <c r="F399" s="89" t="s">
        <v>470</v>
      </c>
      <c r="G399" s="73" t="s">
        <v>136</v>
      </c>
      <c r="H399" s="112" t="s">
        <v>61</v>
      </c>
      <c r="I399" s="13" t="s">
        <v>436</v>
      </c>
      <c r="K399" s="186">
        <v>14284.614456872208</v>
      </c>
      <c r="L399" s="187"/>
      <c r="M399" s="214">
        <f>IF(OR(E399="Distribución Legal de la Renta",E399="Acopio carros portaequipajes"),0,IF(K399&lt;0,0,K399*(1+SUMIFS('Insumos - OPEX'!$G$82:$G$238,'Insumos - OPEX'!$B$82:$B$238,OPEX!D399))))</f>
        <v>14913.271711212024</v>
      </c>
      <c r="N399" s="211">
        <f>IF(OR($B399="Ce Co No Imputables",$G399="M2 fijo"),$M399*(1+'Insumos - OPEX'!J$38),$M399*(1+'Insumos - OPEX'!J$29*'Insumos - OPEX'!J$39)*(1+'Insumos - OPEX'!J$38))</f>
        <v>15226.599549864588</v>
      </c>
      <c r="O399" s="211">
        <f>IF(OR($B399="Ce Co No Imputables",$G399="M2 fijo"),$M399*(1+'Insumos - OPEX'!K$38),$M399*(1+'Insumos - OPEX'!K$29*'Insumos - OPEX'!K$39)*(1+'Insumos - OPEX'!K$38))</f>
        <v>15587.622225191877</v>
      </c>
      <c r="P399" s="211">
        <f>IF(OR($B399="Ce Co No Imputables",$G399="M2 fijo"),$M399*(1+'Insumos - OPEX'!L$38),$M399*(1+'Insumos - OPEX'!L$29*'Insumos - OPEX'!L$39)*(1+'Insumos - OPEX'!L$38))</f>
        <v>15920.417959699724</v>
      </c>
      <c r="Q399" s="211">
        <f>IF(OR($B399="Ce Co No Imputables",$G399="M2 fijo"),$M399*(1+'Insumos - OPEX'!M$38),$M399*(1+'Insumos - OPEX'!M$29*'Insumos - OPEX'!M$39)*(1+'Insumos - OPEX'!M$38))</f>
        <v>16263.025354192458</v>
      </c>
      <c r="R399" s="211">
        <f>IF(OR($B399="Ce Co No Imputables",$G399="M2 fijo"),$M399*(1+'Insumos - OPEX'!N$38),$M399*(1+'Insumos - OPEX'!N$29*'Insumos - OPEX'!N$39)*(1+'Insumos - OPEX'!N$38))</f>
        <v>16613.00565981468</v>
      </c>
      <c r="S399" s="111"/>
    </row>
    <row r="400" spans="1:19" x14ac:dyDescent="0.2">
      <c r="A400" s="8"/>
      <c r="B400" s="8" t="s">
        <v>435</v>
      </c>
      <c r="C400" s="8" t="s">
        <v>174</v>
      </c>
      <c r="D400" s="8">
        <v>6561000001</v>
      </c>
      <c r="E400" s="8" t="s">
        <v>358</v>
      </c>
      <c r="F400" s="89" t="s">
        <v>470</v>
      </c>
      <c r="G400" s="73" t="s">
        <v>136</v>
      </c>
      <c r="H400" s="112" t="s">
        <v>61</v>
      </c>
      <c r="I400" s="13" t="s">
        <v>436</v>
      </c>
      <c r="K400" s="186">
        <v>3335.3734186249026</v>
      </c>
      <c r="L400" s="187"/>
      <c r="M400" s="214">
        <f>IF(OR(E400="Distribución Legal de la Renta",E400="Acopio carros portaequipajes"),0,IF(K400&lt;0,0,K400*(1+SUMIFS('Insumos - OPEX'!$G$82:$G$238,'Insumos - OPEX'!$B$82:$B$238,OPEX!D400))))</f>
        <v>3482.1611882130401</v>
      </c>
      <c r="N400" s="211">
        <f>IF(OR($B400="Ce Co No Imputables",$G400="M2 fijo"),$M400*(1+'Insumos - OPEX'!J$38),$M400*(1+'Insumos - OPEX'!J$29*'Insumos - OPEX'!J$39)*(1+'Insumos - OPEX'!J$38))</f>
        <v>3555.3213947773961</v>
      </c>
      <c r="O400" s="211">
        <f>IF(OR($B400="Ce Co No Imputables",$G400="M2 fijo"),$M400*(1+'Insumos - OPEX'!K$38),$M400*(1+'Insumos - OPEX'!K$29*'Insumos - OPEX'!K$39)*(1+'Insumos - OPEX'!K$38))</f>
        <v>3639.6180650475681</v>
      </c>
      <c r="P400" s="211">
        <f>IF(OR($B400="Ce Co No Imputables",$G400="M2 fijo"),$M400*(1+'Insumos - OPEX'!L$38),$M400*(1+'Insumos - OPEX'!L$29*'Insumos - OPEX'!L$39)*(1+'Insumos - OPEX'!L$38))</f>
        <v>3717.3239107363333</v>
      </c>
      <c r="Q400" s="211">
        <f>IF(OR($B400="Ce Co No Imputables",$G400="M2 fijo"),$M400*(1+'Insumos - OPEX'!M$38),$M400*(1+'Insumos - OPEX'!M$29*'Insumos - OPEX'!M$39)*(1+'Insumos - OPEX'!M$38))</f>
        <v>3797.3207212953785</v>
      </c>
      <c r="R400" s="211">
        <f>IF(OR($B400="Ce Co No Imputables",$G400="M2 fijo"),$M400*(1+'Insumos - OPEX'!N$38),$M400*(1+'Insumos - OPEX'!N$29*'Insumos - OPEX'!N$39)*(1+'Insumos - OPEX'!N$38))</f>
        <v>3879.039063217655</v>
      </c>
      <c r="S400" s="111"/>
    </row>
    <row r="401" spans="1:19" x14ac:dyDescent="0.2">
      <c r="A401" s="8"/>
      <c r="B401" s="8" t="s">
        <v>435</v>
      </c>
      <c r="C401" s="8" t="s">
        <v>174</v>
      </c>
      <c r="D401" s="8">
        <v>6590000011</v>
      </c>
      <c r="E401" s="8" t="s">
        <v>384</v>
      </c>
      <c r="F401" s="89" t="s">
        <v>470</v>
      </c>
      <c r="G401" s="73" t="s">
        <v>136</v>
      </c>
      <c r="H401" s="112" t="s">
        <v>61</v>
      </c>
      <c r="I401" s="13" t="s">
        <v>436</v>
      </c>
      <c r="K401" s="186">
        <v>1847.5408505141309</v>
      </c>
      <c r="L401" s="187"/>
      <c r="M401" s="214">
        <f>IF(OR(E401="Distribución Legal de la Renta",E401="Acopio carros portaequipajes"),0,IF(K401&lt;0,0,K401*(1+SUMIFS('Insumos - OPEX'!$G$82:$G$238,'Insumos - OPEX'!$B$82:$B$238,OPEX!D401))))</f>
        <v>1928.8500074305841</v>
      </c>
      <c r="N401" s="211">
        <f>IF(OR($B401="Ce Co No Imputables",$G401="M2 fijo"),$M401*(1+'Insumos - OPEX'!J$38),$M401*(1+'Insumos - OPEX'!J$29*'Insumos - OPEX'!J$39)*(1+'Insumos - OPEX'!J$38))</f>
        <v>1969.3751460867006</v>
      </c>
      <c r="O401" s="211">
        <f>IF(OR($B401="Ce Co No Imputables",$G401="M2 fijo"),$M401*(1+'Insumos - OPEX'!K$38),$M401*(1+'Insumos - OPEX'!K$29*'Insumos - OPEX'!K$39)*(1+'Insumos - OPEX'!K$38))</f>
        <v>2016.0690308004162</v>
      </c>
      <c r="P401" s="211">
        <f>IF(OR($B401="Ce Co No Imputables",$G401="M2 fijo"),$M401*(1+'Insumos - OPEX'!L$38),$M401*(1+'Insumos - OPEX'!L$29*'Insumos - OPEX'!L$39)*(1+'Insumos - OPEX'!L$38))</f>
        <v>2059.1121046080048</v>
      </c>
      <c r="Q401" s="211">
        <f>IF(OR($B401="Ce Co No Imputables",$G401="M2 fijo"),$M401*(1+'Insumos - OPEX'!M$38),$M401*(1+'Insumos - OPEX'!M$29*'Insumos - OPEX'!M$39)*(1+'Insumos - OPEX'!M$38))</f>
        <v>2103.4241970991689</v>
      </c>
      <c r="R401" s="211">
        <f>IF(OR($B401="Ce Co No Imputables",$G401="M2 fijo"),$M401*(1+'Insumos - OPEX'!N$38),$M401*(1+'Insumos - OPEX'!N$29*'Insumos - OPEX'!N$39)*(1+'Insumos - OPEX'!N$38))</f>
        <v>2148.6898858207433</v>
      </c>
      <c r="S401" s="111"/>
    </row>
    <row r="402" spans="1:19" x14ac:dyDescent="0.2">
      <c r="A402" s="8"/>
      <c r="B402" s="8" t="s">
        <v>435</v>
      </c>
      <c r="C402" s="8" t="s">
        <v>174</v>
      </c>
      <c r="D402" s="8">
        <v>6430000002</v>
      </c>
      <c r="E402" s="8" t="s">
        <v>362</v>
      </c>
      <c r="F402" s="89" t="s">
        <v>470</v>
      </c>
      <c r="G402" s="73" t="s">
        <v>480</v>
      </c>
      <c r="H402" s="112" t="s">
        <v>61</v>
      </c>
      <c r="I402" s="13" t="s">
        <v>436</v>
      </c>
      <c r="K402" s="186">
        <v>1831.2834608139908</v>
      </c>
      <c r="L402" s="187"/>
      <c r="M402" s="214">
        <f>IF(OR(E402="Distribución Legal de la Renta",E402="Acopio carros portaequipajes"),0,IF(K402&lt;0,0,K402*(1+SUMIFS('Insumos - OPEX'!$G$82:$G$238,'Insumos - OPEX'!$B$82:$B$238,OPEX!D402))))</f>
        <v>1911.8771398292045</v>
      </c>
      <c r="N402" s="211">
        <f>IF(OR($B402="Ce Co No Imputables",$G402="M2 fijo"),$M402*(1+'Insumos - OPEX'!J$38),$M402*(1+'Insumos - OPEX'!J$29*'Insumos - OPEX'!J$39)*(1+'Insumos - OPEX'!J$38))</f>
        <v>1952.0456785370159</v>
      </c>
      <c r="O402" s="211">
        <f>IF(OR($B402="Ce Co No Imputables",$G402="M2 fijo"),$M402*(1+'Insumos - OPEX'!K$38),$M402*(1+'Insumos - OPEX'!K$29*'Insumos - OPEX'!K$39)*(1+'Insumos - OPEX'!K$38))</f>
        <v>1998.3286815751285</v>
      </c>
      <c r="P402" s="211">
        <f>IF(OR($B402="Ce Co No Imputables",$G402="M2 fijo"),$M402*(1+'Insumos - OPEX'!L$38),$M402*(1+'Insumos - OPEX'!L$29*'Insumos - OPEX'!L$39)*(1+'Insumos - OPEX'!L$38))</f>
        <v>2040.9929989267573</v>
      </c>
      <c r="Q402" s="211">
        <f>IF(OR($B402="Ce Co No Imputables",$G402="M2 fijo"),$M402*(1+'Insumos - OPEX'!M$38),$M402*(1+'Insumos - OPEX'!M$29*'Insumos - OPEX'!M$39)*(1+'Insumos - OPEX'!M$38))</f>
        <v>2084.9151682636607</v>
      </c>
      <c r="R402" s="211">
        <f>IF(OR($B402="Ce Co No Imputables",$G402="M2 fijo"),$M402*(1+'Insumos - OPEX'!N$38),$M402*(1+'Insumos - OPEX'!N$29*'Insumos - OPEX'!N$39)*(1+'Insumos - OPEX'!N$38))</f>
        <v>2129.7825426846948</v>
      </c>
      <c r="S402" s="111"/>
    </row>
    <row r="403" spans="1:19" x14ac:dyDescent="0.2">
      <c r="A403" s="8"/>
      <c r="B403" s="8" t="s">
        <v>435</v>
      </c>
      <c r="C403" s="8" t="s">
        <v>174</v>
      </c>
      <c r="D403" s="8">
        <v>6590000004</v>
      </c>
      <c r="E403" s="8" t="s">
        <v>380</v>
      </c>
      <c r="F403" s="89" t="s">
        <v>470</v>
      </c>
      <c r="G403" s="73" t="s">
        <v>136</v>
      </c>
      <c r="H403" s="112" t="s">
        <v>61</v>
      </c>
      <c r="I403" s="13" t="s">
        <v>436</v>
      </c>
      <c r="K403" s="186">
        <v>1379.4844772474887</v>
      </c>
      <c r="L403" s="187"/>
      <c r="M403" s="214">
        <f>IF(OR(E403="Distribución Legal de la Renta",E403="Acopio carros portaequipajes"),0,IF(K403&lt;0,0,K403*(1+SUMIFS('Insumos - OPEX'!$G$82:$G$238,'Insumos - OPEX'!$B$82:$B$238,OPEX!D403))))</f>
        <v>1440.1947558825266</v>
      </c>
      <c r="N403" s="211">
        <f>IF(OR($B403="Ce Co No Imputables",$G403="M2 fijo"),$M403*(1+'Insumos - OPEX'!J$38),$M403*(1+'Insumos - OPEX'!J$29*'Insumos - OPEX'!J$39)*(1+'Insumos - OPEX'!J$38))</f>
        <v>1470.4532477036184</v>
      </c>
      <c r="O403" s="211">
        <f>IF(OR($B403="Ce Co No Imputables",$G403="M2 fijo"),$M403*(1+'Insumos - OPEX'!K$38),$M403*(1+'Insumos - OPEX'!K$29*'Insumos - OPEX'!K$39)*(1+'Insumos - OPEX'!K$38))</f>
        <v>1505.3176942066711</v>
      </c>
      <c r="P403" s="211">
        <f>IF(OR($B403="Ce Co No Imputables",$G403="M2 fijo"),$M403*(1+'Insumos - OPEX'!L$38),$M403*(1+'Insumos - OPEX'!L$29*'Insumos - OPEX'!L$39)*(1+'Insumos - OPEX'!L$38))</f>
        <v>1537.4562269779835</v>
      </c>
      <c r="Q403" s="211">
        <f>IF(OR($B403="Ce Co No Imputables",$G403="M2 fijo"),$M403*(1+'Insumos - OPEX'!M$38),$M403*(1+'Insumos - OPEX'!M$29*'Insumos - OPEX'!M$39)*(1+'Insumos - OPEX'!M$38))</f>
        <v>1570.5422849825493</v>
      </c>
      <c r="R403" s="211">
        <f>IF(OR($B403="Ce Co No Imputables",$G403="M2 fijo"),$M403*(1+'Insumos - OPEX'!N$38),$M403*(1+'Insumos - OPEX'!N$29*'Insumos - OPEX'!N$39)*(1+'Insumos - OPEX'!N$38))</f>
        <v>1604.3403549553739</v>
      </c>
      <c r="S403" s="111"/>
    </row>
    <row r="404" spans="1:19" x14ac:dyDescent="0.2">
      <c r="A404" s="8"/>
      <c r="B404" s="8" t="s">
        <v>435</v>
      </c>
      <c r="C404" s="8" t="s">
        <v>174</v>
      </c>
      <c r="D404" s="8">
        <v>6590000001</v>
      </c>
      <c r="E404" s="8" t="s">
        <v>369</v>
      </c>
      <c r="F404" s="89" t="s">
        <v>470</v>
      </c>
      <c r="G404" s="73" t="s">
        <v>136</v>
      </c>
      <c r="H404" s="112" t="s">
        <v>61</v>
      </c>
      <c r="I404" s="13" t="s">
        <v>436</v>
      </c>
      <c r="K404" s="186">
        <v>743.2342317414417</v>
      </c>
      <c r="L404" s="187"/>
      <c r="M404" s="214">
        <f>IF(OR(E404="Distribución Legal de la Renta",E404="Acopio carros portaequipajes"),0,IF(K404&lt;0,0,K404*(1+SUMIFS('Insumos - OPEX'!$G$82:$G$238,'Insumos - OPEX'!$B$82:$B$238,OPEX!D404))))</f>
        <v>775.94352136690668</v>
      </c>
      <c r="N404" s="211">
        <f>IF(OR($B404="Ce Co No Imputables",$G404="M2 fijo"),$M404*(1+'Insumos - OPEX'!J$38),$M404*(1+'Insumos - OPEX'!J$29*'Insumos - OPEX'!J$39)*(1+'Insumos - OPEX'!J$38))</f>
        <v>792.24609475082536</v>
      </c>
      <c r="O404" s="211">
        <f>IF(OR($B404="Ce Co No Imputables",$G404="M2 fijo"),$M404*(1+'Insumos - OPEX'!K$38),$M404*(1+'Insumos - OPEX'!K$29*'Insumos - OPEX'!K$39)*(1+'Insumos - OPEX'!K$38))</f>
        <v>811.03024965736745</v>
      </c>
      <c r="P404" s="211">
        <f>IF(OR($B404="Ce Co No Imputables",$G404="M2 fijo"),$M404*(1+'Insumos - OPEX'!L$38),$M404*(1+'Insumos - OPEX'!L$29*'Insumos - OPEX'!L$39)*(1+'Insumos - OPEX'!L$38))</f>
        <v>828.34574548755211</v>
      </c>
      <c r="Q404" s="211">
        <f>IF(OR($B404="Ce Co No Imputables",$G404="M2 fijo"),$M404*(1+'Insumos - OPEX'!M$38),$M404*(1+'Insumos - OPEX'!M$29*'Insumos - OPEX'!M$39)*(1+'Insumos - OPEX'!M$38))</f>
        <v>846.1717459304441</v>
      </c>
      <c r="R404" s="211">
        <f>IF(OR($B404="Ce Co No Imputables",$G404="M2 fijo"),$M404*(1+'Insumos - OPEX'!N$38),$M404*(1+'Insumos - OPEX'!N$29*'Insumos - OPEX'!N$39)*(1+'Insumos - OPEX'!N$38))</f>
        <v>864.3813619028673</v>
      </c>
      <c r="S404" s="111"/>
    </row>
    <row r="405" spans="1:19" x14ac:dyDescent="0.2">
      <c r="A405" s="8"/>
      <c r="B405" s="8" t="s">
        <v>435</v>
      </c>
      <c r="C405" s="8" t="s">
        <v>174</v>
      </c>
      <c r="D405" s="8">
        <v>6430000003</v>
      </c>
      <c r="E405" s="8" t="s">
        <v>386</v>
      </c>
      <c r="F405" s="89" t="s">
        <v>470</v>
      </c>
      <c r="G405" s="73" t="s">
        <v>136</v>
      </c>
      <c r="H405" s="112" t="s">
        <v>61</v>
      </c>
      <c r="I405" s="13" t="s">
        <v>436</v>
      </c>
      <c r="K405" s="186">
        <v>499.9944589848941</v>
      </c>
      <c r="L405" s="187"/>
      <c r="M405" s="214">
        <f>IF(OR(E405="Distribución Legal de la Renta",E405="Acopio carros portaequipajes"),0,IF(K405&lt;0,0,K405*(1+SUMIFS('Insumos - OPEX'!$G$82:$G$238,'Insumos - OPEX'!$B$82:$B$238,OPEX!D405))))</f>
        <v>521.99891312816612</v>
      </c>
      <c r="N405" s="211">
        <f>IF(OR($B405="Ce Co No Imputables",$G405="M2 fijo"),$M405*(1+'Insumos - OPEX'!J$38),$M405*(1+'Insumos - OPEX'!J$29*'Insumos - OPEX'!J$39)*(1+'Insumos - OPEX'!J$38))</f>
        <v>532.9661102929889</v>
      </c>
      <c r="O405" s="211">
        <f>IF(OR($B405="Ce Co No Imputables",$G405="M2 fijo"),$M405*(1+'Insumos - OPEX'!K$38),$M405*(1+'Insumos - OPEX'!K$29*'Insumos - OPEX'!K$39)*(1+'Insumos - OPEX'!K$38))</f>
        <v>545.60273676803558</v>
      </c>
      <c r="P405" s="211">
        <f>IF(OR($B405="Ce Co No Imputables",$G405="M2 fijo"),$M405*(1+'Insumos - OPEX'!L$38),$M405*(1+'Insumos - OPEX'!L$29*'Insumos - OPEX'!L$39)*(1+'Insumos - OPEX'!L$38))</f>
        <v>557.25135519803314</v>
      </c>
      <c r="Q405" s="211">
        <f>IF(OR($B405="Ce Co No Imputables",$G405="M2 fijo"),$M405*(1+'Insumos - OPEX'!M$38),$M405*(1+'Insumos - OPEX'!M$29*'Insumos - OPEX'!M$39)*(1+'Insumos - OPEX'!M$38))</f>
        <v>569.2434043618947</v>
      </c>
      <c r="R405" s="211">
        <f>IF(OR($B405="Ce Co No Imputables",$G405="M2 fijo"),$M405*(1+'Insumos - OPEX'!N$38),$M405*(1+'Insumos - OPEX'!N$29*'Insumos - OPEX'!N$39)*(1+'Insumos - OPEX'!N$38))</f>
        <v>581.49352242376267</v>
      </c>
      <c r="S405" s="111"/>
    </row>
    <row r="406" spans="1:19" x14ac:dyDescent="0.2">
      <c r="A406" s="8"/>
      <c r="B406" s="8" t="s">
        <v>435</v>
      </c>
      <c r="C406" s="8" t="s">
        <v>174</v>
      </c>
      <c r="D406" s="8">
        <v>6561000005</v>
      </c>
      <c r="E406" s="8" t="s">
        <v>365</v>
      </c>
      <c r="F406" s="89" t="s">
        <v>470</v>
      </c>
      <c r="G406" s="73" t="s">
        <v>136</v>
      </c>
      <c r="H406" s="112" t="s">
        <v>61</v>
      </c>
      <c r="I406" s="13" t="s">
        <v>436</v>
      </c>
      <c r="K406" s="186">
        <v>322.06413758828205</v>
      </c>
      <c r="L406" s="187"/>
      <c r="M406" s="214">
        <f>IF(OR(E406="Distribución Legal de la Renta",E406="Acopio carros portaequipajes"),0,IF(K406&lt;0,0,K406*(1+SUMIFS('Insumos - OPEX'!$G$82:$G$238,'Insumos - OPEX'!$B$82:$B$238,OPEX!D406))))</f>
        <v>336.23798575680325</v>
      </c>
      <c r="N406" s="211">
        <f>IF(OR($B406="Ce Co No Imputables",$G406="M2 fijo"),$M406*(1+'Insumos - OPEX'!J$38),$M406*(1+'Insumos - OPEX'!J$29*'Insumos - OPEX'!J$39)*(1+'Insumos - OPEX'!J$38))</f>
        <v>343.30234583755367</v>
      </c>
      <c r="O406" s="211">
        <f>IF(OR($B406="Ce Co No Imputables",$G406="M2 fijo"),$M406*(1+'Insumos - OPEX'!K$38),$M406*(1+'Insumos - OPEX'!K$29*'Insumos - OPEX'!K$39)*(1+'Insumos - OPEX'!K$38))</f>
        <v>351.44204445736204</v>
      </c>
      <c r="P406" s="211">
        <f>IF(OR($B406="Ce Co No Imputables",$G406="M2 fijo"),$M406*(1+'Insumos - OPEX'!L$38),$M406*(1+'Insumos - OPEX'!L$29*'Insumos - OPEX'!L$39)*(1+'Insumos - OPEX'!L$38))</f>
        <v>358.94533210652673</v>
      </c>
      <c r="Q406" s="211">
        <f>IF(OR($B406="Ce Co No Imputables",$G406="M2 fijo"),$M406*(1+'Insumos - OPEX'!M$38),$M406*(1+'Insumos - OPEX'!M$29*'Insumos - OPEX'!M$39)*(1+'Insumos - OPEX'!M$38))</f>
        <v>366.66983565345907</v>
      </c>
      <c r="R406" s="211">
        <f>IF(OR($B406="Ce Co No Imputables",$G406="M2 fijo"),$M406*(1+'Insumos - OPEX'!N$38),$M406*(1+'Insumos - OPEX'!N$29*'Insumos - OPEX'!N$39)*(1+'Insumos - OPEX'!N$38))</f>
        <v>374.56057051672155</v>
      </c>
      <c r="S406" s="111"/>
    </row>
    <row r="407" spans="1:19" x14ac:dyDescent="0.2">
      <c r="A407" s="8"/>
      <c r="B407" s="8" t="s">
        <v>435</v>
      </c>
      <c r="C407" s="8" t="s">
        <v>174</v>
      </c>
      <c r="D407" s="8">
        <v>6562000003</v>
      </c>
      <c r="E407" s="8" t="s">
        <v>366</v>
      </c>
      <c r="F407" s="89" t="s">
        <v>470</v>
      </c>
      <c r="G407" s="73" t="s">
        <v>136</v>
      </c>
      <c r="H407" s="112" t="s">
        <v>61</v>
      </c>
      <c r="I407" s="13" t="s">
        <v>436</v>
      </c>
      <c r="K407" s="186">
        <v>69.873768098467721</v>
      </c>
      <c r="L407" s="187"/>
      <c r="M407" s="214">
        <f>IF(OR(E407="Distribución Legal de la Renta",E407="Acopio carros portaequipajes"),0,IF(K407&lt;0,0,K407*(1+SUMIFS('Insumos - OPEX'!$G$82:$G$238,'Insumos - OPEX'!$B$82:$B$238,OPEX!D407))))</f>
        <v>72.948870428725357</v>
      </c>
      <c r="N407" s="211">
        <f>IF(OR($B407="Ce Co No Imputables",$G407="M2 fijo"),$M407*(1+'Insumos - OPEX'!J$38),$M407*(1+'Insumos - OPEX'!J$29*'Insumos - OPEX'!J$39)*(1+'Insumos - OPEX'!J$38))</f>
        <v>74.481526196432881</v>
      </c>
      <c r="O407" s="211">
        <f>IF(OR($B407="Ce Co No Imputables",$G407="M2 fijo"),$M407*(1+'Insumos - OPEX'!K$38),$M407*(1+'Insumos - OPEX'!K$29*'Insumos - OPEX'!K$39)*(1+'Insumos - OPEX'!K$38))</f>
        <v>76.247483182550297</v>
      </c>
      <c r="P407" s="211">
        <f>IF(OR($B407="Ce Co No Imputables",$G407="M2 fijo"),$M407*(1+'Insumos - OPEX'!L$38),$M407*(1+'Insumos - OPEX'!L$29*'Insumos - OPEX'!L$39)*(1+'Insumos - OPEX'!L$38))</f>
        <v>77.875366948497742</v>
      </c>
      <c r="Q407" s="211">
        <f>IF(OR($B407="Ce Co No Imputables",$G407="M2 fijo"),$M407*(1+'Insumos - OPEX'!M$38),$M407*(1+'Insumos - OPEX'!M$29*'Insumos - OPEX'!M$39)*(1+'Insumos - OPEX'!M$38))</f>
        <v>79.551244845229391</v>
      </c>
      <c r="R407" s="211">
        <f>IF(OR($B407="Ce Co No Imputables",$G407="M2 fijo"),$M407*(1+'Insumos - OPEX'!N$38),$M407*(1+'Insumos - OPEX'!N$29*'Insumos - OPEX'!N$39)*(1+'Insumos - OPEX'!N$38))</f>
        <v>81.263187634298731</v>
      </c>
      <c r="S407" s="111"/>
    </row>
    <row r="408" spans="1:19" x14ac:dyDescent="0.2">
      <c r="A408" s="8"/>
      <c r="B408" s="8" t="s">
        <v>435</v>
      </c>
      <c r="C408" s="8" t="s">
        <v>174</v>
      </c>
      <c r="D408" s="8">
        <v>6562000005</v>
      </c>
      <c r="E408" s="8" t="s">
        <v>367</v>
      </c>
      <c r="F408" s="89" t="s">
        <v>470</v>
      </c>
      <c r="G408" s="73" t="s">
        <v>136</v>
      </c>
      <c r="H408" s="112" t="s">
        <v>61</v>
      </c>
      <c r="I408" s="13" t="s">
        <v>436</v>
      </c>
      <c r="K408" s="186">
        <v>5.8669690618219597E-2</v>
      </c>
      <c r="L408" s="187"/>
      <c r="M408" s="214">
        <f>IF(OR(E408="Distribución Legal de la Renta",E408="Acopio carros portaequipajes"),0,IF(K408&lt;0,0,K408*(1+SUMIFS('Insumos - OPEX'!$G$82:$G$238,'Insumos - OPEX'!$B$82:$B$238,OPEX!D408))))</f>
        <v>6.1251708265834315E-2</v>
      </c>
      <c r="N408" s="211">
        <f>IF(OR($B408="Ce Co No Imputables",$G408="M2 fijo"),$M408*(1+'Insumos - OPEX'!J$38),$M408*(1+'Insumos - OPEX'!J$29*'Insumos - OPEX'!J$39)*(1+'Insumos - OPEX'!J$38))</f>
        <v>6.253860665649949E-2</v>
      </c>
      <c r="O408" s="211">
        <f>IF(OR($B408="Ce Co No Imputables",$G408="M2 fijo"),$M408*(1+'Insumos - OPEX'!K$38),$M408*(1+'Insumos - OPEX'!K$29*'Insumos - OPEX'!K$39)*(1+'Insumos - OPEX'!K$38))</f>
        <v>6.4021397020325096E-2</v>
      </c>
      <c r="P408" s="211">
        <f>IF(OR($B408="Ce Co No Imputables",$G408="M2 fijo"),$M408*(1+'Insumos - OPEX'!L$38),$M408*(1+'Insumos - OPEX'!L$29*'Insumos - OPEX'!L$39)*(1+'Insumos - OPEX'!L$38))</f>
        <v>6.538825384670903E-2</v>
      </c>
      <c r="Q408" s="211">
        <f>IF(OR($B408="Ce Co No Imputables",$G408="M2 fijo"),$M408*(1+'Insumos - OPEX'!M$38),$M408*(1+'Insumos - OPEX'!M$29*'Insumos - OPEX'!M$39)*(1+'Insumos - OPEX'!M$38))</f>
        <v>6.6795409069490191E-2</v>
      </c>
      <c r="R408" s="211">
        <f>IF(OR($B408="Ce Co No Imputables",$G408="M2 fijo"),$M408*(1+'Insumos - OPEX'!N$38),$M408*(1+'Insumos - OPEX'!N$29*'Insumos - OPEX'!N$39)*(1+'Insumos - OPEX'!N$38))</f>
        <v>6.8232846272665626E-2</v>
      </c>
      <c r="S408" s="111"/>
    </row>
    <row r="409" spans="1:19" x14ac:dyDescent="0.2">
      <c r="A409" s="8"/>
      <c r="B409" s="8" t="s">
        <v>435</v>
      </c>
      <c r="C409" s="8" t="s">
        <v>174</v>
      </c>
      <c r="D409" s="8">
        <v>6390000001</v>
      </c>
      <c r="E409" s="8" t="s">
        <v>368</v>
      </c>
      <c r="F409" s="89" t="s">
        <v>470</v>
      </c>
      <c r="G409" s="73" t="s">
        <v>136</v>
      </c>
      <c r="H409" s="112" t="s">
        <v>61</v>
      </c>
      <c r="I409" s="13" t="s">
        <v>436</v>
      </c>
      <c r="K409" s="186">
        <v>0</v>
      </c>
      <c r="L409" s="187"/>
      <c r="M409" s="214">
        <f>IF(OR(E409="Distribución Legal de la Renta",E409="Acopio carros portaequipajes"),0,IF(K409&lt;0,0,K409*(1+SUMIFS('Insumos - OPEX'!$G$82:$G$238,'Insumos - OPEX'!$B$82:$B$238,OPEX!D409))))</f>
        <v>0</v>
      </c>
      <c r="N409" s="211">
        <f>IF(OR($B409="Ce Co No Imputables",$G409="M2 fijo"),$M409*(1+'Insumos - OPEX'!J$38),$M409*(1+'Insumos - OPEX'!J$29*'Insumos - OPEX'!J$39)*(1+'Insumos - OPEX'!J$38))</f>
        <v>0</v>
      </c>
      <c r="O409" s="211">
        <f>IF(OR($B409="Ce Co No Imputables",$G409="M2 fijo"),$M409*(1+'Insumos - OPEX'!K$38),$M409*(1+'Insumos - OPEX'!K$29*'Insumos - OPEX'!K$39)*(1+'Insumos - OPEX'!K$38))</f>
        <v>0</v>
      </c>
      <c r="P409" s="211">
        <f>IF(OR($B409="Ce Co No Imputables",$G409="M2 fijo"),$M409*(1+'Insumos - OPEX'!L$38),$M409*(1+'Insumos - OPEX'!L$29*'Insumos - OPEX'!L$39)*(1+'Insumos - OPEX'!L$38))</f>
        <v>0</v>
      </c>
      <c r="Q409" s="211">
        <f>IF(OR($B409="Ce Co No Imputables",$G409="M2 fijo"),$M409*(1+'Insumos - OPEX'!M$38),$M409*(1+'Insumos - OPEX'!M$29*'Insumos - OPEX'!M$39)*(1+'Insumos - OPEX'!M$38))</f>
        <v>0</v>
      </c>
      <c r="R409" s="211">
        <f>IF(OR($B409="Ce Co No Imputables",$G409="M2 fijo"),$M409*(1+'Insumos - OPEX'!N$38),$M409*(1+'Insumos - OPEX'!N$29*'Insumos - OPEX'!N$39)*(1+'Insumos - OPEX'!N$38))</f>
        <v>0</v>
      </c>
      <c r="S409" s="111"/>
    </row>
    <row r="410" spans="1:19" x14ac:dyDescent="0.2">
      <c r="A410" s="8"/>
      <c r="B410" s="8" t="s">
        <v>435</v>
      </c>
      <c r="C410" s="8" t="s">
        <v>174</v>
      </c>
      <c r="D410" s="8">
        <v>6380000005</v>
      </c>
      <c r="E410" s="8" t="s">
        <v>274</v>
      </c>
      <c r="F410" s="89" t="s">
        <v>469</v>
      </c>
      <c r="G410" s="73" t="s">
        <v>136</v>
      </c>
      <c r="H410" s="112" t="s">
        <v>61</v>
      </c>
      <c r="I410" s="13" t="s">
        <v>436</v>
      </c>
      <c r="K410" s="186">
        <v>0</v>
      </c>
      <c r="L410" s="187"/>
      <c r="M410" s="214">
        <f>IF(OR(E410="Distribución Legal de la Renta",E410="Acopio carros portaequipajes"),0,IF(K410&lt;0,0,K410*(1+SUMIFS('Insumos - OPEX'!$G$82:$G$238,'Insumos - OPEX'!$B$82:$B$238,OPEX!D410))))</f>
        <v>0</v>
      </c>
      <c r="N410" s="211">
        <f>IF(OR($B410="Ce Co No Imputables",$G410="M2 fijo"),$M410*(1+'Insumos - OPEX'!J$38),$M410*(1+'Insumos - OPEX'!J$29*'Insumos - OPEX'!J$39)*(1+'Insumos - OPEX'!J$38))</f>
        <v>0</v>
      </c>
      <c r="O410" s="211">
        <f>IF(OR($B410="Ce Co No Imputables",$G410="M2 fijo"),$M410*(1+'Insumos - OPEX'!K$38),$M410*(1+'Insumos - OPEX'!K$29*'Insumos - OPEX'!K$39)*(1+'Insumos - OPEX'!K$38))</f>
        <v>0</v>
      </c>
      <c r="P410" s="211">
        <f>IF(OR($B410="Ce Co No Imputables",$G410="M2 fijo"),$M410*(1+'Insumos - OPEX'!L$38),$M410*(1+'Insumos - OPEX'!L$29*'Insumos - OPEX'!L$39)*(1+'Insumos - OPEX'!L$38))</f>
        <v>0</v>
      </c>
      <c r="Q410" s="211">
        <f>IF(OR($B410="Ce Co No Imputables",$G410="M2 fijo"),$M410*(1+'Insumos - OPEX'!M$38),$M410*(1+'Insumos - OPEX'!M$29*'Insumos - OPEX'!M$39)*(1+'Insumos - OPEX'!M$38))</f>
        <v>0</v>
      </c>
      <c r="R410" s="211">
        <f>IF(OR($B410="Ce Co No Imputables",$G410="M2 fijo"),$M410*(1+'Insumos - OPEX'!N$38),$M410*(1+'Insumos - OPEX'!N$29*'Insumos - OPEX'!N$39)*(1+'Insumos - OPEX'!N$38))</f>
        <v>0</v>
      </c>
      <c r="S410" s="111"/>
    </row>
    <row r="411" spans="1:19" x14ac:dyDescent="0.2">
      <c r="A411" s="8"/>
      <c r="B411" s="8" t="s">
        <v>435</v>
      </c>
      <c r="C411" s="8" t="s">
        <v>174</v>
      </c>
      <c r="D411" s="8">
        <v>6562000001</v>
      </c>
      <c r="E411" s="8" t="s">
        <v>373</v>
      </c>
      <c r="F411" s="89" t="s">
        <v>470</v>
      </c>
      <c r="G411" s="73" t="s">
        <v>136</v>
      </c>
      <c r="H411" s="112" t="s">
        <v>61</v>
      </c>
      <c r="I411" s="13" t="s">
        <v>436</v>
      </c>
      <c r="K411" s="186">
        <v>0</v>
      </c>
      <c r="L411" s="187"/>
      <c r="M411" s="214">
        <f>IF(OR(E411="Distribución Legal de la Renta",E411="Acopio carros portaequipajes"),0,IF(K411&lt;0,0,K411*(1+SUMIFS('Insumos - OPEX'!$G$82:$G$238,'Insumos - OPEX'!$B$82:$B$238,OPEX!D411))))</f>
        <v>0</v>
      </c>
      <c r="N411" s="211">
        <f>IF(OR($B411="Ce Co No Imputables",$G411="M2 fijo"),$M411*(1+'Insumos - OPEX'!J$38),$M411*(1+'Insumos - OPEX'!J$29*'Insumos - OPEX'!J$39)*(1+'Insumos - OPEX'!J$38))</f>
        <v>0</v>
      </c>
      <c r="O411" s="211">
        <f>IF(OR($B411="Ce Co No Imputables",$G411="M2 fijo"),$M411*(1+'Insumos - OPEX'!K$38),$M411*(1+'Insumos - OPEX'!K$29*'Insumos - OPEX'!K$39)*(1+'Insumos - OPEX'!K$38))</f>
        <v>0</v>
      </c>
      <c r="P411" s="211">
        <f>IF(OR($B411="Ce Co No Imputables",$G411="M2 fijo"),$M411*(1+'Insumos - OPEX'!L$38),$M411*(1+'Insumos - OPEX'!L$29*'Insumos - OPEX'!L$39)*(1+'Insumos - OPEX'!L$38))</f>
        <v>0</v>
      </c>
      <c r="Q411" s="211">
        <f>IF(OR($B411="Ce Co No Imputables",$G411="M2 fijo"),$M411*(1+'Insumos - OPEX'!M$38),$M411*(1+'Insumos - OPEX'!M$29*'Insumos - OPEX'!M$39)*(1+'Insumos - OPEX'!M$38))</f>
        <v>0</v>
      </c>
      <c r="R411" s="211">
        <f>IF(OR($B411="Ce Co No Imputables",$G411="M2 fijo"),$M411*(1+'Insumos - OPEX'!N$38),$M411*(1+'Insumos - OPEX'!N$29*'Insumos - OPEX'!N$39)*(1+'Insumos - OPEX'!N$38))</f>
        <v>0</v>
      </c>
      <c r="S411" s="111"/>
    </row>
    <row r="412" spans="1:19" x14ac:dyDescent="0.2">
      <c r="A412" s="8"/>
      <c r="B412" s="8" t="s">
        <v>435</v>
      </c>
      <c r="C412" s="8" t="s">
        <v>174</v>
      </c>
      <c r="D412" s="8">
        <v>6562000004</v>
      </c>
      <c r="E412" s="8" t="s">
        <v>377</v>
      </c>
      <c r="F412" s="89" t="s">
        <v>470</v>
      </c>
      <c r="G412" s="73" t="s">
        <v>136</v>
      </c>
      <c r="H412" s="112" t="s">
        <v>61</v>
      </c>
      <c r="I412" s="13" t="s">
        <v>436</v>
      </c>
      <c r="J412" s="11"/>
      <c r="K412" s="186">
        <v>0</v>
      </c>
      <c r="L412" s="187"/>
      <c r="M412" s="214">
        <f>IF(OR(E412="Distribución Legal de la Renta",E412="Acopio carros portaequipajes"),0,IF(K412&lt;0,0,K412*(1+SUMIFS('Insumos - OPEX'!$G$82:$G$238,'Insumos - OPEX'!$B$82:$B$238,OPEX!D412))))</f>
        <v>0</v>
      </c>
      <c r="N412" s="211">
        <f>IF(OR($B412="Ce Co No Imputables",$G412="M2 fijo"),$M412*(1+'Insumos - OPEX'!J$38),$M412*(1+'Insumos - OPEX'!J$29*'Insumos - OPEX'!J$39)*(1+'Insumos - OPEX'!J$38))</f>
        <v>0</v>
      </c>
      <c r="O412" s="211">
        <f>IF(OR($B412="Ce Co No Imputables",$G412="M2 fijo"),$M412*(1+'Insumos - OPEX'!K$38),$M412*(1+'Insumos - OPEX'!K$29*'Insumos - OPEX'!K$39)*(1+'Insumos - OPEX'!K$38))</f>
        <v>0</v>
      </c>
      <c r="P412" s="211">
        <f>IF(OR($B412="Ce Co No Imputables",$G412="M2 fijo"),$M412*(1+'Insumos - OPEX'!L$38),$M412*(1+'Insumos - OPEX'!L$29*'Insumos - OPEX'!L$39)*(1+'Insumos - OPEX'!L$38))</f>
        <v>0</v>
      </c>
      <c r="Q412" s="211">
        <f>IF(OR($B412="Ce Co No Imputables",$G412="M2 fijo"),$M412*(1+'Insumos - OPEX'!M$38),$M412*(1+'Insumos - OPEX'!M$29*'Insumos - OPEX'!M$39)*(1+'Insumos - OPEX'!M$38))</f>
        <v>0</v>
      </c>
      <c r="R412" s="211">
        <f>IF(OR($B412="Ce Co No Imputables",$G412="M2 fijo"),$M412*(1+'Insumos - OPEX'!N$38),$M412*(1+'Insumos - OPEX'!N$29*'Insumos - OPEX'!N$39)*(1+'Insumos - OPEX'!N$38))</f>
        <v>0</v>
      </c>
      <c r="S412" s="111"/>
    </row>
    <row r="413" spans="1:19" x14ac:dyDescent="0.2">
      <c r="A413" s="8"/>
      <c r="B413" s="8" t="s">
        <v>435</v>
      </c>
      <c r="C413" s="8" t="s">
        <v>174</v>
      </c>
      <c r="D413" s="8">
        <v>6590000010</v>
      </c>
      <c r="E413" s="8" t="s">
        <v>381</v>
      </c>
      <c r="F413" s="89" t="s">
        <v>470</v>
      </c>
      <c r="G413" s="73" t="s">
        <v>136</v>
      </c>
      <c r="H413" s="112" t="s">
        <v>61</v>
      </c>
      <c r="I413" s="13" t="s">
        <v>436</v>
      </c>
      <c r="K413" s="186">
        <v>0</v>
      </c>
      <c r="L413" s="187"/>
      <c r="M413" s="214">
        <f>IF(OR(E413="Distribución Legal de la Renta",E413="Acopio carros portaequipajes"),0,IF(K413&lt;0,0,K413*(1+SUMIFS('Insumos - OPEX'!$G$82:$G$238,'Insumos - OPEX'!$B$82:$B$238,OPEX!D413))))</f>
        <v>0</v>
      </c>
      <c r="N413" s="211">
        <f>IF(OR($B413="Ce Co No Imputables",$G413="M2 fijo"),$M413*(1+'Insumos - OPEX'!J$38),$M413*(1+'Insumos - OPEX'!J$29*'Insumos - OPEX'!J$39)*(1+'Insumos - OPEX'!J$38))</f>
        <v>0</v>
      </c>
      <c r="O413" s="211">
        <f>IF(OR($B413="Ce Co No Imputables",$G413="M2 fijo"),$M413*(1+'Insumos - OPEX'!K$38),$M413*(1+'Insumos - OPEX'!K$29*'Insumos - OPEX'!K$39)*(1+'Insumos - OPEX'!K$38))</f>
        <v>0</v>
      </c>
      <c r="P413" s="211">
        <f>IF(OR($B413="Ce Co No Imputables",$G413="M2 fijo"),$M413*(1+'Insumos - OPEX'!L$38),$M413*(1+'Insumos - OPEX'!L$29*'Insumos - OPEX'!L$39)*(1+'Insumos - OPEX'!L$38))</f>
        <v>0</v>
      </c>
      <c r="Q413" s="211">
        <f>IF(OR($B413="Ce Co No Imputables",$G413="M2 fijo"),$M413*(1+'Insumos - OPEX'!M$38),$M413*(1+'Insumos - OPEX'!M$29*'Insumos - OPEX'!M$39)*(1+'Insumos - OPEX'!M$38))</f>
        <v>0</v>
      </c>
      <c r="R413" s="211">
        <f>IF(OR($B413="Ce Co No Imputables",$G413="M2 fijo"),$M413*(1+'Insumos - OPEX'!N$38),$M413*(1+'Insumos - OPEX'!N$29*'Insumos - OPEX'!N$39)*(1+'Insumos - OPEX'!N$38))</f>
        <v>0</v>
      </c>
      <c r="S413" s="111"/>
    </row>
    <row r="414" spans="1:19" x14ac:dyDescent="0.2">
      <c r="A414" s="8"/>
      <c r="B414" s="8" t="s">
        <v>435</v>
      </c>
      <c r="C414" s="8" t="s">
        <v>174</v>
      </c>
      <c r="D414" s="8">
        <v>6563000001</v>
      </c>
      <c r="E414" s="8" t="s">
        <v>383</v>
      </c>
      <c r="F414" s="89" t="s">
        <v>470</v>
      </c>
      <c r="G414" s="73" t="s">
        <v>136</v>
      </c>
      <c r="H414" s="112" t="s">
        <v>61</v>
      </c>
      <c r="I414" s="13" t="s">
        <v>436</v>
      </c>
      <c r="K414" s="186">
        <v>0</v>
      </c>
      <c r="L414" s="187"/>
      <c r="M414" s="214">
        <f>IF(OR(E414="Distribución Legal de la Renta",E414="Acopio carros portaequipajes"),0,IF(K414&lt;0,0,K414*(1+SUMIFS('Insumos - OPEX'!$G$82:$G$238,'Insumos - OPEX'!$B$82:$B$238,OPEX!D414))))</f>
        <v>0</v>
      </c>
      <c r="N414" s="211">
        <f>IF(OR($B414="Ce Co No Imputables",$G414="M2 fijo"),$M414*(1+'Insumos - OPEX'!J$38),$M414*(1+'Insumos - OPEX'!J$29*'Insumos - OPEX'!J$39)*(1+'Insumos - OPEX'!J$38))</f>
        <v>0</v>
      </c>
      <c r="O414" s="211">
        <f>IF(OR($B414="Ce Co No Imputables",$G414="M2 fijo"),$M414*(1+'Insumos - OPEX'!K$38),$M414*(1+'Insumos - OPEX'!K$29*'Insumos - OPEX'!K$39)*(1+'Insumos - OPEX'!K$38))</f>
        <v>0</v>
      </c>
      <c r="P414" s="211">
        <f>IF(OR($B414="Ce Co No Imputables",$G414="M2 fijo"),$M414*(1+'Insumos - OPEX'!L$38),$M414*(1+'Insumos - OPEX'!L$29*'Insumos - OPEX'!L$39)*(1+'Insumos - OPEX'!L$38))</f>
        <v>0</v>
      </c>
      <c r="Q414" s="211">
        <f>IF(OR($B414="Ce Co No Imputables",$G414="M2 fijo"),$M414*(1+'Insumos - OPEX'!M$38),$M414*(1+'Insumos - OPEX'!M$29*'Insumos - OPEX'!M$39)*(1+'Insumos - OPEX'!M$38))</f>
        <v>0</v>
      </c>
      <c r="R414" s="211">
        <f>IF(OR($B414="Ce Co No Imputables",$G414="M2 fijo"),$M414*(1+'Insumos - OPEX'!N$38),$M414*(1+'Insumos - OPEX'!N$29*'Insumos - OPEX'!N$39)*(1+'Insumos - OPEX'!N$38))</f>
        <v>0</v>
      </c>
      <c r="S414" s="111"/>
    </row>
    <row r="415" spans="1:19" x14ac:dyDescent="0.2">
      <c r="A415" s="8"/>
      <c r="B415" s="8" t="s">
        <v>435</v>
      </c>
      <c r="C415" s="8" t="s">
        <v>174</v>
      </c>
      <c r="D415" s="8">
        <v>6590000003</v>
      </c>
      <c r="E415" s="8" t="s">
        <v>372</v>
      </c>
      <c r="F415" s="89" t="s">
        <v>470</v>
      </c>
      <c r="G415" s="73" t="s">
        <v>136</v>
      </c>
      <c r="H415" s="112" t="s">
        <v>61</v>
      </c>
      <c r="I415" s="13" t="s">
        <v>436</v>
      </c>
      <c r="K415" s="186">
        <v>0</v>
      </c>
      <c r="L415" s="187"/>
      <c r="M415" s="214">
        <f>IF(OR(E415="Distribución Legal de la Renta",E415="Acopio carros portaequipajes"),0,IF(K415&lt;0,0,K415*(1+SUMIFS('Insumos - OPEX'!$G$82:$G$238,'Insumos - OPEX'!$B$82:$B$238,OPEX!D415))))</f>
        <v>0</v>
      </c>
      <c r="N415" s="211">
        <f>IF(OR($B415="Ce Co No Imputables",$G415="M2 fijo"),$M415*(1+'Insumos - OPEX'!J$38),$M415*(1+'Insumos - OPEX'!J$29*'Insumos - OPEX'!J$39)*(1+'Insumos - OPEX'!J$38))</f>
        <v>0</v>
      </c>
      <c r="O415" s="211">
        <f>IF(OR($B415="Ce Co No Imputables",$G415="M2 fijo"),$M415*(1+'Insumos - OPEX'!K$38),$M415*(1+'Insumos - OPEX'!K$29*'Insumos - OPEX'!K$39)*(1+'Insumos - OPEX'!K$38))</f>
        <v>0</v>
      </c>
      <c r="P415" s="211">
        <f>IF(OR($B415="Ce Co No Imputables",$G415="M2 fijo"),$M415*(1+'Insumos - OPEX'!L$38),$M415*(1+'Insumos - OPEX'!L$29*'Insumos - OPEX'!L$39)*(1+'Insumos - OPEX'!L$38))</f>
        <v>0</v>
      </c>
      <c r="Q415" s="211">
        <f>IF(OR($B415="Ce Co No Imputables",$G415="M2 fijo"),$M415*(1+'Insumos - OPEX'!M$38),$M415*(1+'Insumos - OPEX'!M$29*'Insumos - OPEX'!M$39)*(1+'Insumos - OPEX'!M$38))</f>
        <v>0</v>
      </c>
      <c r="R415" s="211">
        <f>IF(OR($B415="Ce Co No Imputables",$G415="M2 fijo"),$M415*(1+'Insumos - OPEX'!N$38),$M415*(1+'Insumos - OPEX'!N$29*'Insumos - OPEX'!N$39)*(1+'Insumos - OPEX'!N$38))</f>
        <v>0</v>
      </c>
      <c r="S415" s="111"/>
    </row>
    <row r="416" spans="1:19" x14ac:dyDescent="0.2">
      <c r="A416" s="8"/>
      <c r="B416" s="8" t="s">
        <v>435</v>
      </c>
      <c r="C416" s="8" t="s">
        <v>174</v>
      </c>
      <c r="D416" s="8">
        <v>6563000002</v>
      </c>
      <c r="E416" s="8" t="s">
        <v>385</v>
      </c>
      <c r="F416" s="89" t="s">
        <v>470</v>
      </c>
      <c r="G416" s="73" t="s">
        <v>136</v>
      </c>
      <c r="H416" s="112" t="s">
        <v>61</v>
      </c>
      <c r="I416" s="13" t="s">
        <v>436</v>
      </c>
      <c r="K416" s="186">
        <v>0</v>
      </c>
      <c r="L416" s="187"/>
      <c r="M416" s="214">
        <f>IF(OR(E416="Distribución Legal de la Renta",E416="Acopio carros portaequipajes"),0,IF(K416&lt;0,0,K416*(1+SUMIFS('Insumos - OPEX'!$G$82:$G$238,'Insumos - OPEX'!$B$82:$B$238,OPEX!D416))))</f>
        <v>0</v>
      </c>
      <c r="N416" s="211">
        <f>IF(OR($B416="Ce Co No Imputables",$G416="M2 fijo"),$M416*(1+'Insumos - OPEX'!J$38),$M416*(1+'Insumos - OPEX'!J$29*'Insumos - OPEX'!J$39)*(1+'Insumos - OPEX'!J$38))</f>
        <v>0</v>
      </c>
      <c r="O416" s="211">
        <f>IF(OR($B416="Ce Co No Imputables",$G416="M2 fijo"),$M416*(1+'Insumos - OPEX'!K$38),$M416*(1+'Insumos - OPEX'!K$29*'Insumos - OPEX'!K$39)*(1+'Insumos - OPEX'!K$38))</f>
        <v>0</v>
      </c>
      <c r="P416" s="211">
        <f>IF(OR($B416="Ce Co No Imputables",$G416="M2 fijo"),$M416*(1+'Insumos - OPEX'!L$38),$M416*(1+'Insumos - OPEX'!L$29*'Insumos - OPEX'!L$39)*(1+'Insumos - OPEX'!L$38))</f>
        <v>0</v>
      </c>
      <c r="Q416" s="211">
        <f>IF(OR($B416="Ce Co No Imputables",$G416="M2 fijo"),$M416*(1+'Insumos - OPEX'!M$38),$M416*(1+'Insumos - OPEX'!M$29*'Insumos - OPEX'!M$39)*(1+'Insumos - OPEX'!M$38))</f>
        <v>0</v>
      </c>
      <c r="R416" s="211">
        <f>IF(OR($B416="Ce Co No Imputables",$G416="M2 fijo"),$M416*(1+'Insumos - OPEX'!N$38),$M416*(1+'Insumos - OPEX'!N$29*'Insumos - OPEX'!N$39)*(1+'Insumos - OPEX'!N$38))</f>
        <v>0</v>
      </c>
      <c r="S416" s="111"/>
    </row>
    <row r="417" spans="1:19" x14ac:dyDescent="0.2">
      <c r="A417" s="8"/>
      <c r="B417" s="8" t="s">
        <v>435</v>
      </c>
      <c r="C417" s="8" t="s">
        <v>174</v>
      </c>
      <c r="D417" s="8">
        <v>6410000002</v>
      </c>
      <c r="E417" s="8" t="s">
        <v>357</v>
      </c>
      <c r="F417" s="89" t="s">
        <v>470</v>
      </c>
      <c r="G417" s="73" t="s">
        <v>136</v>
      </c>
      <c r="H417" s="112" t="s">
        <v>61</v>
      </c>
      <c r="I417" s="13" t="s">
        <v>436</v>
      </c>
      <c r="K417" s="186">
        <v>0</v>
      </c>
      <c r="L417" s="187"/>
      <c r="M417" s="214">
        <f>IF(OR(E417="Distribución Legal de la Renta",E417="Acopio carros portaequipajes"),0,IF(K417&lt;0,0,K417*(1+SUMIFS('Insumos - OPEX'!$G$82:$G$238,'Insumos - OPEX'!$B$82:$B$238,OPEX!D417))))</f>
        <v>0</v>
      </c>
      <c r="N417" s="211">
        <f>IF(OR($B417="Ce Co No Imputables",$G417="M2 fijo"),$M417*(1+'Insumos - OPEX'!J$38),$M417*(1+'Insumos - OPEX'!J$29*'Insumos - OPEX'!J$39)*(1+'Insumos - OPEX'!J$38))</f>
        <v>0</v>
      </c>
      <c r="O417" s="211">
        <f>IF(OR($B417="Ce Co No Imputables",$G417="M2 fijo"),$M417*(1+'Insumos - OPEX'!K$38),$M417*(1+'Insumos - OPEX'!K$29*'Insumos - OPEX'!K$39)*(1+'Insumos - OPEX'!K$38))</f>
        <v>0</v>
      </c>
      <c r="P417" s="211">
        <f>IF(OR($B417="Ce Co No Imputables",$G417="M2 fijo"),$M417*(1+'Insumos - OPEX'!L$38),$M417*(1+'Insumos - OPEX'!L$29*'Insumos - OPEX'!L$39)*(1+'Insumos - OPEX'!L$38))</f>
        <v>0</v>
      </c>
      <c r="Q417" s="211">
        <f>IF(OR($B417="Ce Co No Imputables",$G417="M2 fijo"),$M417*(1+'Insumos - OPEX'!M$38),$M417*(1+'Insumos - OPEX'!M$29*'Insumos - OPEX'!M$39)*(1+'Insumos - OPEX'!M$38))</f>
        <v>0</v>
      </c>
      <c r="R417" s="211">
        <f>IF(OR($B417="Ce Co No Imputables",$G417="M2 fijo"),$M417*(1+'Insumos - OPEX'!N$38),$M417*(1+'Insumos - OPEX'!N$29*'Insumos - OPEX'!N$39)*(1+'Insumos - OPEX'!N$38))</f>
        <v>0</v>
      </c>
      <c r="S417" s="111"/>
    </row>
    <row r="418" spans="1:19" x14ac:dyDescent="0.2">
      <c r="A418" s="8"/>
      <c r="B418" s="8" t="s">
        <v>435</v>
      </c>
      <c r="C418" s="8" t="s">
        <v>174</v>
      </c>
      <c r="D418" s="8">
        <v>6563000003</v>
      </c>
      <c r="E418" s="8" t="s">
        <v>387</v>
      </c>
      <c r="F418" s="89" t="s">
        <v>470</v>
      </c>
      <c r="G418" s="73" t="s">
        <v>136</v>
      </c>
      <c r="H418" s="112" t="s">
        <v>61</v>
      </c>
      <c r="I418" s="13" t="s">
        <v>436</v>
      </c>
      <c r="K418" s="186">
        <v>0</v>
      </c>
      <c r="L418" s="187"/>
      <c r="M418" s="214">
        <f>IF(OR(E418="Distribución Legal de la Renta",E418="Acopio carros portaequipajes"),0,IF(K418&lt;0,0,K418*(1+SUMIFS('Insumos - OPEX'!$G$82:$G$238,'Insumos - OPEX'!$B$82:$B$238,OPEX!D418))))</f>
        <v>0</v>
      </c>
      <c r="N418" s="211">
        <f>IF(OR($B418="Ce Co No Imputables",$G418="M2 fijo"),$M418*(1+'Insumos - OPEX'!J$38),$M418*(1+'Insumos - OPEX'!J$29*'Insumos - OPEX'!J$39)*(1+'Insumos - OPEX'!J$38))</f>
        <v>0</v>
      </c>
      <c r="O418" s="211">
        <f>IF(OR($B418="Ce Co No Imputables",$G418="M2 fijo"),$M418*(1+'Insumos - OPEX'!K$38),$M418*(1+'Insumos - OPEX'!K$29*'Insumos - OPEX'!K$39)*(1+'Insumos - OPEX'!K$38))</f>
        <v>0</v>
      </c>
      <c r="P418" s="211">
        <f>IF(OR($B418="Ce Co No Imputables",$G418="M2 fijo"),$M418*(1+'Insumos - OPEX'!L$38),$M418*(1+'Insumos - OPEX'!L$29*'Insumos - OPEX'!L$39)*(1+'Insumos - OPEX'!L$38))</f>
        <v>0</v>
      </c>
      <c r="Q418" s="211">
        <f>IF(OR($B418="Ce Co No Imputables",$G418="M2 fijo"),$M418*(1+'Insumos - OPEX'!M$38),$M418*(1+'Insumos - OPEX'!M$29*'Insumos - OPEX'!M$39)*(1+'Insumos - OPEX'!M$38))</f>
        <v>0</v>
      </c>
      <c r="R418" s="211">
        <f>IF(OR($B418="Ce Co No Imputables",$G418="M2 fijo"),$M418*(1+'Insumos - OPEX'!N$38),$M418*(1+'Insumos - OPEX'!N$29*'Insumos - OPEX'!N$39)*(1+'Insumos - OPEX'!N$38))</f>
        <v>0</v>
      </c>
      <c r="S418" s="111"/>
    </row>
    <row r="419" spans="1:19" x14ac:dyDescent="0.2">
      <c r="A419" s="8"/>
      <c r="B419" s="8" t="s">
        <v>435</v>
      </c>
      <c r="C419" s="8" t="s">
        <v>174</v>
      </c>
      <c r="D419" s="8">
        <v>6590000007</v>
      </c>
      <c r="E419" s="8" t="s">
        <v>382</v>
      </c>
      <c r="F419" s="89" t="s">
        <v>470</v>
      </c>
      <c r="G419" s="73" t="s">
        <v>136</v>
      </c>
      <c r="H419" s="112" t="s">
        <v>61</v>
      </c>
      <c r="I419" s="13" t="s">
        <v>436</v>
      </c>
      <c r="K419" s="186">
        <v>0</v>
      </c>
      <c r="L419" s="187"/>
      <c r="M419" s="214">
        <f>IF(OR(E419="Distribución Legal de la Renta",E419="Acopio carros portaequipajes"),0,IF(K419&lt;0,0,K419*(1+SUMIFS('Insumos - OPEX'!$G$82:$G$238,'Insumos - OPEX'!$B$82:$B$238,OPEX!D419))))</f>
        <v>0</v>
      </c>
      <c r="N419" s="211">
        <f>IF(OR($B419="Ce Co No Imputables",$G419="M2 fijo"),$M419*(1+'Insumos - OPEX'!J$38),$M419*(1+'Insumos - OPEX'!J$29*'Insumos - OPEX'!J$39)*(1+'Insumos - OPEX'!J$38))</f>
        <v>0</v>
      </c>
      <c r="O419" s="211">
        <f>IF(OR($B419="Ce Co No Imputables",$G419="M2 fijo"),$M419*(1+'Insumos - OPEX'!K$38),$M419*(1+'Insumos - OPEX'!K$29*'Insumos - OPEX'!K$39)*(1+'Insumos - OPEX'!K$38))</f>
        <v>0</v>
      </c>
      <c r="P419" s="211">
        <f>IF(OR($B419="Ce Co No Imputables",$G419="M2 fijo"),$M419*(1+'Insumos - OPEX'!L$38),$M419*(1+'Insumos - OPEX'!L$29*'Insumos - OPEX'!L$39)*(1+'Insumos - OPEX'!L$38))</f>
        <v>0</v>
      </c>
      <c r="Q419" s="211">
        <f>IF(OR($B419="Ce Co No Imputables",$G419="M2 fijo"),$M419*(1+'Insumos - OPEX'!M$38),$M419*(1+'Insumos - OPEX'!M$29*'Insumos - OPEX'!M$39)*(1+'Insumos - OPEX'!M$38))</f>
        <v>0</v>
      </c>
      <c r="R419" s="211">
        <f>IF(OR($B419="Ce Co No Imputables",$G419="M2 fijo"),$M419*(1+'Insumos - OPEX'!N$38),$M419*(1+'Insumos - OPEX'!N$29*'Insumos - OPEX'!N$39)*(1+'Insumos - OPEX'!N$38))</f>
        <v>0</v>
      </c>
      <c r="S419" s="111"/>
    </row>
    <row r="420" spans="1:19" x14ac:dyDescent="0.2">
      <c r="A420" s="8"/>
      <c r="B420" s="8" t="s">
        <v>435</v>
      </c>
      <c r="C420" s="8" t="s">
        <v>174</v>
      </c>
      <c r="D420" s="8">
        <v>6563000004</v>
      </c>
      <c r="E420" s="8" t="s">
        <v>370</v>
      </c>
      <c r="F420" s="89" t="s">
        <v>470</v>
      </c>
      <c r="G420" s="73" t="s">
        <v>136</v>
      </c>
      <c r="H420" s="112" t="s">
        <v>61</v>
      </c>
      <c r="I420" s="13" t="s">
        <v>436</v>
      </c>
      <c r="K420" s="186">
        <v>0</v>
      </c>
      <c r="L420" s="187"/>
      <c r="M420" s="214">
        <f>IF(OR(E420="Distribución Legal de la Renta",E420="Acopio carros portaequipajes"),0,IF(K420&lt;0,0,K420*(1+SUMIFS('Insumos - OPEX'!$G$82:$G$238,'Insumos - OPEX'!$B$82:$B$238,OPEX!D420))))</f>
        <v>0</v>
      </c>
      <c r="N420" s="211">
        <f>IF(OR($B420="Ce Co No Imputables",$G420="M2 fijo"),$M420*(1+'Insumos - OPEX'!J$38),$M420*(1+'Insumos - OPEX'!J$29*'Insumos - OPEX'!J$39)*(1+'Insumos - OPEX'!J$38))</f>
        <v>0</v>
      </c>
      <c r="O420" s="211">
        <f>IF(OR($B420="Ce Co No Imputables",$G420="M2 fijo"),$M420*(1+'Insumos - OPEX'!K$38),$M420*(1+'Insumos - OPEX'!K$29*'Insumos - OPEX'!K$39)*(1+'Insumos - OPEX'!K$38))</f>
        <v>0</v>
      </c>
      <c r="P420" s="211">
        <f>IF(OR($B420="Ce Co No Imputables",$G420="M2 fijo"),$M420*(1+'Insumos - OPEX'!L$38),$M420*(1+'Insumos - OPEX'!L$29*'Insumos - OPEX'!L$39)*(1+'Insumos - OPEX'!L$38))</f>
        <v>0</v>
      </c>
      <c r="Q420" s="211">
        <f>IF(OR($B420="Ce Co No Imputables",$G420="M2 fijo"),$M420*(1+'Insumos - OPEX'!M$38),$M420*(1+'Insumos - OPEX'!M$29*'Insumos - OPEX'!M$39)*(1+'Insumos - OPEX'!M$38))</f>
        <v>0</v>
      </c>
      <c r="R420" s="211">
        <f>IF(OR($B420="Ce Co No Imputables",$G420="M2 fijo"),$M420*(1+'Insumos - OPEX'!N$38),$M420*(1+'Insumos - OPEX'!N$29*'Insumos - OPEX'!N$39)*(1+'Insumos - OPEX'!N$38))</f>
        <v>0</v>
      </c>
      <c r="S420" s="111"/>
    </row>
    <row r="421" spans="1:19" x14ac:dyDescent="0.2">
      <c r="A421" s="8"/>
      <c r="B421" s="8" t="s">
        <v>435</v>
      </c>
      <c r="C421" s="8" t="s">
        <v>174</v>
      </c>
      <c r="D421" s="8">
        <v>6840000001</v>
      </c>
      <c r="E421" s="8" t="s">
        <v>374</v>
      </c>
      <c r="F421" s="89" t="s">
        <v>470</v>
      </c>
      <c r="G421" s="73" t="s">
        <v>136</v>
      </c>
      <c r="H421" s="112" t="s">
        <v>61</v>
      </c>
      <c r="I421" s="13" t="s">
        <v>436</v>
      </c>
      <c r="K421" s="186">
        <v>0</v>
      </c>
      <c r="L421" s="187"/>
      <c r="M421" s="214">
        <f>IF(OR(E421="Distribución Legal de la Renta",E421="Acopio carros portaequipajes"),0,IF(K421&lt;0,0,K421*(1+SUMIFS('Insumos - OPEX'!$G$82:$G$238,'Insumos - OPEX'!$B$82:$B$238,OPEX!D421))))</f>
        <v>0</v>
      </c>
      <c r="N421" s="211">
        <f>IF(OR($B421="Ce Co No Imputables",$G421="M2 fijo"),$M421*(1+'Insumos - OPEX'!J$38),$M421*(1+'Insumos - OPEX'!J$29*'Insumos - OPEX'!J$39)*(1+'Insumos - OPEX'!J$38))</f>
        <v>0</v>
      </c>
      <c r="O421" s="211">
        <f>IF(OR($B421="Ce Co No Imputables",$G421="M2 fijo"),$M421*(1+'Insumos - OPEX'!K$38),$M421*(1+'Insumos - OPEX'!K$29*'Insumos - OPEX'!K$39)*(1+'Insumos - OPEX'!K$38))</f>
        <v>0</v>
      </c>
      <c r="P421" s="211">
        <f>IF(OR($B421="Ce Co No Imputables",$G421="M2 fijo"),$M421*(1+'Insumos - OPEX'!L$38),$M421*(1+'Insumos - OPEX'!L$29*'Insumos - OPEX'!L$39)*(1+'Insumos - OPEX'!L$38))</f>
        <v>0</v>
      </c>
      <c r="Q421" s="211">
        <f>IF(OR($B421="Ce Co No Imputables",$G421="M2 fijo"),$M421*(1+'Insumos - OPEX'!M$38),$M421*(1+'Insumos - OPEX'!M$29*'Insumos - OPEX'!M$39)*(1+'Insumos - OPEX'!M$38))</f>
        <v>0</v>
      </c>
      <c r="R421" s="211">
        <f>IF(OR($B421="Ce Co No Imputables",$G421="M2 fijo"),$M421*(1+'Insumos - OPEX'!N$38),$M421*(1+'Insumos - OPEX'!N$29*'Insumos - OPEX'!N$39)*(1+'Insumos - OPEX'!N$38))</f>
        <v>0</v>
      </c>
      <c r="S421" s="111"/>
    </row>
    <row r="422" spans="1:19" x14ac:dyDescent="0.2">
      <c r="A422" s="8"/>
      <c r="B422" s="8" t="s">
        <v>435</v>
      </c>
      <c r="C422" s="8" t="s">
        <v>174</v>
      </c>
      <c r="D422" s="8">
        <v>6563000005</v>
      </c>
      <c r="E422" s="8" t="s">
        <v>376</v>
      </c>
      <c r="F422" s="89" t="s">
        <v>470</v>
      </c>
      <c r="G422" s="73" t="s">
        <v>136</v>
      </c>
      <c r="H422" s="112" t="s">
        <v>61</v>
      </c>
      <c r="I422" s="13" t="s">
        <v>436</v>
      </c>
      <c r="K422" s="186">
        <v>0</v>
      </c>
      <c r="L422" s="187"/>
      <c r="M422" s="214">
        <f>IF(OR(E422="Distribución Legal de la Renta",E422="Acopio carros portaequipajes"),0,IF(K422&lt;0,0,K422*(1+SUMIFS('Insumos - OPEX'!$G$82:$G$238,'Insumos - OPEX'!$B$82:$B$238,OPEX!D422))))</f>
        <v>0</v>
      </c>
      <c r="N422" s="211">
        <f>IF(OR($B422="Ce Co No Imputables",$G422="M2 fijo"),$M422*(1+'Insumos - OPEX'!J$38),$M422*(1+'Insumos - OPEX'!J$29*'Insumos - OPEX'!J$39)*(1+'Insumos - OPEX'!J$38))</f>
        <v>0</v>
      </c>
      <c r="O422" s="211">
        <f>IF(OR($B422="Ce Co No Imputables",$G422="M2 fijo"),$M422*(1+'Insumos - OPEX'!K$38),$M422*(1+'Insumos - OPEX'!K$29*'Insumos - OPEX'!K$39)*(1+'Insumos - OPEX'!K$38))</f>
        <v>0</v>
      </c>
      <c r="P422" s="211">
        <f>IF(OR($B422="Ce Co No Imputables",$G422="M2 fijo"),$M422*(1+'Insumos - OPEX'!L$38),$M422*(1+'Insumos - OPEX'!L$29*'Insumos - OPEX'!L$39)*(1+'Insumos - OPEX'!L$38))</f>
        <v>0</v>
      </c>
      <c r="Q422" s="211">
        <f>IF(OR($B422="Ce Co No Imputables",$G422="M2 fijo"),$M422*(1+'Insumos - OPEX'!M$38),$M422*(1+'Insumos - OPEX'!M$29*'Insumos - OPEX'!M$39)*(1+'Insumos - OPEX'!M$38))</f>
        <v>0</v>
      </c>
      <c r="R422" s="211">
        <f>IF(OR($B422="Ce Co No Imputables",$G422="M2 fijo"),$M422*(1+'Insumos - OPEX'!N$38),$M422*(1+'Insumos - OPEX'!N$29*'Insumos - OPEX'!N$39)*(1+'Insumos - OPEX'!N$38))</f>
        <v>0</v>
      </c>
      <c r="S422" s="111"/>
    </row>
    <row r="423" spans="1:19" x14ac:dyDescent="0.2">
      <c r="A423" s="8"/>
      <c r="B423" s="8" t="s">
        <v>435</v>
      </c>
      <c r="C423" s="8" t="s">
        <v>174</v>
      </c>
      <c r="D423" s="8">
        <v>6380000003</v>
      </c>
      <c r="E423" s="8" t="s">
        <v>375</v>
      </c>
      <c r="F423" s="89" t="s">
        <v>470</v>
      </c>
      <c r="G423" s="73" t="s">
        <v>136</v>
      </c>
      <c r="H423" s="112" t="s">
        <v>61</v>
      </c>
      <c r="I423" s="13" t="s">
        <v>436</v>
      </c>
      <c r="K423" s="186">
        <v>0</v>
      </c>
      <c r="L423" s="187"/>
      <c r="M423" s="214">
        <f>IF(OR(E423="Distribución Legal de la Renta",E423="Acopio carros portaequipajes"),0,IF(K423&lt;0,0,K423*(1+SUMIFS('Insumos - OPEX'!$G$82:$G$238,'Insumos - OPEX'!$B$82:$B$238,OPEX!D423))))</f>
        <v>0</v>
      </c>
      <c r="N423" s="211">
        <f>IF(OR($B423="Ce Co No Imputables",$G423="M2 fijo"),$M423*(1+'Insumos - OPEX'!J$38),$M423*(1+'Insumos - OPEX'!J$29*'Insumos - OPEX'!J$39)*(1+'Insumos - OPEX'!J$38))</f>
        <v>0</v>
      </c>
      <c r="O423" s="211">
        <f>IF(OR($B423="Ce Co No Imputables",$G423="M2 fijo"),$M423*(1+'Insumos - OPEX'!K$38),$M423*(1+'Insumos - OPEX'!K$29*'Insumos - OPEX'!K$39)*(1+'Insumos - OPEX'!K$38))</f>
        <v>0</v>
      </c>
      <c r="P423" s="211">
        <f>IF(OR($B423="Ce Co No Imputables",$G423="M2 fijo"),$M423*(1+'Insumos - OPEX'!L$38),$M423*(1+'Insumos - OPEX'!L$29*'Insumos - OPEX'!L$39)*(1+'Insumos - OPEX'!L$38))</f>
        <v>0</v>
      </c>
      <c r="Q423" s="211">
        <f>IF(OR($B423="Ce Co No Imputables",$G423="M2 fijo"),$M423*(1+'Insumos - OPEX'!M$38),$M423*(1+'Insumos - OPEX'!M$29*'Insumos - OPEX'!M$39)*(1+'Insumos - OPEX'!M$38))</f>
        <v>0</v>
      </c>
      <c r="R423" s="211">
        <f>IF(OR($B423="Ce Co No Imputables",$G423="M2 fijo"),$M423*(1+'Insumos - OPEX'!N$38),$M423*(1+'Insumos - OPEX'!N$29*'Insumos - OPEX'!N$39)*(1+'Insumos - OPEX'!N$38))</f>
        <v>0</v>
      </c>
      <c r="S423" s="111"/>
    </row>
    <row r="424" spans="1:19" x14ac:dyDescent="0.2">
      <c r="A424" s="8"/>
      <c r="B424" s="8" t="s">
        <v>435</v>
      </c>
      <c r="C424" s="8" t="s">
        <v>174</v>
      </c>
      <c r="D424" s="8">
        <v>6562000002</v>
      </c>
      <c r="E424" s="8" t="s">
        <v>388</v>
      </c>
      <c r="F424" s="89" t="s">
        <v>470</v>
      </c>
      <c r="G424" s="73" t="s">
        <v>136</v>
      </c>
      <c r="H424" s="112" t="s">
        <v>61</v>
      </c>
      <c r="I424" s="13" t="s">
        <v>436</v>
      </c>
      <c r="K424" s="186">
        <v>-116.40616647004312</v>
      </c>
      <c r="L424" s="187"/>
      <c r="M424" s="214">
        <f>IF(OR(E424="Distribución Legal de la Renta",E424="Acopio carros portaequipajes"),0,IF(K424&lt;0,0,K424*(1+SUMIFS('Insumos - OPEX'!$G$82:$G$238,'Insumos - OPEX'!$B$82:$B$238,OPEX!D424))))</f>
        <v>0</v>
      </c>
      <c r="N424" s="211">
        <f>IF(OR($B424="Ce Co No Imputables",$G424="M2 fijo"),$M424*(1+'Insumos - OPEX'!J$38),$M424*(1+'Insumos - OPEX'!J$29*'Insumos - OPEX'!J$39)*(1+'Insumos - OPEX'!J$38))</f>
        <v>0</v>
      </c>
      <c r="O424" s="211">
        <f>IF(OR($B424="Ce Co No Imputables",$G424="M2 fijo"),$M424*(1+'Insumos - OPEX'!K$38),$M424*(1+'Insumos - OPEX'!K$29*'Insumos - OPEX'!K$39)*(1+'Insumos - OPEX'!K$38))</f>
        <v>0</v>
      </c>
      <c r="P424" s="211">
        <f>IF(OR($B424="Ce Co No Imputables",$G424="M2 fijo"),$M424*(1+'Insumos - OPEX'!L$38),$M424*(1+'Insumos - OPEX'!L$29*'Insumos - OPEX'!L$39)*(1+'Insumos - OPEX'!L$38))</f>
        <v>0</v>
      </c>
      <c r="Q424" s="211">
        <f>IF(OR($B424="Ce Co No Imputables",$G424="M2 fijo"),$M424*(1+'Insumos - OPEX'!M$38),$M424*(1+'Insumos - OPEX'!M$29*'Insumos - OPEX'!M$39)*(1+'Insumos - OPEX'!M$38))</f>
        <v>0</v>
      </c>
      <c r="R424" s="211">
        <f>IF(OR($B424="Ce Co No Imputables",$G424="M2 fijo"),$M424*(1+'Insumos - OPEX'!N$38),$M424*(1+'Insumos - OPEX'!N$29*'Insumos - OPEX'!N$39)*(1+'Insumos - OPEX'!N$38))</f>
        <v>0</v>
      </c>
      <c r="S424" s="111"/>
    </row>
    <row r="425" spans="1:19" x14ac:dyDescent="0.2">
      <c r="A425" s="8"/>
      <c r="B425" s="8" t="s">
        <v>435</v>
      </c>
      <c r="C425" s="8" t="s">
        <v>173</v>
      </c>
      <c r="D425" s="8">
        <v>6347000001</v>
      </c>
      <c r="E425" s="8" t="s">
        <v>394</v>
      </c>
      <c r="F425" s="89" t="s">
        <v>469</v>
      </c>
      <c r="G425" s="73" t="s">
        <v>136</v>
      </c>
      <c r="H425" s="112" t="s">
        <v>61</v>
      </c>
      <c r="I425" s="13" t="s">
        <v>436</v>
      </c>
      <c r="K425" s="186">
        <v>651976.30088609201</v>
      </c>
      <c r="L425" s="187"/>
      <c r="M425" s="214">
        <f>IF(OR(E425="Distribución Legal de la Renta",E425="Acopio carros portaequipajes"),0,IF(K425&lt;0,0,K425*(1+SUMIFS('Insumos - OPEX'!$G$82:$G$238,'Insumos - OPEX'!$B$82:$B$238,OPEX!D425))))</f>
        <v>1385192.2216549688</v>
      </c>
      <c r="N425" s="211">
        <f>IF(OR($B425="Ce Co No Imputables",$G425="M2 fijo"),$M425*(1+'Insumos - OPEX'!J$38),$M425*(1+'Insumos - OPEX'!J$29*'Insumos - OPEX'!J$39)*(1+'Insumos - OPEX'!J$38))</f>
        <v>1414295.1102319397</v>
      </c>
      <c r="O425" s="211">
        <f>IF(OR($B425="Ce Co No Imputables",$G425="M2 fijo"),$M425*(1+'Insumos - OPEX'!K$38),$M425*(1+'Insumos - OPEX'!K$29*'Insumos - OPEX'!K$39)*(1+'Insumos - OPEX'!K$38))</f>
        <v>1447828.0472955389</v>
      </c>
      <c r="P425" s="211">
        <f>IF(OR($B425="Ce Co No Imputables",$G425="M2 fijo"),$M425*(1+'Insumos - OPEX'!L$38),$M425*(1+'Insumos - OPEX'!L$29*'Insumos - OPEX'!L$39)*(1+'Insumos - OPEX'!L$38))</f>
        <v>1478739.1761052986</v>
      </c>
      <c r="Q425" s="211">
        <f>IF(OR($B425="Ce Co No Imputables",$G425="M2 fijo"),$M425*(1+'Insumos - OPEX'!M$38),$M425*(1+'Insumos - OPEX'!M$29*'Insumos - OPEX'!M$39)*(1+'Insumos - OPEX'!M$38))</f>
        <v>1510561.6431750841</v>
      </c>
      <c r="R425" s="211">
        <f>IF(OR($B425="Ce Co No Imputables",$G425="M2 fijo"),$M425*(1+'Insumos - OPEX'!N$38),$M425*(1+'Insumos - OPEX'!N$29*'Insumos - OPEX'!N$39)*(1+'Insumos - OPEX'!N$38))</f>
        <v>1543068.9297362121</v>
      </c>
      <c r="S425" s="111"/>
    </row>
    <row r="426" spans="1:19" x14ac:dyDescent="0.2">
      <c r="A426" s="8"/>
      <c r="B426" s="8" t="s">
        <v>435</v>
      </c>
      <c r="C426" s="8" t="s">
        <v>173</v>
      </c>
      <c r="D426" s="8">
        <v>6343000001</v>
      </c>
      <c r="E426" s="8" t="s">
        <v>389</v>
      </c>
      <c r="F426" s="89" t="s">
        <v>469</v>
      </c>
      <c r="G426" s="73" t="s">
        <v>136</v>
      </c>
      <c r="H426" s="112" t="s">
        <v>61</v>
      </c>
      <c r="I426" s="13" t="s">
        <v>436</v>
      </c>
      <c r="K426" s="186">
        <v>75526.48556496817</v>
      </c>
      <c r="L426" s="187"/>
      <c r="M426" s="214">
        <f>IF(OR(E426="Distribución Legal de la Renta",E426="Acopio carros portaequipajes"),0,IF(K426&lt;0,0,K426*(1+SUMIFS('Insumos - OPEX'!$G$82:$G$238,'Insumos - OPEX'!$B$82:$B$238,OPEX!D426))))</f>
        <v>222621.21225977654</v>
      </c>
      <c r="N426" s="211">
        <f>IF(OR($B426="Ce Co No Imputables",$G426="M2 fijo"),$M426*(1+'Insumos - OPEX'!J$38),$M426*(1+'Insumos - OPEX'!J$29*'Insumos - OPEX'!J$39)*(1+'Insumos - OPEX'!J$38))</f>
        <v>227298.48392935444</v>
      </c>
      <c r="O426" s="211">
        <f>IF(OR($B426="Ce Co No Imputables",$G426="M2 fijo"),$M426*(1+'Insumos - OPEX'!K$38),$M426*(1+'Insumos - OPEX'!K$29*'Insumos - OPEX'!K$39)*(1+'Insumos - OPEX'!K$38))</f>
        <v>232687.73098331943</v>
      </c>
      <c r="P426" s="211">
        <f>IF(OR($B426="Ce Co No Imputables",$G426="M2 fijo"),$M426*(1+'Insumos - OPEX'!L$38),$M426*(1+'Insumos - OPEX'!L$29*'Insumos - OPEX'!L$39)*(1+'Insumos - OPEX'!L$38))</f>
        <v>237655.61403981328</v>
      </c>
      <c r="Q426" s="211">
        <f>IF(OR($B426="Ce Co No Imputables",$G426="M2 fijo"),$M426*(1+'Insumos - OPEX'!M$38),$M426*(1+'Insumos - OPEX'!M$29*'Insumos - OPEX'!M$39)*(1+'Insumos - OPEX'!M$38))</f>
        <v>242769.96285395001</v>
      </c>
      <c r="R426" s="211">
        <f>IF(OR($B426="Ce Co No Imputables",$G426="M2 fijo"),$M426*(1+'Insumos - OPEX'!N$38),$M426*(1+'Insumos - OPEX'!N$29*'Insumos - OPEX'!N$39)*(1+'Insumos - OPEX'!N$38))</f>
        <v>247994.37245456703</v>
      </c>
      <c r="S426" s="111"/>
    </row>
    <row r="427" spans="1:19" x14ac:dyDescent="0.2">
      <c r="A427" s="8"/>
      <c r="B427" s="8" t="s">
        <v>435</v>
      </c>
      <c r="C427" s="8" t="s">
        <v>173</v>
      </c>
      <c r="D427" s="8">
        <v>6343000002</v>
      </c>
      <c r="E427" s="8" t="s">
        <v>391</v>
      </c>
      <c r="F427" s="89" t="s">
        <v>470</v>
      </c>
      <c r="G427" s="73" t="s">
        <v>136</v>
      </c>
      <c r="H427" s="112" t="s">
        <v>61</v>
      </c>
      <c r="I427" s="13" t="s">
        <v>436</v>
      </c>
      <c r="K427" s="186">
        <v>51249.045004517895</v>
      </c>
      <c r="L427" s="187"/>
      <c r="M427" s="214">
        <f>IF(OR(E427="Distribución Legal de la Renta",E427="Acopio carros portaequipajes"),0,IF(K427&lt;0,0,K427*(1+SUMIFS('Insumos - OPEX'!$G$82:$G$238,'Insumos - OPEX'!$B$82:$B$238,OPEX!D427))))</f>
        <v>53504.48452074355</v>
      </c>
      <c r="N427" s="211">
        <f>IF(OR($B427="Ce Co No Imputables",$G427="M2 fijo"),$M427*(1+'Insumos - OPEX'!J$38),$M427*(1+'Insumos - OPEX'!J$29*'Insumos - OPEX'!J$39)*(1+'Insumos - OPEX'!J$38))</f>
        <v>54628.613740524372</v>
      </c>
      <c r="O427" s="211">
        <f>IF(OR($B427="Ce Co No Imputables",$G427="M2 fijo"),$M427*(1+'Insumos - OPEX'!K$38),$M427*(1+'Insumos - OPEX'!K$29*'Insumos - OPEX'!K$39)*(1+'Insumos - OPEX'!K$38))</f>
        <v>55923.858172312204</v>
      </c>
      <c r="P427" s="211">
        <f>IF(OR($B427="Ce Co No Imputables",$G427="M2 fijo"),$M427*(1+'Insumos - OPEX'!L$38),$M427*(1+'Insumos - OPEX'!L$29*'Insumos - OPEX'!L$39)*(1+'Insumos - OPEX'!L$38))</f>
        <v>57117.832544291065</v>
      </c>
      <c r="Q427" s="211">
        <f>IF(OR($B427="Ce Co No Imputables",$G427="M2 fijo"),$M427*(1+'Insumos - OPEX'!M$38),$M427*(1+'Insumos - OPEX'!M$29*'Insumos - OPEX'!M$39)*(1+'Insumos - OPEX'!M$38))</f>
        <v>58347.008300644193</v>
      </c>
      <c r="R427" s="211">
        <f>IF(OR($B427="Ce Co No Imputables",$G427="M2 fijo"),$M427*(1+'Insumos - OPEX'!N$38),$M427*(1+'Insumos - OPEX'!N$29*'Insumos - OPEX'!N$39)*(1+'Insumos - OPEX'!N$38))</f>
        <v>59602.635919274064</v>
      </c>
      <c r="S427" s="111"/>
    </row>
    <row r="428" spans="1:19" x14ac:dyDescent="0.2">
      <c r="A428" s="8"/>
      <c r="B428" s="8" t="s">
        <v>435</v>
      </c>
      <c r="C428" s="8" t="s">
        <v>173</v>
      </c>
      <c r="D428" s="8">
        <v>6341100002</v>
      </c>
      <c r="E428" s="8" t="s">
        <v>398</v>
      </c>
      <c r="F428" s="89" t="s">
        <v>470</v>
      </c>
      <c r="G428" s="73" t="s">
        <v>136</v>
      </c>
      <c r="H428" s="112" t="s">
        <v>61</v>
      </c>
      <c r="I428" s="13" t="s">
        <v>436</v>
      </c>
      <c r="K428" s="186">
        <v>28325.511408721562</v>
      </c>
      <c r="L428" s="187"/>
      <c r="M428" s="214">
        <f>IF(OR(E428="Distribución Legal de la Renta",E428="Acopio carros portaequipajes"),0,IF(K428&lt;0,0,K428*(1+SUMIFS('Insumos - OPEX'!$G$82:$G$238,'Insumos - OPEX'!$B$82:$B$238,OPEX!D428))))</f>
        <v>29572.100057210511</v>
      </c>
      <c r="N428" s="211">
        <f>IF(OR($B428="Ce Co No Imputables",$G428="M2 fijo"),$M428*(1+'Insumos - OPEX'!J$38),$M428*(1+'Insumos - OPEX'!J$29*'Insumos - OPEX'!J$39)*(1+'Insumos - OPEX'!J$38))</f>
        <v>30193.409879412502</v>
      </c>
      <c r="O428" s="211">
        <f>IF(OR($B428="Ce Co No Imputables",$G428="M2 fijo"),$M428*(1+'Insumos - OPEX'!K$38),$M428*(1+'Insumos - OPEX'!K$29*'Insumos - OPEX'!K$39)*(1+'Insumos - OPEX'!K$38))</f>
        <v>30909.295627653373</v>
      </c>
      <c r="P428" s="211">
        <f>IF(OR($B428="Ce Co No Imputables",$G428="M2 fijo"),$M428*(1+'Insumos - OPEX'!L$38),$M428*(1+'Insumos - OPEX'!L$29*'Insumos - OPEX'!L$39)*(1+'Insumos - OPEX'!L$38))</f>
        <v>31569.209089303771</v>
      </c>
      <c r="Q428" s="211">
        <f>IF(OR($B428="Ce Co No Imputables",$G428="M2 fijo"),$M428*(1+'Insumos - OPEX'!M$38),$M428*(1+'Insumos - OPEX'!M$29*'Insumos - OPEX'!M$39)*(1+'Insumos - OPEX'!M$38))</f>
        <v>32248.57846890558</v>
      </c>
      <c r="R428" s="211">
        <f>IF(OR($B428="Ce Co No Imputables",$G428="M2 fijo"),$M428*(1+'Insumos - OPEX'!N$38),$M428*(1+'Insumos - OPEX'!N$29*'Insumos - OPEX'!N$39)*(1+'Insumos - OPEX'!N$38))</f>
        <v>32942.56787755643</v>
      </c>
      <c r="S428" s="111"/>
    </row>
    <row r="429" spans="1:19" x14ac:dyDescent="0.2">
      <c r="A429" s="8"/>
      <c r="B429" s="8" t="s">
        <v>435</v>
      </c>
      <c r="C429" s="8" t="s">
        <v>173</v>
      </c>
      <c r="D429" s="8">
        <v>6341100010</v>
      </c>
      <c r="E429" s="8" t="s">
        <v>393</v>
      </c>
      <c r="F429" s="89" t="s">
        <v>470</v>
      </c>
      <c r="G429" s="73" t="s">
        <v>136</v>
      </c>
      <c r="H429" s="112" t="s">
        <v>61</v>
      </c>
      <c r="I429" s="13" t="s">
        <v>436</v>
      </c>
      <c r="K429" s="186">
        <v>27507.675289343802</v>
      </c>
      <c r="L429" s="187"/>
      <c r="M429" s="214">
        <f>IF(OR(E429="Distribución Legal de la Renta",E429="Acopio carros portaequipajes"),0,IF(K429&lt;0,0,K429*(1+SUMIFS('Insumos - OPEX'!$G$82:$G$238,'Insumos - OPEX'!$B$82:$B$238,OPEX!D429))))</f>
        <v>28718.271464191952</v>
      </c>
      <c r="N429" s="211">
        <f>IF(OR($B429="Ce Co No Imputables",$G429="M2 fijo"),$M429*(1+'Insumos - OPEX'!J$38),$M429*(1+'Insumos - OPEX'!J$29*'Insumos - OPEX'!J$39)*(1+'Insumos - OPEX'!J$38))</f>
        <v>29321.642347654622</v>
      </c>
      <c r="O429" s="211">
        <f>IF(OR($B429="Ce Co No Imputables",$G429="M2 fijo"),$M429*(1+'Insumos - OPEX'!K$38),$M429*(1+'Insumos - OPEX'!K$29*'Insumos - OPEX'!K$39)*(1+'Insumos - OPEX'!K$38))</f>
        <v>30016.858487717513</v>
      </c>
      <c r="P429" s="211">
        <f>IF(OR($B429="Ce Co No Imputables",$G429="M2 fijo"),$M429*(1+'Insumos - OPEX'!L$38),$M429*(1+'Insumos - OPEX'!L$29*'Insumos - OPEX'!L$39)*(1+'Insumos - OPEX'!L$38))</f>
        <v>30657.718416430282</v>
      </c>
      <c r="Q429" s="211">
        <f>IF(OR($B429="Ce Co No Imputables",$G429="M2 fijo"),$M429*(1+'Insumos - OPEX'!M$38),$M429*(1+'Insumos - OPEX'!M$29*'Insumos - OPEX'!M$39)*(1+'Insumos - OPEX'!M$38))</f>
        <v>31317.472516751855</v>
      </c>
      <c r="R429" s="211">
        <f>IF(OR($B429="Ce Co No Imputables",$G429="M2 fijo"),$M429*(1+'Insumos - OPEX'!N$38),$M429*(1+'Insumos - OPEX'!N$29*'Insumos - OPEX'!N$39)*(1+'Insumos - OPEX'!N$38))</f>
        <v>31991.424525312355</v>
      </c>
      <c r="S429" s="111"/>
    </row>
    <row r="430" spans="1:19" x14ac:dyDescent="0.2">
      <c r="A430" s="8"/>
      <c r="B430" s="8" t="s">
        <v>435</v>
      </c>
      <c r="C430" s="8" t="s">
        <v>173</v>
      </c>
      <c r="D430" s="8">
        <v>6341100001</v>
      </c>
      <c r="E430" s="8" t="s">
        <v>399</v>
      </c>
      <c r="F430" s="89" t="s">
        <v>470</v>
      </c>
      <c r="G430" s="73" t="s">
        <v>136</v>
      </c>
      <c r="H430" s="112" t="s">
        <v>61</v>
      </c>
      <c r="I430" s="13" t="s">
        <v>436</v>
      </c>
      <c r="K430" s="186">
        <v>12410.360392159238</v>
      </c>
      <c r="L430" s="187"/>
      <c r="M430" s="214">
        <f>IF(OR(E430="Distribución Legal de la Renta",E430="Acopio carros portaequipajes"),0,IF(K430&lt;0,0,K430*(1+SUMIFS('Insumos - OPEX'!$G$82:$G$238,'Insumos - OPEX'!$B$82:$B$238,OPEX!D430))))</f>
        <v>12956.532857160491</v>
      </c>
      <c r="N430" s="211">
        <f>IF(OR($B430="Ce Co No Imputables",$G430="M2 fijo"),$M430*(1+'Insumos - OPEX'!J$38),$M430*(1+'Insumos - OPEX'!J$29*'Insumos - OPEX'!J$39)*(1+'Insumos - OPEX'!J$38))</f>
        <v>13228.749612489433</v>
      </c>
      <c r="O430" s="211">
        <f>IF(OR($B430="Ce Co No Imputables",$G430="M2 fijo"),$M430*(1+'Insumos - OPEX'!K$38),$M430*(1+'Insumos - OPEX'!K$29*'Insumos - OPEX'!K$39)*(1+'Insumos - OPEX'!K$38))</f>
        <v>13542.403265801557</v>
      </c>
      <c r="P430" s="211">
        <f>IF(OR($B430="Ce Co No Imputables",$G430="M2 fijo"),$M430*(1+'Insumos - OPEX'!L$38),$M430*(1+'Insumos - OPEX'!L$29*'Insumos - OPEX'!L$39)*(1+'Insumos - OPEX'!L$38))</f>
        <v>13831.533575526419</v>
      </c>
      <c r="Q430" s="211">
        <f>IF(OR($B430="Ce Co No Imputables",$G430="M2 fijo"),$M430*(1+'Insumos - OPEX'!M$38),$M430*(1+'Insumos - OPEX'!M$29*'Insumos - OPEX'!M$39)*(1+'Insumos - OPEX'!M$38))</f>
        <v>14129.188178071745</v>
      </c>
      <c r="R430" s="211">
        <f>IF(OR($B430="Ce Co No Imputables",$G430="M2 fijo"),$M430*(1+'Insumos - OPEX'!N$38),$M430*(1+'Insumos - OPEX'!N$29*'Insumos - OPEX'!N$39)*(1+'Insumos - OPEX'!N$38))</f>
        <v>14433.248307663849</v>
      </c>
      <c r="S430" s="111"/>
    </row>
    <row r="431" spans="1:19" x14ac:dyDescent="0.2">
      <c r="A431" s="8"/>
      <c r="B431" s="8" t="s">
        <v>435</v>
      </c>
      <c r="C431" s="8" t="s">
        <v>173</v>
      </c>
      <c r="D431" s="8">
        <v>6348000001</v>
      </c>
      <c r="E431" s="8" t="s">
        <v>402</v>
      </c>
      <c r="F431" s="89" t="s">
        <v>470</v>
      </c>
      <c r="G431" s="73" t="s">
        <v>136</v>
      </c>
      <c r="H431" s="112" t="s">
        <v>61</v>
      </c>
      <c r="I431" s="13" t="s">
        <v>436</v>
      </c>
      <c r="K431" s="186">
        <v>11470.477661440033</v>
      </c>
      <c r="L431" s="187"/>
      <c r="M431" s="214">
        <f>IF(OR(E431="Distribución Legal de la Renta",E431="Acopio carros portaequipajes"),0,IF(K431&lt;0,0,K431*(1+SUMIFS('Insumos - OPEX'!$G$82:$G$238,'Insumos - OPEX'!$B$82:$B$238,OPEX!D431))))</f>
        <v>11975.286455151501</v>
      </c>
      <c r="N431" s="211">
        <f>IF(OR($B431="Ce Co No Imputables",$G431="M2 fijo"),$M431*(1+'Insumos - OPEX'!J$38),$M431*(1+'Insumos - OPEX'!J$29*'Insumos - OPEX'!J$39)*(1+'Insumos - OPEX'!J$38))</f>
        <v>12226.887223574235</v>
      </c>
      <c r="O431" s="211">
        <f>IF(OR($B431="Ce Co No Imputables",$G431="M2 fijo"),$M431*(1+'Insumos - OPEX'!K$38),$M431*(1+'Insumos - OPEX'!K$29*'Insumos - OPEX'!K$39)*(1+'Insumos - OPEX'!K$38))</f>
        <v>12516.786719645179</v>
      </c>
      <c r="P431" s="211">
        <f>IF(OR($B431="Ce Co No Imputables",$G431="M2 fijo"),$M431*(1+'Insumos - OPEX'!L$38),$M431*(1+'Insumos - OPEX'!L$29*'Insumos - OPEX'!L$39)*(1+'Insumos - OPEX'!L$38))</f>
        <v>12784.020116109603</v>
      </c>
      <c r="Q431" s="211">
        <f>IF(OR($B431="Ce Co No Imputables",$G431="M2 fijo"),$M431*(1+'Insumos - OPEX'!M$38),$M431*(1+'Insumos - OPEX'!M$29*'Insumos - OPEX'!M$39)*(1+'Insumos - OPEX'!M$38))</f>
        <v>13059.132229008279</v>
      </c>
      <c r="R431" s="211">
        <f>IF(OR($B431="Ce Co No Imputables",$G431="M2 fijo"),$M431*(1+'Insumos - OPEX'!N$38),$M431*(1+'Insumos - OPEX'!N$29*'Insumos - OPEX'!N$39)*(1+'Insumos - OPEX'!N$38))</f>
        <v>13340.164754576537</v>
      </c>
      <c r="S431" s="111"/>
    </row>
    <row r="432" spans="1:19" x14ac:dyDescent="0.2">
      <c r="A432" s="8"/>
      <c r="B432" s="8" t="s">
        <v>435</v>
      </c>
      <c r="C432" s="8" t="s">
        <v>173</v>
      </c>
      <c r="D432" s="8">
        <v>6341100004</v>
      </c>
      <c r="E432" s="8" t="s">
        <v>400</v>
      </c>
      <c r="F432" s="89" t="s">
        <v>470</v>
      </c>
      <c r="G432" s="73" t="s">
        <v>136</v>
      </c>
      <c r="H432" s="112" t="s">
        <v>61</v>
      </c>
      <c r="I432" s="13" t="s">
        <v>436</v>
      </c>
      <c r="K432" s="186">
        <v>7914.4546822554139</v>
      </c>
      <c r="L432" s="187"/>
      <c r="M432" s="214">
        <f>IF(OR(E432="Distribución Legal de la Renta",E432="Acopio carros portaequipajes"),0,IF(K432&lt;0,0,K432*(1+SUMIFS('Insumos - OPEX'!$G$82:$G$238,'Insumos - OPEX'!$B$82:$B$238,OPEX!D432))))</f>
        <v>8262.7650524908477</v>
      </c>
      <c r="N432" s="211">
        <f>IF(OR($B432="Ce Co No Imputables",$G432="M2 fijo"),$M432*(1+'Insumos - OPEX'!J$38),$M432*(1+'Insumos - OPEX'!J$29*'Insumos - OPEX'!J$39)*(1+'Insumos - OPEX'!J$38))</f>
        <v>8436.3657462436804</v>
      </c>
      <c r="O432" s="211">
        <f>IF(OR($B432="Ce Co No Imputables",$G432="M2 fijo"),$M432*(1+'Insumos - OPEX'!K$38),$M432*(1+'Insumos - OPEX'!K$29*'Insumos - OPEX'!K$39)*(1+'Insumos - OPEX'!K$38))</f>
        <v>8636.3919780871183</v>
      </c>
      <c r="P432" s="211">
        <f>IF(OR($B432="Ce Co No Imputables",$G432="M2 fijo"),$M432*(1+'Insumos - OPEX'!L$38),$M432*(1+'Insumos - OPEX'!L$29*'Insumos - OPEX'!L$39)*(1+'Insumos - OPEX'!L$38))</f>
        <v>8820.7789468192768</v>
      </c>
      <c r="Q432" s="211">
        <f>IF(OR($B432="Ce Co No Imputables",$G432="M2 fijo"),$M432*(1+'Insumos - OPEX'!M$38),$M432*(1+'Insumos - OPEX'!M$29*'Insumos - OPEX'!M$39)*(1+'Insumos - OPEX'!M$38))</f>
        <v>9010.6021097548255</v>
      </c>
      <c r="R432" s="211">
        <f>IF(OR($B432="Ce Co No Imputables",$G432="M2 fijo"),$M432*(1+'Insumos - OPEX'!N$38),$M432*(1+'Insumos - OPEX'!N$29*'Insumos - OPEX'!N$39)*(1+'Insumos - OPEX'!N$38))</f>
        <v>9204.5102671567511</v>
      </c>
      <c r="S432" s="111"/>
    </row>
    <row r="433" spans="1:19" x14ac:dyDescent="0.2">
      <c r="A433" s="8"/>
      <c r="B433" s="8" t="s">
        <v>435</v>
      </c>
      <c r="C433" s="8" t="s">
        <v>173</v>
      </c>
      <c r="D433" s="8">
        <v>6341100003</v>
      </c>
      <c r="E433" s="8" t="s">
        <v>392</v>
      </c>
      <c r="F433" s="89" t="s">
        <v>469</v>
      </c>
      <c r="G433" s="73" t="s">
        <v>136</v>
      </c>
      <c r="H433" s="112" t="s">
        <v>61</v>
      </c>
      <c r="I433" s="13" t="s">
        <v>436</v>
      </c>
      <c r="K433" s="186">
        <v>7895.0899524671522</v>
      </c>
      <c r="L433" s="187"/>
      <c r="M433" s="214">
        <f>IF(OR(E433="Distribución Legal de la Renta",E433="Acopio carros portaequipajes"),0,IF(K433&lt;0,0,K433*(1+SUMIFS('Insumos - OPEX'!$G$82:$G$238,'Insumos - OPEX'!$B$82:$B$238,OPEX!D433))))</f>
        <v>16228.636986430673</v>
      </c>
      <c r="N433" s="211">
        <f>IF(OR($B433="Ce Co No Imputables",$G433="M2 fijo"),$M433*(1+'Insumos - OPEX'!J$38),$M433*(1+'Insumos - OPEX'!J$29*'Insumos - OPEX'!J$39)*(1+'Insumos - OPEX'!J$38))</f>
        <v>16569.600649515582</v>
      </c>
      <c r="O433" s="211">
        <f>IF(OR($B433="Ce Co No Imputables",$G433="M2 fijo"),$M433*(1+'Insumos - OPEX'!K$38),$M433*(1+'Insumos - OPEX'!K$29*'Insumos - OPEX'!K$39)*(1+'Insumos - OPEX'!K$38))</f>
        <v>16962.465880915595</v>
      </c>
      <c r="P433" s="211">
        <f>IF(OR($B433="Ce Co No Imputables",$G433="M2 fijo"),$M433*(1+'Insumos - OPEX'!L$38),$M433*(1+'Insumos - OPEX'!L$29*'Insumos - OPEX'!L$39)*(1+'Insumos - OPEX'!L$38))</f>
        <v>17324.614527473143</v>
      </c>
      <c r="Q433" s="211">
        <f>IF(OR($B433="Ce Co No Imputables",$G433="M2 fijo"),$M433*(1+'Insumos - OPEX'!M$38),$M433*(1+'Insumos - OPEX'!M$29*'Insumos - OPEX'!M$39)*(1+'Insumos - OPEX'!M$38))</f>
        <v>17697.44023210436</v>
      </c>
      <c r="R433" s="211">
        <f>IF(OR($B433="Ce Co No Imputables",$G433="M2 fijo"),$M433*(1+'Insumos - OPEX'!N$38),$M433*(1+'Insumos - OPEX'!N$29*'Insumos - OPEX'!N$39)*(1+'Insumos - OPEX'!N$38))</f>
        <v>18078.289145899245</v>
      </c>
      <c r="S433" s="111"/>
    </row>
    <row r="434" spans="1:19" x14ac:dyDescent="0.2">
      <c r="A434" s="8"/>
      <c r="B434" s="8" t="s">
        <v>435</v>
      </c>
      <c r="C434" s="8" t="s">
        <v>173</v>
      </c>
      <c r="D434" s="8">
        <v>6342000002</v>
      </c>
      <c r="E434" s="8" t="s">
        <v>412</v>
      </c>
      <c r="F434" s="89" t="s">
        <v>470</v>
      </c>
      <c r="G434" s="73" t="s">
        <v>136</v>
      </c>
      <c r="H434" s="112" t="s">
        <v>61</v>
      </c>
      <c r="I434" s="13" t="s">
        <v>436</v>
      </c>
      <c r="K434" s="186">
        <v>6118.6477106439961</v>
      </c>
      <c r="L434" s="187"/>
      <c r="M434" s="214">
        <f>IF(OR(E434="Distribución Legal de la Renta",E434="Acopio carros portaequipajes"),0,IF(K434&lt;0,0,K434*(1+SUMIFS('Insumos - OPEX'!$G$82:$G$238,'Insumos - OPEX'!$B$82:$B$238,OPEX!D434))))</f>
        <v>6387.9257007262213</v>
      </c>
      <c r="N434" s="211">
        <f>IF(OR($B434="Ce Co No Imputables",$G434="M2 fijo"),$M434*(1+'Insumos - OPEX'!J$38),$M434*(1+'Insumos - OPEX'!J$29*'Insumos - OPEX'!J$39)*(1+'Insumos - OPEX'!J$38))</f>
        <v>6522.1360196984788</v>
      </c>
      <c r="O434" s="211">
        <f>IF(OR($B434="Ce Co No Imputables",$G434="M2 fijo"),$M434*(1+'Insumos - OPEX'!K$38),$M434*(1+'Insumos - OPEX'!K$29*'Insumos - OPEX'!K$39)*(1+'Insumos - OPEX'!K$38))</f>
        <v>6676.7758647255296</v>
      </c>
      <c r="P434" s="211">
        <f>IF(OR($B434="Ce Co No Imputables",$G434="M2 fijo"),$M434*(1+'Insumos - OPEX'!L$38),$M434*(1+'Insumos - OPEX'!L$29*'Insumos - OPEX'!L$39)*(1+'Insumos - OPEX'!L$38))</f>
        <v>6819.3250294374193</v>
      </c>
      <c r="Q434" s="211">
        <f>IF(OR($B434="Ce Co No Imputables",$G434="M2 fijo"),$M434*(1+'Insumos - OPEX'!M$38),$M434*(1+'Insumos - OPEX'!M$29*'Insumos - OPEX'!M$39)*(1+'Insumos - OPEX'!M$38))</f>
        <v>6966.076904070911</v>
      </c>
      <c r="R434" s="211">
        <f>IF(OR($B434="Ce Co No Imputables",$G434="M2 fijo"),$M434*(1+'Insumos - OPEX'!N$38),$M434*(1+'Insumos - OPEX'!N$29*'Insumos - OPEX'!N$39)*(1+'Insumos - OPEX'!N$38))</f>
        <v>7115.986879046518</v>
      </c>
      <c r="S434" s="111"/>
    </row>
    <row r="435" spans="1:19" x14ac:dyDescent="0.2">
      <c r="A435" s="8"/>
      <c r="B435" s="8" t="s">
        <v>435</v>
      </c>
      <c r="C435" s="8" t="s">
        <v>173</v>
      </c>
      <c r="D435" s="8">
        <v>6343100002</v>
      </c>
      <c r="E435" s="8" t="s">
        <v>396</v>
      </c>
      <c r="F435" s="89" t="s">
        <v>470</v>
      </c>
      <c r="G435" s="73" t="s">
        <v>136</v>
      </c>
      <c r="H435" s="112" t="s">
        <v>61</v>
      </c>
      <c r="I435" s="13" t="s">
        <v>436</v>
      </c>
      <c r="K435" s="186">
        <v>2033.281669786958</v>
      </c>
      <c r="L435" s="187"/>
      <c r="M435" s="214">
        <f>IF(OR(E435="Distribución Legal de la Renta",E435="Acopio carros portaequipajes"),0,IF(K435&lt;0,0,K435*(1+SUMIFS('Insumos - OPEX'!$G$82:$G$238,'Insumos - OPEX'!$B$82:$B$238,OPEX!D435))))</f>
        <v>2122.7651679721534</v>
      </c>
      <c r="N435" s="211">
        <f>IF(OR($B435="Ce Co No Imputables",$G435="M2 fijo"),$M435*(1+'Insumos - OPEX'!J$38),$M435*(1+'Insumos - OPEX'!J$29*'Insumos - OPEX'!J$39)*(1+'Insumos - OPEX'!J$38))</f>
        <v>2167.3644641512483</v>
      </c>
      <c r="O435" s="211">
        <f>IF(OR($B435="Ce Co No Imputables",$G435="M2 fijo"),$M435*(1+'Insumos - OPEX'!K$38),$M435*(1+'Insumos - OPEX'!K$29*'Insumos - OPEX'!K$39)*(1+'Insumos - OPEX'!K$38))</f>
        <v>2218.7526755962745</v>
      </c>
      <c r="P435" s="211">
        <f>IF(OR($B435="Ce Co No Imputables",$G435="M2 fijo"),$M435*(1+'Insumos - OPEX'!L$38),$M435*(1+'Insumos - OPEX'!L$29*'Insumos - OPEX'!L$39)*(1+'Insumos - OPEX'!L$38))</f>
        <v>2266.1230452202544</v>
      </c>
      <c r="Q435" s="211">
        <f>IF(OR($B435="Ce Co No Imputables",$G435="M2 fijo"),$M435*(1+'Insumos - OPEX'!M$38),$M435*(1+'Insumos - OPEX'!M$29*'Insumos - OPEX'!M$39)*(1+'Insumos - OPEX'!M$38))</f>
        <v>2314.8900131533942</v>
      </c>
      <c r="R435" s="211">
        <f>IF(OR($B435="Ce Co No Imputables",$G435="M2 fijo"),$M435*(1+'Insumos - OPEX'!N$38),$M435*(1+'Insumos - OPEX'!N$29*'Insumos - OPEX'!N$39)*(1+'Insumos - OPEX'!N$38))</f>
        <v>2364.7064462364551</v>
      </c>
      <c r="S435" s="111"/>
    </row>
    <row r="436" spans="1:19" x14ac:dyDescent="0.2">
      <c r="A436" s="8"/>
      <c r="B436" s="8" t="s">
        <v>435</v>
      </c>
      <c r="C436" s="8" t="s">
        <v>173</v>
      </c>
      <c r="D436" s="8">
        <v>6343100001</v>
      </c>
      <c r="E436" s="8" t="s">
        <v>397</v>
      </c>
      <c r="F436" s="89" t="s">
        <v>470</v>
      </c>
      <c r="G436" s="73" t="s">
        <v>136</v>
      </c>
      <c r="H436" s="112" t="s">
        <v>61</v>
      </c>
      <c r="I436" s="13" t="s">
        <v>436</v>
      </c>
      <c r="K436" s="186">
        <v>1206.5021666296852</v>
      </c>
      <c r="L436" s="187"/>
      <c r="M436" s="214">
        <f>IF(OR(E436="Distribución Legal de la Renta",E436="Acopio carros portaequipajes"),0,IF(K436&lt;0,0,K436*(1+SUMIFS('Insumos - OPEX'!$G$82:$G$238,'Insumos - OPEX'!$B$82:$B$238,OPEX!D436))))</f>
        <v>1259.5995982557492</v>
      </c>
      <c r="N436" s="211">
        <f>IF(OR($B436="Ce Co No Imputables",$G436="M2 fijo"),$M436*(1+'Insumos - OPEX'!J$38),$M436*(1+'Insumos - OPEX'!J$29*'Insumos - OPEX'!J$39)*(1+'Insumos - OPEX'!J$38))</f>
        <v>1286.0637858151024</v>
      </c>
      <c r="O436" s="211">
        <f>IF(OR($B436="Ce Co No Imputables",$G436="M2 fijo"),$M436*(1+'Insumos - OPEX'!K$38),$M436*(1+'Insumos - OPEX'!K$29*'Insumos - OPEX'!K$39)*(1+'Insumos - OPEX'!K$38))</f>
        <v>1316.5563581767785</v>
      </c>
      <c r="P436" s="211">
        <f>IF(OR($B436="Ce Co No Imputables",$G436="M2 fijo"),$M436*(1+'Insumos - OPEX'!L$38),$M436*(1+'Insumos - OPEX'!L$29*'Insumos - OPEX'!L$39)*(1+'Insumos - OPEX'!L$38))</f>
        <v>1344.6648364238526</v>
      </c>
      <c r="Q436" s="211">
        <f>IF(OR($B436="Ce Co No Imputables",$G436="M2 fijo"),$M436*(1+'Insumos - OPEX'!M$38),$M436*(1+'Insumos - OPEX'!M$29*'Insumos - OPEX'!M$39)*(1+'Insumos - OPEX'!M$38))</f>
        <v>1373.6020237036937</v>
      </c>
      <c r="R436" s="211">
        <f>IF(OR($B436="Ce Co No Imputables",$G436="M2 fijo"),$M436*(1+'Insumos - OPEX'!N$38),$M436*(1+'Insumos - OPEX'!N$29*'Insumos - OPEX'!N$39)*(1+'Insumos - OPEX'!N$38))</f>
        <v>1403.1619392537973</v>
      </c>
      <c r="S436" s="111"/>
    </row>
    <row r="437" spans="1:19" x14ac:dyDescent="0.2">
      <c r="A437" s="8"/>
      <c r="B437" s="8" t="s">
        <v>435</v>
      </c>
      <c r="C437" s="8" t="s">
        <v>173</v>
      </c>
      <c r="D437" s="8">
        <v>6343100015</v>
      </c>
      <c r="E437" s="8" t="s">
        <v>401</v>
      </c>
      <c r="F437" s="89" t="s">
        <v>470</v>
      </c>
      <c r="G437" s="73" t="s">
        <v>136</v>
      </c>
      <c r="H437" s="112" t="s">
        <v>61</v>
      </c>
      <c r="I437" s="13" t="s">
        <v>436</v>
      </c>
      <c r="J437" s="11"/>
      <c r="K437" s="186">
        <v>995.62593893829705</v>
      </c>
      <c r="L437" s="187"/>
      <c r="M437" s="214">
        <f>IF(OR(E437="Distribución Legal de la Renta",E437="Acopio carros portaequipajes"),0,IF(K437&lt;0,0,K437*(1+SUMIFS('Insumos - OPEX'!$G$82:$G$238,'Insumos - OPEX'!$B$82:$B$238,OPEX!D437))))</f>
        <v>1039.4428351529045</v>
      </c>
      <c r="N437" s="211">
        <f>IF(OR($B437="Ce Co No Imputables",$G437="M2 fijo"),$M437*(1+'Insumos - OPEX'!J$38),$M437*(1+'Insumos - OPEX'!J$29*'Insumos - OPEX'!J$39)*(1+'Insumos - OPEX'!J$38))</f>
        <v>1061.281529119467</v>
      </c>
      <c r="O437" s="211">
        <f>IF(OR($B437="Ce Co No Imputables",$G437="M2 fijo"),$M437*(1+'Insumos - OPEX'!K$38),$M437*(1+'Insumos - OPEX'!K$29*'Insumos - OPEX'!K$39)*(1+'Insumos - OPEX'!K$38))</f>
        <v>1086.4445141748895</v>
      </c>
      <c r="P437" s="211">
        <f>IF(OR($B437="Ce Co No Imputables",$G437="M2 fijo"),$M437*(1+'Insumos - OPEX'!L$38),$M437*(1+'Insumos - OPEX'!L$29*'Insumos - OPEX'!L$39)*(1+'Insumos - OPEX'!L$38))</f>
        <v>1109.6401045525233</v>
      </c>
      <c r="Q437" s="211">
        <f>IF(OR($B437="Ce Co No Imputables",$G437="M2 fijo"),$M437*(1+'Insumos - OPEX'!M$38),$M437*(1+'Insumos - OPEX'!M$29*'Insumos - OPEX'!M$39)*(1+'Insumos - OPEX'!M$38))</f>
        <v>1133.5195596024935</v>
      </c>
      <c r="R437" s="211">
        <f>IF(OR($B437="Ce Co No Imputables",$G437="M2 fijo"),$M437*(1+'Insumos - OPEX'!N$38),$M437*(1+'Insumos - OPEX'!N$29*'Insumos - OPEX'!N$39)*(1+'Insumos - OPEX'!N$38))</f>
        <v>1157.9129005251391</v>
      </c>
      <c r="S437" s="111"/>
    </row>
    <row r="438" spans="1:19" x14ac:dyDescent="0.2">
      <c r="A438" s="8"/>
      <c r="B438" s="8" t="s">
        <v>435</v>
      </c>
      <c r="C438" s="8" t="s">
        <v>173</v>
      </c>
      <c r="D438" s="8">
        <v>6342000001</v>
      </c>
      <c r="E438" s="8" t="s">
        <v>410</v>
      </c>
      <c r="F438" s="89" t="s">
        <v>470</v>
      </c>
      <c r="G438" s="73" t="s">
        <v>136</v>
      </c>
      <c r="H438" s="112" t="s">
        <v>61</v>
      </c>
      <c r="I438" s="13" t="s">
        <v>436</v>
      </c>
      <c r="K438" s="186">
        <v>866.84096705057402</v>
      </c>
      <c r="L438" s="187"/>
      <c r="M438" s="214">
        <f>IF(OR(E438="Distribución Legal de la Renta",E438="Acopio carros portaequipajes"),0,IF(K438&lt;0,0,K438*(1+SUMIFS('Insumos - OPEX'!$G$82:$G$238,'Insumos - OPEX'!$B$82:$B$238,OPEX!D438))))</f>
        <v>904.99011443852578</v>
      </c>
      <c r="N438" s="211">
        <f>IF(OR($B438="Ce Co No Imputables",$G438="M2 fijo"),$M438*(1+'Insumos - OPEX'!J$38),$M438*(1+'Insumos - OPEX'!J$29*'Insumos - OPEX'!J$39)*(1+'Insumos - OPEX'!J$38))</f>
        <v>924.00395674287915</v>
      </c>
      <c r="O438" s="211">
        <f>IF(OR($B438="Ce Co No Imputables",$G438="M2 fijo"),$M438*(1+'Insumos - OPEX'!K$38),$M438*(1+'Insumos - OPEX'!K$29*'Insumos - OPEX'!K$39)*(1+'Insumos - OPEX'!K$38))</f>
        <v>945.91209055725278</v>
      </c>
      <c r="P438" s="211">
        <f>IF(OR($B438="Ce Co No Imputables",$G438="M2 fijo"),$M438*(1+'Insumos - OPEX'!L$38),$M438*(1+'Insumos - OPEX'!L$29*'Insumos - OPEX'!L$39)*(1+'Insumos - OPEX'!L$38))</f>
        <v>966.10731369065013</v>
      </c>
      <c r="Q438" s="211">
        <f>IF(OR($B438="Ce Co No Imputables",$G438="M2 fijo"),$M438*(1+'Insumos - OPEX'!M$38),$M438*(1+'Insumos - OPEX'!M$29*'Insumos - OPEX'!M$39)*(1+'Insumos - OPEX'!M$38))</f>
        <v>986.89794308127273</v>
      </c>
      <c r="R438" s="211">
        <f>IF(OR($B438="Ce Co No Imputables",$G438="M2 fijo"),$M438*(1+'Insumos - OPEX'!N$38),$M438*(1+'Insumos - OPEX'!N$29*'Insumos - OPEX'!N$39)*(1+'Insumos - OPEX'!N$38))</f>
        <v>1008.1359868163818</v>
      </c>
      <c r="S438" s="111"/>
    </row>
    <row r="439" spans="1:19" x14ac:dyDescent="0.2">
      <c r="A439" s="8"/>
      <c r="B439" s="8" t="s">
        <v>435</v>
      </c>
      <c r="C439" s="8" t="s">
        <v>173</v>
      </c>
      <c r="D439" s="8">
        <v>6343100010</v>
      </c>
      <c r="E439" s="8" t="s">
        <v>420</v>
      </c>
      <c r="F439" s="89" t="s">
        <v>470</v>
      </c>
      <c r="G439" s="73" t="s">
        <v>136</v>
      </c>
      <c r="H439" s="112" t="s">
        <v>61</v>
      </c>
      <c r="I439" s="13" t="s">
        <v>436</v>
      </c>
      <c r="J439" s="40"/>
      <c r="K439" s="186">
        <v>0</v>
      </c>
      <c r="L439" s="187"/>
      <c r="M439" s="214">
        <f>IF(OR(E439="Distribución Legal de la Renta",E439="Acopio carros portaequipajes"),0,IF(K439&lt;0,0,K439*(1+SUMIFS('Insumos - OPEX'!$G$82:$G$238,'Insumos - OPEX'!$B$82:$B$238,OPEX!D439))))</f>
        <v>0</v>
      </c>
      <c r="N439" s="211">
        <f>IF(OR($B439="Ce Co No Imputables",$G439="M2 fijo"),$M439*(1+'Insumos - OPEX'!J$38),$M439*(1+'Insumos - OPEX'!J$29*'Insumos - OPEX'!J$39)*(1+'Insumos - OPEX'!J$38))</f>
        <v>0</v>
      </c>
      <c r="O439" s="211">
        <f>IF(OR($B439="Ce Co No Imputables",$G439="M2 fijo"),$M439*(1+'Insumos - OPEX'!K$38),$M439*(1+'Insumos - OPEX'!K$29*'Insumos - OPEX'!K$39)*(1+'Insumos - OPEX'!K$38))</f>
        <v>0</v>
      </c>
      <c r="P439" s="211">
        <f>IF(OR($B439="Ce Co No Imputables",$G439="M2 fijo"),$M439*(1+'Insumos - OPEX'!L$38),$M439*(1+'Insumos - OPEX'!L$29*'Insumos - OPEX'!L$39)*(1+'Insumos - OPEX'!L$38))</f>
        <v>0</v>
      </c>
      <c r="Q439" s="211">
        <f>IF(OR($B439="Ce Co No Imputables",$G439="M2 fijo"),$M439*(1+'Insumos - OPEX'!M$38),$M439*(1+'Insumos - OPEX'!M$29*'Insumos - OPEX'!M$39)*(1+'Insumos - OPEX'!M$38))</f>
        <v>0</v>
      </c>
      <c r="R439" s="211">
        <f>IF(OR($B439="Ce Co No Imputables",$G439="M2 fijo"),$M439*(1+'Insumos - OPEX'!N$38),$M439*(1+'Insumos - OPEX'!N$29*'Insumos - OPEX'!N$39)*(1+'Insumos - OPEX'!N$38))</f>
        <v>0</v>
      </c>
      <c r="S439" s="111"/>
    </row>
    <row r="440" spans="1:19" x14ac:dyDescent="0.2">
      <c r="A440" s="8"/>
      <c r="B440" s="8" t="s">
        <v>435</v>
      </c>
      <c r="C440" s="8" t="s">
        <v>173</v>
      </c>
      <c r="D440" s="8">
        <v>6346000001</v>
      </c>
      <c r="E440" s="8" t="s">
        <v>421</v>
      </c>
      <c r="F440" s="89" t="s">
        <v>470</v>
      </c>
      <c r="G440" s="73" t="s">
        <v>136</v>
      </c>
      <c r="H440" s="112" t="s">
        <v>61</v>
      </c>
      <c r="I440" s="13" t="s">
        <v>436</v>
      </c>
      <c r="K440" s="186">
        <v>0</v>
      </c>
      <c r="L440" s="187"/>
      <c r="M440" s="214">
        <f>IF(OR(E440="Distribución Legal de la Renta",E440="Acopio carros portaequipajes"),0,IF(K440&lt;0,0,K440*(1+SUMIFS('Insumos - OPEX'!$G$82:$G$238,'Insumos - OPEX'!$B$82:$B$238,OPEX!D440))))</f>
        <v>0</v>
      </c>
      <c r="N440" s="211">
        <f>IF(OR($B440="Ce Co No Imputables",$G440="M2 fijo"),$M440*(1+'Insumos - OPEX'!J$38),$M440*(1+'Insumos - OPEX'!J$29*'Insumos - OPEX'!J$39)*(1+'Insumos - OPEX'!J$38))</f>
        <v>0</v>
      </c>
      <c r="O440" s="211">
        <f>IF(OR($B440="Ce Co No Imputables",$G440="M2 fijo"),$M440*(1+'Insumos - OPEX'!K$38),$M440*(1+'Insumos - OPEX'!K$29*'Insumos - OPEX'!K$39)*(1+'Insumos - OPEX'!K$38))</f>
        <v>0</v>
      </c>
      <c r="P440" s="211">
        <f>IF(OR($B440="Ce Co No Imputables",$G440="M2 fijo"),$M440*(1+'Insumos - OPEX'!L$38),$M440*(1+'Insumos - OPEX'!L$29*'Insumos - OPEX'!L$39)*(1+'Insumos - OPEX'!L$38))</f>
        <v>0</v>
      </c>
      <c r="Q440" s="211">
        <f>IF(OR($B440="Ce Co No Imputables",$G440="M2 fijo"),$M440*(1+'Insumos - OPEX'!M$38),$M440*(1+'Insumos - OPEX'!M$29*'Insumos - OPEX'!M$39)*(1+'Insumos - OPEX'!M$38))</f>
        <v>0</v>
      </c>
      <c r="R440" s="211">
        <f>IF(OR($B440="Ce Co No Imputables",$G440="M2 fijo"),$M440*(1+'Insumos - OPEX'!N$38),$M440*(1+'Insumos - OPEX'!N$29*'Insumos - OPEX'!N$39)*(1+'Insumos - OPEX'!N$38))</f>
        <v>0</v>
      </c>
      <c r="S440" s="111"/>
    </row>
    <row r="441" spans="1:19" x14ac:dyDescent="0.2">
      <c r="A441" s="8"/>
      <c r="B441" s="8" t="s">
        <v>435</v>
      </c>
      <c r="C441" s="8" t="s">
        <v>173</v>
      </c>
      <c r="D441" s="8">
        <v>6341100005</v>
      </c>
      <c r="E441" s="8" t="s">
        <v>411</v>
      </c>
      <c r="F441" s="89" t="s">
        <v>470</v>
      </c>
      <c r="G441" s="73" t="s">
        <v>136</v>
      </c>
      <c r="H441" s="112" t="s">
        <v>61</v>
      </c>
      <c r="I441" s="13" t="s">
        <v>436</v>
      </c>
      <c r="K441" s="186">
        <v>0</v>
      </c>
      <c r="L441" s="187"/>
      <c r="M441" s="214">
        <f>IF(OR(E441="Distribución Legal de la Renta",E441="Acopio carros portaequipajes"),0,IF(K441&lt;0,0,K441*(1+SUMIFS('Insumos - OPEX'!$G$82:$G$238,'Insumos - OPEX'!$B$82:$B$238,OPEX!D441))))</f>
        <v>0</v>
      </c>
      <c r="N441" s="211">
        <f>IF(OR($B441="Ce Co No Imputables",$G441="M2 fijo"),$M441*(1+'Insumos - OPEX'!J$38),$M441*(1+'Insumos - OPEX'!J$29*'Insumos - OPEX'!J$39)*(1+'Insumos - OPEX'!J$38))</f>
        <v>0</v>
      </c>
      <c r="O441" s="211">
        <f>IF(OR($B441="Ce Co No Imputables",$G441="M2 fijo"),$M441*(1+'Insumos - OPEX'!K$38),$M441*(1+'Insumos - OPEX'!K$29*'Insumos - OPEX'!K$39)*(1+'Insumos - OPEX'!K$38))</f>
        <v>0</v>
      </c>
      <c r="P441" s="211">
        <f>IF(OR($B441="Ce Co No Imputables",$G441="M2 fijo"),$M441*(1+'Insumos - OPEX'!L$38),$M441*(1+'Insumos - OPEX'!L$29*'Insumos - OPEX'!L$39)*(1+'Insumos - OPEX'!L$38))</f>
        <v>0</v>
      </c>
      <c r="Q441" s="211">
        <f>IF(OR($B441="Ce Co No Imputables",$G441="M2 fijo"),$M441*(1+'Insumos - OPEX'!M$38),$M441*(1+'Insumos - OPEX'!M$29*'Insumos - OPEX'!M$39)*(1+'Insumos - OPEX'!M$38))</f>
        <v>0</v>
      </c>
      <c r="R441" s="211">
        <f>IF(OR($B441="Ce Co No Imputables",$G441="M2 fijo"),$M441*(1+'Insumos - OPEX'!N$38),$M441*(1+'Insumos - OPEX'!N$29*'Insumos - OPEX'!N$39)*(1+'Insumos - OPEX'!N$38))</f>
        <v>0</v>
      </c>
      <c r="S441" s="111"/>
    </row>
    <row r="442" spans="1:19" x14ac:dyDescent="0.2">
      <c r="A442" s="8"/>
      <c r="B442" s="8" t="s">
        <v>435</v>
      </c>
      <c r="C442" s="8" t="s">
        <v>173</v>
      </c>
      <c r="D442" s="8">
        <v>6343100012</v>
      </c>
      <c r="E442" s="8" t="s">
        <v>423</v>
      </c>
      <c r="F442" s="89" t="s">
        <v>470</v>
      </c>
      <c r="G442" s="73" t="s">
        <v>136</v>
      </c>
      <c r="H442" s="112" t="s">
        <v>61</v>
      </c>
      <c r="I442" s="13" t="s">
        <v>436</v>
      </c>
      <c r="K442" s="186">
        <v>0</v>
      </c>
      <c r="L442" s="187"/>
      <c r="M442" s="214">
        <f>IF(OR(E442="Distribución Legal de la Renta",E442="Acopio carros portaequipajes"),0,IF(K442&lt;0,0,K442*(1+SUMIFS('Insumos - OPEX'!$G$82:$G$238,'Insumos - OPEX'!$B$82:$B$238,OPEX!D442))))</f>
        <v>0</v>
      </c>
      <c r="N442" s="211">
        <f>IF(OR($B442="Ce Co No Imputables",$G442="M2 fijo"),$M442*(1+'Insumos - OPEX'!J$38),$M442*(1+'Insumos - OPEX'!J$29*'Insumos - OPEX'!J$39)*(1+'Insumos - OPEX'!J$38))</f>
        <v>0</v>
      </c>
      <c r="O442" s="211">
        <f>IF(OR($B442="Ce Co No Imputables",$G442="M2 fijo"),$M442*(1+'Insumos - OPEX'!K$38),$M442*(1+'Insumos - OPEX'!K$29*'Insumos - OPEX'!K$39)*(1+'Insumos - OPEX'!K$38))</f>
        <v>0</v>
      </c>
      <c r="P442" s="211">
        <f>IF(OR($B442="Ce Co No Imputables",$G442="M2 fijo"),$M442*(1+'Insumos - OPEX'!L$38),$M442*(1+'Insumos - OPEX'!L$29*'Insumos - OPEX'!L$39)*(1+'Insumos - OPEX'!L$38))</f>
        <v>0</v>
      </c>
      <c r="Q442" s="211">
        <f>IF(OR($B442="Ce Co No Imputables",$G442="M2 fijo"),$M442*(1+'Insumos - OPEX'!M$38),$M442*(1+'Insumos - OPEX'!M$29*'Insumos - OPEX'!M$39)*(1+'Insumos - OPEX'!M$38))</f>
        <v>0</v>
      </c>
      <c r="R442" s="211">
        <f>IF(OR($B442="Ce Co No Imputables",$G442="M2 fijo"),$M442*(1+'Insumos - OPEX'!N$38),$M442*(1+'Insumos - OPEX'!N$29*'Insumos - OPEX'!N$39)*(1+'Insumos - OPEX'!N$38))</f>
        <v>0</v>
      </c>
      <c r="S442" s="111"/>
    </row>
    <row r="443" spans="1:19" x14ac:dyDescent="0.2">
      <c r="A443" s="8"/>
      <c r="B443" s="8" t="s">
        <v>435</v>
      </c>
      <c r="C443" s="8" t="s">
        <v>173</v>
      </c>
      <c r="D443" s="8">
        <v>6343100003</v>
      </c>
      <c r="E443" s="8" t="s">
        <v>406</v>
      </c>
      <c r="F443" s="89" t="s">
        <v>470</v>
      </c>
      <c r="G443" s="73" t="s">
        <v>136</v>
      </c>
      <c r="H443" s="112" t="s">
        <v>61</v>
      </c>
      <c r="I443" s="13" t="s">
        <v>436</v>
      </c>
      <c r="K443" s="186">
        <v>0</v>
      </c>
      <c r="L443" s="187"/>
      <c r="M443" s="214">
        <f>IF(OR(E443="Distribución Legal de la Renta",E443="Acopio carros portaequipajes"),0,IF(K443&lt;0,0,K443*(1+SUMIFS('Insumos - OPEX'!$G$82:$G$238,'Insumos - OPEX'!$B$82:$B$238,OPEX!D443))))</f>
        <v>0</v>
      </c>
      <c r="N443" s="211">
        <f>IF(OR($B443="Ce Co No Imputables",$G443="M2 fijo"),$M443*(1+'Insumos - OPEX'!J$38),$M443*(1+'Insumos - OPEX'!J$29*'Insumos - OPEX'!J$39)*(1+'Insumos - OPEX'!J$38))</f>
        <v>0</v>
      </c>
      <c r="O443" s="211">
        <f>IF(OR($B443="Ce Co No Imputables",$G443="M2 fijo"),$M443*(1+'Insumos - OPEX'!K$38),$M443*(1+'Insumos - OPEX'!K$29*'Insumos - OPEX'!K$39)*(1+'Insumos - OPEX'!K$38))</f>
        <v>0</v>
      </c>
      <c r="P443" s="211">
        <f>IF(OR($B443="Ce Co No Imputables",$G443="M2 fijo"),$M443*(1+'Insumos - OPEX'!L$38),$M443*(1+'Insumos - OPEX'!L$29*'Insumos - OPEX'!L$39)*(1+'Insumos - OPEX'!L$38))</f>
        <v>0</v>
      </c>
      <c r="Q443" s="211">
        <f>IF(OR($B443="Ce Co No Imputables",$G443="M2 fijo"),$M443*(1+'Insumos - OPEX'!M$38),$M443*(1+'Insumos - OPEX'!M$29*'Insumos - OPEX'!M$39)*(1+'Insumos - OPEX'!M$38))</f>
        <v>0</v>
      </c>
      <c r="R443" s="211">
        <f>IF(OR($B443="Ce Co No Imputables",$G443="M2 fijo"),$M443*(1+'Insumos - OPEX'!N$38),$M443*(1+'Insumos - OPEX'!N$29*'Insumos - OPEX'!N$39)*(1+'Insumos - OPEX'!N$38))</f>
        <v>0</v>
      </c>
      <c r="S443" s="111"/>
    </row>
    <row r="444" spans="1:19" x14ac:dyDescent="0.2">
      <c r="A444" s="8"/>
      <c r="B444" s="8" t="s">
        <v>435</v>
      </c>
      <c r="C444" s="8" t="s">
        <v>173</v>
      </c>
      <c r="D444" s="8">
        <v>6343100009</v>
      </c>
      <c r="E444" s="8" t="s">
        <v>418</v>
      </c>
      <c r="F444" s="89" t="s">
        <v>470</v>
      </c>
      <c r="G444" s="73" t="s">
        <v>136</v>
      </c>
      <c r="H444" s="112" t="s">
        <v>61</v>
      </c>
      <c r="I444" s="13" t="s">
        <v>436</v>
      </c>
      <c r="K444" s="186">
        <v>0</v>
      </c>
      <c r="L444" s="187"/>
      <c r="M444" s="214">
        <f>IF(OR(E444="Distribución Legal de la Renta",E444="Acopio carros portaequipajes"),0,IF(K444&lt;0,0,K444*(1+SUMIFS('Insumos - OPEX'!$G$82:$G$238,'Insumos - OPEX'!$B$82:$B$238,OPEX!D444))))</f>
        <v>0</v>
      </c>
      <c r="N444" s="211">
        <f>IF(OR($B444="Ce Co No Imputables",$G444="M2 fijo"),$M444*(1+'Insumos - OPEX'!J$38),$M444*(1+'Insumos - OPEX'!J$29*'Insumos - OPEX'!J$39)*(1+'Insumos - OPEX'!J$38))</f>
        <v>0</v>
      </c>
      <c r="O444" s="211">
        <f>IF(OR($B444="Ce Co No Imputables",$G444="M2 fijo"),$M444*(1+'Insumos - OPEX'!K$38),$M444*(1+'Insumos - OPEX'!K$29*'Insumos - OPEX'!K$39)*(1+'Insumos - OPEX'!K$38))</f>
        <v>0</v>
      </c>
      <c r="P444" s="211">
        <f>IF(OR($B444="Ce Co No Imputables",$G444="M2 fijo"),$M444*(1+'Insumos - OPEX'!L$38),$M444*(1+'Insumos - OPEX'!L$29*'Insumos - OPEX'!L$39)*(1+'Insumos - OPEX'!L$38))</f>
        <v>0</v>
      </c>
      <c r="Q444" s="211">
        <f>IF(OR($B444="Ce Co No Imputables",$G444="M2 fijo"),$M444*(1+'Insumos - OPEX'!M$38),$M444*(1+'Insumos - OPEX'!M$29*'Insumos - OPEX'!M$39)*(1+'Insumos - OPEX'!M$38))</f>
        <v>0</v>
      </c>
      <c r="R444" s="211">
        <f>IF(OR($B444="Ce Co No Imputables",$G444="M2 fijo"),$M444*(1+'Insumos - OPEX'!N$38),$M444*(1+'Insumos - OPEX'!N$29*'Insumos - OPEX'!N$39)*(1+'Insumos - OPEX'!N$38))</f>
        <v>0</v>
      </c>
      <c r="S444" s="111"/>
    </row>
    <row r="445" spans="1:19" x14ac:dyDescent="0.2">
      <c r="A445" s="8"/>
      <c r="B445" s="8" t="s">
        <v>435</v>
      </c>
      <c r="C445" s="8" t="s">
        <v>173</v>
      </c>
      <c r="D445" s="8">
        <v>6343100014</v>
      </c>
      <c r="E445" s="8" t="s">
        <v>413</v>
      </c>
      <c r="F445" s="89" t="s">
        <v>470</v>
      </c>
      <c r="G445" s="73" t="s">
        <v>136</v>
      </c>
      <c r="H445" s="112" t="s">
        <v>61</v>
      </c>
      <c r="I445" s="13" t="s">
        <v>436</v>
      </c>
      <c r="K445" s="186">
        <v>0</v>
      </c>
      <c r="L445" s="187"/>
      <c r="M445" s="214">
        <f>IF(OR(E445="Distribución Legal de la Renta",E445="Acopio carros portaequipajes"),0,IF(K445&lt;0,0,K445*(1+SUMIFS('Insumos - OPEX'!$G$82:$G$238,'Insumos - OPEX'!$B$82:$B$238,OPEX!D445))))</f>
        <v>0</v>
      </c>
      <c r="N445" s="211">
        <f>IF(OR($B445="Ce Co No Imputables",$G445="M2 fijo"),$M445*(1+'Insumos - OPEX'!J$38),$M445*(1+'Insumos - OPEX'!J$29*'Insumos - OPEX'!J$39)*(1+'Insumos - OPEX'!J$38))</f>
        <v>0</v>
      </c>
      <c r="O445" s="211">
        <f>IF(OR($B445="Ce Co No Imputables",$G445="M2 fijo"),$M445*(1+'Insumos - OPEX'!K$38),$M445*(1+'Insumos - OPEX'!K$29*'Insumos - OPEX'!K$39)*(1+'Insumos - OPEX'!K$38))</f>
        <v>0</v>
      </c>
      <c r="P445" s="211">
        <f>IF(OR($B445="Ce Co No Imputables",$G445="M2 fijo"),$M445*(1+'Insumos - OPEX'!L$38),$M445*(1+'Insumos - OPEX'!L$29*'Insumos - OPEX'!L$39)*(1+'Insumos - OPEX'!L$38))</f>
        <v>0</v>
      </c>
      <c r="Q445" s="211">
        <f>IF(OR($B445="Ce Co No Imputables",$G445="M2 fijo"),$M445*(1+'Insumos - OPEX'!M$38),$M445*(1+'Insumos - OPEX'!M$29*'Insumos - OPEX'!M$39)*(1+'Insumos - OPEX'!M$38))</f>
        <v>0</v>
      </c>
      <c r="R445" s="211">
        <f>IF(OR($B445="Ce Co No Imputables",$G445="M2 fijo"),$M445*(1+'Insumos - OPEX'!N$38),$M445*(1+'Insumos - OPEX'!N$29*'Insumos - OPEX'!N$39)*(1+'Insumos - OPEX'!N$38))</f>
        <v>0</v>
      </c>
      <c r="S445" s="111"/>
    </row>
    <row r="446" spans="1:19" x14ac:dyDescent="0.2">
      <c r="A446" s="8"/>
      <c r="B446" s="8" t="s">
        <v>435</v>
      </c>
      <c r="C446" s="8" t="s">
        <v>173</v>
      </c>
      <c r="D446" s="8">
        <v>6343100011</v>
      </c>
      <c r="E446" s="8" t="s">
        <v>422</v>
      </c>
      <c r="F446" s="89" t="s">
        <v>470</v>
      </c>
      <c r="G446" s="73" t="s">
        <v>136</v>
      </c>
      <c r="H446" s="112" t="s">
        <v>61</v>
      </c>
      <c r="I446" s="13" t="s">
        <v>436</v>
      </c>
      <c r="K446" s="186">
        <v>0</v>
      </c>
      <c r="L446" s="187"/>
      <c r="M446" s="214">
        <f>IF(OR(E446="Distribución Legal de la Renta",E446="Acopio carros portaequipajes"),0,IF(K446&lt;0,0,K446*(1+SUMIFS('Insumos - OPEX'!$G$82:$G$238,'Insumos - OPEX'!$B$82:$B$238,OPEX!D446))))</f>
        <v>0</v>
      </c>
      <c r="N446" s="211">
        <f>IF(OR($B446="Ce Co No Imputables",$G446="M2 fijo"),$M446*(1+'Insumos - OPEX'!J$38),$M446*(1+'Insumos - OPEX'!J$29*'Insumos - OPEX'!J$39)*(1+'Insumos - OPEX'!J$38))</f>
        <v>0</v>
      </c>
      <c r="O446" s="211">
        <f>IF(OR($B446="Ce Co No Imputables",$G446="M2 fijo"),$M446*(1+'Insumos - OPEX'!K$38),$M446*(1+'Insumos - OPEX'!K$29*'Insumos - OPEX'!K$39)*(1+'Insumos - OPEX'!K$38))</f>
        <v>0</v>
      </c>
      <c r="P446" s="211">
        <f>IF(OR($B446="Ce Co No Imputables",$G446="M2 fijo"),$M446*(1+'Insumos - OPEX'!L$38),$M446*(1+'Insumos - OPEX'!L$29*'Insumos - OPEX'!L$39)*(1+'Insumos - OPEX'!L$38))</f>
        <v>0</v>
      </c>
      <c r="Q446" s="211">
        <f>IF(OR($B446="Ce Co No Imputables",$G446="M2 fijo"),$M446*(1+'Insumos - OPEX'!M$38),$M446*(1+'Insumos - OPEX'!M$29*'Insumos - OPEX'!M$39)*(1+'Insumos - OPEX'!M$38))</f>
        <v>0</v>
      </c>
      <c r="R446" s="211">
        <f>IF(OR($B446="Ce Co No Imputables",$G446="M2 fijo"),$M446*(1+'Insumos - OPEX'!N$38),$M446*(1+'Insumos - OPEX'!N$29*'Insumos - OPEX'!N$39)*(1+'Insumos - OPEX'!N$38))</f>
        <v>0</v>
      </c>
      <c r="S446" s="111"/>
    </row>
    <row r="447" spans="1:19" x14ac:dyDescent="0.2">
      <c r="A447" s="8"/>
      <c r="B447" s="8" t="s">
        <v>435</v>
      </c>
      <c r="C447" s="8" t="s">
        <v>173</v>
      </c>
      <c r="D447" s="8">
        <v>6343100016</v>
      </c>
      <c r="E447" s="8" t="s">
        <v>415</v>
      </c>
      <c r="F447" s="89" t="s">
        <v>470</v>
      </c>
      <c r="G447" s="73" t="s">
        <v>136</v>
      </c>
      <c r="H447" s="112" t="s">
        <v>61</v>
      </c>
      <c r="I447" s="13" t="s">
        <v>436</v>
      </c>
      <c r="K447" s="186">
        <v>0</v>
      </c>
      <c r="L447" s="187"/>
      <c r="M447" s="214">
        <f>IF(OR(E447="Distribución Legal de la Renta",E447="Acopio carros portaequipajes"),0,IF(K447&lt;0,0,K447*(1+SUMIFS('Insumos - OPEX'!$G$82:$G$238,'Insumos - OPEX'!$B$82:$B$238,OPEX!D447))))</f>
        <v>0</v>
      </c>
      <c r="N447" s="211">
        <f>IF(OR($B447="Ce Co No Imputables",$G447="M2 fijo"),$M447*(1+'Insumos - OPEX'!J$38),$M447*(1+'Insumos - OPEX'!J$29*'Insumos - OPEX'!J$39)*(1+'Insumos - OPEX'!J$38))</f>
        <v>0</v>
      </c>
      <c r="O447" s="211">
        <f>IF(OR($B447="Ce Co No Imputables",$G447="M2 fijo"),$M447*(1+'Insumos - OPEX'!K$38),$M447*(1+'Insumos - OPEX'!K$29*'Insumos - OPEX'!K$39)*(1+'Insumos - OPEX'!K$38))</f>
        <v>0</v>
      </c>
      <c r="P447" s="211">
        <f>IF(OR($B447="Ce Co No Imputables",$G447="M2 fijo"),$M447*(1+'Insumos - OPEX'!L$38),$M447*(1+'Insumos - OPEX'!L$29*'Insumos - OPEX'!L$39)*(1+'Insumos - OPEX'!L$38))</f>
        <v>0</v>
      </c>
      <c r="Q447" s="211">
        <f>IF(OR($B447="Ce Co No Imputables",$G447="M2 fijo"),$M447*(1+'Insumos - OPEX'!M$38),$M447*(1+'Insumos - OPEX'!M$29*'Insumos - OPEX'!M$39)*(1+'Insumos - OPEX'!M$38))</f>
        <v>0</v>
      </c>
      <c r="R447" s="211">
        <f>IF(OR($B447="Ce Co No Imputables",$G447="M2 fijo"),$M447*(1+'Insumos - OPEX'!N$38),$M447*(1+'Insumos - OPEX'!N$29*'Insumos - OPEX'!N$39)*(1+'Insumos - OPEX'!N$38))</f>
        <v>0</v>
      </c>
      <c r="S447" s="111"/>
    </row>
    <row r="448" spans="1:19" x14ac:dyDescent="0.2">
      <c r="A448" s="8"/>
      <c r="B448" s="8" t="s">
        <v>435</v>
      </c>
      <c r="C448" s="8" t="s">
        <v>173</v>
      </c>
      <c r="D448" s="8">
        <v>6343100013</v>
      </c>
      <c r="E448" s="8" t="s">
        <v>404</v>
      </c>
      <c r="F448" s="89" t="s">
        <v>470</v>
      </c>
      <c r="G448" s="73" t="s">
        <v>136</v>
      </c>
      <c r="H448" s="112" t="s">
        <v>61</v>
      </c>
      <c r="I448" s="13" t="s">
        <v>436</v>
      </c>
      <c r="K448" s="186">
        <v>0</v>
      </c>
      <c r="L448" s="187"/>
      <c r="M448" s="214">
        <f>IF(OR(E448="Distribución Legal de la Renta",E448="Acopio carros portaequipajes"),0,IF(K448&lt;0,0,K448*(1+SUMIFS('Insumos - OPEX'!$G$82:$G$238,'Insumos - OPEX'!$B$82:$B$238,OPEX!D448))))</f>
        <v>0</v>
      </c>
      <c r="N448" s="211">
        <f>IF(OR($B448="Ce Co No Imputables",$G448="M2 fijo"),$M448*(1+'Insumos - OPEX'!J$38),$M448*(1+'Insumos - OPEX'!J$29*'Insumos - OPEX'!J$39)*(1+'Insumos - OPEX'!J$38))</f>
        <v>0</v>
      </c>
      <c r="O448" s="211">
        <f>IF(OR($B448="Ce Co No Imputables",$G448="M2 fijo"),$M448*(1+'Insumos - OPEX'!K$38),$M448*(1+'Insumos - OPEX'!K$29*'Insumos - OPEX'!K$39)*(1+'Insumos - OPEX'!K$38))</f>
        <v>0</v>
      </c>
      <c r="P448" s="211">
        <f>IF(OR($B448="Ce Co No Imputables",$G448="M2 fijo"),$M448*(1+'Insumos - OPEX'!L$38),$M448*(1+'Insumos - OPEX'!L$29*'Insumos - OPEX'!L$39)*(1+'Insumos - OPEX'!L$38))</f>
        <v>0</v>
      </c>
      <c r="Q448" s="211">
        <f>IF(OR($B448="Ce Co No Imputables",$G448="M2 fijo"),$M448*(1+'Insumos - OPEX'!M$38),$M448*(1+'Insumos - OPEX'!M$29*'Insumos - OPEX'!M$39)*(1+'Insumos - OPEX'!M$38))</f>
        <v>0</v>
      </c>
      <c r="R448" s="211">
        <f>IF(OR($B448="Ce Co No Imputables",$G448="M2 fijo"),$M448*(1+'Insumos - OPEX'!N$38),$M448*(1+'Insumos - OPEX'!N$29*'Insumos - OPEX'!N$39)*(1+'Insumos - OPEX'!N$38))</f>
        <v>0</v>
      </c>
      <c r="S448" s="111"/>
    </row>
    <row r="449" spans="1:19" x14ac:dyDescent="0.2">
      <c r="A449" s="8"/>
      <c r="B449" s="8" t="s">
        <v>435</v>
      </c>
      <c r="C449" s="8" t="s">
        <v>173</v>
      </c>
      <c r="D449" s="8">
        <v>6344000001</v>
      </c>
      <c r="E449" s="8" t="s">
        <v>417</v>
      </c>
      <c r="F449" s="89" t="s">
        <v>470</v>
      </c>
      <c r="G449" s="73" t="s">
        <v>136</v>
      </c>
      <c r="H449" s="112" t="s">
        <v>61</v>
      </c>
      <c r="I449" s="13" t="s">
        <v>436</v>
      </c>
      <c r="K449" s="186">
        <v>0</v>
      </c>
      <c r="L449" s="187"/>
      <c r="M449" s="214">
        <f>IF(OR(E449="Distribución Legal de la Renta",E449="Acopio carros portaequipajes"),0,IF(K449&lt;0,0,K449*(1+SUMIFS('Insumos - OPEX'!$G$82:$G$238,'Insumos - OPEX'!$B$82:$B$238,OPEX!D449))))</f>
        <v>0</v>
      </c>
      <c r="N449" s="211">
        <f>IF(OR($B449="Ce Co No Imputables",$G449="M2 fijo"),$M449*(1+'Insumos - OPEX'!J$38),$M449*(1+'Insumos - OPEX'!J$29*'Insumos - OPEX'!J$39)*(1+'Insumos - OPEX'!J$38))</f>
        <v>0</v>
      </c>
      <c r="O449" s="211">
        <f>IF(OR($B449="Ce Co No Imputables",$G449="M2 fijo"),$M449*(1+'Insumos - OPEX'!K$38),$M449*(1+'Insumos - OPEX'!K$29*'Insumos - OPEX'!K$39)*(1+'Insumos - OPEX'!K$38))</f>
        <v>0</v>
      </c>
      <c r="P449" s="211">
        <f>IF(OR($B449="Ce Co No Imputables",$G449="M2 fijo"),$M449*(1+'Insumos - OPEX'!L$38),$M449*(1+'Insumos - OPEX'!L$29*'Insumos - OPEX'!L$39)*(1+'Insumos - OPEX'!L$38))</f>
        <v>0</v>
      </c>
      <c r="Q449" s="211">
        <f>IF(OR($B449="Ce Co No Imputables",$G449="M2 fijo"),$M449*(1+'Insumos - OPEX'!M$38),$M449*(1+'Insumos - OPEX'!M$29*'Insumos - OPEX'!M$39)*(1+'Insumos - OPEX'!M$38))</f>
        <v>0</v>
      </c>
      <c r="R449" s="211">
        <f>IF(OR($B449="Ce Co No Imputables",$G449="M2 fijo"),$M449*(1+'Insumos - OPEX'!N$38),$M449*(1+'Insumos - OPEX'!N$29*'Insumos - OPEX'!N$39)*(1+'Insumos - OPEX'!N$38))</f>
        <v>0</v>
      </c>
      <c r="S449" s="111"/>
    </row>
    <row r="450" spans="1:19" x14ac:dyDescent="0.2">
      <c r="A450" s="8"/>
      <c r="B450" s="8" t="s">
        <v>435</v>
      </c>
      <c r="C450" s="8" t="s">
        <v>173</v>
      </c>
      <c r="D450" s="8">
        <v>6344000003</v>
      </c>
      <c r="E450" s="8" t="s">
        <v>419</v>
      </c>
      <c r="F450" s="89" t="s">
        <v>470</v>
      </c>
      <c r="G450" s="73" t="s">
        <v>136</v>
      </c>
      <c r="H450" s="112" t="s">
        <v>61</v>
      </c>
      <c r="I450" s="13" t="s">
        <v>436</v>
      </c>
      <c r="K450" s="186">
        <v>0</v>
      </c>
      <c r="L450" s="187"/>
      <c r="M450" s="214">
        <f>IF(OR(E450="Distribución Legal de la Renta",E450="Acopio carros portaequipajes"),0,IF(K450&lt;0,0,K450*(1+SUMIFS('Insumos - OPEX'!$G$82:$G$238,'Insumos - OPEX'!$B$82:$B$238,OPEX!D450))))</f>
        <v>0</v>
      </c>
      <c r="N450" s="211">
        <f>IF(OR($B450="Ce Co No Imputables",$G450="M2 fijo"),$M450*(1+'Insumos - OPEX'!J$38),$M450*(1+'Insumos - OPEX'!J$29*'Insumos - OPEX'!J$39)*(1+'Insumos - OPEX'!J$38))</f>
        <v>0</v>
      </c>
      <c r="O450" s="211">
        <f>IF(OR($B450="Ce Co No Imputables",$G450="M2 fijo"),$M450*(1+'Insumos - OPEX'!K$38),$M450*(1+'Insumos - OPEX'!K$29*'Insumos - OPEX'!K$39)*(1+'Insumos - OPEX'!K$38))</f>
        <v>0</v>
      </c>
      <c r="P450" s="211">
        <f>IF(OR($B450="Ce Co No Imputables",$G450="M2 fijo"),$M450*(1+'Insumos - OPEX'!L$38),$M450*(1+'Insumos - OPEX'!L$29*'Insumos - OPEX'!L$39)*(1+'Insumos - OPEX'!L$38))</f>
        <v>0</v>
      </c>
      <c r="Q450" s="211">
        <f>IF(OR($B450="Ce Co No Imputables",$G450="M2 fijo"),$M450*(1+'Insumos - OPEX'!M$38),$M450*(1+'Insumos - OPEX'!M$29*'Insumos - OPEX'!M$39)*(1+'Insumos - OPEX'!M$38))</f>
        <v>0</v>
      </c>
      <c r="R450" s="211">
        <f>IF(OR($B450="Ce Co No Imputables",$G450="M2 fijo"),$M450*(1+'Insumos - OPEX'!N$38),$M450*(1+'Insumos - OPEX'!N$29*'Insumos - OPEX'!N$39)*(1+'Insumos - OPEX'!N$38))</f>
        <v>0</v>
      </c>
      <c r="S450" s="111"/>
    </row>
    <row r="451" spans="1:19" x14ac:dyDescent="0.2">
      <c r="A451" s="8"/>
      <c r="B451" s="8" t="s">
        <v>435</v>
      </c>
      <c r="C451" s="8" t="s">
        <v>173</v>
      </c>
      <c r="D451" s="8">
        <v>6343100004</v>
      </c>
      <c r="E451" s="8" t="s">
        <v>408</v>
      </c>
      <c r="F451" s="89" t="s">
        <v>470</v>
      </c>
      <c r="G451" s="73" t="s">
        <v>136</v>
      </c>
      <c r="H451" s="112" t="s">
        <v>61</v>
      </c>
      <c r="I451" s="13" t="s">
        <v>436</v>
      </c>
      <c r="K451" s="186">
        <v>0</v>
      </c>
      <c r="L451" s="187"/>
      <c r="M451" s="214">
        <f>IF(OR(E451="Distribución Legal de la Renta",E451="Acopio carros portaequipajes"),0,IF(K451&lt;0,0,K451*(1+SUMIFS('Insumos - OPEX'!$G$82:$G$238,'Insumos - OPEX'!$B$82:$B$238,OPEX!D451))))</f>
        <v>0</v>
      </c>
      <c r="N451" s="211">
        <f>IF(OR($B451="Ce Co No Imputables",$G451="M2 fijo"),$M451*(1+'Insumos - OPEX'!J$38),$M451*(1+'Insumos - OPEX'!J$29*'Insumos - OPEX'!J$39)*(1+'Insumos - OPEX'!J$38))</f>
        <v>0</v>
      </c>
      <c r="O451" s="211">
        <f>IF(OR($B451="Ce Co No Imputables",$G451="M2 fijo"),$M451*(1+'Insumos - OPEX'!K$38),$M451*(1+'Insumos - OPEX'!K$29*'Insumos - OPEX'!K$39)*(1+'Insumos - OPEX'!K$38))</f>
        <v>0</v>
      </c>
      <c r="P451" s="211">
        <f>IF(OR($B451="Ce Co No Imputables",$G451="M2 fijo"),$M451*(1+'Insumos - OPEX'!L$38),$M451*(1+'Insumos - OPEX'!L$29*'Insumos - OPEX'!L$39)*(1+'Insumos - OPEX'!L$38))</f>
        <v>0</v>
      </c>
      <c r="Q451" s="211">
        <f>IF(OR($B451="Ce Co No Imputables",$G451="M2 fijo"),$M451*(1+'Insumos - OPEX'!M$38),$M451*(1+'Insumos - OPEX'!M$29*'Insumos - OPEX'!M$39)*(1+'Insumos - OPEX'!M$38))</f>
        <v>0</v>
      </c>
      <c r="R451" s="211">
        <f>IF(OR($B451="Ce Co No Imputables",$G451="M2 fijo"),$M451*(1+'Insumos - OPEX'!N$38),$M451*(1+'Insumos - OPEX'!N$29*'Insumos - OPEX'!N$39)*(1+'Insumos - OPEX'!N$38))</f>
        <v>0</v>
      </c>
      <c r="S451" s="111"/>
    </row>
    <row r="452" spans="1:19" x14ac:dyDescent="0.2">
      <c r="A452" s="8"/>
      <c r="B452" s="8" t="s">
        <v>435</v>
      </c>
      <c r="C452" s="8" t="s">
        <v>173</v>
      </c>
      <c r="D452" s="8">
        <v>6343100017</v>
      </c>
      <c r="E452" s="8" t="s">
        <v>403</v>
      </c>
      <c r="F452" s="89" t="s">
        <v>470</v>
      </c>
      <c r="G452" s="73" t="s">
        <v>136</v>
      </c>
      <c r="H452" s="112" t="s">
        <v>61</v>
      </c>
      <c r="I452" s="13" t="s">
        <v>436</v>
      </c>
      <c r="K452" s="186">
        <v>0</v>
      </c>
      <c r="L452" s="187"/>
      <c r="M452" s="214">
        <f>IF(OR(E452="Distribución Legal de la Renta",E452="Acopio carros portaequipajes"),0,IF(K452&lt;0,0,K452*(1+SUMIFS('Insumos - OPEX'!$G$82:$G$238,'Insumos - OPEX'!$B$82:$B$238,OPEX!D452))))</f>
        <v>0</v>
      </c>
      <c r="N452" s="211">
        <f>IF(OR($B452="Ce Co No Imputables",$G452="M2 fijo"),$M452*(1+'Insumos - OPEX'!J$38),$M452*(1+'Insumos - OPEX'!J$29*'Insumos - OPEX'!J$39)*(1+'Insumos - OPEX'!J$38))</f>
        <v>0</v>
      </c>
      <c r="O452" s="211">
        <f>IF(OR($B452="Ce Co No Imputables",$G452="M2 fijo"),$M452*(1+'Insumos - OPEX'!K$38),$M452*(1+'Insumos - OPEX'!K$29*'Insumos - OPEX'!K$39)*(1+'Insumos - OPEX'!K$38))</f>
        <v>0</v>
      </c>
      <c r="P452" s="211">
        <f>IF(OR($B452="Ce Co No Imputables",$G452="M2 fijo"),$M452*(1+'Insumos - OPEX'!L$38),$M452*(1+'Insumos - OPEX'!L$29*'Insumos - OPEX'!L$39)*(1+'Insumos - OPEX'!L$38))</f>
        <v>0</v>
      </c>
      <c r="Q452" s="211">
        <f>IF(OR($B452="Ce Co No Imputables",$G452="M2 fijo"),$M452*(1+'Insumos - OPEX'!M$38),$M452*(1+'Insumos - OPEX'!M$29*'Insumos - OPEX'!M$39)*(1+'Insumos - OPEX'!M$38))</f>
        <v>0</v>
      </c>
      <c r="R452" s="211">
        <f>IF(OR($B452="Ce Co No Imputables",$G452="M2 fijo"),$M452*(1+'Insumos - OPEX'!N$38),$M452*(1+'Insumos - OPEX'!N$29*'Insumos - OPEX'!N$39)*(1+'Insumos - OPEX'!N$38))</f>
        <v>0</v>
      </c>
      <c r="S452" s="111"/>
    </row>
    <row r="453" spans="1:19" x14ac:dyDescent="0.2">
      <c r="A453" s="8"/>
      <c r="B453" s="8" t="s">
        <v>435</v>
      </c>
      <c r="C453" s="8" t="s">
        <v>173</v>
      </c>
      <c r="D453" s="8">
        <v>6341100007</v>
      </c>
      <c r="E453" s="8" t="s">
        <v>414</v>
      </c>
      <c r="F453" s="89" t="s">
        <v>470</v>
      </c>
      <c r="G453" s="73" t="s">
        <v>136</v>
      </c>
      <c r="H453" s="112" t="s">
        <v>61</v>
      </c>
      <c r="I453" s="13" t="s">
        <v>436</v>
      </c>
      <c r="K453" s="186">
        <v>0</v>
      </c>
      <c r="L453" s="187"/>
      <c r="M453" s="214">
        <f>IF(OR(E453="Distribución Legal de la Renta",E453="Acopio carros portaequipajes"),0,IF(K453&lt;0,0,K453*(1+SUMIFS('Insumos - OPEX'!$G$82:$G$238,'Insumos - OPEX'!$B$82:$B$238,OPEX!D453))))</f>
        <v>0</v>
      </c>
      <c r="N453" s="211">
        <f>IF(OR($B453="Ce Co No Imputables",$G453="M2 fijo"),$M453*(1+'Insumos - OPEX'!J$38),$M453*(1+'Insumos - OPEX'!J$29*'Insumos - OPEX'!J$39)*(1+'Insumos - OPEX'!J$38))</f>
        <v>0</v>
      </c>
      <c r="O453" s="211">
        <f>IF(OR($B453="Ce Co No Imputables",$G453="M2 fijo"),$M453*(1+'Insumos - OPEX'!K$38),$M453*(1+'Insumos - OPEX'!K$29*'Insumos - OPEX'!K$39)*(1+'Insumos - OPEX'!K$38))</f>
        <v>0</v>
      </c>
      <c r="P453" s="211">
        <f>IF(OR($B453="Ce Co No Imputables",$G453="M2 fijo"),$M453*(1+'Insumos - OPEX'!L$38),$M453*(1+'Insumos - OPEX'!L$29*'Insumos - OPEX'!L$39)*(1+'Insumos - OPEX'!L$38))</f>
        <v>0</v>
      </c>
      <c r="Q453" s="211">
        <f>IF(OR($B453="Ce Co No Imputables",$G453="M2 fijo"),$M453*(1+'Insumos - OPEX'!M$38),$M453*(1+'Insumos - OPEX'!M$29*'Insumos - OPEX'!M$39)*(1+'Insumos - OPEX'!M$38))</f>
        <v>0</v>
      </c>
      <c r="R453" s="211">
        <f>IF(OR($B453="Ce Co No Imputables",$G453="M2 fijo"),$M453*(1+'Insumos - OPEX'!N$38),$M453*(1+'Insumos - OPEX'!N$29*'Insumos - OPEX'!N$39)*(1+'Insumos - OPEX'!N$38))</f>
        <v>0</v>
      </c>
      <c r="S453" s="111"/>
    </row>
    <row r="454" spans="1:19" x14ac:dyDescent="0.2">
      <c r="A454" s="8"/>
      <c r="B454" s="8" t="s">
        <v>435</v>
      </c>
      <c r="C454" s="8" t="s">
        <v>173</v>
      </c>
      <c r="D454" s="8">
        <v>6344000002</v>
      </c>
      <c r="E454" s="8" t="s">
        <v>409</v>
      </c>
      <c r="F454" s="89" t="s">
        <v>470</v>
      </c>
      <c r="G454" s="73" t="s">
        <v>136</v>
      </c>
      <c r="H454" s="112" t="s">
        <v>61</v>
      </c>
      <c r="I454" s="13" t="s">
        <v>436</v>
      </c>
      <c r="K454" s="186">
        <v>0</v>
      </c>
      <c r="L454" s="187"/>
      <c r="M454" s="214">
        <f>IF(OR(E454="Distribución Legal de la Renta",E454="Acopio carros portaequipajes"),0,IF(K454&lt;0,0,K454*(1+SUMIFS('Insumos - OPEX'!$G$82:$G$238,'Insumos - OPEX'!$B$82:$B$238,OPEX!D454))))</f>
        <v>0</v>
      </c>
      <c r="N454" s="211">
        <f>IF(OR($B454="Ce Co No Imputables",$G454="M2 fijo"),$M454*(1+'Insumos - OPEX'!J$38),$M454*(1+'Insumos - OPEX'!J$29*'Insumos - OPEX'!J$39)*(1+'Insumos - OPEX'!J$38))</f>
        <v>0</v>
      </c>
      <c r="O454" s="211">
        <f>IF(OR($B454="Ce Co No Imputables",$G454="M2 fijo"),$M454*(1+'Insumos - OPEX'!K$38),$M454*(1+'Insumos - OPEX'!K$29*'Insumos - OPEX'!K$39)*(1+'Insumos - OPEX'!K$38))</f>
        <v>0</v>
      </c>
      <c r="P454" s="211">
        <f>IF(OR($B454="Ce Co No Imputables",$G454="M2 fijo"),$M454*(1+'Insumos - OPEX'!L$38),$M454*(1+'Insumos - OPEX'!L$29*'Insumos - OPEX'!L$39)*(1+'Insumos - OPEX'!L$38))</f>
        <v>0</v>
      </c>
      <c r="Q454" s="211">
        <f>IF(OR($B454="Ce Co No Imputables",$G454="M2 fijo"),$M454*(1+'Insumos - OPEX'!M$38),$M454*(1+'Insumos - OPEX'!M$29*'Insumos - OPEX'!M$39)*(1+'Insumos - OPEX'!M$38))</f>
        <v>0</v>
      </c>
      <c r="R454" s="211">
        <f>IF(OR($B454="Ce Co No Imputables",$G454="M2 fijo"),$M454*(1+'Insumos - OPEX'!N$38),$M454*(1+'Insumos - OPEX'!N$29*'Insumos - OPEX'!N$39)*(1+'Insumos - OPEX'!N$38))</f>
        <v>0</v>
      </c>
      <c r="S454" s="111"/>
    </row>
    <row r="455" spans="1:19" x14ac:dyDescent="0.2">
      <c r="A455" s="8"/>
      <c r="B455" s="8" t="s">
        <v>435</v>
      </c>
      <c r="C455" s="8" t="s">
        <v>173</v>
      </c>
      <c r="D455" s="8">
        <v>6341100008</v>
      </c>
      <c r="E455" s="8" t="s">
        <v>416</v>
      </c>
      <c r="F455" s="89" t="s">
        <v>470</v>
      </c>
      <c r="G455" s="73" t="s">
        <v>136</v>
      </c>
      <c r="H455" s="112" t="s">
        <v>61</v>
      </c>
      <c r="I455" s="13" t="s">
        <v>436</v>
      </c>
      <c r="K455" s="186">
        <v>0</v>
      </c>
      <c r="L455" s="187"/>
      <c r="M455" s="214">
        <f>IF(OR(E455="Distribución Legal de la Renta",E455="Acopio carros portaequipajes"),0,IF(K455&lt;0,0,K455*(1+SUMIFS('Insumos - OPEX'!$G$82:$G$238,'Insumos - OPEX'!$B$82:$B$238,OPEX!D455))))</f>
        <v>0</v>
      </c>
      <c r="N455" s="211">
        <f>IF(OR($B455="Ce Co No Imputables",$G455="M2 fijo"),$M455*(1+'Insumos - OPEX'!J$38),$M455*(1+'Insumos - OPEX'!J$29*'Insumos - OPEX'!J$39)*(1+'Insumos - OPEX'!J$38))</f>
        <v>0</v>
      </c>
      <c r="O455" s="211">
        <f>IF(OR($B455="Ce Co No Imputables",$G455="M2 fijo"),$M455*(1+'Insumos - OPEX'!K$38),$M455*(1+'Insumos - OPEX'!K$29*'Insumos - OPEX'!K$39)*(1+'Insumos - OPEX'!K$38))</f>
        <v>0</v>
      </c>
      <c r="P455" s="211">
        <f>IF(OR($B455="Ce Co No Imputables",$G455="M2 fijo"),$M455*(1+'Insumos - OPEX'!L$38),$M455*(1+'Insumos - OPEX'!L$29*'Insumos - OPEX'!L$39)*(1+'Insumos - OPEX'!L$38))</f>
        <v>0</v>
      </c>
      <c r="Q455" s="211">
        <f>IF(OR($B455="Ce Co No Imputables",$G455="M2 fijo"),$M455*(1+'Insumos - OPEX'!M$38),$M455*(1+'Insumos - OPEX'!M$29*'Insumos - OPEX'!M$39)*(1+'Insumos - OPEX'!M$38))</f>
        <v>0</v>
      </c>
      <c r="R455" s="211">
        <f>IF(OR($B455="Ce Co No Imputables",$G455="M2 fijo"),$M455*(1+'Insumos - OPEX'!N$38),$M455*(1+'Insumos - OPEX'!N$29*'Insumos - OPEX'!N$39)*(1+'Insumos - OPEX'!N$38))</f>
        <v>0</v>
      </c>
      <c r="S455" s="111"/>
    </row>
    <row r="456" spans="1:19" x14ac:dyDescent="0.2">
      <c r="A456" s="8"/>
      <c r="B456" s="8" t="s">
        <v>435</v>
      </c>
      <c r="C456" s="8" t="s">
        <v>173</v>
      </c>
      <c r="D456" s="8">
        <v>6345000001</v>
      </c>
      <c r="E456" s="8" t="s">
        <v>405</v>
      </c>
      <c r="F456" s="89" t="s">
        <v>470</v>
      </c>
      <c r="G456" s="73" t="s">
        <v>136</v>
      </c>
      <c r="H456" s="112" t="s">
        <v>61</v>
      </c>
      <c r="I456" s="13" t="s">
        <v>436</v>
      </c>
      <c r="K456" s="186">
        <v>0</v>
      </c>
      <c r="L456" s="187"/>
      <c r="M456" s="214">
        <f>IF(OR(E456="Distribución Legal de la Renta",E456="Acopio carros portaequipajes"),0,IF(K456&lt;0,0,K456*(1+SUMIFS('Insumos - OPEX'!$G$82:$G$238,'Insumos - OPEX'!$B$82:$B$238,OPEX!D456))))</f>
        <v>0</v>
      </c>
      <c r="N456" s="211">
        <f>IF(OR($B456="Ce Co No Imputables",$G456="M2 fijo"),$M456*(1+'Insumos - OPEX'!J$38),$M456*(1+'Insumos - OPEX'!J$29*'Insumos - OPEX'!J$39)*(1+'Insumos - OPEX'!J$38))</f>
        <v>0</v>
      </c>
      <c r="O456" s="211">
        <f>IF(OR($B456="Ce Co No Imputables",$G456="M2 fijo"),$M456*(1+'Insumos - OPEX'!K$38),$M456*(1+'Insumos - OPEX'!K$29*'Insumos - OPEX'!K$39)*(1+'Insumos - OPEX'!K$38))</f>
        <v>0</v>
      </c>
      <c r="P456" s="211">
        <f>IF(OR($B456="Ce Co No Imputables",$G456="M2 fijo"),$M456*(1+'Insumos - OPEX'!L$38),$M456*(1+'Insumos - OPEX'!L$29*'Insumos - OPEX'!L$39)*(1+'Insumos - OPEX'!L$38))</f>
        <v>0</v>
      </c>
      <c r="Q456" s="211">
        <f>IF(OR($B456="Ce Co No Imputables",$G456="M2 fijo"),$M456*(1+'Insumos - OPEX'!M$38),$M456*(1+'Insumos - OPEX'!M$29*'Insumos - OPEX'!M$39)*(1+'Insumos - OPEX'!M$38))</f>
        <v>0</v>
      </c>
      <c r="R456" s="211">
        <f>IF(OR($B456="Ce Co No Imputables",$G456="M2 fijo"),$M456*(1+'Insumos - OPEX'!N$38),$M456*(1+'Insumos - OPEX'!N$29*'Insumos - OPEX'!N$39)*(1+'Insumos - OPEX'!N$38))</f>
        <v>0</v>
      </c>
      <c r="S456" s="111"/>
    </row>
    <row r="457" spans="1:19" x14ac:dyDescent="0.2">
      <c r="A457" s="8"/>
      <c r="B457" s="8" t="s">
        <v>435</v>
      </c>
      <c r="C457" s="8" t="s">
        <v>173</v>
      </c>
      <c r="D457" s="8">
        <v>6343100007</v>
      </c>
      <c r="E457" s="8" t="s">
        <v>390</v>
      </c>
      <c r="F457" s="89" t="s">
        <v>470</v>
      </c>
      <c r="G457" s="73" t="s">
        <v>136</v>
      </c>
      <c r="H457" s="112" t="s">
        <v>61</v>
      </c>
      <c r="I457" s="13" t="s">
        <v>436</v>
      </c>
      <c r="K457" s="186">
        <v>0</v>
      </c>
      <c r="L457" s="187"/>
      <c r="M457" s="214">
        <f>IF(OR(E457="Distribución Legal de la Renta",E457="Acopio carros portaequipajes"),0,IF(K457&lt;0,0,K457*(1+SUMIFS('Insumos - OPEX'!$G$82:$G$238,'Insumos - OPEX'!$B$82:$B$238,OPEX!D457))))</f>
        <v>0</v>
      </c>
      <c r="N457" s="211">
        <f>IF(OR($B457="Ce Co No Imputables",$G457="M2 fijo"),$M457*(1+'Insumos - OPEX'!J$38),$M457*(1+'Insumos - OPEX'!J$29*'Insumos - OPEX'!J$39)*(1+'Insumos - OPEX'!J$38))</f>
        <v>0</v>
      </c>
      <c r="O457" s="211">
        <f>IF(OR($B457="Ce Co No Imputables",$G457="M2 fijo"),$M457*(1+'Insumos - OPEX'!K$38),$M457*(1+'Insumos - OPEX'!K$29*'Insumos - OPEX'!K$39)*(1+'Insumos - OPEX'!K$38))</f>
        <v>0</v>
      </c>
      <c r="P457" s="211">
        <f>IF(OR($B457="Ce Co No Imputables",$G457="M2 fijo"),$M457*(1+'Insumos - OPEX'!L$38),$M457*(1+'Insumos - OPEX'!L$29*'Insumos - OPEX'!L$39)*(1+'Insumos - OPEX'!L$38))</f>
        <v>0</v>
      </c>
      <c r="Q457" s="211">
        <f>IF(OR($B457="Ce Co No Imputables",$G457="M2 fijo"),$M457*(1+'Insumos - OPEX'!M$38),$M457*(1+'Insumos - OPEX'!M$29*'Insumos - OPEX'!M$39)*(1+'Insumos - OPEX'!M$38))</f>
        <v>0</v>
      </c>
      <c r="R457" s="211">
        <f>IF(OR($B457="Ce Co No Imputables",$G457="M2 fijo"),$M457*(1+'Insumos - OPEX'!N$38),$M457*(1+'Insumos - OPEX'!N$29*'Insumos - OPEX'!N$39)*(1+'Insumos - OPEX'!N$38))</f>
        <v>0</v>
      </c>
      <c r="S457" s="111"/>
    </row>
    <row r="458" spans="1:19" x14ac:dyDescent="0.2">
      <c r="A458" s="8"/>
      <c r="B458" s="8" t="s">
        <v>435</v>
      </c>
      <c r="C458" s="8" t="s">
        <v>173</v>
      </c>
      <c r="D458" s="8">
        <v>6341100009</v>
      </c>
      <c r="E458" s="8" t="s">
        <v>407</v>
      </c>
      <c r="F458" s="89" t="s">
        <v>470</v>
      </c>
      <c r="G458" s="73" t="s">
        <v>136</v>
      </c>
      <c r="H458" s="112" t="s">
        <v>61</v>
      </c>
      <c r="I458" s="13" t="s">
        <v>436</v>
      </c>
      <c r="K458" s="186">
        <v>0</v>
      </c>
      <c r="L458" s="187"/>
      <c r="M458" s="214">
        <f>IF(OR(E458="Distribución Legal de la Renta",E458="Acopio carros portaequipajes"),0,IF(K458&lt;0,0,K458*(1+SUMIFS('Insumos - OPEX'!$G$82:$G$238,'Insumos - OPEX'!$B$82:$B$238,OPEX!D458))))</f>
        <v>0</v>
      </c>
      <c r="N458" s="211">
        <f>IF(OR($B458="Ce Co No Imputables",$G458="M2 fijo"),$M458*(1+'Insumos - OPEX'!J$38),$M458*(1+'Insumos - OPEX'!J$29*'Insumos - OPEX'!J$39)*(1+'Insumos - OPEX'!J$38))</f>
        <v>0</v>
      </c>
      <c r="O458" s="211">
        <f>IF(OR($B458="Ce Co No Imputables",$G458="M2 fijo"),$M458*(1+'Insumos - OPEX'!K$38),$M458*(1+'Insumos - OPEX'!K$29*'Insumos - OPEX'!K$39)*(1+'Insumos - OPEX'!K$38))</f>
        <v>0</v>
      </c>
      <c r="P458" s="211">
        <f>IF(OR($B458="Ce Co No Imputables",$G458="M2 fijo"),$M458*(1+'Insumos - OPEX'!L$38),$M458*(1+'Insumos - OPEX'!L$29*'Insumos - OPEX'!L$39)*(1+'Insumos - OPEX'!L$38))</f>
        <v>0</v>
      </c>
      <c r="Q458" s="211">
        <f>IF(OR($B458="Ce Co No Imputables",$G458="M2 fijo"),$M458*(1+'Insumos - OPEX'!M$38),$M458*(1+'Insumos - OPEX'!M$29*'Insumos - OPEX'!M$39)*(1+'Insumos - OPEX'!M$38))</f>
        <v>0</v>
      </c>
      <c r="R458" s="211">
        <f>IF(OR($B458="Ce Co No Imputables",$G458="M2 fijo"),$M458*(1+'Insumos - OPEX'!N$38),$M458*(1+'Insumos - OPEX'!N$29*'Insumos - OPEX'!N$39)*(1+'Insumos - OPEX'!N$38))</f>
        <v>0</v>
      </c>
      <c r="S458" s="111"/>
    </row>
    <row r="459" spans="1:19" x14ac:dyDescent="0.2">
      <c r="A459" s="8"/>
      <c r="B459" s="8" t="s">
        <v>435</v>
      </c>
      <c r="C459" s="8" t="s">
        <v>173</v>
      </c>
      <c r="D459" s="8">
        <v>6343100008</v>
      </c>
      <c r="E459" s="8" t="s">
        <v>395</v>
      </c>
      <c r="F459" s="89" t="s">
        <v>470</v>
      </c>
      <c r="G459" s="73" t="s">
        <v>136</v>
      </c>
      <c r="H459" s="112" t="s">
        <v>61</v>
      </c>
      <c r="I459" s="13" t="s">
        <v>436</v>
      </c>
      <c r="K459" s="186">
        <v>0</v>
      </c>
      <c r="L459" s="187"/>
      <c r="M459" s="214">
        <f>IF(OR(E459="Distribución Legal de la Renta",E459="Acopio carros portaequipajes"),0,IF(K459&lt;0,0,K459*(1+SUMIFS('Insumos - OPEX'!$G$82:$G$238,'Insumos - OPEX'!$B$82:$B$238,OPEX!D459))))</f>
        <v>0</v>
      </c>
      <c r="N459" s="211">
        <f>IF(OR($B459="Ce Co No Imputables",$G459="M2 fijo"),$M459*(1+'Insumos - OPEX'!J$38),$M459*(1+'Insumos - OPEX'!J$29*'Insumos - OPEX'!J$39)*(1+'Insumos - OPEX'!J$38))</f>
        <v>0</v>
      </c>
      <c r="O459" s="211">
        <f>IF(OR($B459="Ce Co No Imputables",$G459="M2 fijo"),$M459*(1+'Insumos - OPEX'!K$38),$M459*(1+'Insumos - OPEX'!K$29*'Insumos - OPEX'!K$39)*(1+'Insumos - OPEX'!K$38))</f>
        <v>0</v>
      </c>
      <c r="P459" s="211">
        <f>IF(OR($B459="Ce Co No Imputables",$G459="M2 fijo"),$M459*(1+'Insumos - OPEX'!L$38),$M459*(1+'Insumos - OPEX'!L$29*'Insumos - OPEX'!L$39)*(1+'Insumos - OPEX'!L$38))</f>
        <v>0</v>
      </c>
      <c r="Q459" s="211">
        <f>IF(OR($B459="Ce Co No Imputables",$G459="M2 fijo"),$M459*(1+'Insumos - OPEX'!M$38),$M459*(1+'Insumos - OPEX'!M$29*'Insumos - OPEX'!M$39)*(1+'Insumos - OPEX'!M$38))</f>
        <v>0</v>
      </c>
      <c r="R459" s="211">
        <f>IF(OR($B459="Ce Co No Imputables",$G459="M2 fijo"),$M459*(1+'Insumos - OPEX'!N$38),$M459*(1+'Insumos - OPEX'!N$29*'Insumos - OPEX'!N$39)*(1+'Insumos - OPEX'!N$38))</f>
        <v>0</v>
      </c>
      <c r="S459" s="111"/>
    </row>
    <row r="460" spans="1:19" x14ac:dyDescent="0.2">
      <c r="A460" s="8"/>
      <c r="B460" s="8" t="s">
        <v>435</v>
      </c>
      <c r="C460" s="8" t="s">
        <v>173</v>
      </c>
      <c r="D460" s="8">
        <v>6343100005</v>
      </c>
      <c r="E460" s="8" t="s">
        <v>424</v>
      </c>
      <c r="F460" s="89" t="s">
        <v>470</v>
      </c>
      <c r="G460" s="73" t="s">
        <v>136</v>
      </c>
      <c r="H460" s="112" t="s">
        <v>61</v>
      </c>
      <c r="I460" s="13" t="s">
        <v>436</v>
      </c>
      <c r="K460" s="186">
        <v>0</v>
      </c>
      <c r="L460" s="187"/>
      <c r="M460" s="214">
        <f>IF(OR(E460="Distribución Legal de la Renta",E460="Acopio carros portaequipajes"),0,IF(K460&lt;0,0,K460*(1+SUMIFS('Insumos - OPEX'!$G$82:$G$238,'Insumos - OPEX'!$B$82:$B$238,OPEX!D460))))</f>
        <v>0</v>
      </c>
      <c r="N460" s="211">
        <f>IF(OR($B460="Ce Co No Imputables",$G460="M2 fijo"),$M460*(1+'Insumos - OPEX'!J$38),$M460*(1+'Insumos - OPEX'!J$29*'Insumos - OPEX'!J$39)*(1+'Insumos - OPEX'!J$38))</f>
        <v>0</v>
      </c>
      <c r="O460" s="211">
        <f>IF(OR($B460="Ce Co No Imputables",$G460="M2 fijo"),$M460*(1+'Insumos - OPEX'!K$38),$M460*(1+'Insumos - OPEX'!K$29*'Insumos - OPEX'!K$39)*(1+'Insumos - OPEX'!K$38))</f>
        <v>0</v>
      </c>
      <c r="P460" s="211">
        <f>IF(OR($B460="Ce Co No Imputables",$G460="M2 fijo"),$M460*(1+'Insumos - OPEX'!L$38),$M460*(1+'Insumos - OPEX'!L$29*'Insumos - OPEX'!L$39)*(1+'Insumos - OPEX'!L$38))</f>
        <v>0</v>
      </c>
      <c r="Q460" s="211">
        <f>IF(OR($B460="Ce Co No Imputables",$G460="M2 fijo"),$M460*(1+'Insumos - OPEX'!M$38),$M460*(1+'Insumos - OPEX'!M$29*'Insumos - OPEX'!M$39)*(1+'Insumos - OPEX'!M$38))</f>
        <v>0</v>
      </c>
      <c r="R460" s="211">
        <f>IF(OR($B460="Ce Co No Imputables",$G460="M2 fijo"),$M460*(1+'Insumos - OPEX'!N$38),$M460*(1+'Insumos - OPEX'!N$29*'Insumos - OPEX'!N$39)*(1+'Insumos - OPEX'!N$38))</f>
        <v>0</v>
      </c>
      <c r="S460" s="111"/>
    </row>
    <row r="461" spans="1:19" x14ac:dyDescent="0.2">
      <c r="A461" s="8"/>
      <c r="B461" s="8" t="s">
        <v>435</v>
      </c>
      <c r="C461" s="8" t="s">
        <v>173</v>
      </c>
      <c r="D461" s="8">
        <v>6343100006</v>
      </c>
      <c r="E461" s="8" t="s">
        <v>425</v>
      </c>
      <c r="F461" s="89" t="s">
        <v>470</v>
      </c>
      <c r="G461" s="73" t="s">
        <v>136</v>
      </c>
      <c r="H461" s="112" t="s">
        <v>61</v>
      </c>
      <c r="I461" s="13" t="s">
        <v>436</v>
      </c>
      <c r="J461" s="11"/>
      <c r="K461" s="186">
        <v>0</v>
      </c>
      <c r="L461" s="187"/>
      <c r="M461" s="214">
        <f>IF(OR(E461="Distribución Legal de la Renta",E461="Acopio carros portaequipajes"),0,IF(K461&lt;0,0,K461*(1+SUMIFS('Insumos - OPEX'!$G$82:$G$238,'Insumos - OPEX'!$B$82:$B$238,OPEX!D461))))</f>
        <v>0</v>
      </c>
      <c r="N461" s="211">
        <f>IF(OR($B461="Ce Co No Imputables",$G461="M2 fijo"),$M461*(1+'Insumos - OPEX'!J$38),$M461*(1+'Insumos - OPEX'!J$29*'Insumos - OPEX'!J$39)*(1+'Insumos - OPEX'!J$38))</f>
        <v>0</v>
      </c>
      <c r="O461" s="211">
        <f>IF(OR($B461="Ce Co No Imputables",$G461="M2 fijo"),$M461*(1+'Insumos - OPEX'!K$38),$M461*(1+'Insumos - OPEX'!K$29*'Insumos - OPEX'!K$39)*(1+'Insumos - OPEX'!K$38))</f>
        <v>0</v>
      </c>
      <c r="P461" s="211">
        <f>IF(OR($B461="Ce Co No Imputables",$G461="M2 fijo"),$M461*(1+'Insumos - OPEX'!L$38),$M461*(1+'Insumos - OPEX'!L$29*'Insumos - OPEX'!L$39)*(1+'Insumos - OPEX'!L$38))</f>
        <v>0</v>
      </c>
      <c r="Q461" s="211">
        <f>IF(OR($B461="Ce Co No Imputables",$G461="M2 fijo"),$M461*(1+'Insumos - OPEX'!M$38),$M461*(1+'Insumos - OPEX'!M$29*'Insumos - OPEX'!M$39)*(1+'Insumos - OPEX'!M$38))</f>
        <v>0</v>
      </c>
      <c r="R461" s="211">
        <f>IF(OR($B461="Ce Co No Imputables",$G461="M2 fijo"),$M461*(1+'Insumos - OPEX'!N$38),$M461*(1+'Insumos - OPEX'!N$29*'Insumos - OPEX'!N$39)*(1+'Insumos - OPEX'!N$38))</f>
        <v>0</v>
      </c>
      <c r="S461" s="111"/>
    </row>
    <row r="462" spans="1:19" x14ac:dyDescent="0.2">
      <c r="A462" s="8"/>
      <c r="B462" s="8" t="s">
        <v>435</v>
      </c>
      <c r="C462" s="8" t="s">
        <v>172</v>
      </c>
      <c r="D462" s="8">
        <v>6381000002</v>
      </c>
      <c r="E462" s="8" t="s">
        <v>302</v>
      </c>
      <c r="F462" s="89" t="s">
        <v>469</v>
      </c>
      <c r="G462" s="73" t="s">
        <v>136</v>
      </c>
      <c r="H462" s="112" t="s">
        <v>61</v>
      </c>
      <c r="I462" s="13" t="s">
        <v>436</v>
      </c>
      <c r="K462" s="186">
        <v>25666.41649963586</v>
      </c>
      <c r="L462" s="187"/>
      <c r="M462" s="214">
        <f>IF(OR(E462="Distribución Legal de la Renta",E462="Acopio carros portaequipajes"),0,IF(K462&lt;0,0,K462*(1+SUMIFS('Insumos - OPEX'!$G$82:$G$238,'Insumos - OPEX'!$B$82:$B$238,OPEX!D462))))</f>
        <v>26795.979987269271</v>
      </c>
      <c r="N462" s="211">
        <f>IF(OR($B462="Ce Co No Imputables",$G462="M2 fijo"),$M462*(1+'Insumos - OPEX'!J$38),$M462*(1+'Insumos - OPEX'!J$29*'Insumos - OPEX'!J$39)*(1+'Insumos - OPEX'!J$38))</f>
        <v>27358.963526801799</v>
      </c>
      <c r="O462" s="211">
        <f>IF(OR($B462="Ce Co No Imputables",$G462="M2 fijo"),$M462*(1+'Insumos - OPEX'!K$38),$M462*(1+'Insumos - OPEX'!K$29*'Insumos - OPEX'!K$39)*(1+'Insumos - OPEX'!K$38))</f>
        <v>28007.644552022266</v>
      </c>
      <c r="P462" s="211">
        <f>IF(OR($B462="Ce Co No Imputables",$G462="M2 fijo"),$M462*(1+'Insumos - OPEX'!L$38),$M462*(1+'Insumos - OPEX'!L$29*'Insumos - OPEX'!L$39)*(1+'Insumos - OPEX'!L$38))</f>
        <v>28605.60776320794</v>
      </c>
      <c r="Q462" s="211">
        <f>IF(OR($B462="Ce Co No Imputables",$G462="M2 fijo"),$M462*(1+'Insumos - OPEX'!M$38),$M462*(1+'Insumos - OPEX'!M$29*'Insumos - OPEX'!M$39)*(1+'Insumos - OPEX'!M$38))</f>
        <v>29221.200442272169</v>
      </c>
      <c r="R462" s="211">
        <f>IF(OR($B462="Ce Co No Imputables",$G462="M2 fijo"),$M462*(1+'Insumos - OPEX'!N$38),$M462*(1+'Insumos - OPEX'!N$29*'Insumos - OPEX'!N$39)*(1+'Insumos - OPEX'!N$38))</f>
        <v>29850.040675789867</v>
      </c>
      <c r="S462" s="111"/>
    </row>
    <row r="463" spans="1:19" x14ac:dyDescent="0.2">
      <c r="A463" s="8"/>
      <c r="B463" s="8" t="s">
        <v>435</v>
      </c>
      <c r="C463" s="8" t="s">
        <v>172</v>
      </c>
      <c r="D463" s="8">
        <v>6380000004</v>
      </c>
      <c r="E463" s="8" t="s">
        <v>273</v>
      </c>
      <c r="F463" s="89" t="s">
        <v>469</v>
      </c>
      <c r="G463" s="73" t="s">
        <v>471</v>
      </c>
      <c r="H463" s="112" t="s">
        <v>61</v>
      </c>
      <c r="I463" s="13" t="s">
        <v>436</v>
      </c>
      <c r="K463" s="186">
        <v>15204.468271071086</v>
      </c>
      <c r="L463" s="187"/>
      <c r="M463" s="214">
        <f>IF(OR(E463="Distribución Legal de la Renta",E463="Acopio carros portaequipajes"),0,IF(K463&lt;0,0,K463*(1+SUMIFS('Insumos - OPEX'!$G$82:$G$238,'Insumos - OPEX'!$B$82:$B$238,OPEX!D463))))</f>
        <v>32697.081056991301</v>
      </c>
      <c r="N463" s="211">
        <f>IF(OR($B463="Ce Co No Imputables",$G463="M2 fijo"),$M463*(1+'Insumos - OPEX'!J$38),$M463*(1+'Insumos - OPEX'!J$29*'Insumos - OPEX'!J$39)*(1+'Insumos - OPEX'!J$38))</f>
        <v>33384.046729998685</v>
      </c>
      <c r="O463" s="211">
        <f>IF(OR($B463="Ce Co No Imputables",$G463="M2 fijo"),$M463*(1+'Insumos - OPEX'!K$38),$M463*(1+'Insumos - OPEX'!K$29*'Insumos - OPEX'!K$39)*(1+'Insumos - OPEX'!K$38))</f>
        <v>34175.582477966957</v>
      </c>
      <c r="P463" s="211">
        <f>IF(OR($B463="Ce Co No Imputables",$G463="M2 fijo"),$M463*(1+'Insumos - OPEX'!L$38),$M463*(1+'Insumos - OPEX'!L$29*'Insumos - OPEX'!L$39)*(1+'Insumos - OPEX'!L$38))</f>
        <v>34905.231163871547</v>
      </c>
      <c r="Q463" s="211">
        <f>IF(OR($B463="Ce Co No Imputables",$G463="M2 fijo"),$M463*(1+'Insumos - OPEX'!M$38),$M463*(1+'Insumos - OPEX'!M$29*'Insumos - OPEX'!M$39)*(1+'Insumos - OPEX'!M$38))</f>
        <v>35656.391738518054</v>
      </c>
      <c r="R463" s="211">
        <f>IF(OR($B463="Ce Co No Imputables",$G463="M2 fijo"),$M463*(1+'Insumos - OPEX'!N$38),$M463*(1+'Insumos - OPEX'!N$29*'Insumos - OPEX'!N$39)*(1+'Insumos - OPEX'!N$38))</f>
        <v>36423.717288730964</v>
      </c>
      <c r="S463" s="111"/>
    </row>
    <row r="464" spans="1:19" x14ac:dyDescent="0.2">
      <c r="A464" s="8"/>
      <c r="B464" s="8" t="s">
        <v>435</v>
      </c>
      <c r="C464" s="8" t="s">
        <v>172</v>
      </c>
      <c r="D464" s="8">
        <v>6320000007</v>
      </c>
      <c r="E464" s="8" t="s">
        <v>303</v>
      </c>
      <c r="F464" s="89" t="s">
        <v>469</v>
      </c>
      <c r="G464" s="73" t="s">
        <v>136</v>
      </c>
      <c r="H464" s="112" t="s">
        <v>61</v>
      </c>
      <c r="I464" s="13" t="s">
        <v>436</v>
      </c>
      <c r="K464" s="186">
        <v>0</v>
      </c>
      <c r="L464" s="187"/>
      <c r="M464" s="214">
        <f>IF(OR(E464="Distribución Legal de la Renta",E464="Acopio carros portaequipajes"),0,IF(K464&lt;0,0,K464*(1+SUMIFS('Insumos - OPEX'!$G$82:$G$238,'Insumos - OPEX'!$B$82:$B$238,OPEX!D464))))</f>
        <v>0</v>
      </c>
      <c r="N464" s="211">
        <f>IF(OR($B464="Ce Co No Imputables",$G464="M2 fijo"),$M464*(1+'Insumos - OPEX'!J$38),$M464*(1+'Insumos - OPEX'!J$29*'Insumos - OPEX'!J$39)*(1+'Insumos - OPEX'!J$38))</f>
        <v>0</v>
      </c>
      <c r="O464" s="211">
        <f>IF(OR($B464="Ce Co No Imputables",$G464="M2 fijo"),$M464*(1+'Insumos - OPEX'!K$38),$M464*(1+'Insumos - OPEX'!K$29*'Insumos - OPEX'!K$39)*(1+'Insumos - OPEX'!K$38))</f>
        <v>0</v>
      </c>
      <c r="P464" s="211">
        <f>IF(OR($B464="Ce Co No Imputables",$G464="M2 fijo"),$M464*(1+'Insumos - OPEX'!L$38),$M464*(1+'Insumos - OPEX'!L$29*'Insumos - OPEX'!L$39)*(1+'Insumos - OPEX'!L$38))</f>
        <v>0</v>
      </c>
      <c r="Q464" s="211">
        <f>IF(OR($B464="Ce Co No Imputables",$G464="M2 fijo"),$M464*(1+'Insumos - OPEX'!M$38),$M464*(1+'Insumos - OPEX'!M$29*'Insumos - OPEX'!M$39)*(1+'Insumos - OPEX'!M$38))</f>
        <v>0</v>
      </c>
      <c r="R464" s="211">
        <f>IF(OR($B464="Ce Co No Imputables",$G464="M2 fijo"),$M464*(1+'Insumos - OPEX'!N$38),$M464*(1+'Insumos - OPEX'!N$29*'Insumos - OPEX'!N$39)*(1+'Insumos - OPEX'!N$38))</f>
        <v>0</v>
      </c>
      <c r="S464" s="111"/>
    </row>
    <row r="465" spans="1:20" x14ac:dyDescent="0.2">
      <c r="A465" s="8"/>
      <c r="B465" s="8" t="s">
        <v>435</v>
      </c>
      <c r="C465" s="8" t="s">
        <v>172</v>
      </c>
      <c r="D465" s="8">
        <v>6380000027</v>
      </c>
      <c r="E465" s="8" t="s">
        <v>318</v>
      </c>
      <c r="F465" s="89" t="s">
        <v>470</v>
      </c>
      <c r="G465" s="73" t="s">
        <v>136</v>
      </c>
      <c r="H465" s="112" t="s">
        <v>61</v>
      </c>
      <c r="I465" s="13" t="s">
        <v>436</v>
      </c>
      <c r="K465" s="186">
        <v>0</v>
      </c>
      <c r="L465" s="187"/>
      <c r="M465" s="214">
        <f>IF(OR(E465="Distribución Legal de la Renta",E465="Acopio carros portaequipajes"),0,IF(K465&lt;0,0,K465*(1+SUMIFS('Insumos - OPEX'!$G$82:$G$238,'Insumos - OPEX'!$B$82:$B$238,OPEX!D465))))</f>
        <v>0</v>
      </c>
      <c r="N465" s="211">
        <f>IF(OR($B465="Ce Co No Imputables",$G465="M2 fijo"),$M465*(1+'Insumos - OPEX'!J$38),$M465*(1+'Insumos - OPEX'!J$29*'Insumos - OPEX'!J$39)*(1+'Insumos - OPEX'!J$38))</f>
        <v>0</v>
      </c>
      <c r="O465" s="211">
        <f>IF(OR($B465="Ce Co No Imputables",$G465="M2 fijo"),$M465*(1+'Insumos - OPEX'!K$38),$M465*(1+'Insumos - OPEX'!K$29*'Insumos - OPEX'!K$39)*(1+'Insumos - OPEX'!K$38))</f>
        <v>0</v>
      </c>
      <c r="P465" s="211">
        <f>IF(OR($B465="Ce Co No Imputables",$G465="M2 fijo"),$M465*(1+'Insumos - OPEX'!L$38),$M465*(1+'Insumos - OPEX'!L$29*'Insumos - OPEX'!L$39)*(1+'Insumos - OPEX'!L$38))</f>
        <v>0</v>
      </c>
      <c r="Q465" s="211">
        <f>IF(OR($B465="Ce Co No Imputables",$G465="M2 fijo"),$M465*(1+'Insumos - OPEX'!M$38),$M465*(1+'Insumos - OPEX'!M$29*'Insumos - OPEX'!M$39)*(1+'Insumos - OPEX'!M$38))</f>
        <v>0</v>
      </c>
      <c r="R465" s="211">
        <f>IF(OR($B465="Ce Co No Imputables",$G465="M2 fijo"),$M465*(1+'Insumos - OPEX'!N$38),$M465*(1+'Insumos - OPEX'!N$29*'Insumos - OPEX'!N$39)*(1+'Insumos - OPEX'!N$38))</f>
        <v>0</v>
      </c>
      <c r="S465" s="111"/>
    </row>
    <row r="466" spans="1:20" x14ac:dyDescent="0.2">
      <c r="A466" s="8"/>
      <c r="B466" s="8" t="s">
        <v>435</v>
      </c>
      <c r="C466" s="8" t="s">
        <v>172</v>
      </c>
      <c r="D466" s="8">
        <v>6380000031</v>
      </c>
      <c r="E466" s="8" t="s">
        <v>310</v>
      </c>
      <c r="F466" s="89" t="s">
        <v>470</v>
      </c>
      <c r="G466" s="73" t="s">
        <v>136</v>
      </c>
      <c r="H466" s="112" t="s">
        <v>61</v>
      </c>
      <c r="I466" s="13" t="s">
        <v>436</v>
      </c>
      <c r="K466" s="186">
        <v>0</v>
      </c>
      <c r="L466" s="187"/>
      <c r="M466" s="214">
        <f>IF(OR(E466="Distribución Legal de la Renta",E466="Acopio carros portaequipajes"),0,IF(K466&lt;0,0,K466*(1+SUMIFS('Insumos - OPEX'!$G$82:$G$238,'Insumos - OPEX'!$B$82:$B$238,OPEX!D466))))</f>
        <v>0</v>
      </c>
      <c r="N466" s="211">
        <f>IF(OR($B466="Ce Co No Imputables",$G466="M2 fijo"),$M466*(1+'Insumos - OPEX'!J$38),$M466*(1+'Insumos - OPEX'!J$29*'Insumos - OPEX'!J$39)*(1+'Insumos - OPEX'!J$38))</f>
        <v>0</v>
      </c>
      <c r="O466" s="211">
        <f>IF(OR($B466="Ce Co No Imputables",$G466="M2 fijo"),$M466*(1+'Insumos - OPEX'!K$38),$M466*(1+'Insumos - OPEX'!K$29*'Insumos - OPEX'!K$39)*(1+'Insumos - OPEX'!K$38))</f>
        <v>0</v>
      </c>
      <c r="P466" s="211">
        <f>IF(OR($B466="Ce Co No Imputables",$G466="M2 fijo"),$M466*(1+'Insumos - OPEX'!L$38),$M466*(1+'Insumos - OPEX'!L$29*'Insumos - OPEX'!L$39)*(1+'Insumos - OPEX'!L$38))</f>
        <v>0</v>
      </c>
      <c r="Q466" s="211">
        <f>IF(OR($B466="Ce Co No Imputables",$G466="M2 fijo"),$M466*(1+'Insumos - OPEX'!M$38),$M466*(1+'Insumos - OPEX'!M$29*'Insumos - OPEX'!M$39)*(1+'Insumos - OPEX'!M$38))</f>
        <v>0</v>
      </c>
      <c r="R466" s="211">
        <f>IF(OR($B466="Ce Co No Imputables",$G466="M2 fijo"),$M466*(1+'Insumos - OPEX'!N$38),$M466*(1+'Insumos - OPEX'!N$29*'Insumos - OPEX'!N$39)*(1+'Insumos - OPEX'!N$38))</f>
        <v>0</v>
      </c>
      <c r="S466" s="111"/>
    </row>
    <row r="467" spans="1:20" x14ac:dyDescent="0.2">
      <c r="A467" s="8"/>
      <c r="B467" s="8" t="s">
        <v>435</v>
      </c>
      <c r="C467" s="8" t="s">
        <v>172</v>
      </c>
      <c r="D467" s="8">
        <v>6380000014</v>
      </c>
      <c r="E467" s="8" t="s">
        <v>312</v>
      </c>
      <c r="F467" s="89" t="s">
        <v>470</v>
      </c>
      <c r="G467" s="73" t="s">
        <v>136</v>
      </c>
      <c r="H467" s="112" t="s">
        <v>61</v>
      </c>
      <c r="I467" s="13" t="s">
        <v>436</v>
      </c>
      <c r="K467" s="186">
        <v>0</v>
      </c>
      <c r="L467" s="187"/>
      <c r="M467" s="214">
        <f>IF(OR(E467="Distribución Legal de la Renta",E467="Acopio carros portaequipajes"),0,IF(K467&lt;0,0,K467*(1+SUMIFS('Insumos - OPEX'!$G$82:$G$238,'Insumos - OPEX'!$B$82:$B$238,OPEX!D467))))</f>
        <v>0</v>
      </c>
      <c r="N467" s="211">
        <f>IF(OR($B467="Ce Co No Imputables",$G467="M2 fijo"),$M467*(1+'Insumos - OPEX'!J$38),$M467*(1+'Insumos - OPEX'!J$29*'Insumos - OPEX'!J$39)*(1+'Insumos - OPEX'!J$38))</f>
        <v>0</v>
      </c>
      <c r="O467" s="211">
        <f>IF(OR($B467="Ce Co No Imputables",$G467="M2 fijo"),$M467*(1+'Insumos - OPEX'!K$38),$M467*(1+'Insumos - OPEX'!K$29*'Insumos - OPEX'!K$39)*(1+'Insumos - OPEX'!K$38))</f>
        <v>0</v>
      </c>
      <c r="P467" s="211">
        <f>IF(OR($B467="Ce Co No Imputables",$G467="M2 fijo"),$M467*(1+'Insumos - OPEX'!L$38),$M467*(1+'Insumos - OPEX'!L$29*'Insumos - OPEX'!L$39)*(1+'Insumos - OPEX'!L$38))</f>
        <v>0</v>
      </c>
      <c r="Q467" s="211">
        <f>IF(OR($B467="Ce Co No Imputables",$G467="M2 fijo"),$M467*(1+'Insumos - OPEX'!M$38),$M467*(1+'Insumos - OPEX'!M$29*'Insumos - OPEX'!M$39)*(1+'Insumos - OPEX'!M$38))</f>
        <v>0</v>
      </c>
      <c r="R467" s="211">
        <f>IF(OR($B467="Ce Co No Imputables",$G467="M2 fijo"),$M467*(1+'Insumos - OPEX'!N$38),$M467*(1+'Insumos - OPEX'!N$29*'Insumos - OPEX'!N$39)*(1+'Insumos - OPEX'!N$38))</f>
        <v>0</v>
      </c>
      <c r="S467" s="111"/>
    </row>
    <row r="468" spans="1:20" x14ac:dyDescent="0.2">
      <c r="A468" s="8"/>
      <c r="B468" s="8" t="s">
        <v>435</v>
      </c>
      <c r="C468" s="8" t="s">
        <v>172</v>
      </c>
      <c r="D468" s="8">
        <v>6381000005</v>
      </c>
      <c r="E468" s="8" t="s">
        <v>316</v>
      </c>
      <c r="F468" s="89" t="s">
        <v>470</v>
      </c>
      <c r="G468" s="73" t="s">
        <v>136</v>
      </c>
      <c r="H468" s="112" t="s">
        <v>61</v>
      </c>
      <c r="I468" s="13" t="s">
        <v>436</v>
      </c>
      <c r="K468" s="186">
        <v>0</v>
      </c>
      <c r="L468" s="187"/>
      <c r="M468" s="214">
        <f>IF(OR(E468="Distribución Legal de la Renta",E468="Acopio carros portaequipajes"),0,IF(K468&lt;0,0,K468*(1+SUMIFS('Insumos - OPEX'!$G$82:$G$238,'Insumos - OPEX'!$B$82:$B$238,OPEX!D468))))</f>
        <v>0</v>
      </c>
      <c r="N468" s="211">
        <f>IF(OR($B468="Ce Co No Imputables",$G468="M2 fijo"),$M468*(1+'Insumos - OPEX'!J$38),$M468*(1+'Insumos - OPEX'!J$29*'Insumos - OPEX'!J$39)*(1+'Insumos - OPEX'!J$38))</f>
        <v>0</v>
      </c>
      <c r="O468" s="211">
        <f>IF(OR($B468="Ce Co No Imputables",$G468="M2 fijo"),$M468*(1+'Insumos - OPEX'!K$38),$M468*(1+'Insumos - OPEX'!K$29*'Insumos - OPEX'!K$39)*(1+'Insumos - OPEX'!K$38))</f>
        <v>0</v>
      </c>
      <c r="P468" s="211">
        <f>IF(OR($B468="Ce Co No Imputables",$G468="M2 fijo"),$M468*(1+'Insumos - OPEX'!L$38),$M468*(1+'Insumos - OPEX'!L$29*'Insumos - OPEX'!L$39)*(1+'Insumos - OPEX'!L$38))</f>
        <v>0</v>
      </c>
      <c r="Q468" s="211">
        <f>IF(OR($B468="Ce Co No Imputables",$G468="M2 fijo"),$M468*(1+'Insumos - OPEX'!M$38),$M468*(1+'Insumos - OPEX'!M$29*'Insumos - OPEX'!M$39)*(1+'Insumos - OPEX'!M$38))</f>
        <v>0</v>
      </c>
      <c r="R468" s="211">
        <f>IF(OR($B468="Ce Co No Imputables",$G468="M2 fijo"),$M468*(1+'Insumos - OPEX'!N$38),$M468*(1+'Insumos - OPEX'!N$29*'Insumos - OPEX'!N$39)*(1+'Insumos - OPEX'!N$38))</f>
        <v>0</v>
      </c>
      <c r="S468" s="111"/>
    </row>
    <row r="469" spans="1:20" x14ac:dyDescent="0.2">
      <c r="A469" s="8"/>
      <c r="B469" s="8" t="s">
        <v>435</v>
      </c>
      <c r="C469" s="8" t="s">
        <v>172</v>
      </c>
      <c r="D469" s="8">
        <v>6380000016</v>
      </c>
      <c r="E469" s="8" t="s">
        <v>304</v>
      </c>
      <c r="F469" s="89" t="s">
        <v>469</v>
      </c>
      <c r="G469" s="73" t="s">
        <v>136</v>
      </c>
      <c r="H469" s="112" t="s">
        <v>61</v>
      </c>
      <c r="I469" s="13" t="s">
        <v>436</v>
      </c>
      <c r="K469" s="186">
        <v>0</v>
      </c>
      <c r="L469" s="187"/>
      <c r="M469" s="214">
        <f>IF(OR(E469="Distribución Legal de la Renta",E469="Acopio carros portaequipajes"),0,IF(K469&lt;0,0,K469*(1+SUMIFS('Insumos - OPEX'!$G$82:$G$238,'Insumos - OPEX'!$B$82:$B$238,OPEX!D469))))</f>
        <v>0</v>
      </c>
      <c r="N469" s="211">
        <f>IF(OR($B469="Ce Co No Imputables",$G469="M2 fijo"),$M469*(1+'Insumos - OPEX'!J$38),$M469*(1+'Insumos - OPEX'!J$29*'Insumos - OPEX'!J$39)*(1+'Insumos - OPEX'!J$38))</f>
        <v>0</v>
      </c>
      <c r="O469" s="211">
        <f>IF(OR($B469="Ce Co No Imputables",$G469="M2 fijo"),$M469*(1+'Insumos - OPEX'!K$38),$M469*(1+'Insumos - OPEX'!K$29*'Insumos - OPEX'!K$39)*(1+'Insumos - OPEX'!K$38))</f>
        <v>0</v>
      </c>
      <c r="P469" s="211">
        <f>IF(OR($B469="Ce Co No Imputables",$G469="M2 fijo"),$M469*(1+'Insumos - OPEX'!L$38),$M469*(1+'Insumos - OPEX'!L$29*'Insumos - OPEX'!L$39)*(1+'Insumos - OPEX'!L$38))</f>
        <v>0</v>
      </c>
      <c r="Q469" s="211">
        <f>IF(OR($B469="Ce Co No Imputables",$G469="M2 fijo"),$M469*(1+'Insumos - OPEX'!M$38),$M469*(1+'Insumos - OPEX'!M$29*'Insumos - OPEX'!M$39)*(1+'Insumos - OPEX'!M$38))</f>
        <v>0</v>
      </c>
      <c r="R469" s="211">
        <f>IF(OR($B469="Ce Co No Imputables",$G469="M2 fijo"),$M469*(1+'Insumos - OPEX'!N$38),$M469*(1+'Insumos - OPEX'!N$29*'Insumos - OPEX'!N$39)*(1+'Insumos - OPEX'!N$38))</f>
        <v>0</v>
      </c>
      <c r="S469" s="111"/>
    </row>
    <row r="470" spans="1:20" x14ac:dyDescent="0.2">
      <c r="A470" s="8"/>
      <c r="B470" s="8" t="s">
        <v>435</v>
      </c>
      <c r="C470" s="8" t="s">
        <v>172</v>
      </c>
      <c r="D470" s="8">
        <v>6380000026</v>
      </c>
      <c r="E470" s="8" t="s">
        <v>314</v>
      </c>
      <c r="F470" s="89" t="s">
        <v>470</v>
      </c>
      <c r="G470" s="73" t="s">
        <v>136</v>
      </c>
      <c r="H470" s="112" t="s">
        <v>61</v>
      </c>
      <c r="I470" s="13" t="s">
        <v>436</v>
      </c>
      <c r="K470" s="186">
        <v>0</v>
      </c>
      <c r="L470" s="187"/>
      <c r="M470" s="214">
        <f>IF(OR(E470="Distribución Legal de la Renta",E470="Acopio carros portaequipajes"),0,IF(K470&lt;0,0,K470*(1+SUMIFS('Insumos - OPEX'!$G$82:$G$238,'Insumos - OPEX'!$B$82:$B$238,OPEX!D470))))</f>
        <v>0</v>
      </c>
      <c r="N470" s="211">
        <f>IF(OR($B470="Ce Co No Imputables",$G470="M2 fijo"),$M470*(1+'Insumos - OPEX'!J$38),$M470*(1+'Insumos - OPEX'!J$29*'Insumos - OPEX'!J$39)*(1+'Insumos - OPEX'!J$38))</f>
        <v>0</v>
      </c>
      <c r="O470" s="211">
        <f>IF(OR($B470="Ce Co No Imputables",$G470="M2 fijo"),$M470*(1+'Insumos - OPEX'!K$38),$M470*(1+'Insumos - OPEX'!K$29*'Insumos - OPEX'!K$39)*(1+'Insumos - OPEX'!K$38))</f>
        <v>0</v>
      </c>
      <c r="P470" s="211">
        <f>IF(OR($B470="Ce Co No Imputables",$G470="M2 fijo"),$M470*(1+'Insumos - OPEX'!L$38),$M470*(1+'Insumos - OPEX'!L$29*'Insumos - OPEX'!L$39)*(1+'Insumos - OPEX'!L$38))</f>
        <v>0</v>
      </c>
      <c r="Q470" s="211">
        <f>IF(OR($B470="Ce Co No Imputables",$G470="M2 fijo"),$M470*(1+'Insumos - OPEX'!M$38),$M470*(1+'Insumos - OPEX'!M$29*'Insumos - OPEX'!M$39)*(1+'Insumos - OPEX'!M$38))</f>
        <v>0</v>
      </c>
      <c r="R470" s="211">
        <f>IF(OR($B470="Ce Co No Imputables",$G470="M2 fijo"),$M470*(1+'Insumos - OPEX'!N$38),$M470*(1+'Insumos - OPEX'!N$29*'Insumos - OPEX'!N$39)*(1+'Insumos - OPEX'!N$38))</f>
        <v>0</v>
      </c>
      <c r="S470" s="111"/>
    </row>
    <row r="471" spans="1:20" x14ac:dyDescent="0.2">
      <c r="A471" s="8"/>
      <c r="B471" s="8" t="s">
        <v>435</v>
      </c>
      <c r="C471" s="8" t="s">
        <v>172</v>
      </c>
      <c r="D471" s="8">
        <v>6380000017</v>
      </c>
      <c r="E471" s="8" t="s">
        <v>317</v>
      </c>
      <c r="F471" s="89" t="s">
        <v>470</v>
      </c>
      <c r="G471" s="73" t="s">
        <v>136</v>
      </c>
      <c r="H471" s="112" t="s">
        <v>61</v>
      </c>
      <c r="I471" s="13" t="s">
        <v>436</v>
      </c>
      <c r="K471" s="186">
        <v>0</v>
      </c>
      <c r="L471" s="187"/>
      <c r="M471" s="214">
        <f>IF(OR(E471="Distribución Legal de la Renta",E471="Acopio carros portaequipajes"),0,IF(K471&lt;0,0,K471*(1+SUMIFS('Insumos - OPEX'!$G$82:$G$238,'Insumos - OPEX'!$B$82:$B$238,OPEX!D471))))</f>
        <v>0</v>
      </c>
      <c r="N471" s="211">
        <f>IF(OR($B471="Ce Co No Imputables",$G471="M2 fijo"),$M471*(1+'Insumos - OPEX'!J$38),$M471*(1+'Insumos - OPEX'!J$29*'Insumos - OPEX'!J$39)*(1+'Insumos - OPEX'!J$38))</f>
        <v>0</v>
      </c>
      <c r="O471" s="211">
        <f>IF(OR($B471="Ce Co No Imputables",$G471="M2 fijo"),$M471*(1+'Insumos - OPEX'!K$38),$M471*(1+'Insumos - OPEX'!K$29*'Insumos - OPEX'!K$39)*(1+'Insumos - OPEX'!K$38))</f>
        <v>0</v>
      </c>
      <c r="P471" s="211">
        <f>IF(OR($B471="Ce Co No Imputables",$G471="M2 fijo"),$M471*(1+'Insumos - OPEX'!L$38),$M471*(1+'Insumos - OPEX'!L$29*'Insumos - OPEX'!L$39)*(1+'Insumos - OPEX'!L$38))</f>
        <v>0</v>
      </c>
      <c r="Q471" s="211">
        <f>IF(OR($B471="Ce Co No Imputables",$G471="M2 fijo"),$M471*(1+'Insumos - OPEX'!M$38),$M471*(1+'Insumos - OPEX'!M$29*'Insumos - OPEX'!M$39)*(1+'Insumos - OPEX'!M$38))</f>
        <v>0</v>
      </c>
      <c r="R471" s="211">
        <f>IF(OR($B471="Ce Co No Imputables",$G471="M2 fijo"),$M471*(1+'Insumos - OPEX'!N$38),$M471*(1+'Insumos - OPEX'!N$29*'Insumos - OPEX'!N$39)*(1+'Insumos - OPEX'!N$38))</f>
        <v>0</v>
      </c>
      <c r="S471" s="111"/>
    </row>
    <row r="472" spans="1:20" x14ac:dyDescent="0.2">
      <c r="A472" s="8"/>
      <c r="B472" s="8" t="s">
        <v>435</v>
      </c>
      <c r="C472" s="8" t="s">
        <v>172</v>
      </c>
      <c r="D472" s="8">
        <v>6380000028</v>
      </c>
      <c r="E472" s="8" t="s">
        <v>305</v>
      </c>
      <c r="F472" s="89" t="s">
        <v>470</v>
      </c>
      <c r="G472" s="73" t="s">
        <v>136</v>
      </c>
      <c r="H472" s="112" t="s">
        <v>61</v>
      </c>
      <c r="I472" s="13" t="s">
        <v>436</v>
      </c>
      <c r="K472" s="186">
        <v>0</v>
      </c>
      <c r="L472" s="187"/>
      <c r="M472" s="214">
        <f>IF(OR(E472="Distribución Legal de la Renta",E472="Acopio carros portaequipajes"),0,IF(K472&lt;0,0,K472*(1+SUMIFS('Insumos - OPEX'!$G$82:$G$238,'Insumos - OPEX'!$B$82:$B$238,OPEX!D472))))</f>
        <v>0</v>
      </c>
      <c r="N472" s="211">
        <f>IF(OR($B472="Ce Co No Imputables",$G472="M2 fijo"),$M472*(1+'Insumos - OPEX'!J$38),$M472*(1+'Insumos - OPEX'!J$29*'Insumos - OPEX'!J$39)*(1+'Insumos - OPEX'!J$38))</f>
        <v>0</v>
      </c>
      <c r="O472" s="211">
        <f>IF(OR($B472="Ce Co No Imputables",$G472="M2 fijo"),$M472*(1+'Insumos - OPEX'!K$38),$M472*(1+'Insumos - OPEX'!K$29*'Insumos - OPEX'!K$39)*(1+'Insumos - OPEX'!K$38))</f>
        <v>0</v>
      </c>
      <c r="P472" s="211">
        <f>IF(OR($B472="Ce Co No Imputables",$G472="M2 fijo"),$M472*(1+'Insumos - OPEX'!L$38),$M472*(1+'Insumos - OPEX'!L$29*'Insumos - OPEX'!L$39)*(1+'Insumos - OPEX'!L$38))</f>
        <v>0</v>
      </c>
      <c r="Q472" s="211">
        <f>IF(OR($B472="Ce Co No Imputables",$G472="M2 fijo"),$M472*(1+'Insumos - OPEX'!M$38),$M472*(1+'Insumos - OPEX'!M$29*'Insumos - OPEX'!M$39)*(1+'Insumos - OPEX'!M$38))</f>
        <v>0</v>
      </c>
      <c r="R472" s="211">
        <f>IF(OR($B472="Ce Co No Imputables",$G472="M2 fijo"),$M472*(1+'Insumos - OPEX'!N$38),$M472*(1+'Insumos - OPEX'!N$29*'Insumos - OPEX'!N$39)*(1+'Insumos - OPEX'!N$38))</f>
        <v>0</v>
      </c>
      <c r="S472" s="111"/>
    </row>
    <row r="473" spans="1:20" x14ac:dyDescent="0.2">
      <c r="A473" s="8"/>
      <c r="B473" s="8" t="s">
        <v>435</v>
      </c>
      <c r="C473" s="8" t="s">
        <v>172</v>
      </c>
      <c r="D473" s="8">
        <v>6380000018</v>
      </c>
      <c r="E473" s="8" t="s">
        <v>309</v>
      </c>
      <c r="F473" s="89" t="s">
        <v>470</v>
      </c>
      <c r="G473" s="73" t="s">
        <v>136</v>
      </c>
      <c r="H473" s="112" t="s">
        <v>61</v>
      </c>
      <c r="I473" s="13" t="s">
        <v>436</v>
      </c>
      <c r="K473" s="186">
        <v>0</v>
      </c>
      <c r="L473" s="187"/>
      <c r="M473" s="214">
        <f>IF(OR(E473="Distribución Legal de la Renta",E473="Acopio carros portaequipajes"),0,IF(K473&lt;0,0,K473*(1+SUMIFS('Insumos - OPEX'!$G$82:$G$238,'Insumos - OPEX'!$B$82:$B$238,OPEX!D473))))</f>
        <v>0</v>
      </c>
      <c r="N473" s="211">
        <f>IF(OR($B473="Ce Co No Imputables",$G473="M2 fijo"),$M473*(1+'Insumos - OPEX'!J$38),$M473*(1+'Insumos - OPEX'!J$29*'Insumos - OPEX'!J$39)*(1+'Insumos - OPEX'!J$38))</f>
        <v>0</v>
      </c>
      <c r="O473" s="211">
        <f>IF(OR($B473="Ce Co No Imputables",$G473="M2 fijo"),$M473*(1+'Insumos - OPEX'!K$38),$M473*(1+'Insumos - OPEX'!K$29*'Insumos - OPEX'!K$39)*(1+'Insumos - OPEX'!K$38))</f>
        <v>0</v>
      </c>
      <c r="P473" s="211">
        <f>IF(OR($B473="Ce Co No Imputables",$G473="M2 fijo"),$M473*(1+'Insumos - OPEX'!L$38),$M473*(1+'Insumos - OPEX'!L$29*'Insumos - OPEX'!L$39)*(1+'Insumos - OPEX'!L$38))</f>
        <v>0</v>
      </c>
      <c r="Q473" s="211">
        <f>IF(OR($B473="Ce Co No Imputables",$G473="M2 fijo"),$M473*(1+'Insumos - OPEX'!M$38),$M473*(1+'Insumos - OPEX'!M$29*'Insumos - OPEX'!M$39)*(1+'Insumos - OPEX'!M$38))</f>
        <v>0</v>
      </c>
      <c r="R473" s="211">
        <f>IF(OR($B473="Ce Co No Imputables",$G473="M2 fijo"),$M473*(1+'Insumos - OPEX'!N$38),$M473*(1+'Insumos - OPEX'!N$29*'Insumos - OPEX'!N$39)*(1+'Insumos - OPEX'!N$38))</f>
        <v>0</v>
      </c>
      <c r="S473" s="111"/>
      <c r="T473" s="109"/>
    </row>
    <row r="474" spans="1:20" x14ac:dyDescent="0.2">
      <c r="A474" s="8"/>
      <c r="B474" s="8" t="s">
        <v>435</v>
      </c>
      <c r="C474" s="8" t="s">
        <v>172</v>
      </c>
      <c r="D474" s="8">
        <v>6381000001</v>
      </c>
      <c r="E474" s="8" t="s">
        <v>313</v>
      </c>
      <c r="F474" s="89" t="s">
        <v>470</v>
      </c>
      <c r="G474" s="73" t="s">
        <v>136</v>
      </c>
      <c r="H474" s="112" t="s">
        <v>61</v>
      </c>
      <c r="I474" s="13" t="s">
        <v>436</v>
      </c>
      <c r="K474" s="186">
        <v>0</v>
      </c>
      <c r="L474" s="187"/>
      <c r="M474" s="214">
        <f>IF(OR(E474="Distribución Legal de la Renta",E474="Acopio carros portaequipajes"),0,IF(K474&lt;0,0,K474*(1+SUMIFS('Insumos - OPEX'!$G$82:$G$238,'Insumos - OPEX'!$B$82:$B$238,OPEX!D474))))</f>
        <v>0</v>
      </c>
      <c r="N474" s="211">
        <f>IF(OR($B474="Ce Co No Imputables",$G474="M2 fijo"),$M474*(1+'Insumos - OPEX'!J$38),$M474*(1+'Insumos - OPEX'!J$29*'Insumos - OPEX'!J$39)*(1+'Insumos - OPEX'!J$38))</f>
        <v>0</v>
      </c>
      <c r="O474" s="211">
        <f>IF(OR($B474="Ce Co No Imputables",$G474="M2 fijo"),$M474*(1+'Insumos - OPEX'!K$38),$M474*(1+'Insumos - OPEX'!K$29*'Insumos - OPEX'!K$39)*(1+'Insumos - OPEX'!K$38))</f>
        <v>0</v>
      </c>
      <c r="P474" s="211">
        <f>IF(OR($B474="Ce Co No Imputables",$G474="M2 fijo"),$M474*(1+'Insumos - OPEX'!L$38),$M474*(1+'Insumos - OPEX'!L$29*'Insumos - OPEX'!L$39)*(1+'Insumos - OPEX'!L$38))</f>
        <v>0</v>
      </c>
      <c r="Q474" s="211">
        <f>IF(OR($B474="Ce Co No Imputables",$G474="M2 fijo"),$M474*(1+'Insumos - OPEX'!M$38),$M474*(1+'Insumos - OPEX'!M$29*'Insumos - OPEX'!M$39)*(1+'Insumos - OPEX'!M$38))</f>
        <v>0</v>
      </c>
      <c r="R474" s="211">
        <f>IF(OR($B474="Ce Co No Imputables",$G474="M2 fijo"),$M474*(1+'Insumos - OPEX'!N$38),$M474*(1+'Insumos - OPEX'!N$29*'Insumos - OPEX'!N$39)*(1+'Insumos - OPEX'!N$38))</f>
        <v>0</v>
      </c>
      <c r="S474" s="111"/>
      <c r="T474" s="109"/>
    </row>
    <row r="475" spans="1:20" x14ac:dyDescent="0.2">
      <c r="A475" s="8"/>
      <c r="B475" s="8" t="s">
        <v>435</v>
      </c>
      <c r="C475" s="8" t="s">
        <v>172</v>
      </c>
      <c r="D475" s="8">
        <v>6380000020</v>
      </c>
      <c r="E475" s="8" t="s">
        <v>308</v>
      </c>
      <c r="F475" s="89" t="s">
        <v>470</v>
      </c>
      <c r="G475" s="73" t="s">
        <v>136</v>
      </c>
      <c r="H475" s="112" t="s">
        <v>61</v>
      </c>
      <c r="I475" s="13" t="s">
        <v>436</v>
      </c>
      <c r="K475" s="186">
        <v>0</v>
      </c>
      <c r="L475" s="187"/>
      <c r="M475" s="214">
        <f>IF(OR(E475="Distribución Legal de la Renta",E475="Acopio carros portaequipajes"),0,IF(K475&lt;0,0,K475*(1+SUMIFS('Insumos - OPEX'!$G$82:$G$238,'Insumos - OPEX'!$B$82:$B$238,OPEX!D475))))</f>
        <v>0</v>
      </c>
      <c r="N475" s="211">
        <f>IF(OR($B475="Ce Co No Imputables",$G475="M2 fijo"),$M475*(1+'Insumos - OPEX'!J$38),$M475*(1+'Insumos - OPEX'!J$29*'Insumos - OPEX'!J$39)*(1+'Insumos - OPEX'!J$38))</f>
        <v>0</v>
      </c>
      <c r="O475" s="211">
        <f>IF(OR($B475="Ce Co No Imputables",$G475="M2 fijo"),$M475*(1+'Insumos - OPEX'!K$38),$M475*(1+'Insumos - OPEX'!K$29*'Insumos - OPEX'!K$39)*(1+'Insumos - OPEX'!K$38))</f>
        <v>0</v>
      </c>
      <c r="P475" s="211">
        <f>IF(OR($B475="Ce Co No Imputables",$G475="M2 fijo"),$M475*(1+'Insumos - OPEX'!L$38),$M475*(1+'Insumos - OPEX'!L$29*'Insumos - OPEX'!L$39)*(1+'Insumos - OPEX'!L$38))</f>
        <v>0</v>
      </c>
      <c r="Q475" s="211">
        <f>IF(OR($B475="Ce Co No Imputables",$G475="M2 fijo"),$M475*(1+'Insumos - OPEX'!M$38),$M475*(1+'Insumos - OPEX'!M$29*'Insumos - OPEX'!M$39)*(1+'Insumos - OPEX'!M$38))</f>
        <v>0</v>
      </c>
      <c r="R475" s="211">
        <f>IF(OR($B475="Ce Co No Imputables",$G475="M2 fijo"),$M475*(1+'Insumos - OPEX'!N$38),$M475*(1+'Insumos - OPEX'!N$29*'Insumos - OPEX'!N$39)*(1+'Insumos - OPEX'!N$38))</f>
        <v>0</v>
      </c>
      <c r="S475" s="111"/>
      <c r="T475" s="109"/>
    </row>
    <row r="476" spans="1:20" x14ac:dyDescent="0.2">
      <c r="A476" s="8"/>
      <c r="B476" s="8" t="s">
        <v>435</v>
      </c>
      <c r="C476" s="8" t="s">
        <v>172</v>
      </c>
      <c r="D476" s="8">
        <v>6381000003</v>
      </c>
      <c r="E476" s="8" t="s">
        <v>315</v>
      </c>
      <c r="F476" s="89" t="s">
        <v>470</v>
      </c>
      <c r="G476" s="73" t="s">
        <v>136</v>
      </c>
      <c r="H476" s="112" t="s">
        <v>61</v>
      </c>
      <c r="I476" s="13" t="s">
        <v>436</v>
      </c>
      <c r="K476" s="186">
        <v>0</v>
      </c>
      <c r="L476" s="187"/>
      <c r="M476" s="214">
        <f>IF(OR(E476="Distribución Legal de la Renta",E476="Acopio carros portaequipajes"),0,IF(K476&lt;0,0,K476*(1+SUMIFS('Insumos - OPEX'!$G$82:$G$238,'Insumos - OPEX'!$B$82:$B$238,OPEX!D476))))</f>
        <v>0</v>
      </c>
      <c r="N476" s="211">
        <f>IF(OR($B476="Ce Co No Imputables",$G476="M2 fijo"),$M476*(1+'Insumos - OPEX'!J$38),$M476*(1+'Insumos - OPEX'!J$29*'Insumos - OPEX'!J$39)*(1+'Insumos - OPEX'!J$38))</f>
        <v>0</v>
      </c>
      <c r="O476" s="211">
        <f>IF(OR($B476="Ce Co No Imputables",$G476="M2 fijo"),$M476*(1+'Insumos - OPEX'!K$38),$M476*(1+'Insumos - OPEX'!K$29*'Insumos - OPEX'!K$39)*(1+'Insumos - OPEX'!K$38))</f>
        <v>0</v>
      </c>
      <c r="P476" s="211">
        <f>IF(OR($B476="Ce Co No Imputables",$G476="M2 fijo"),$M476*(1+'Insumos - OPEX'!L$38),$M476*(1+'Insumos - OPEX'!L$29*'Insumos - OPEX'!L$39)*(1+'Insumos - OPEX'!L$38))</f>
        <v>0</v>
      </c>
      <c r="Q476" s="211">
        <f>IF(OR($B476="Ce Co No Imputables",$G476="M2 fijo"),$M476*(1+'Insumos - OPEX'!M$38),$M476*(1+'Insumos - OPEX'!M$29*'Insumos - OPEX'!M$39)*(1+'Insumos - OPEX'!M$38))</f>
        <v>0</v>
      </c>
      <c r="R476" s="211">
        <f>IF(OR($B476="Ce Co No Imputables",$G476="M2 fijo"),$M476*(1+'Insumos - OPEX'!N$38),$M476*(1+'Insumos - OPEX'!N$29*'Insumos - OPEX'!N$39)*(1+'Insumos - OPEX'!N$38))</f>
        <v>0</v>
      </c>
      <c r="S476" s="111"/>
      <c r="T476" s="109"/>
    </row>
    <row r="477" spans="1:20" x14ac:dyDescent="0.2">
      <c r="A477" s="8"/>
      <c r="B477" s="8" t="s">
        <v>435</v>
      </c>
      <c r="C477" s="8" t="s">
        <v>172</v>
      </c>
      <c r="D477" s="8">
        <v>6380000023</v>
      </c>
      <c r="E477" s="8" t="s">
        <v>307</v>
      </c>
      <c r="F477" s="89" t="s">
        <v>470</v>
      </c>
      <c r="G477" s="73" t="s">
        <v>136</v>
      </c>
      <c r="H477" s="112" t="s">
        <v>61</v>
      </c>
      <c r="I477" s="13" t="s">
        <v>436</v>
      </c>
      <c r="K477" s="186">
        <v>0</v>
      </c>
      <c r="L477" s="187"/>
      <c r="M477" s="214">
        <f>IF(OR(E477="Distribución Legal de la Renta",E477="Acopio carros portaequipajes"),0,IF(K477&lt;0,0,K477*(1+SUMIFS('Insumos - OPEX'!$G$82:$G$238,'Insumos - OPEX'!$B$82:$B$238,OPEX!D477))))</f>
        <v>0</v>
      </c>
      <c r="N477" s="211">
        <f>IF(OR($B477="Ce Co No Imputables",$G477="M2 fijo"),$M477*(1+'Insumos - OPEX'!J$38),$M477*(1+'Insumos - OPEX'!J$29*'Insumos - OPEX'!J$39)*(1+'Insumos - OPEX'!J$38))</f>
        <v>0</v>
      </c>
      <c r="O477" s="211">
        <f>IF(OR($B477="Ce Co No Imputables",$G477="M2 fijo"),$M477*(1+'Insumos - OPEX'!K$38),$M477*(1+'Insumos - OPEX'!K$29*'Insumos - OPEX'!K$39)*(1+'Insumos - OPEX'!K$38))</f>
        <v>0</v>
      </c>
      <c r="P477" s="211">
        <f>IF(OR($B477="Ce Co No Imputables",$G477="M2 fijo"),$M477*(1+'Insumos - OPEX'!L$38),$M477*(1+'Insumos - OPEX'!L$29*'Insumos - OPEX'!L$39)*(1+'Insumos - OPEX'!L$38))</f>
        <v>0</v>
      </c>
      <c r="Q477" s="211">
        <f>IF(OR($B477="Ce Co No Imputables",$G477="M2 fijo"),$M477*(1+'Insumos - OPEX'!M$38),$M477*(1+'Insumos - OPEX'!M$29*'Insumos - OPEX'!M$39)*(1+'Insumos - OPEX'!M$38))</f>
        <v>0</v>
      </c>
      <c r="R477" s="211">
        <f>IF(OR($B477="Ce Co No Imputables",$G477="M2 fijo"),$M477*(1+'Insumos - OPEX'!N$38),$M477*(1+'Insumos - OPEX'!N$29*'Insumos - OPEX'!N$39)*(1+'Insumos - OPEX'!N$38))</f>
        <v>0</v>
      </c>
      <c r="S477" s="111"/>
      <c r="T477" s="109"/>
    </row>
    <row r="478" spans="1:20" x14ac:dyDescent="0.2">
      <c r="A478" s="8"/>
      <c r="B478" s="8" t="s">
        <v>435</v>
      </c>
      <c r="C478" s="8" t="s">
        <v>172</v>
      </c>
      <c r="D478" s="8">
        <v>6381000006</v>
      </c>
      <c r="E478" s="8" t="s">
        <v>311</v>
      </c>
      <c r="F478" s="89" t="s">
        <v>470</v>
      </c>
      <c r="G478" s="73" t="s">
        <v>136</v>
      </c>
      <c r="H478" s="112" t="s">
        <v>61</v>
      </c>
      <c r="I478" s="13" t="s">
        <v>436</v>
      </c>
      <c r="K478" s="186">
        <v>0</v>
      </c>
      <c r="L478" s="187"/>
      <c r="M478" s="214">
        <f>IF(OR(E478="Distribución Legal de la Renta",E478="Acopio carros portaequipajes"),0,IF(K478&lt;0,0,K478*(1+SUMIFS('Insumos - OPEX'!$G$82:$G$238,'Insumos - OPEX'!$B$82:$B$238,OPEX!D478))))</f>
        <v>0</v>
      </c>
      <c r="N478" s="211">
        <f>IF(OR($B478="Ce Co No Imputables",$G478="M2 fijo"),$M478*(1+'Insumos - OPEX'!J$38),$M478*(1+'Insumos - OPEX'!J$29*'Insumos - OPEX'!J$39)*(1+'Insumos - OPEX'!J$38))</f>
        <v>0</v>
      </c>
      <c r="O478" s="211">
        <f>IF(OR($B478="Ce Co No Imputables",$G478="M2 fijo"),$M478*(1+'Insumos - OPEX'!K$38),$M478*(1+'Insumos - OPEX'!K$29*'Insumos - OPEX'!K$39)*(1+'Insumos - OPEX'!K$38))</f>
        <v>0</v>
      </c>
      <c r="P478" s="211">
        <f>IF(OR($B478="Ce Co No Imputables",$G478="M2 fijo"),$M478*(1+'Insumos - OPEX'!L$38),$M478*(1+'Insumos - OPEX'!L$29*'Insumos - OPEX'!L$39)*(1+'Insumos - OPEX'!L$38))</f>
        <v>0</v>
      </c>
      <c r="Q478" s="211">
        <f>IF(OR($B478="Ce Co No Imputables",$G478="M2 fijo"),$M478*(1+'Insumos - OPEX'!M$38),$M478*(1+'Insumos - OPEX'!M$29*'Insumos - OPEX'!M$39)*(1+'Insumos - OPEX'!M$38))</f>
        <v>0</v>
      </c>
      <c r="R478" s="211">
        <f>IF(OR($B478="Ce Co No Imputables",$G478="M2 fijo"),$M478*(1+'Insumos - OPEX'!N$38),$M478*(1+'Insumos - OPEX'!N$29*'Insumos - OPEX'!N$39)*(1+'Insumos - OPEX'!N$38))</f>
        <v>0</v>
      </c>
      <c r="S478" s="111"/>
      <c r="T478" s="109"/>
    </row>
    <row r="479" spans="1:20" x14ac:dyDescent="0.2">
      <c r="A479" s="8"/>
      <c r="B479" s="8" t="s">
        <v>435</v>
      </c>
      <c r="C479" s="8" t="s">
        <v>172</v>
      </c>
      <c r="D479" s="8">
        <v>6380000024</v>
      </c>
      <c r="E479" s="8" t="s">
        <v>306</v>
      </c>
      <c r="F479" s="89" t="s">
        <v>470</v>
      </c>
      <c r="G479" s="73" t="s">
        <v>136</v>
      </c>
      <c r="H479" s="112" t="s">
        <v>61</v>
      </c>
      <c r="I479" s="13" t="s">
        <v>436</v>
      </c>
      <c r="K479" s="186">
        <v>0</v>
      </c>
      <c r="L479" s="187"/>
      <c r="M479" s="214">
        <f>IF(OR(E479="Distribución Legal de la Renta",E479="Acopio carros portaequipajes"),0,IF(K479&lt;0,0,K479*(1+SUMIFS('Insumos - OPEX'!$G$82:$G$238,'Insumos - OPEX'!$B$82:$B$238,OPEX!D479))))</f>
        <v>0</v>
      </c>
      <c r="N479" s="211">
        <f>IF(OR($B479="Ce Co No Imputables",$G479="M2 fijo"),$M479*(1+'Insumos - OPEX'!J$38),$M479*(1+'Insumos - OPEX'!J$29*'Insumos - OPEX'!J$39)*(1+'Insumos - OPEX'!J$38))</f>
        <v>0</v>
      </c>
      <c r="O479" s="211">
        <f>IF(OR($B479="Ce Co No Imputables",$G479="M2 fijo"),$M479*(1+'Insumos - OPEX'!K$38),$M479*(1+'Insumos - OPEX'!K$29*'Insumos - OPEX'!K$39)*(1+'Insumos - OPEX'!K$38))</f>
        <v>0</v>
      </c>
      <c r="P479" s="211">
        <f>IF(OR($B479="Ce Co No Imputables",$G479="M2 fijo"),$M479*(1+'Insumos - OPEX'!L$38),$M479*(1+'Insumos - OPEX'!L$29*'Insumos - OPEX'!L$39)*(1+'Insumos - OPEX'!L$38))</f>
        <v>0</v>
      </c>
      <c r="Q479" s="211">
        <f>IF(OR($B479="Ce Co No Imputables",$G479="M2 fijo"),$M479*(1+'Insumos - OPEX'!M$38),$M479*(1+'Insumos - OPEX'!M$29*'Insumos - OPEX'!M$39)*(1+'Insumos - OPEX'!M$38))</f>
        <v>0</v>
      </c>
      <c r="R479" s="211">
        <f>IF(OR($B479="Ce Co No Imputables",$G479="M2 fijo"),$M479*(1+'Insumos - OPEX'!N$38),$M479*(1+'Insumos - OPEX'!N$29*'Insumos - OPEX'!N$39)*(1+'Insumos - OPEX'!N$38))</f>
        <v>0</v>
      </c>
      <c r="S479" s="111"/>
    </row>
    <row r="480" spans="1:20" x14ac:dyDescent="0.2">
      <c r="A480" s="8"/>
      <c r="B480" s="8" t="s">
        <v>435</v>
      </c>
      <c r="C480" s="8" t="s">
        <v>172</v>
      </c>
      <c r="D480" s="8">
        <v>6380000025</v>
      </c>
      <c r="E480" s="8" t="s">
        <v>319</v>
      </c>
      <c r="F480" s="89" t="s">
        <v>470</v>
      </c>
      <c r="G480" s="73" t="s">
        <v>136</v>
      </c>
      <c r="H480" s="112" t="s">
        <v>61</v>
      </c>
      <c r="I480" s="13" t="s">
        <v>436</v>
      </c>
      <c r="K480" s="186">
        <v>0</v>
      </c>
      <c r="L480" s="187"/>
      <c r="M480" s="214">
        <f>IF(OR(E480="Distribución Legal de la Renta",E480="Acopio carros portaequipajes"),0,IF(K480&lt;0,0,K480*(1+SUMIFS('Insumos - OPEX'!$G$82:$G$238,'Insumos - OPEX'!$B$82:$B$238,OPEX!D480))))</f>
        <v>0</v>
      </c>
      <c r="N480" s="211">
        <f>IF(OR($B480="Ce Co No Imputables",$G480="M2 fijo"),$M480*(1+'Insumos - OPEX'!J$38),$M480*(1+'Insumos - OPEX'!J$29*'Insumos - OPEX'!J$39)*(1+'Insumos - OPEX'!J$38))</f>
        <v>0</v>
      </c>
      <c r="O480" s="211">
        <f>IF(OR($B480="Ce Co No Imputables",$G480="M2 fijo"),$M480*(1+'Insumos - OPEX'!K$38),$M480*(1+'Insumos - OPEX'!K$29*'Insumos - OPEX'!K$39)*(1+'Insumos - OPEX'!K$38))</f>
        <v>0</v>
      </c>
      <c r="P480" s="211">
        <f>IF(OR($B480="Ce Co No Imputables",$G480="M2 fijo"),$M480*(1+'Insumos - OPEX'!L$38),$M480*(1+'Insumos - OPEX'!L$29*'Insumos - OPEX'!L$39)*(1+'Insumos - OPEX'!L$38))</f>
        <v>0</v>
      </c>
      <c r="Q480" s="211">
        <f>IF(OR($B480="Ce Co No Imputables",$G480="M2 fijo"),$M480*(1+'Insumos - OPEX'!M$38),$M480*(1+'Insumos - OPEX'!M$29*'Insumos - OPEX'!M$39)*(1+'Insumos - OPEX'!M$38))</f>
        <v>0</v>
      </c>
      <c r="R480" s="211">
        <f>IF(OR($B480="Ce Co No Imputables",$G480="M2 fijo"),$M480*(1+'Insumos - OPEX'!N$38),$M480*(1+'Insumos - OPEX'!N$29*'Insumos - OPEX'!N$39)*(1+'Insumos - OPEX'!N$38))</f>
        <v>0</v>
      </c>
      <c r="S480" s="111"/>
    </row>
    <row r="481" spans="1:30" x14ac:dyDescent="0.2">
      <c r="B481" s="3"/>
      <c r="C481" s="3"/>
      <c r="D481" s="3"/>
      <c r="E481" s="9"/>
      <c r="F481" s="9"/>
      <c r="H481" s="9"/>
      <c r="I481" s="9"/>
      <c r="J481" s="9"/>
      <c r="K481" s="189"/>
      <c r="L481" s="189"/>
      <c r="M481" s="189"/>
      <c r="N481" s="189"/>
      <c r="O481" s="189"/>
      <c r="P481" s="189"/>
      <c r="Q481" s="189"/>
      <c r="R481" s="189"/>
      <c r="S481" s="111"/>
    </row>
    <row r="482" spans="1:30" s="111" customFormat="1" x14ac:dyDescent="0.2">
      <c r="B482" s="129" t="s">
        <v>5</v>
      </c>
      <c r="D482" s="112"/>
      <c r="E482" s="112"/>
      <c r="F482" s="112"/>
      <c r="H482" s="127"/>
      <c r="I482" s="127"/>
      <c r="K482" s="190"/>
      <c r="L482" s="190"/>
      <c r="M482" s="190"/>
      <c r="N482" s="190"/>
      <c r="O482" s="190"/>
      <c r="P482" s="190"/>
      <c r="Q482" s="190"/>
      <c r="R482" s="190"/>
      <c r="U482" s="1"/>
    </row>
    <row r="483" spans="1:30" x14ac:dyDescent="0.2">
      <c r="B483" s="98" t="s">
        <v>483</v>
      </c>
      <c r="E483" s="5"/>
      <c r="F483" s="5"/>
      <c r="H483" s="30"/>
      <c r="I483" s="30"/>
      <c r="J483" s="30"/>
      <c r="K483" s="191"/>
      <c r="L483" s="191"/>
      <c r="M483" s="191"/>
      <c r="N483" s="191"/>
      <c r="O483" s="191"/>
      <c r="P483" s="191"/>
      <c r="Q483" s="191"/>
      <c r="R483" s="191"/>
      <c r="S483" s="191"/>
      <c r="T483" s="191"/>
    </row>
    <row r="484" spans="1:30" x14ac:dyDescent="0.2">
      <c r="B484" s="98"/>
      <c r="E484" s="5"/>
      <c r="F484" s="5"/>
      <c r="H484" s="30"/>
      <c r="I484" s="30"/>
      <c r="J484" s="30"/>
      <c r="K484" s="191"/>
      <c r="L484" s="191"/>
      <c r="M484" s="191"/>
      <c r="N484" s="191"/>
      <c r="O484" s="191"/>
      <c r="P484" s="191"/>
      <c r="Q484" s="191"/>
      <c r="R484" s="191"/>
      <c r="S484" s="191"/>
      <c r="T484" s="191"/>
    </row>
    <row r="485" spans="1:30" x14ac:dyDescent="0.2">
      <c r="A485" s="8"/>
      <c r="B485" s="8" t="s">
        <v>301</v>
      </c>
      <c r="C485" s="8" t="s">
        <v>172</v>
      </c>
      <c r="D485" s="8">
        <v>6380000004</v>
      </c>
      <c r="E485" s="8" t="s">
        <v>273</v>
      </c>
      <c r="F485" s="73" t="s">
        <v>23</v>
      </c>
      <c r="G485" s="73" t="s">
        <v>471</v>
      </c>
      <c r="H485" s="112" t="s">
        <v>61</v>
      </c>
      <c r="I485" s="13" t="s">
        <v>22</v>
      </c>
      <c r="K485" s="187"/>
      <c r="L485" s="187"/>
      <c r="M485" s="188">
        <f>IF($G485="PAX",M10*'Insumos - OPEX'!I$48,M10*'Insumos - OPEX'!I$75)</f>
        <v>179773.85311237632</v>
      </c>
      <c r="N485" s="211">
        <f>IF($G485="PAX",N10*'Insumos - OPEX'!J$48,N10*'Insumos - OPEX'!J$75)</f>
        <v>199765.13097816191</v>
      </c>
      <c r="O485" s="211">
        <f>IF($G485="PAX",O10*'Insumos - OPEX'!K$48,O10*'Insumos - OPEX'!K$75)</f>
        <v>219657.31042060221</v>
      </c>
      <c r="P485" s="211">
        <f>IF($G485="PAX",P10*'Insumos - OPEX'!L$48,P10*'Insumos - OPEX'!L$75)</f>
        <v>231380.7662708456</v>
      </c>
      <c r="Q485" s="211">
        <f>IF($G485="PAX",Q10*'Insumos - OPEX'!M$48,Q10*'Insumos - OPEX'!M$75)</f>
        <v>243867.77694374006</v>
      </c>
      <c r="R485" s="211">
        <f>IF($G485="PAX",R10*'Insumos - OPEX'!N$48,R10*'Insumos - OPEX'!N$75)</f>
        <v>256761.85164486049</v>
      </c>
      <c r="S485" s="111"/>
      <c r="T485" s="235"/>
    </row>
    <row r="486" spans="1:30" x14ac:dyDescent="0.2">
      <c r="A486" s="8"/>
      <c r="B486" s="8" t="s">
        <v>301</v>
      </c>
      <c r="C486" s="8" t="s">
        <v>172</v>
      </c>
      <c r="D486" s="8">
        <v>6381000002</v>
      </c>
      <c r="E486" s="8" t="s">
        <v>302</v>
      </c>
      <c r="F486" s="73" t="s">
        <v>23</v>
      </c>
      <c r="G486" s="73" t="s">
        <v>136</v>
      </c>
      <c r="H486" s="112" t="s">
        <v>61</v>
      </c>
      <c r="I486" s="13" t="s">
        <v>22</v>
      </c>
      <c r="K486" s="187"/>
      <c r="L486" s="187"/>
      <c r="M486" s="188">
        <f>IF($G486="PAX",M11*'Insumos - OPEX'!I$48,M11*'Insumos - OPEX'!I$75)</f>
        <v>88093.257270593807</v>
      </c>
      <c r="N486" s="211">
        <f>IF($G486="PAX",N11*'Insumos - OPEX'!J$48,N11*'Insumos - OPEX'!J$75)</f>
        <v>106129.91997947203</v>
      </c>
      <c r="O486" s="211">
        <f>IF($G486="PAX",O11*'Insumos - OPEX'!K$48,O11*'Insumos - OPEX'!K$75)</f>
        <v>122851.15477885585</v>
      </c>
      <c r="P486" s="211">
        <f>IF($G486="PAX",P11*'Insumos - OPEX'!L$48,P11*'Insumos - OPEX'!L$75)</f>
        <v>133788.47541373794</v>
      </c>
      <c r="Q486" s="211">
        <f>IF($G486="PAX",Q11*'Insumos - OPEX'!M$48,Q11*'Insumos - OPEX'!M$75)</f>
        <v>143509.81669850965</v>
      </c>
      <c r="R486" s="211">
        <f>IF($G486="PAX",R11*'Insumos - OPEX'!N$48,R11*'Insumos - OPEX'!N$75)</f>
        <v>154284.11043875708</v>
      </c>
      <c r="S486" s="111"/>
      <c r="T486" s="236"/>
      <c r="U486" s="239"/>
      <c r="V486" s="239"/>
      <c r="W486" s="239"/>
      <c r="Y486" s="241"/>
      <c r="Z486" s="241"/>
      <c r="AA486" s="188"/>
      <c r="AB486" s="188"/>
      <c r="AC486" s="188"/>
      <c r="AD486" s="188"/>
    </row>
    <row r="487" spans="1:30" x14ac:dyDescent="0.2">
      <c r="A487" s="8"/>
      <c r="B487" s="8" t="s">
        <v>301</v>
      </c>
      <c r="C487" s="8" t="s">
        <v>172</v>
      </c>
      <c r="D487" s="8">
        <v>6320000007</v>
      </c>
      <c r="E487" s="8" t="s">
        <v>303</v>
      </c>
      <c r="F487" s="73" t="s">
        <v>23</v>
      </c>
      <c r="G487" s="73" t="s">
        <v>136</v>
      </c>
      <c r="H487" s="112" t="s">
        <v>61</v>
      </c>
      <c r="I487" s="13" t="s">
        <v>22</v>
      </c>
      <c r="K487" s="187"/>
      <c r="L487" s="187"/>
      <c r="M487" s="188">
        <f>IF($G487="PAX",M12*'Insumos - OPEX'!I$48,M12*'Insumos - OPEX'!I$75)</f>
        <v>89375.259629967302</v>
      </c>
      <c r="N487" s="211">
        <f>IF($G487="PAX",N12*'Insumos - OPEX'!J$48,N12*'Insumos - OPEX'!J$75)</f>
        <v>107674.40603923792</v>
      </c>
      <c r="O487" s="211">
        <f>IF($G487="PAX",O12*'Insumos - OPEX'!K$48,O12*'Insumos - OPEX'!K$75)</f>
        <v>124638.98139757739</v>
      </c>
      <c r="P487" s="211">
        <f>IF($G487="PAX",P12*'Insumos - OPEX'!L$48,P12*'Insumos - OPEX'!L$75)</f>
        <v>135735.47052382393</v>
      </c>
      <c r="Q487" s="211">
        <f>IF($G487="PAX",Q12*'Insumos - OPEX'!M$48,Q12*'Insumos - OPEX'!M$75)</f>
        <v>145598.28441216928</v>
      </c>
      <c r="R487" s="211">
        <f>IF($G487="PAX",R12*'Insumos - OPEX'!N$48,R12*'Insumos - OPEX'!N$75)</f>
        <v>156529.37414820053</v>
      </c>
      <c r="S487" s="111"/>
      <c r="T487" s="236"/>
      <c r="U487" s="239"/>
      <c r="V487" s="239"/>
      <c r="W487" s="239"/>
      <c r="Y487" s="241"/>
      <c r="Z487" s="241"/>
    </row>
    <row r="488" spans="1:30" x14ac:dyDescent="0.2">
      <c r="A488" s="8"/>
      <c r="B488" s="8" t="s">
        <v>301</v>
      </c>
      <c r="C488" s="8" t="s">
        <v>172</v>
      </c>
      <c r="D488" s="8">
        <v>6380000016</v>
      </c>
      <c r="E488" s="8" t="s">
        <v>304</v>
      </c>
      <c r="F488" s="73" t="s">
        <v>23</v>
      </c>
      <c r="G488" s="73" t="s">
        <v>136</v>
      </c>
      <c r="H488" s="112" t="s">
        <v>61</v>
      </c>
      <c r="I488" s="13" t="s">
        <v>22</v>
      </c>
      <c r="K488" s="187"/>
      <c r="L488" s="187"/>
      <c r="M488" s="188">
        <f>IF($G488="PAX",M13*'Insumos - OPEX'!I$48,M13*'Insumos - OPEX'!I$75)</f>
        <v>0</v>
      </c>
      <c r="N488" s="211">
        <f>IF($G488="PAX",N13*'Insumos - OPEX'!J$48,N13*'Insumos - OPEX'!J$75)</f>
        <v>0</v>
      </c>
      <c r="O488" s="211">
        <f>IF($G488="PAX",O13*'Insumos - OPEX'!K$48,O13*'Insumos - OPEX'!K$75)</f>
        <v>0</v>
      </c>
      <c r="P488" s="211">
        <f>IF($G488="PAX",P13*'Insumos - OPEX'!L$48,P13*'Insumos - OPEX'!L$75)</f>
        <v>0</v>
      </c>
      <c r="Q488" s="211">
        <f>IF($G488="PAX",Q13*'Insumos - OPEX'!M$48,Q13*'Insumos - OPEX'!M$75)</f>
        <v>0</v>
      </c>
      <c r="R488" s="211">
        <f>IF($G488="PAX",R13*'Insumos - OPEX'!N$48,R13*'Insumos - OPEX'!N$75)</f>
        <v>0</v>
      </c>
      <c r="S488" s="111"/>
      <c r="T488" s="236"/>
      <c r="U488" s="239"/>
      <c r="V488" s="239"/>
      <c r="W488" s="239"/>
      <c r="Y488" s="241"/>
      <c r="Z488" s="241"/>
    </row>
    <row r="489" spans="1:30" x14ac:dyDescent="0.2">
      <c r="A489" s="8"/>
      <c r="B489" s="8" t="s">
        <v>301</v>
      </c>
      <c r="C489" s="8" t="s">
        <v>172</v>
      </c>
      <c r="D489" s="8">
        <v>6380000028</v>
      </c>
      <c r="E489" s="8" t="s">
        <v>305</v>
      </c>
      <c r="F489" s="73" t="s">
        <v>23</v>
      </c>
      <c r="G489" s="73" t="s">
        <v>136</v>
      </c>
      <c r="H489" s="112" t="s">
        <v>61</v>
      </c>
      <c r="I489" s="13" t="s">
        <v>22</v>
      </c>
      <c r="K489" s="187"/>
      <c r="L489" s="187"/>
      <c r="M489" s="188">
        <f>IF($G489="PAX",M14*'Insumos - OPEX'!I$48,M14*'Insumos - OPEX'!I$75)</f>
        <v>8917.8309719980298</v>
      </c>
      <c r="N489" s="211">
        <f>IF($G489="PAX",N14*'Insumos - OPEX'!J$48,N14*'Insumos - OPEX'!J$75)</f>
        <v>10743.713160037049</v>
      </c>
      <c r="O489" s="211">
        <f>IF($G489="PAX",O14*'Insumos - OPEX'!K$48,O14*'Insumos - OPEX'!K$75)</f>
        <v>12436.432332923992</v>
      </c>
      <c r="P489" s="211">
        <f>IF($G489="PAX",P14*'Insumos - OPEX'!L$48,P14*'Insumos - OPEX'!L$75)</f>
        <v>13543.635991074831</v>
      </c>
      <c r="Q489" s="211">
        <f>IF($G489="PAX",Q14*'Insumos - OPEX'!M$48,Q14*'Insumos - OPEX'!M$75)</f>
        <v>14527.743981683088</v>
      </c>
      <c r="R489" s="211">
        <f>IF($G489="PAX",R14*'Insumos - OPEX'!N$48,R14*'Insumos - OPEX'!N$75)</f>
        <v>15618.444148700937</v>
      </c>
      <c r="S489" s="111"/>
      <c r="T489" s="236"/>
      <c r="U489" s="239"/>
      <c r="V489" s="239"/>
      <c r="W489" s="239"/>
      <c r="Y489" s="241"/>
      <c r="Z489" s="241"/>
    </row>
    <row r="490" spans="1:30" x14ac:dyDescent="0.2">
      <c r="A490" s="8"/>
      <c r="B490" s="8" t="s">
        <v>301</v>
      </c>
      <c r="C490" s="8" t="s">
        <v>172</v>
      </c>
      <c r="D490" s="8">
        <v>6380000024</v>
      </c>
      <c r="E490" s="8" t="s">
        <v>306</v>
      </c>
      <c r="F490" s="73" t="s">
        <v>23</v>
      </c>
      <c r="G490" s="73" t="s">
        <v>136</v>
      </c>
      <c r="H490" s="112" t="s">
        <v>61</v>
      </c>
      <c r="I490" s="13" t="s">
        <v>22</v>
      </c>
      <c r="K490" s="187"/>
      <c r="L490" s="187"/>
      <c r="M490" s="188">
        <f>IF($G490="PAX",M15*'Insumos - OPEX'!I$48,M15*'Insumos - OPEX'!I$75)</f>
        <v>4478.8267533527714</v>
      </c>
      <c r="N490" s="211">
        <f>IF($G490="PAX",N15*'Insumos - OPEX'!J$48,N15*'Insumos - OPEX'!J$75)</f>
        <v>5395.8445817841193</v>
      </c>
      <c r="O490" s="211">
        <f>IF($G490="PAX",O15*'Insumos - OPEX'!K$48,O15*'Insumos - OPEX'!K$75)</f>
        <v>6245.9835832122462</v>
      </c>
      <c r="P490" s="211">
        <f>IF($G490="PAX",P15*'Insumos - OPEX'!L$48,P15*'Insumos - OPEX'!L$75)</f>
        <v>6802.0575188034454</v>
      </c>
      <c r="Q490" s="211">
        <f>IF($G490="PAX",Q15*'Insumos - OPEX'!M$48,Q15*'Insumos - OPEX'!M$75)</f>
        <v>7296.3087790442496</v>
      </c>
      <c r="R490" s="211">
        <f>IF($G490="PAX",R15*'Insumos - OPEX'!N$48,R15*'Insumos - OPEX'!N$75)</f>
        <v>7844.0941209356752</v>
      </c>
      <c r="S490" s="111"/>
      <c r="T490" s="236"/>
      <c r="U490" s="239"/>
      <c r="V490" s="239"/>
      <c r="W490" s="239"/>
      <c r="Y490" s="241"/>
      <c r="Z490" s="241"/>
    </row>
    <row r="491" spans="1:30" x14ac:dyDescent="0.2">
      <c r="A491" s="8"/>
      <c r="B491" s="8" t="s">
        <v>301</v>
      </c>
      <c r="C491" s="8" t="s">
        <v>172</v>
      </c>
      <c r="D491" s="8">
        <v>6380000023</v>
      </c>
      <c r="E491" s="8" t="s">
        <v>307</v>
      </c>
      <c r="F491" s="73" t="s">
        <v>23</v>
      </c>
      <c r="G491" s="73" t="s">
        <v>136</v>
      </c>
      <c r="H491" s="112" t="s">
        <v>61</v>
      </c>
      <c r="I491" s="13" t="s">
        <v>22</v>
      </c>
      <c r="K491" s="187"/>
      <c r="L491" s="187"/>
      <c r="M491" s="188">
        <f>IF($G491="PAX",M16*'Insumos - OPEX'!I$48,M16*'Insumos - OPEX'!I$75)</f>
        <v>2749.9255189818014</v>
      </c>
      <c r="N491" s="211">
        <f>IF($G491="PAX",N16*'Insumos - OPEX'!J$48,N16*'Insumos - OPEX'!J$75)</f>
        <v>3312.959292475477</v>
      </c>
      <c r="O491" s="211">
        <f>IF($G491="PAX",O16*'Insumos - OPEX'!K$48,O16*'Insumos - OPEX'!K$75)</f>
        <v>3834.9305727798251</v>
      </c>
      <c r="P491" s="211">
        <f>IF($G491="PAX",P16*'Insumos - OPEX'!L$48,P16*'Insumos - OPEX'!L$75)</f>
        <v>4176.3507683205826</v>
      </c>
      <c r="Q491" s="211">
        <f>IF($G491="PAX",Q16*'Insumos - OPEX'!M$48,Q16*'Insumos - OPEX'!M$75)</f>
        <v>4479.8128641267358</v>
      </c>
      <c r="R491" s="211">
        <f>IF($G491="PAX",R16*'Insumos - OPEX'!N$48,R16*'Insumos - OPEX'!N$75)</f>
        <v>4816.1440002805875</v>
      </c>
      <c r="S491" s="111"/>
      <c r="T491" s="236"/>
      <c r="U491" s="240"/>
      <c r="V491" s="239"/>
      <c r="W491" s="239"/>
      <c r="Y491" s="241"/>
      <c r="Z491" s="241"/>
    </row>
    <row r="492" spans="1:30" x14ac:dyDescent="0.2">
      <c r="A492" s="8"/>
      <c r="B492" s="8" t="s">
        <v>301</v>
      </c>
      <c r="C492" s="8" t="s">
        <v>172</v>
      </c>
      <c r="D492" s="8">
        <v>6380000020</v>
      </c>
      <c r="E492" s="8" t="s">
        <v>308</v>
      </c>
      <c r="F492" s="73" t="s">
        <v>23</v>
      </c>
      <c r="G492" s="73" t="s">
        <v>136</v>
      </c>
      <c r="H492" s="112" t="s">
        <v>61</v>
      </c>
      <c r="I492" s="13" t="s">
        <v>22</v>
      </c>
      <c r="K492" s="187"/>
      <c r="L492" s="187"/>
      <c r="M492" s="188">
        <f>IF($G492="PAX",M17*'Insumos - OPEX'!I$48,M17*'Insumos - OPEX'!I$75)</f>
        <v>1822.4921537385937</v>
      </c>
      <c r="N492" s="211">
        <f>IF($G492="PAX",N17*'Insumos - OPEX'!J$48,N17*'Insumos - OPEX'!J$75)</f>
        <v>2195.6384907572028</v>
      </c>
      <c r="O492" s="211">
        <f>IF($G492="PAX",O17*'Insumos - OPEX'!K$48,O17*'Insumos - OPEX'!K$75)</f>
        <v>2541.5709737517927</v>
      </c>
      <c r="P492" s="211">
        <f>IF($G492="PAX",P17*'Insumos - OPEX'!L$48,P17*'Insumos - OPEX'!L$75)</f>
        <v>2767.8446030576947</v>
      </c>
      <c r="Q492" s="211">
        <f>IF($G492="PAX",Q17*'Insumos - OPEX'!M$48,Q17*'Insumos - OPEX'!M$75)</f>
        <v>2968.9617914128767</v>
      </c>
      <c r="R492" s="211">
        <f>IF($G492="PAX",R17*'Insumos - OPEX'!N$48,R17*'Insumos - OPEX'!N$75)</f>
        <v>3191.8626854433951</v>
      </c>
      <c r="S492" s="111"/>
    </row>
    <row r="493" spans="1:30" x14ac:dyDescent="0.2">
      <c r="A493" s="8"/>
      <c r="B493" s="8" t="s">
        <v>301</v>
      </c>
      <c r="C493" s="8" t="s">
        <v>172</v>
      </c>
      <c r="D493" s="8">
        <v>6380000018</v>
      </c>
      <c r="E493" s="8" t="s">
        <v>309</v>
      </c>
      <c r="F493" s="73" t="s">
        <v>23</v>
      </c>
      <c r="G493" s="73" t="s">
        <v>136</v>
      </c>
      <c r="H493" s="112" t="s">
        <v>61</v>
      </c>
      <c r="I493" s="13" t="s">
        <v>22</v>
      </c>
      <c r="K493" s="187"/>
      <c r="L493" s="187"/>
      <c r="M493" s="188">
        <f>IF($G493="PAX",M18*'Insumos - OPEX'!I$48,M18*'Insumos - OPEX'!I$75)</f>
        <v>0</v>
      </c>
      <c r="N493" s="211">
        <f>IF($G493="PAX",N18*'Insumos - OPEX'!J$48,N18*'Insumos - OPEX'!J$75)</f>
        <v>0</v>
      </c>
      <c r="O493" s="211">
        <f>IF($G493="PAX",O18*'Insumos - OPEX'!K$48,O18*'Insumos - OPEX'!K$75)</f>
        <v>0</v>
      </c>
      <c r="P493" s="211">
        <f>IF($G493="PAX",P18*'Insumos - OPEX'!L$48,P18*'Insumos - OPEX'!L$75)</f>
        <v>0</v>
      </c>
      <c r="Q493" s="211">
        <f>IF($G493="PAX",Q18*'Insumos - OPEX'!M$48,Q18*'Insumos - OPEX'!M$75)</f>
        <v>0</v>
      </c>
      <c r="R493" s="211">
        <f>IF($G493="PAX",R18*'Insumos - OPEX'!N$48,R18*'Insumos - OPEX'!N$75)</f>
        <v>0</v>
      </c>
      <c r="S493" s="111"/>
      <c r="Y493" s="42"/>
      <c r="Z493" s="42"/>
    </row>
    <row r="494" spans="1:30" x14ac:dyDescent="0.2">
      <c r="A494" s="8"/>
      <c r="B494" s="8" t="s">
        <v>301</v>
      </c>
      <c r="C494" s="8" t="s">
        <v>172</v>
      </c>
      <c r="D494" s="8">
        <v>6380000031</v>
      </c>
      <c r="E494" s="8" t="s">
        <v>310</v>
      </c>
      <c r="F494" s="73" t="s">
        <v>23</v>
      </c>
      <c r="G494" s="73" t="s">
        <v>136</v>
      </c>
      <c r="H494" s="112" t="s">
        <v>61</v>
      </c>
      <c r="I494" s="13" t="s">
        <v>22</v>
      </c>
      <c r="K494" s="187"/>
      <c r="L494" s="187"/>
      <c r="M494" s="188">
        <f>IF($G494="PAX",M19*'Insumos - OPEX'!I$48,M19*'Insumos - OPEX'!I$75)</f>
        <v>0</v>
      </c>
      <c r="N494" s="211">
        <f>IF($G494="PAX",N19*'Insumos - OPEX'!J$48,N19*'Insumos - OPEX'!J$75)</f>
        <v>0</v>
      </c>
      <c r="O494" s="211">
        <f>IF($G494="PAX",O19*'Insumos - OPEX'!K$48,O19*'Insumos - OPEX'!K$75)</f>
        <v>0</v>
      </c>
      <c r="P494" s="211">
        <f>IF($G494="PAX",P19*'Insumos - OPEX'!L$48,P19*'Insumos - OPEX'!L$75)</f>
        <v>0</v>
      </c>
      <c r="Q494" s="211">
        <f>IF($G494="PAX",Q19*'Insumos - OPEX'!M$48,Q19*'Insumos - OPEX'!M$75)</f>
        <v>0</v>
      </c>
      <c r="R494" s="211">
        <f>IF($G494="PAX",R19*'Insumos - OPEX'!N$48,R19*'Insumos - OPEX'!N$75)</f>
        <v>0</v>
      </c>
      <c r="S494" s="111"/>
      <c r="Z494" s="238"/>
    </row>
    <row r="495" spans="1:30" x14ac:dyDescent="0.2">
      <c r="A495" s="8"/>
      <c r="B495" s="8" t="s">
        <v>301</v>
      </c>
      <c r="C495" s="8" t="s">
        <v>172</v>
      </c>
      <c r="D495" s="8">
        <v>6381000006</v>
      </c>
      <c r="E495" s="8" t="s">
        <v>311</v>
      </c>
      <c r="F495" s="73" t="s">
        <v>23</v>
      </c>
      <c r="G495" s="73" t="s">
        <v>136</v>
      </c>
      <c r="H495" s="112" t="s">
        <v>61</v>
      </c>
      <c r="I495" s="13" t="s">
        <v>22</v>
      </c>
      <c r="K495" s="187"/>
      <c r="L495" s="187"/>
      <c r="M495" s="188">
        <f>IF($G495="PAX",M20*'Insumos - OPEX'!I$48,M20*'Insumos - OPEX'!I$75)</f>
        <v>0</v>
      </c>
      <c r="N495" s="211">
        <f>IF($G495="PAX",N20*'Insumos - OPEX'!J$48,N20*'Insumos - OPEX'!J$75)</f>
        <v>0</v>
      </c>
      <c r="O495" s="211">
        <f>IF($G495="PAX",O20*'Insumos - OPEX'!K$48,O20*'Insumos - OPEX'!K$75)</f>
        <v>0</v>
      </c>
      <c r="P495" s="211">
        <f>IF($G495="PAX",P20*'Insumos - OPEX'!L$48,P20*'Insumos - OPEX'!L$75)</f>
        <v>0</v>
      </c>
      <c r="Q495" s="211">
        <f>IF($G495="PAX",Q20*'Insumos - OPEX'!M$48,Q20*'Insumos - OPEX'!M$75)</f>
        <v>0</v>
      </c>
      <c r="R495" s="211">
        <f>IF($G495="PAX",R20*'Insumos - OPEX'!N$48,R20*'Insumos - OPEX'!N$75)</f>
        <v>0</v>
      </c>
      <c r="S495" s="111"/>
    </row>
    <row r="496" spans="1:30" x14ac:dyDescent="0.2">
      <c r="A496" s="8"/>
      <c r="B496" s="8" t="s">
        <v>301</v>
      </c>
      <c r="C496" s="8" t="s">
        <v>172</v>
      </c>
      <c r="D496" s="8">
        <v>6380000014</v>
      </c>
      <c r="E496" s="8" t="s">
        <v>312</v>
      </c>
      <c r="F496" s="73" t="s">
        <v>23</v>
      </c>
      <c r="G496" s="73" t="s">
        <v>136</v>
      </c>
      <c r="H496" s="112" t="s">
        <v>61</v>
      </c>
      <c r="I496" s="13" t="s">
        <v>22</v>
      </c>
      <c r="K496" s="187"/>
      <c r="L496" s="187"/>
      <c r="M496" s="188">
        <f>IF($G496="PAX",M21*'Insumos - OPEX'!I$48,M21*'Insumos - OPEX'!I$75)</f>
        <v>0</v>
      </c>
      <c r="N496" s="211">
        <f>IF($G496="PAX",N21*'Insumos - OPEX'!J$48,N21*'Insumos - OPEX'!J$75)</f>
        <v>0</v>
      </c>
      <c r="O496" s="211">
        <f>IF($G496="PAX",O21*'Insumos - OPEX'!K$48,O21*'Insumos - OPEX'!K$75)</f>
        <v>0</v>
      </c>
      <c r="P496" s="211">
        <f>IF($G496="PAX",P21*'Insumos - OPEX'!L$48,P21*'Insumos - OPEX'!L$75)</f>
        <v>0</v>
      </c>
      <c r="Q496" s="211">
        <f>IF($G496="PAX",Q21*'Insumos - OPEX'!M$48,Q21*'Insumos - OPEX'!M$75)</f>
        <v>0</v>
      </c>
      <c r="R496" s="211">
        <f>IF($G496="PAX",R21*'Insumos - OPEX'!N$48,R21*'Insumos - OPEX'!N$75)</f>
        <v>0</v>
      </c>
      <c r="S496" s="111"/>
    </row>
    <row r="497" spans="1:19" x14ac:dyDescent="0.2">
      <c r="A497" s="8"/>
      <c r="B497" s="8" t="s">
        <v>301</v>
      </c>
      <c r="C497" s="8" t="s">
        <v>172</v>
      </c>
      <c r="D497" s="8">
        <v>6381000001</v>
      </c>
      <c r="E497" s="8" t="s">
        <v>313</v>
      </c>
      <c r="F497" s="73" t="s">
        <v>23</v>
      </c>
      <c r="G497" s="73" t="s">
        <v>136</v>
      </c>
      <c r="H497" s="112" t="s">
        <v>61</v>
      </c>
      <c r="I497" s="13" t="s">
        <v>22</v>
      </c>
      <c r="K497" s="187"/>
      <c r="L497" s="187"/>
      <c r="M497" s="188">
        <f>IF($G497="PAX",M22*'Insumos - OPEX'!I$48,M22*'Insumos - OPEX'!I$75)</f>
        <v>0</v>
      </c>
      <c r="N497" s="211">
        <f>IF($G497="PAX",N22*'Insumos - OPEX'!J$48,N22*'Insumos - OPEX'!J$75)</f>
        <v>0</v>
      </c>
      <c r="O497" s="211">
        <f>IF($G497="PAX",O22*'Insumos - OPEX'!K$48,O22*'Insumos - OPEX'!K$75)</f>
        <v>0</v>
      </c>
      <c r="P497" s="211">
        <f>IF($G497="PAX",P22*'Insumos - OPEX'!L$48,P22*'Insumos - OPEX'!L$75)</f>
        <v>0</v>
      </c>
      <c r="Q497" s="211">
        <f>IF($G497="PAX",Q22*'Insumos - OPEX'!M$48,Q22*'Insumos - OPEX'!M$75)</f>
        <v>0</v>
      </c>
      <c r="R497" s="211">
        <f>IF($G497="PAX",R22*'Insumos - OPEX'!N$48,R22*'Insumos - OPEX'!N$75)</f>
        <v>0</v>
      </c>
      <c r="S497" s="111"/>
    </row>
    <row r="498" spans="1:19" x14ac:dyDescent="0.2">
      <c r="A498" s="8"/>
      <c r="B498" s="8" t="s">
        <v>301</v>
      </c>
      <c r="C498" s="8" t="s">
        <v>172</v>
      </c>
      <c r="D498" s="8">
        <v>6380000026</v>
      </c>
      <c r="E498" s="8" t="s">
        <v>314</v>
      </c>
      <c r="F498" s="73" t="s">
        <v>23</v>
      </c>
      <c r="G498" s="73" t="s">
        <v>136</v>
      </c>
      <c r="H498" s="112" t="s">
        <v>61</v>
      </c>
      <c r="I498" s="13" t="s">
        <v>22</v>
      </c>
      <c r="J498" s="30"/>
      <c r="K498" s="187"/>
      <c r="L498" s="187"/>
      <c r="M498" s="188">
        <f>IF($G498="PAX",M23*'Insumos - OPEX'!I$48,M23*'Insumos - OPEX'!I$75)</f>
        <v>0</v>
      </c>
      <c r="N498" s="211">
        <f>IF($G498="PAX",N23*'Insumos - OPEX'!J$48,N23*'Insumos - OPEX'!J$75)</f>
        <v>0</v>
      </c>
      <c r="O498" s="211">
        <f>IF($G498="PAX",O23*'Insumos - OPEX'!K$48,O23*'Insumos - OPEX'!K$75)</f>
        <v>0</v>
      </c>
      <c r="P498" s="211">
        <f>IF($G498="PAX",P23*'Insumos - OPEX'!L$48,P23*'Insumos - OPEX'!L$75)</f>
        <v>0</v>
      </c>
      <c r="Q498" s="211">
        <f>IF($G498="PAX",Q23*'Insumos - OPEX'!M$48,Q23*'Insumos - OPEX'!M$75)</f>
        <v>0</v>
      </c>
      <c r="R498" s="211">
        <f>IF($G498="PAX",R23*'Insumos - OPEX'!N$48,R23*'Insumos - OPEX'!N$75)</f>
        <v>0</v>
      </c>
      <c r="S498" s="111"/>
    </row>
    <row r="499" spans="1:19" x14ac:dyDescent="0.2">
      <c r="A499" s="8"/>
      <c r="B499" s="8" t="s">
        <v>301</v>
      </c>
      <c r="C499" s="8" t="s">
        <v>172</v>
      </c>
      <c r="D499" s="8">
        <v>6381000003</v>
      </c>
      <c r="E499" s="8" t="s">
        <v>315</v>
      </c>
      <c r="F499" s="73" t="s">
        <v>23</v>
      </c>
      <c r="G499" s="73" t="s">
        <v>136</v>
      </c>
      <c r="H499" s="112" t="s">
        <v>61</v>
      </c>
      <c r="I499" s="13" t="s">
        <v>22</v>
      </c>
      <c r="K499" s="187"/>
      <c r="L499" s="187"/>
      <c r="M499" s="188">
        <f>IF($G499="PAX",M24*'Insumos - OPEX'!I$48,M24*'Insumos - OPEX'!I$75)</f>
        <v>0</v>
      </c>
      <c r="N499" s="211">
        <f>IF($G499="PAX",N24*'Insumos - OPEX'!J$48,N24*'Insumos - OPEX'!J$75)</f>
        <v>0</v>
      </c>
      <c r="O499" s="211">
        <f>IF($G499="PAX",O24*'Insumos - OPEX'!K$48,O24*'Insumos - OPEX'!K$75)</f>
        <v>0</v>
      </c>
      <c r="P499" s="211">
        <f>IF($G499="PAX",P24*'Insumos - OPEX'!L$48,P24*'Insumos - OPEX'!L$75)</f>
        <v>0</v>
      </c>
      <c r="Q499" s="211">
        <f>IF($G499="PAX",Q24*'Insumos - OPEX'!M$48,Q24*'Insumos - OPEX'!M$75)</f>
        <v>0</v>
      </c>
      <c r="R499" s="211">
        <f>IF($G499="PAX",R24*'Insumos - OPEX'!N$48,R24*'Insumos - OPEX'!N$75)</f>
        <v>0</v>
      </c>
      <c r="S499" s="111"/>
    </row>
    <row r="500" spans="1:19" x14ac:dyDescent="0.2">
      <c r="A500" s="8"/>
      <c r="B500" s="8" t="s">
        <v>301</v>
      </c>
      <c r="C500" s="8" t="s">
        <v>172</v>
      </c>
      <c r="D500" s="8">
        <v>6381000005</v>
      </c>
      <c r="E500" s="8" t="s">
        <v>316</v>
      </c>
      <c r="F500" s="73" t="s">
        <v>23</v>
      </c>
      <c r="G500" s="73" t="s">
        <v>136</v>
      </c>
      <c r="H500" s="112" t="s">
        <v>61</v>
      </c>
      <c r="I500" s="13" t="s">
        <v>22</v>
      </c>
      <c r="K500" s="187"/>
      <c r="L500" s="187"/>
      <c r="M500" s="188">
        <f>IF($G500="PAX",M25*'Insumos - OPEX'!I$48,M25*'Insumos - OPEX'!I$75)</f>
        <v>0</v>
      </c>
      <c r="N500" s="211">
        <f>IF($G500="PAX",N25*'Insumos - OPEX'!J$48,N25*'Insumos - OPEX'!J$75)</f>
        <v>0</v>
      </c>
      <c r="O500" s="211">
        <f>IF($G500="PAX",O25*'Insumos - OPEX'!K$48,O25*'Insumos - OPEX'!K$75)</f>
        <v>0</v>
      </c>
      <c r="P500" s="211">
        <f>IF($G500="PAX",P25*'Insumos - OPEX'!L$48,P25*'Insumos - OPEX'!L$75)</f>
        <v>0</v>
      </c>
      <c r="Q500" s="211">
        <f>IF($G500="PAX",Q25*'Insumos - OPEX'!M$48,Q25*'Insumos - OPEX'!M$75)</f>
        <v>0</v>
      </c>
      <c r="R500" s="211">
        <f>IF($G500="PAX",R25*'Insumos - OPEX'!N$48,R25*'Insumos - OPEX'!N$75)</f>
        <v>0</v>
      </c>
      <c r="S500" s="111"/>
    </row>
    <row r="501" spans="1:19" x14ac:dyDescent="0.2">
      <c r="A501" s="8"/>
      <c r="B501" s="8" t="s">
        <v>301</v>
      </c>
      <c r="C501" s="8" t="s">
        <v>172</v>
      </c>
      <c r="D501" s="8">
        <v>6380000017</v>
      </c>
      <c r="E501" s="8" t="s">
        <v>317</v>
      </c>
      <c r="F501" s="73" t="s">
        <v>23</v>
      </c>
      <c r="G501" s="73" t="s">
        <v>136</v>
      </c>
      <c r="H501" s="112" t="s">
        <v>61</v>
      </c>
      <c r="I501" s="13" t="s">
        <v>22</v>
      </c>
      <c r="K501" s="187"/>
      <c r="L501" s="187"/>
      <c r="M501" s="188">
        <f>IF($G501="PAX",M26*'Insumos - OPEX'!I$48,M26*'Insumos - OPEX'!I$75)</f>
        <v>0</v>
      </c>
      <c r="N501" s="211">
        <f>IF($G501="PAX",N26*'Insumos - OPEX'!J$48,N26*'Insumos - OPEX'!J$75)</f>
        <v>0</v>
      </c>
      <c r="O501" s="211">
        <f>IF($G501="PAX",O26*'Insumos - OPEX'!K$48,O26*'Insumos - OPEX'!K$75)</f>
        <v>0</v>
      </c>
      <c r="P501" s="211">
        <f>IF($G501="PAX",P26*'Insumos - OPEX'!L$48,P26*'Insumos - OPEX'!L$75)</f>
        <v>0</v>
      </c>
      <c r="Q501" s="211">
        <f>IF($G501="PAX",Q26*'Insumos - OPEX'!M$48,Q26*'Insumos - OPEX'!M$75)</f>
        <v>0</v>
      </c>
      <c r="R501" s="211">
        <f>IF($G501="PAX",R26*'Insumos - OPEX'!N$48,R26*'Insumos - OPEX'!N$75)</f>
        <v>0</v>
      </c>
      <c r="S501" s="111"/>
    </row>
    <row r="502" spans="1:19" x14ac:dyDescent="0.2">
      <c r="A502" s="8"/>
      <c r="B502" s="8" t="s">
        <v>301</v>
      </c>
      <c r="C502" s="8" t="s">
        <v>172</v>
      </c>
      <c r="D502" s="8">
        <v>6380000027</v>
      </c>
      <c r="E502" s="8" t="s">
        <v>318</v>
      </c>
      <c r="F502" s="73" t="s">
        <v>23</v>
      </c>
      <c r="G502" s="73" t="s">
        <v>136</v>
      </c>
      <c r="H502" s="112" t="s">
        <v>61</v>
      </c>
      <c r="I502" s="13" t="s">
        <v>22</v>
      </c>
      <c r="K502" s="187"/>
      <c r="L502" s="187"/>
      <c r="M502" s="188">
        <f>IF($G502="PAX",M27*'Insumos - OPEX'!I$48,M27*'Insumos - OPEX'!I$75)</f>
        <v>0</v>
      </c>
      <c r="N502" s="211">
        <f>IF($G502="PAX",N27*'Insumos - OPEX'!J$48,N27*'Insumos - OPEX'!J$75)</f>
        <v>0</v>
      </c>
      <c r="O502" s="211">
        <f>IF($G502="PAX",O27*'Insumos - OPEX'!K$48,O27*'Insumos - OPEX'!K$75)</f>
        <v>0</v>
      </c>
      <c r="P502" s="211">
        <f>IF($G502="PAX",P27*'Insumos - OPEX'!L$48,P27*'Insumos - OPEX'!L$75)</f>
        <v>0</v>
      </c>
      <c r="Q502" s="211">
        <f>IF($G502="PAX",Q27*'Insumos - OPEX'!M$48,Q27*'Insumos - OPEX'!M$75)</f>
        <v>0</v>
      </c>
      <c r="R502" s="211">
        <f>IF($G502="PAX",R27*'Insumos - OPEX'!N$48,R27*'Insumos - OPEX'!N$75)</f>
        <v>0</v>
      </c>
      <c r="S502" s="111"/>
    </row>
    <row r="503" spans="1:19" x14ac:dyDescent="0.2">
      <c r="A503" s="8"/>
      <c r="B503" s="8" t="s">
        <v>301</v>
      </c>
      <c r="C503" s="8" t="s">
        <v>172</v>
      </c>
      <c r="D503" s="8">
        <v>6380000025</v>
      </c>
      <c r="E503" s="8" t="s">
        <v>319</v>
      </c>
      <c r="F503" s="73" t="s">
        <v>23</v>
      </c>
      <c r="G503" s="73" t="s">
        <v>136</v>
      </c>
      <c r="H503" s="112" t="s">
        <v>61</v>
      </c>
      <c r="I503" s="13" t="s">
        <v>22</v>
      </c>
      <c r="K503" s="187"/>
      <c r="L503" s="187"/>
      <c r="M503" s="188">
        <f>IF($G503="PAX",M28*'Insumos - OPEX'!I$48,M28*'Insumos - OPEX'!I$75)</f>
        <v>0</v>
      </c>
      <c r="N503" s="211">
        <f>IF($G503="PAX",N28*'Insumos - OPEX'!J$48,N28*'Insumos - OPEX'!J$75)</f>
        <v>0</v>
      </c>
      <c r="O503" s="211">
        <f>IF($G503="PAX",O28*'Insumos - OPEX'!K$48,O28*'Insumos - OPEX'!K$75)</f>
        <v>0</v>
      </c>
      <c r="P503" s="211">
        <f>IF($G503="PAX",P28*'Insumos - OPEX'!L$48,P28*'Insumos - OPEX'!L$75)</f>
        <v>0</v>
      </c>
      <c r="Q503" s="211">
        <f>IF($G503="PAX",Q28*'Insumos - OPEX'!M$48,Q28*'Insumos - OPEX'!M$75)</f>
        <v>0</v>
      </c>
      <c r="R503" s="211">
        <f>IF($G503="PAX",R28*'Insumos - OPEX'!N$48,R28*'Insumos - OPEX'!N$75)</f>
        <v>0</v>
      </c>
      <c r="S503" s="111"/>
    </row>
    <row r="504" spans="1:19" x14ac:dyDescent="0.2">
      <c r="A504" s="8"/>
      <c r="B504" s="8" t="s">
        <v>301</v>
      </c>
      <c r="C504" s="8" t="s">
        <v>171</v>
      </c>
      <c r="D504" s="8">
        <v>6360000002</v>
      </c>
      <c r="E504" s="8" t="s">
        <v>320</v>
      </c>
      <c r="F504" s="73" t="s">
        <v>23</v>
      </c>
      <c r="G504" s="73" t="s">
        <v>471</v>
      </c>
      <c r="H504" s="112" t="s">
        <v>61</v>
      </c>
      <c r="I504" s="13" t="s">
        <v>22</v>
      </c>
      <c r="K504" s="187"/>
      <c r="L504" s="187"/>
      <c r="M504" s="188">
        <f>IF($G504="PAX",M29*'Insumos - OPEX'!I$48,M29*'Insumos - OPEX'!I$75)</f>
        <v>132493.37965945172</v>
      </c>
      <c r="N504" s="211">
        <f>IF($G504="PAX",N29*'Insumos - OPEX'!J$48,N29*'Insumos - OPEX'!J$75)</f>
        <v>147226.95699727192</v>
      </c>
      <c r="O504" s="211">
        <f>IF($G504="PAX",O29*'Insumos - OPEX'!K$48,O29*'Insumos - OPEX'!K$75)</f>
        <v>161887.49876957116</v>
      </c>
      <c r="P504" s="211">
        <f>IF($G504="PAX",P29*'Insumos - OPEX'!L$48,P29*'Insumos - OPEX'!L$75)</f>
        <v>170527.68898631065</v>
      </c>
      <c r="Q504" s="211">
        <f>IF($G504="PAX",Q29*'Insumos - OPEX'!M$48,Q29*'Insumos - OPEX'!M$75)</f>
        <v>179730.61931935101</v>
      </c>
      <c r="R504" s="211">
        <f>IF($G504="PAX",R29*'Insumos - OPEX'!N$48,R29*'Insumos - OPEX'!N$75)</f>
        <v>189233.55595421849</v>
      </c>
      <c r="S504" s="111"/>
    </row>
    <row r="505" spans="1:19" x14ac:dyDescent="0.2">
      <c r="A505" s="8"/>
      <c r="B505" s="8" t="s">
        <v>301</v>
      </c>
      <c r="C505" s="8" t="s">
        <v>171</v>
      </c>
      <c r="D505" s="8">
        <v>6380000009</v>
      </c>
      <c r="E505" s="8" t="s">
        <v>321</v>
      </c>
      <c r="F505" s="73" t="s">
        <v>23</v>
      </c>
      <c r="G505" s="73" t="s">
        <v>136</v>
      </c>
      <c r="H505" s="112" t="s">
        <v>61</v>
      </c>
      <c r="I505" s="13" t="s">
        <v>22</v>
      </c>
      <c r="K505" s="187"/>
      <c r="L505" s="187"/>
      <c r="M505" s="188">
        <f>IF($G505="PAX",M30*'Insumos - OPEX'!I$48,M30*'Insumos - OPEX'!I$75)</f>
        <v>116167.42213600338</v>
      </c>
      <c r="N505" s="211">
        <f>IF($G505="PAX",N30*'Insumos - OPEX'!J$48,N30*'Insumos - OPEX'!J$75)</f>
        <v>139952.13251844468</v>
      </c>
      <c r="O505" s="211">
        <f>IF($G505="PAX",O30*'Insumos - OPEX'!K$48,O30*'Insumos - OPEX'!K$75)</f>
        <v>162002.20538166777</v>
      </c>
      <c r="P505" s="211">
        <f>IF($G505="PAX",P30*'Insumos - OPEX'!L$48,P30*'Insumos - OPEX'!L$75)</f>
        <v>176425.10655021487</v>
      </c>
      <c r="Q505" s="211">
        <f>IF($G505="PAX",Q30*'Insumos - OPEX'!M$48,Q30*'Insumos - OPEX'!M$75)</f>
        <v>189244.51170953803</v>
      </c>
      <c r="R505" s="211">
        <f>IF($G505="PAX",R30*'Insumos - OPEX'!N$48,R30*'Insumos - OPEX'!N$75)</f>
        <v>203452.43145186346</v>
      </c>
      <c r="S505" s="111"/>
    </row>
    <row r="506" spans="1:19" x14ac:dyDescent="0.2">
      <c r="A506" s="8"/>
      <c r="B506" s="8" t="s">
        <v>301</v>
      </c>
      <c r="C506" s="8" t="s">
        <v>171</v>
      </c>
      <c r="D506" s="8">
        <v>6360000003</v>
      </c>
      <c r="E506" s="8" t="s">
        <v>322</v>
      </c>
      <c r="F506" s="73" t="s">
        <v>23</v>
      </c>
      <c r="G506" s="73" t="s">
        <v>471</v>
      </c>
      <c r="H506" s="112" t="s">
        <v>61</v>
      </c>
      <c r="I506" s="13" t="s">
        <v>22</v>
      </c>
      <c r="K506" s="187"/>
      <c r="L506" s="187"/>
      <c r="M506" s="188">
        <f>IF($G506="PAX",M31*'Insumos - OPEX'!I$48,M31*'Insumos - OPEX'!I$75)</f>
        <v>27315.441368830965</v>
      </c>
      <c r="N506" s="211">
        <f>IF($G506="PAX",N31*'Insumos - OPEX'!J$48,N31*'Insumos - OPEX'!J$75)</f>
        <v>30352.983085698579</v>
      </c>
      <c r="O506" s="211">
        <f>IF($G506="PAX",O31*'Insumos - OPEX'!K$48,O31*'Insumos - OPEX'!K$75)</f>
        <v>33375.46745620705</v>
      </c>
      <c r="P506" s="211">
        <f>IF($G506="PAX",P31*'Insumos - OPEX'!L$48,P31*'Insumos - OPEX'!L$75)</f>
        <v>35156.768604139972</v>
      </c>
      <c r="Q506" s="211">
        <f>IF($G506="PAX",Q31*'Insumos - OPEX'!M$48,Q31*'Insumos - OPEX'!M$75)</f>
        <v>37054.086829244719</v>
      </c>
      <c r="R506" s="211">
        <f>IF($G506="PAX",R31*'Insumos - OPEX'!N$48,R31*'Insumos - OPEX'!N$75)</f>
        <v>39013.255726201154</v>
      </c>
      <c r="S506" s="111"/>
    </row>
    <row r="507" spans="1:19" x14ac:dyDescent="0.2">
      <c r="A507" s="8"/>
      <c r="B507" s="8" t="s">
        <v>301</v>
      </c>
      <c r="C507" s="8" t="s">
        <v>171</v>
      </c>
      <c r="D507" s="8">
        <v>6380000008</v>
      </c>
      <c r="E507" s="8" t="s">
        <v>323</v>
      </c>
      <c r="F507" s="73" t="s">
        <v>23</v>
      </c>
      <c r="G507" s="73" t="s">
        <v>136</v>
      </c>
      <c r="H507" s="112" t="s">
        <v>61</v>
      </c>
      <c r="I507" s="13" t="s">
        <v>22</v>
      </c>
      <c r="K507" s="187"/>
      <c r="L507" s="187"/>
      <c r="M507" s="188">
        <f>IF($G507="PAX",M32*'Insumos - OPEX'!I$48,M32*'Insumos - OPEX'!I$75)</f>
        <v>43912.647147763782</v>
      </c>
      <c r="N507" s="211">
        <f>IF($G507="PAX",N32*'Insumos - OPEX'!J$48,N32*'Insumos - OPEX'!J$75)</f>
        <v>52903.546449231508</v>
      </c>
      <c r="O507" s="211">
        <f>IF($G507="PAX",O32*'Insumos - OPEX'!K$48,O32*'Insumos - OPEX'!K$75)</f>
        <v>61238.732437017163</v>
      </c>
      <c r="P507" s="211">
        <f>IF($G507="PAX",P32*'Insumos - OPEX'!L$48,P32*'Insumos - OPEX'!L$75)</f>
        <v>66690.758127317706</v>
      </c>
      <c r="Q507" s="211">
        <f>IF($G507="PAX",Q32*'Insumos - OPEX'!M$48,Q32*'Insumos - OPEX'!M$75)</f>
        <v>71536.643531803347</v>
      </c>
      <c r="R507" s="211">
        <f>IF($G507="PAX",R32*'Insumos - OPEX'!N$48,R32*'Insumos - OPEX'!N$75)</f>
        <v>76907.403723228126</v>
      </c>
      <c r="S507" s="111"/>
    </row>
    <row r="508" spans="1:19" x14ac:dyDescent="0.2">
      <c r="A508" s="8"/>
      <c r="B508" s="8" t="s">
        <v>301</v>
      </c>
      <c r="C508" s="8" t="s">
        <v>171</v>
      </c>
      <c r="D508" s="8">
        <v>6320000001</v>
      </c>
      <c r="E508" s="8" t="s">
        <v>324</v>
      </c>
      <c r="F508" s="73" t="s">
        <v>23</v>
      </c>
      <c r="G508" s="73" t="s">
        <v>136</v>
      </c>
      <c r="H508" s="112" t="s">
        <v>61</v>
      </c>
      <c r="I508" s="13" t="s">
        <v>22</v>
      </c>
      <c r="K508" s="187"/>
      <c r="L508" s="187"/>
      <c r="M508" s="188">
        <f>IF($G508="PAX",M33*'Insumos - OPEX'!I$48,M33*'Insumos - OPEX'!I$75)</f>
        <v>30235.220819166272</v>
      </c>
      <c r="N508" s="211">
        <f>IF($G508="PAX",N33*'Insumos - OPEX'!J$48,N33*'Insumos - OPEX'!J$75)</f>
        <v>36425.734108607256</v>
      </c>
      <c r="O508" s="211">
        <f>IF($G508="PAX",O33*'Insumos - OPEX'!K$48,O33*'Insumos - OPEX'!K$75)</f>
        <v>42164.768425110618</v>
      </c>
      <c r="P508" s="211">
        <f>IF($G508="PAX",P33*'Insumos - OPEX'!L$48,P33*'Insumos - OPEX'!L$75)</f>
        <v>45918.657369753731</v>
      </c>
      <c r="Q508" s="211">
        <f>IF($G508="PAX",Q33*'Insumos - OPEX'!M$48,Q33*'Insumos - OPEX'!M$75)</f>
        <v>49255.199910128889</v>
      </c>
      <c r="R508" s="211">
        <f>IF($G508="PAX",R33*'Insumos - OPEX'!N$48,R33*'Insumos - OPEX'!N$75)</f>
        <v>52953.135035927502</v>
      </c>
      <c r="S508" s="111"/>
    </row>
    <row r="509" spans="1:19" x14ac:dyDescent="0.2">
      <c r="A509" s="8"/>
      <c r="B509" s="8" t="s">
        <v>301</v>
      </c>
      <c r="C509" s="8" t="s">
        <v>171</v>
      </c>
      <c r="D509" s="8">
        <v>6320000003</v>
      </c>
      <c r="E509" s="8" t="s">
        <v>325</v>
      </c>
      <c r="F509" s="73" t="s">
        <v>23</v>
      </c>
      <c r="G509" s="73" t="s">
        <v>136</v>
      </c>
      <c r="H509" s="112" t="s">
        <v>61</v>
      </c>
      <c r="I509" s="13" t="s">
        <v>22</v>
      </c>
      <c r="K509" s="187"/>
      <c r="L509" s="187"/>
      <c r="M509" s="188">
        <f>IF($G509="PAX",M34*'Insumos - OPEX'!I$48,M34*'Insumos - OPEX'!I$75)</f>
        <v>13047.452162240186</v>
      </c>
      <c r="N509" s="211">
        <f>IF($G509="PAX",N34*'Insumos - OPEX'!J$48,N34*'Insumos - OPEX'!J$75)</f>
        <v>15718.854051010007</v>
      </c>
      <c r="O509" s="211">
        <f>IF($G509="PAX",O34*'Insumos - OPEX'!K$48,O34*'Insumos - OPEX'!K$75)</f>
        <v>18195.428511963364</v>
      </c>
      <c r="P509" s="211">
        <f>IF($G509="PAX",P34*'Insumos - OPEX'!L$48,P34*'Insumos - OPEX'!L$75)</f>
        <v>19815.350083581106</v>
      </c>
      <c r="Q509" s="211">
        <f>IF($G509="PAX",Q34*'Insumos - OPEX'!M$48,Q34*'Insumos - OPEX'!M$75)</f>
        <v>21255.173508162425</v>
      </c>
      <c r="R509" s="211">
        <f>IF($G509="PAX",R34*'Insumos - OPEX'!N$48,R34*'Insumos - OPEX'!N$75)</f>
        <v>22850.949240759019</v>
      </c>
      <c r="S509" s="111"/>
    </row>
    <row r="510" spans="1:19" x14ac:dyDescent="0.2">
      <c r="A510" s="8"/>
      <c r="B510" s="8" t="s">
        <v>301</v>
      </c>
      <c r="C510" s="8" t="s">
        <v>171</v>
      </c>
      <c r="D510" s="8">
        <v>6380000030</v>
      </c>
      <c r="E510" s="8" t="s">
        <v>326</v>
      </c>
      <c r="F510" s="73" t="s">
        <v>23</v>
      </c>
      <c r="G510" s="73" t="s">
        <v>136</v>
      </c>
      <c r="H510" s="112" t="s">
        <v>61</v>
      </c>
      <c r="I510" s="13" t="s">
        <v>22</v>
      </c>
      <c r="K510" s="187"/>
      <c r="L510" s="187"/>
      <c r="M510" s="188">
        <f>IF($G510="PAX",M35*'Insumos - OPEX'!I$48,M35*'Insumos - OPEX'!I$75)</f>
        <v>26956.871204392053</v>
      </c>
      <c r="N510" s="211">
        <f>IF($G510="PAX",N35*'Insumos - OPEX'!J$48,N35*'Insumos - OPEX'!J$75)</f>
        <v>32476.158476365737</v>
      </c>
      <c r="O510" s="211">
        <f>IF($G510="PAX",O35*'Insumos - OPEX'!K$48,O35*'Insumos - OPEX'!K$75)</f>
        <v>37592.91981351126</v>
      </c>
      <c r="P510" s="211">
        <f>IF($G510="PAX",P35*'Insumos - OPEX'!L$48,P35*'Insumos - OPEX'!L$75)</f>
        <v>40939.781455487049</v>
      </c>
      <c r="Q510" s="211">
        <f>IF($G510="PAX",Q35*'Insumos - OPEX'!M$48,Q35*'Insumos - OPEX'!M$75)</f>
        <v>43914.548799400523</v>
      </c>
      <c r="R510" s="211">
        <f>IF($G510="PAX",R35*'Insumos - OPEX'!N$48,R35*'Insumos - OPEX'!N$75)</f>
        <v>47211.523592624435</v>
      </c>
      <c r="S510" s="111"/>
    </row>
    <row r="511" spans="1:19" x14ac:dyDescent="0.2">
      <c r="A511" s="8"/>
      <c r="B511" s="8" t="s">
        <v>301</v>
      </c>
      <c r="C511" s="8" t="s">
        <v>171</v>
      </c>
      <c r="D511" s="8">
        <v>6380000015</v>
      </c>
      <c r="E511" s="8" t="s">
        <v>327</v>
      </c>
      <c r="F511" s="73" t="s">
        <v>23</v>
      </c>
      <c r="G511" s="73" t="s">
        <v>136</v>
      </c>
      <c r="H511" s="112" t="s">
        <v>61</v>
      </c>
      <c r="I511" s="13" t="s">
        <v>22</v>
      </c>
      <c r="K511" s="187"/>
      <c r="L511" s="187"/>
      <c r="M511" s="188">
        <f>IF($G511="PAX",M36*'Insumos - OPEX'!I$48,M36*'Insumos - OPEX'!I$75)</f>
        <v>3427.1803169347668</v>
      </c>
      <c r="N511" s="211">
        <f>IF($G511="PAX",N36*'Insumos - OPEX'!J$48,N36*'Insumos - OPEX'!J$75)</f>
        <v>4128.8786912971027</v>
      </c>
      <c r="O511" s="211">
        <f>IF($G511="PAX",O36*'Insumos - OPEX'!K$48,O36*'Insumos - OPEX'!K$75)</f>
        <v>4779.4016547432775</v>
      </c>
      <c r="P511" s="211">
        <f>IF($G511="PAX",P36*'Insumos - OPEX'!L$48,P36*'Insumos - OPEX'!L$75)</f>
        <v>5204.9072060334638</v>
      </c>
      <c r="Q511" s="211">
        <f>IF($G511="PAX",Q36*'Insumos - OPEX'!M$48,Q36*'Insumos - OPEX'!M$75)</f>
        <v>5583.1062934282754</v>
      </c>
      <c r="R511" s="211">
        <f>IF($G511="PAX",R36*'Insumos - OPEX'!N$48,R36*'Insumos - OPEX'!N$75)</f>
        <v>6002.2694459727054</v>
      </c>
      <c r="S511" s="111"/>
    </row>
    <row r="512" spans="1:19" x14ac:dyDescent="0.2">
      <c r="A512" s="8"/>
      <c r="B512" s="8" t="s">
        <v>301</v>
      </c>
      <c r="C512" s="8" t="s">
        <v>171</v>
      </c>
      <c r="D512" s="8">
        <v>6380000022</v>
      </c>
      <c r="E512" s="8" t="s">
        <v>328</v>
      </c>
      <c r="F512" s="73" t="s">
        <v>23</v>
      </c>
      <c r="G512" s="73" t="s">
        <v>136</v>
      </c>
      <c r="H512" s="112" t="s">
        <v>61</v>
      </c>
      <c r="I512" s="13" t="s">
        <v>22</v>
      </c>
      <c r="K512" s="187"/>
      <c r="L512" s="187"/>
      <c r="M512" s="188">
        <f>IF($G512="PAX",M37*'Insumos - OPEX'!I$48,M37*'Insumos - OPEX'!I$75)</f>
        <v>1458.8713653119023</v>
      </c>
      <c r="N512" s="211">
        <f>IF($G512="PAX",N37*'Insumos - OPEX'!J$48,N37*'Insumos - OPEX'!J$75)</f>
        <v>1757.5681278909717</v>
      </c>
      <c r="O512" s="211">
        <f>IF($G512="PAX",O37*'Insumos - OPEX'!K$48,O37*'Insumos - OPEX'!K$75)</f>
        <v>2034.4807021024933</v>
      </c>
      <c r="P512" s="211">
        <f>IF($G512="PAX",P37*'Insumos - OPEX'!L$48,P37*'Insumos - OPEX'!L$75)</f>
        <v>2215.6085702485461</v>
      </c>
      <c r="Q512" s="211">
        <f>IF($G512="PAX",Q37*'Insumos - OPEX'!M$48,Q37*'Insumos - OPEX'!M$75)</f>
        <v>2376.5991712569166</v>
      </c>
      <c r="R512" s="211">
        <f>IF($G512="PAX",R37*'Insumos - OPEX'!N$48,R37*'Insumos - OPEX'!N$75)</f>
        <v>2555.0272270027131</v>
      </c>
      <c r="S512" s="111"/>
    </row>
    <row r="513" spans="1:19" x14ac:dyDescent="0.2">
      <c r="A513" s="8"/>
      <c r="B513" s="8" t="s">
        <v>301</v>
      </c>
      <c r="C513" s="8" t="s">
        <v>171</v>
      </c>
      <c r="D513" s="8">
        <v>6380000007</v>
      </c>
      <c r="E513" s="8" t="s">
        <v>329</v>
      </c>
      <c r="F513" s="73" t="s">
        <v>23</v>
      </c>
      <c r="G513" s="73" t="s">
        <v>471</v>
      </c>
      <c r="H513" s="112" t="s">
        <v>61</v>
      </c>
      <c r="I513" s="13" t="s">
        <v>22</v>
      </c>
      <c r="K513" s="187"/>
      <c r="L513" s="187"/>
      <c r="M513" s="188">
        <f>IF($G513="PAX",M38*'Insumos - OPEX'!I$48,M38*'Insumos - OPEX'!I$75)</f>
        <v>527.77133003788299</v>
      </c>
      <c r="N513" s="211">
        <f>IF($G513="PAX",N38*'Insumos - OPEX'!J$48,N38*'Insumos - OPEX'!J$75)</f>
        <v>586.46075080580329</v>
      </c>
      <c r="O513" s="211">
        <f>IF($G513="PAX",O38*'Insumos - OPEX'!K$48,O38*'Insumos - OPEX'!K$75)</f>
        <v>644.85924324466953</v>
      </c>
      <c r="P513" s="211">
        <f>IF($G513="PAX",P38*'Insumos - OPEX'!L$48,P38*'Insumos - OPEX'!L$75)</f>
        <v>679.27639445773082</v>
      </c>
      <c r="Q513" s="211">
        <f>IF($G513="PAX",Q38*'Insumos - OPEX'!M$48,Q38*'Insumos - OPEX'!M$75)</f>
        <v>715.93515276398568</v>
      </c>
      <c r="R513" s="211">
        <f>IF($G513="PAX",R38*'Insumos - OPEX'!N$48,R38*'Insumos - OPEX'!N$75)</f>
        <v>753.78894983626776</v>
      </c>
      <c r="S513" s="111"/>
    </row>
    <row r="514" spans="1:19" x14ac:dyDescent="0.2">
      <c r="A514" s="8"/>
      <c r="B514" s="8" t="s">
        <v>301</v>
      </c>
      <c r="C514" s="8" t="s">
        <v>171</v>
      </c>
      <c r="D514" s="8">
        <v>6380000021</v>
      </c>
      <c r="E514" s="8" t="s">
        <v>330</v>
      </c>
      <c r="F514" s="73" t="s">
        <v>23</v>
      </c>
      <c r="G514" s="73" t="s">
        <v>136</v>
      </c>
      <c r="H514" s="112" t="s">
        <v>61</v>
      </c>
      <c r="I514" s="13" t="s">
        <v>22</v>
      </c>
      <c r="K514" s="187"/>
      <c r="L514" s="187"/>
      <c r="M514" s="188">
        <f>IF($G514="PAX",M39*'Insumos - OPEX'!I$48,M39*'Insumos - OPEX'!I$75)</f>
        <v>650.18365261358963</v>
      </c>
      <c r="N514" s="211">
        <f>IF($G514="PAX",N39*'Insumos - OPEX'!J$48,N39*'Insumos - OPEX'!J$75)</f>
        <v>783.30556914115982</v>
      </c>
      <c r="O514" s="211">
        <f>IF($G514="PAX",O39*'Insumos - OPEX'!K$48,O39*'Insumos - OPEX'!K$75)</f>
        <v>906.71880024326322</v>
      </c>
      <c r="P514" s="211">
        <f>IF($G514="PAX",P39*'Insumos - OPEX'!L$48,P39*'Insumos - OPEX'!L$75)</f>
        <v>987.44310651281251</v>
      </c>
      <c r="Q514" s="211">
        <f>IF($G514="PAX",Q39*'Insumos - OPEX'!M$48,Q39*'Insumos - OPEX'!M$75)</f>
        <v>1059.1927202820157</v>
      </c>
      <c r="R514" s="211">
        <f>IF($G514="PAX",R39*'Insumos - OPEX'!N$48,R39*'Insumos - OPEX'!N$75)</f>
        <v>1138.7137855191418</v>
      </c>
      <c r="S514" s="111"/>
    </row>
    <row r="515" spans="1:19" x14ac:dyDescent="0.2">
      <c r="A515" s="8"/>
      <c r="B515" s="8" t="s">
        <v>301</v>
      </c>
      <c r="C515" s="8" t="s">
        <v>171</v>
      </c>
      <c r="D515" s="8">
        <v>6360000001</v>
      </c>
      <c r="E515" s="8" t="s">
        <v>331</v>
      </c>
      <c r="F515" s="73" t="s">
        <v>23</v>
      </c>
      <c r="G515" s="73" t="s">
        <v>136</v>
      </c>
      <c r="H515" s="112" t="s">
        <v>61</v>
      </c>
      <c r="I515" s="13" t="s">
        <v>22</v>
      </c>
      <c r="K515" s="187"/>
      <c r="L515" s="187"/>
      <c r="M515" s="188">
        <f>IF($G515="PAX",M40*'Insumos - OPEX'!I$48,M40*'Insumos - OPEX'!I$75)</f>
        <v>466.55714584767196</v>
      </c>
      <c r="N515" s="211">
        <f>IF($G515="PAX",N40*'Insumos - OPEX'!J$48,N40*'Insumos - OPEX'!J$75)</f>
        <v>562.08243501052812</v>
      </c>
      <c r="O515" s="211">
        <f>IF($G515="PAX",O40*'Insumos - OPEX'!K$48,O40*'Insumos - OPEX'!K$75)</f>
        <v>650.64099016856824</v>
      </c>
      <c r="P515" s="211">
        <f>IF($G515="PAX",P40*'Insumos - OPEX'!L$48,P40*'Insumos - OPEX'!L$75)</f>
        <v>708.5669342956769</v>
      </c>
      <c r="Q515" s="211">
        <f>IF($G515="PAX",Q40*'Insumos - OPEX'!M$48,Q40*'Insumos - OPEX'!M$75)</f>
        <v>760.05284121023737</v>
      </c>
      <c r="R515" s="211">
        <f>IF($G515="PAX",R40*'Insumos - OPEX'!N$48,R40*'Insumos - OPEX'!N$75)</f>
        <v>817.11536667156224</v>
      </c>
      <c r="S515" s="111"/>
    </row>
    <row r="516" spans="1:19" x14ac:dyDescent="0.2">
      <c r="A516" s="8"/>
      <c r="B516" s="8" t="s">
        <v>301</v>
      </c>
      <c r="C516" s="8" t="s">
        <v>171</v>
      </c>
      <c r="D516" s="8">
        <v>6380000010</v>
      </c>
      <c r="E516" s="8" t="s">
        <v>332</v>
      </c>
      <c r="F516" s="73" t="s">
        <v>23</v>
      </c>
      <c r="G516" s="73" t="s">
        <v>136</v>
      </c>
      <c r="H516" s="112" t="s">
        <v>61</v>
      </c>
      <c r="I516" s="13" t="s">
        <v>22</v>
      </c>
      <c r="K516" s="187"/>
      <c r="L516" s="187"/>
      <c r="M516" s="188">
        <f>IF($G516="PAX",M41*'Insumos - OPEX'!I$48,M41*'Insumos - OPEX'!I$75)</f>
        <v>0.97399063486985571</v>
      </c>
      <c r="N516" s="211">
        <f>IF($G516="PAX",N41*'Insumos - OPEX'!J$48,N41*'Insumos - OPEX'!J$75)</f>
        <v>1.1734104441384807</v>
      </c>
      <c r="O516" s="211">
        <f>IF($G516="PAX",O41*'Insumos - OPEX'!K$48,O41*'Insumos - OPEX'!K$75)</f>
        <v>1.3582864108431003</v>
      </c>
      <c r="P516" s="211">
        <f>IF($G516="PAX",P41*'Insumos - OPEX'!L$48,P41*'Insumos - OPEX'!L$75)</f>
        <v>1.4792133489425949</v>
      </c>
      <c r="Q516" s="211">
        <f>IF($G516="PAX",Q41*'Insumos - OPEX'!M$48,Q41*'Insumos - OPEX'!M$75)</f>
        <v>1.5866959834041314</v>
      </c>
      <c r="R516" s="211">
        <f>IF($G516="PAX",R41*'Insumos - OPEX'!N$48,R41*'Insumos - OPEX'!N$75)</f>
        <v>1.7058204377094548</v>
      </c>
      <c r="S516" s="111"/>
    </row>
    <row r="517" spans="1:19" x14ac:dyDescent="0.2">
      <c r="A517" s="8"/>
      <c r="B517" s="8" t="s">
        <v>301</v>
      </c>
      <c r="C517" s="8" t="s">
        <v>171</v>
      </c>
      <c r="D517" s="8">
        <v>6380000002</v>
      </c>
      <c r="E517" s="8" t="s">
        <v>333</v>
      </c>
      <c r="F517" s="73" t="s">
        <v>23</v>
      </c>
      <c r="G517" s="73" t="s">
        <v>136</v>
      </c>
      <c r="H517" s="112" t="s">
        <v>61</v>
      </c>
      <c r="I517" s="13" t="s">
        <v>22</v>
      </c>
      <c r="K517" s="187"/>
      <c r="L517" s="187"/>
      <c r="M517" s="188">
        <f>IF($G517="PAX",M42*'Insumos - OPEX'!I$48,M42*'Insumos - OPEX'!I$75)</f>
        <v>0</v>
      </c>
      <c r="N517" s="211">
        <f>IF($G517="PAX",N42*'Insumos - OPEX'!J$48,N42*'Insumos - OPEX'!J$75)</f>
        <v>0</v>
      </c>
      <c r="O517" s="211">
        <f>IF($G517="PAX",O42*'Insumos - OPEX'!K$48,O42*'Insumos - OPEX'!K$75)</f>
        <v>0</v>
      </c>
      <c r="P517" s="211">
        <f>IF($G517="PAX",P42*'Insumos - OPEX'!L$48,P42*'Insumos - OPEX'!L$75)</f>
        <v>0</v>
      </c>
      <c r="Q517" s="211">
        <f>IF($G517="PAX",Q42*'Insumos - OPEX'!M$48,Q42*'Insumos - OPEX'!M$75)</f>
        <v>0</v>
      </c>
      <c r="R517" s="211">
        <f>IF($G517="PAX",R42*'Insumos - OPEX'!N$48,R42*'Insumos - OPEX'!N$75)</f>
        <v>0</v>
      </c>
      <c r="S517" s="111"/>
    </row>
    <row r="518" spans="1:19" x14ac:dyDescent="0.2">
      <c r="A518" s="8"/>
      <c r="B518" s="8" t="s">
        <v>301</v>
      </c>
      <c r="C518" s="8" t="s">
        <v>171</v>
      </c>
      <c r="D518" s="8">
        <v>6357000001</v>
      </c>
      <c r="E518" s="8" t="s">
        <v>334</v>
      </c>
      <c r="F518" s="73" t="s">
        <v>23</v>
      </c>
      <c r="G518" s="73" t="s">
        <v>136</v>
      </c>
      <c r="H518" s="112" t="s">
        <v>61</v>
      </c>
      <c r="I518" s="13" t="s">
        <v>22</v>
      </c>
      <c r="K518" s="187"/>
      <c r="L518" s="187"/>
      <c r="M518" s="188">
        <f>IF($G518="PAX",M43*'Insumos - OPEX'!I$48,M43*'Insumos - OPEX'!I$75)</f>
        <v>0</v>
      </c>
      <c r="N518" s="211">
        <f>IF($G518="PAX",N43*'Insumos - OPEX'!J$48,N43*'Insumos - OPEX'!J$75)</f>
        <v>0</v>
      </c>
      <c r="O518" s="211">
        <f>IF($G518="PAX",O43*'Insumos - OPEX'!K$48,O43*'Insumos - OPEX'!K$75)</f>
        <v>0</v>
      </c>
      <c r="P518" s="211">
        <f>IF($G518="PAX",P43*'Insumos - OPEX'!L$48,P43*'Insumos - OPEX'!L$75)</f>
        <v>0</v>
      </c>
      <c r="Q518" s="211">
        <f>IF($G518="PAX",Q43*'Insumos - OPEX'!M$48,Q43*'Insumos - OPEX'!M$75)</f>
        <v>0</v>
      </c>
      <c r="R518" s="211">
        <f>IF($G518="PAX",R43*'Insumos - OPEX'!N$48,R43*'Insumos - OPEX'!N$75)</f>
        <v>0</v>
      </c>
      <c r="S518" s="111"/>
    </row>
    <row r="519" spans="1:19" x14ac:dyDescent="0.2">
      <c r="A519" s="8"/>
      <c r="B519" s="8" t="s">
        <v>301</v>
      </c>
      <c r="C519" s="8" t="s">
        <v>171</v>
      </c>
      <c r="D519" s="8">
        <v>6358000001</v>
      </c>
      <c r="E519" s="8" t="s">
        <v>335</v>
      </c>
      <c r="F519" s="73" t="s">
        <v>23</v>
      </c>
      <c r="G519" s="73" t="s">
        <v>136</v>
      </c>
      <c r="H519" s="112" t="s">
        <v>61</v>
      </c>
      <c r="I519" s="13" t="s">
        <v>22</v>
      </c>
      <c r="K519" s="187"/>
      <c r="L519" s="187"/>
      <c r="M519" s="188">
        <f>IF($G519="PAX",M44*'Insumos - OPEX'!I$48,M44*'Insumos - OPEX'!I$75)</f>
        <v>0</v>
      </c>
      <c r="N519" s="211">
        <f>IF($G519="PAX",N44*'Insumos - OPEX'!J$48,N44*'Insumos - OPEX'!J$75)</f>
        <v>0</v>
      </c>
      <c r="O519" s="211">
        <f>IF($G519="PAX",O44*'Insumos - OPEX'!K$48,O44*'Insumos - OPEX'!K$75)</f>
        <v>0</v>
      </c>
      <c r="P519" s="211">
        <f>IF($G519="PAX",P44*'Insumos - OPEX'!L$48,P44*'Insumos - OPEX'!L$75)</f>
        <v>0</v>
      </c>
      <c r="Q519" s="211">
        <f>IF($G519="PAX",Q44*'Insumos - OPEX'!M$48,Q44*'Insumos - OPEX'!M$75)</f>
        <v>0</v>
      </c>
      <c r="R519" s="211">
        <f>IF($G519="PAX",R44*'Insumos - OPEX'!N$48,R44*'Insumos - OPEX'!N$75)</f>
        <v>0</v>
      </c>
      <c r="S519" s="111"/>
    </row>
    <row r="520" spans="1:19" s="3" customFormat="1" x14ac:dyDescent="0.2">
      <c r="A520" s="8"/>
      <c r="B520" s="8" t="s">
        <v>301</v>
      </c>
      <c r="C520" s="8" t="s">
        <v>171</v>
      </c>
      <c r="D520" s="8">
        <v>6354000001</v>
      </c>
      <c r="E520" s="8" t="s">
        <v>336</v>
      </c>
      <c r="F520" s="73" t="s">
        <v>23</v>
      </c>
      <c r="G520" s="73" t="s">
        <v>136</v>
      </c>
      <c r="H520" s="112" t="s">
        <v>61</v>
      </c>
      <c r="I520" s="13" t="s">
        <v>22</v>
      </c>
      <c r="J520" s="11"/>
      <c r="K520" s="187"/>
      <c r="L520" s="187"/>
      <c r="M520" s="188">
        <f>IF($G520="PAX",M45*'Insumos - OPEX'!I$48,M45*'Insumos - OPEX'!I$75)</f>
        <v>0</v>
      </c>
      <c r="N520" s="211">
        <f>IF($G520="PAX",N45*'Insumos - OPEX'!J$48,N45*'Insumos - OPEX'!J$75)</f>
        <v>0</v>
      </c>
      <c r="O520" s="211">
        <f>IF($G520="PAX",O45*'Insumos - OPEX'!K$48,O45*'Insumos - OPEX'!K$75)</f>
        <v>0</v>
      </c>
      <c r="P520" s="211">
        <f>IF($G520="PAX",P45*'Insumos - OPEX'!L$48,P45*'Insumos - OPEX'!L$75)</f>
        <v>0</v>
      </c>
      <c r="Q520" s="211">
        <f>IF($G520="PAX",Q45*'Insumos - OPEX'!M$48,Q45*'Insumos - OPEX'!M$75)</f>
        <v>0</v>
      </c>
      <c r="R520" s="211">
        <f>IF($G520="PAX",R45*'Insumos - OPEX'!N$48,R45*'Insumos - OPEX'!N$75)</f>
        <v>0</v>
      </c>
      <c r="S520" s="111"/>
    </row>
    <row r="521" spans="1:19" s="3" customFormat="1" x14ac:dyDescent="0.2">
      <c r="A521" s="8"/>
      <c r="B521" s="8" t="s">
        <v>301</v>
      </c>
      <c r="C521" s="8" t="s">
        <v>171</v>
      </c>
      <c r="D521" s="8">
        <v>6356000002</v>
      </c>
      <c r="E521" s="8" t="s">
        <v>337</v>
      </c>
      <c r="F521" s="73" t="s">
        <v>23</v>
      </c>
      <c r="G521" s="73" t="s">
        <v>136</v>
      </c>
      <c r="H521" s="112" t="s">
        <v>61</v>
      </c>
      <c r="I521" s="13" t="s">
        <v>22</v>
      </c>
      <c r="J521" s="11"/>
      <c r="K521" s="187"/>
      <c r="L521" s="187"/>
      <c r="M521" s="188">
        <f>IF($G521="PAX",M46*'Insumos - OPEX'!I$48,M46*'Insumos - OPEX'!I$75)</f>
        <v>0</v>
      </c>
      <c r="N521" s="211">
        <f>IF($G521="PAX",N46*'Insumos - OPEX'!J$48,N46*'Insumos - OPEX'!J$75)</f>
        <v>0</v>
      </c>
      <c r="O521" s="211">
        <f>IF($G521="PAX",O46*'Insumos - OPEX'!K$48,O46*'Insumos - OPEX'!K$75)</f>
        <v>0</v>
      </c>
      <c r="P521" s="211">
        <f>IF($G521="PAX",P46*'Insumos - OPEX'!L$48,P46*'Insumos - OPEX'!L$75)</f>
        <v>0</v>
      </c>
      <c r="Q521" s="211">
        <f>IF($G521="PAX",Q46*'Insumos - OPEX'!M$48,Q46*'Insumos - OPEX'!M$75)</f>
        <v>0</v>
      </c>
      <c r="R521" s="211">
        <f>IF($G521="PAX",R46*'Insumos - OPEX'!N$48,R46*'Insumos - OPEX'!N$75)</f>
        <v>0</v>
      </c>
      <c r="S521" s="111"/>
    </row>
    <row r="522" spans="1:19" x14ac:dyDescent="0.2">
      <c r="A522" s="8"/>
      <c r="B522" s="8" t="s">
        <v>301</v>
      </c>
      <c r="C522" s="8" t="s">
        <v>171</v>
      </c>
      <c r="D522" s="8">
        <v>6370000002</v>
      </c>
      <c r="E522" s="8" t="s">
        <v>338</v>
      </c>
      <c r="F522" s="73" t="s">
        <v>23</v>
      </c>
      <c r="G522" s="73" t="s">
        <v>136</v>
      </c>
      <c r="H522" s="112" t="s">
        <v>61</v>
      </c>
      <c r="I522" s="13" t="s">
        <v>22</v>
      </c>
      <c r="K522" s="187"/>
      <c r="L522" s="187"/>
      <c r="M522" s="188">
        <f>IF($G522="PAX",M47*'Insumos - OPEX'!I$48,M47*'Insumos - OPEX'!I$75)</f>
        <v>0</v>
      </c>
      <c r="N522" s="211">
        <f>IF($G522="PAX",N47*'Insumos - OPEX'!J$48,N47*'Insumos - OPEX'!J$75)</f>
        <v>0</v>
      </c>
      <c r="O522" s="211">
        <f>IF($G522="PAX",O47*'Insumos - OPEX'!K$48,O47*'Insumos - OPEX'!K$75)</f>
        <v>0</v>
      </c>
      <c r="P522" s="211">
        <f>IF($G522="PAX",P47*'Insumos - OPEX'!L$48,P47*'Insumos - OPEX'!L$75)</f>
        <v>0</v>
      </c>
      <c r="Q522" s="211">
        <f>IF($G522="PAX",Q47*'Insumos - OPEX'!M$48,Q47*'Insumos - OPEX'!M$75)</f>
        <v>0</v>
      </c>
      <c r="R522" s="211">
        <f>IF($G522="PAX",R47*'Insumos - OPEX'!N$48,R47*'Insumos - OPEX'!N$75)</f>
        <v>0</v>
      </c>
      <c r="S522" s="111"/>
    </row>
    <row r="523" spans="1:19" x14ac:dyDescent="0.2">
      <c r="A523" s="8"/>
      <c r="B523" s="8" t="s">
        <v>301</v>
      </c>
      <c r="C523" s="8" t="s">
        <v>171</v>
      </c>
      <c r="D523" s="8">
        <v>6370000003</v>
      </c>
      <c r="E523" s="8" t="s">
        <v>339</v>
      </c>
      <c r="F523" s="73" t="s">
        <v>23</v>
      </c>
      <c r="G523" s="73" t="s">
        <v>136</v>
      </c>
      <c r="H523" s="112" t="s">
        <v>61</v>
      </c>
      <c r="I523" s="13" t="s">
        <v>22</v>
      </c>
      <c r="K523" s="187"/>
      <c r="L523" s="187"/>
      <c r="M523" s="188">
        <f>IF($G523="PAX",M48*'Insumos - OPEX'!I$48,M48*'Insumos - OPEX'!I$75)</f>
        <v>0</v>
      </c>
      <c r="N523" s="211">
        <f>IF($G523="PAX",N48*'Insumos - OPEX'!J$48,N48*'Insumos - OPEX'!J$75)</f>
        <v>0</v>
      </c>
      <c r="O523" s="211">
        <f>IF($G523="PAX",O48*'Insumos - OPEX'!K$48,O48*'Insumos - OPEX'!K$75)</f>
        <v>0</v>
      </c>
      <c r="P523" s="211">
        <f>IF($G523="PAX",P48*'Insumos - OPEX'!L$48,P48*'Insumos - OPEX'!L$75)</f>
        <v>0</v>
      </c>
      <c r="Q523" s="211">
        <f>IF($G523="PAX",Q48*'Insumos - OPEX'!M$48,Q48*'Insumos - OPEX'!M$75)</f>
        <v>0</v>
      </c>
      <c r="R523" s="211">
        <f>IF($G523="PAX",R48*'Insumos - OPEX'!N$48,R48*'Insumos - OPEX'!N$75)</f>
        <v>0</v>
      </c>
      <c r="S523" s="111"/>
    </row>
    <row r="524" spans="1:19" x14ac:dyDescent="0.2">
      <c r="A524" s="8"/>
      <c r="B524" s="8" t="s">
        <v>301</v>
      </c>
      <c r="C524" s="8" t="s">
        <v>171</v>
      </c>
      <c r="D524" s="8">
        <v>6320000004</v>
      </c>
      <c r="E524" s="8" t="s">
        <v>340</v>
      </c>
      <c r="F524" s="73" t="s">
        <v>23</v>
      </c>
      <c r="G524" s="73" t="s">
        <v>136</v>
      </c>
      <c r="H524" s="112" t="s">
        <v>61</v>
      </c>
      <c r="I524" s="13" t="s">
        <v>22</v>
      </c>
      <c r="K524" s="187"/>
      <c r="L524" s="187"/>
      <c r="M524" s="188">
        <f>IF($G524="PAX",M49*'Insumos - OPEX'!I$48,M49*'Insumos - OPEX'!I$75)</f>
        <v>0</v>
      </c>
      <c r="N524" s="211">
        <f>IF($G524="PAX",N49*'Insumos - OPEX'!J$48,N49*'Insumos - OPEX'!J$75)</f>
        <v>0</v>
      </c>
      <c r="O524" s="211">
        <f>IF($G524="PAX",O49*'Insumos - OPEX'!K$48,O49*'Insumos - OPEX'!K$75)</f>
        <v>0</v>
      </c>
      <c r="P524" s="211">
        <f>IF($G524="PAX",P49*'Insumos - OPEX'!L$48,P49*'Insumos - OPEX'!L$75)</f>
        <v>0</v>
      </c>
      <c r="Q524" s="211">
        <f>IF($G524="PAX",Q49*'Insumos - OPEX'!M$48,Q49*'Insumos - OPEX'!M$75)</f>
        <v>0</v>
      </c>
      <c r="R524" s="211">
        <f>IF($G524="PAX",R49*'Insumos - OPEX'!N$48,R49*'Insumos - OPEX'!N$75)</f>
        <v>0</v>
      </c>
      <c r="S524" s="111"/>
    </row>
    <row r="525" spans="1:19" x14ac:dyDescent="0.2">
      <c r="A525" s="8"/>
      <c r="B525" s="8" t="s">
        <v>301</v>
      </c>
      <c r="C525" s="8" t="s">
        <v>171</v>
      </c>
      <c r="D525" s="8">
        <v>6329000003</v>
      </c>
      <c r="E525" s="8" t="s">
        <v>341</v>
      </c>
      <c r="F525" s="73" t="s">
        <v>23</v>
      </c>
      <c r="G525" s="73" t="s">
        <v>136</v>
      </c>
      <c r="H525" s="112" t="s">
        <v>61</v>
      </c>
      <c r="I525" s="13" t="s">
        <v>22</v>
      </c>
      <c r="K525" s="187"/>
      <c r="L525" s="187"/>
      <c r="M525" s="188">
        <f>IF($G525="PAX",M50*'Insumos - OPEX'!I$48,M50*'Insumos - OPEX'!I$75)</f>
        <v>0</v>
      </c>
      <c r="N525" s="211">
        <f>IF($G525="PAX",N50*'Insumos - OPEX'!J$48,N50*'Insumos - OPEX'!J$75)</f>
        <v>0</v>
      </c>
      <c r="O525" s="211">
        <f>IF($G525="PAX",O50*'Insumos - OPEX'!K$48,O50*'Insumos - OPEX'!K$75)</f>
        <v>0</v>
      </c>
      <c r="P525" s="211">
        <f>IF($G525="PAX",P50*'Insumos - OPEX'!L$48,P50*'Insumos - OPEX'!L$75)</f>
        <v>0</v>
      </c>
      <c r="Q525" s="211">
        <f>IF($G525="PAX",Q50*'Insumos - OPEX'!M$48,Q50*'Insumos - OPEX'!M$75)</f>
        <v>0</v>
      </c>
      <c r="R525" s="211">
        <f>IF($G525="PAX",R50*'Insumos - OPEX'!N$48,R50*'Insumos - OPEX'!N$75)</f>
        <v>0</v>
      </c>
      <c r="S525" s="111"/>
    </row>
    <row r="526" spans="1:19" x14ac:dyDescent="0.2">
      <c r="A526" s="8"/>
      <c r="B526" s="8" t="s">
        <v>301</v>
      </c>
      <c r="C526" s="8" t="s">
        <v>171</v>
      </c>
      <c r="D526" s="8">
        <v>6320000005</v>
      </c>
      <c r="E526" s="8" t="s">
        <v>342</v>
      </c>
      <c r="F526" s="73" t="s">
        <v>23</v>
      </c>
      <c r="G526" s="73" t="s">
        <v>136</v>
      </c>
      <c r="H526" s="112" t="s">
        <v>61</v>
      </c>
      <c r="I526" s="13" t="s">
        <v>22</v>
      </c>
      <c r="K526" s="187"/>
      <c r="L526" s="187"/>
      <c r="M526" s="188">
        <f>IF($G526="PAX",M51*'Insumos - OPEX'!I$48,M51*'Insumos - OPEX'!I$75)</f>
        <v>0</v>
      </c>
      <c r="N526" s="211">
        <f>IF($G526="PAX",N51*'Insumos - OPEX'!J$48,N51*'Insumos - OPEX'!J$75)</f>
        <v>0</v>
      </c>
      <c r="O526" s="211">
        <f>IF($G526="PAX",O51*'Insumos - OPEX'!K$48,O51*'Insumos - OPEX'!K$75)</f>
        <v>0</v>
      </c>
      <c r="P526" s="211">
        <f>IF($G526="PAX",P51*'Insumos - OPEX'!L$48,P51*'Insumos - OPEX'!L$75)</f>
        <v>0</v>
      </c>
      <c r="Q526" s="211">
        <f>IF($G526="PAX",Q51*'Insumos - OPEX'!M$48,Q51*'Insumos - OPEX'!M$75)</f>
        <v>0</v>
      </c>
      <c r="R526" s="211">
        <f>IF($G526="PAX",R51*'Insumos - OPEX'!N$48,R51*'Insumos - OPEX'!N$75)</f>
        <v>0</v>
      </c>
      <c r="S526" s="111"/>
    </row>
    <row r="527" spans="1:19" x14ac:dyDescent="0.2">
      <c r="A527" s="8"/>
      <c r="B527" s="8" t="s">
        <v>301</v>
      </c>
      <c r="C527" s="8" t="s">
        <v>171</v>
      </c>
      <c r="D527" s="8">
        <v>6356000001</v>
      </c>
      <c r="E527" s="8" t="s">
        <v>343</v>
      </c>
      <c r="F527" s="73" t="s">
        <v>23</v>
      </c>
      <c r="G527" s="73" t="s">
        <v>136</v>
      </c>
      <c r="H527" s="112" t="s">
        <v>61</v>
      </c>
      <c r="I527" s="13" t="s">
        <v>22</v>
      </c>
      <c r="K527" s="187"/>
      <c r="L527" s="187"/>
      <c r="M527" s="188">
        <f>IF($G527="PAX",M52*'Insumos - OPEX'!I$48,M52*'Insumos - OPEX'!I$75)</f>
        <v>0</v>
      </c>
      <c r="N527" s="211">
        <f>IF($G527="PAX",N52*'Insumos - OPEX'!J$48,N52*'Insumos - OPEX'!J$75)</f>
        <v>0</v>
      </c>
      <c r="O527" s="211">
        <f>IF($G527="PAX",O52*'Insumos - OPEX'!K$48,O52*'Insumos - OPEX'!K$75)</f>
        <v>0</v>
      </c>
      <c r="P527" s="211">
        <f>IF($G527="PAX",P52*'Insumos - OPEX'!L$48,P52*'Insumos - OPEX'!L$75)</f>
        <v>0</v>
      </c>
      <c r="Q527" s="211">
        <f>IF($G527="PAX",Q52*'Insumos - OPEX'!M$48,Q52*'Insumos - OPEX'!M$75)</f>
        <v>0</v>
      </c>
      <c r="R527" s="211">
        <f>IF($G527="PAX",R52*'Insumos - OPEX'!N$48,R52*'Insumos - OPEX'!N$75)</f>
        <v>0</v>
      </c>
      <c r="S527" s="111"/>
    </row>
    <row r="528" spans="1:19" s="3" customFormat="1" x14ac:dyDescent="0.2">
      <c r="A528" s="8"/>
      <c r="B528" s="8" t="s">
        <v>301</v>
      </c>
      <c r="C528" s="8" t="s">
        <v>171</v>
      </c>
      <c r="D528" s="8">
        <v>6320000006</v>
      </c>
      <c r="E528" s="8" t="s">
        <v>344</v>
      </c>
      <c r="F528" s="73" t="s">
        <v>23</v>
      </c>
      <c r="G528" s="73" t="s">
        <v>136</v>
      </c>
      <c r="H528" s="112" t="s">
        <v>61</v>
      </c>
      <c r="I528" s="13" t="s">
        <v>22</v>
      </c>
      <c r="J528" s="11"/>
      <c r="K528" s="187"/>
      <c r="L528" s="187"/>
      <c r="M528" s="188">
        <f>IF($G528="PAX",M53*'Insumos - OPEX'!I$48,M53*'Insumos - OPEX'!I$75)</f>
        <v>0</v>
      </c>
      <c r="N528" s="211">
        <f>IF($G528="PAX",N53*'Insumos - OPEX'!J$48,N53*'Insumos - OPEX'!J$75)</f>
        <v>0</v>
      </c>
      <c r="O528" s="211">
        <f>IF($G528="PAX",O53*'Insumos - OPEX'!K$48,O53*'Insumos - OPEX'!K$75)</f>
        <v>0</v>
      </c>
      <c r="P528" s="211">
        <f>IF($G528="PAX",P53*'Insumos - OPEX'!L$48,P53*'Insumos - OPEX'!L$75)</f>
        <v>0</v>
      </c>
      <c r="Q528" s="211">
        <f>IF($G528="PAX",Q53*'Insumos - OPEX'!M$48,Q53*'Insumos - OPEX'!M$75)</f>
        <v>0</v>
      </c>
      <c r="R528" s="211">
        <f>IF($G528="PAX",R53*'Insumos - OPEX'!N$48,R53*'Insumos - OPEX'!N$75)</f>
        <v>0</v>
      </c>
      <c r="S528" s="111"/>
    </row>
    <row r="529" spans="1:19" x14ac:dyDescent="0.2">
      <c r="A529" s="8"/>
      <c r="B529" s="8" t="s">
        <v>301</v>
      </c>
      <c r="C529" s="8" t="s">
        <v>171</v>
      </c>
      <c r="D529" s="8">
        <v>6380000012</v>
      </c>
      <c r="E529" s="8" t="s">
        <v>345</v>
      </c>
      <c r="F529" s="73" t="s">
        <v>23</v>
      </c>
      <c r="G529" s="73" t="s">
        <v>136</v>
      </c>
      <c r="H529" s="112" t="s">
        <v>61</v>
      </c>
      <c r="I529" s="13" t="s">
        <v>22</v>
      </c>
      <c r="K529" s="187"/>
      <c r="L529" s="187"/>
      <c r="M529" s="188">
        <f>IF($G529="PAX",M54*'Insumos - OPEX'!I$48,M54*'Insumos - OPEX'!I$75)</f>
        <v>0</v>
      </c>
      <c r="N529" s="211">
        <f>IF($G529="PAX",N54*'Insumos - OPEX'!J$48,N54*'Insumos - OPEX'!J$75)</f>
        <v>0</v>
      </c>
      <c r="O529" s="211">
        <f>IF($G529="PAX",O54*'Insumos - OPEX'!K$48,O54*'Insumos - OPEX'!K$75)</f>
        <v>0</v>
      </c>
      <c r="P529" s="211">
        <f>IF($G529="PAX",P54*'Insumos - OPEX'!L$48,P54*'Insumos - OPEX'!L$75)</f>
        <v>0</v>
      </c>
      <c r="Q529" s="211">
        <f>IF($G529="PAX",Q54*'Insumos - OPEX'!M$48,Q54*'Insumos - OPEX'!M$75)</f>
        <v>0</v>
      </c>
      <c r="R529" s="211">
        <f>IF($G529="PAX",R54*'Insumos - OPEX'!N$48,R54*'Insumos - OPEX'!N$75)</f>
        <v>0</v>
      </c>
      <c r="S529" s="111"/>
    </row>
    <row r="530" spans="1:19" x14ac:dyDescent="0.2">
      <c r="A530" s="8"/>
      <c r="B530" s="8" t="s">
        <v>301</v>
      </c>
      <c r="C530" s="8" t="s">
        <v>171</v>
      </c>
      <c r="D530" s="8">
        <v>6320000002</v>
      </c>
      <c r="E530" s="8" t="s">
        <v>346</v>
      </c>
      <c r="F530" s="73" t="s">
        <v>23</v>
      </c>
      <c r="G530" s="73" t="s">
        <v>136</v>
      </c>
      <c r="H530" s="112" t="s">
        <v>61</v>
      </c>
      <c r="I530" s="13" t="s">
        <v>22</v>
      </c>
      <c r="K530" s="187"/>
      <c r="L530" s="187"/>
      <c r="M530" s="188">
        <f>IF($G530="PAX",M55*'Insumos - OPEX'!I$48,M55*'Insumos - OPEX'!I$75)</f>
        <v>0</v>
      </c>
      <c r="N530" s="211">
        <f>IF($G530="PAX",N55*'Insumos - OPEX'!J$48,N55*'Insumos - OPEX'!J$75)</f>
        <v>0</v>
      </c>
      <c r="O530" s="211">
        <f>IF($G530="PAX",O55*'Insumos - OPEX'!K$48,O55*'Insumos - OPEX'!K$75)</f>
        <v>0</v>
      </c>
      <c r="P530" s="211">
        <f>IF($G530="PAX",P55*'Insumos - OPEX'!L$48,P55*'Insumos - OPEX'!L$75)</f>
        <v>0</v>
      </c>
      <c r="Q530" s="211">
        <f>IF($G530="PAX",Q55*'Insumos - OPEX'!M$48,Q55*'Insumos - OPEX'!M$75)</f>
        <v>0</v>
      </c>
      <c r="R530" s="211">
        <f>IF($G530="PAX",R55*'Insumos - OPEX'!N$48,R55*'Insumos - OPEX'!N$75)</f>
        <v>0</v>
      </c>
      <c r="S530" s="111"/>
    </row>
    <row r="531" spans="1:19" x14ac:dyDescent="0.2">
      <c r="A531" s="8"/>
      <c r="B531" s="8" t="s">
        <v>301</v>
      </c>
      <c r="C531" s="8" t="s">
        <v>171</v>
      </c>
      <c r="D531" s="8">
        <v>6370000001</v>
      </c>
      <c r="E531" s="8" t="s">
        <v>270</v>
      </c>
      <c r="F531" s="73" t="s">
        <v>23</v>
      </c>
      <c r="G531" s="73" t="s">
        <v>136</v>
      </c>
      <c r="H531" s="112" t="s">
        <v>61</v>
      </c>
      <c r="I531" s="13" t="s">
        <v>22</v>
      </c>
      <c r="K531" s="187"/>
      <c r="L531" s="187"/>
      <c r="M531" s="188">
        <f>IF($G531="PAX",M56*'Insumos - OPEX'!I$48,M56*'Insumos - OPEX'!I$75)</f>
        <v>0</v>
      </c>
      <c r="N531" s="211">
        <f>IF($G531="PAX",N56*'Insumos - OPEX'!J$48,N56*'Insumos - OPEX'!J$75)</f>
        <v>0</v>
      </c>
      <c r="O531" s="211">
        <f>IF($G531="PAX",O56*'Insumos - OPEX'!K$48,O56*'Insumos - OPEX'!K$75)</f>
        <v>0</v>
      </c>
      <c r="P531" s="211">
        <f>IF($G531="PAX",P56*'Insumos - OPEX'!L$48,P56*'Insumos - OPEX'!L$75)</f>
        <v>0</v>
      </c>
      <c r="Q531" s="211">
        <f>IF($G531="PAX",Q56*'Insumos - OPEX'!M$48,Q56*'Insumos - OPEX'!M$75)</f>
        <v>0</v>
      </c>
      <c r="R531" s="211">
        <f>IF($G531="PAX",R56*'Insumos - OPEX'!N$48,R56*'Insumos - OPEX'!N$75)</f>
        <v>0</v>
      </c>
      <c r="S531" s="111"/>
    </row>
    <row r="532" spans="1:19" x14ac:dyDescent="0.2">
      <c r="A532" s="8"/>
      <c r="B532" s="8" t="s">
        <v>301</v>
      </c>
      <c r="C532" s="8" t="s">
        <v>171</v>
      </c>
      <c r="D532" s="8">
        <v>6311300002</v>
      </c>
      <c r="E532" s="8" t="s">
        <v>347</v>
      </c>
      <c r="F532" s="73" t="s">
        <v>23</v>
      </c>
      <c r="G532" s="73" t="s">
        <v>136</v>
      </c>
      <c r="H532" s="112" t="s">
        <v>61</v>
      </c>
      <c r="I532" s="13" t="s">
        <v>22</v>
      </c>
      <c r="K532" s="187"/>
      <c r="L532" s="187"/>
      <c r="M532" s="188">
        <f>IF($G532="PAX",M57*'Insumos - OPEX'!I$48,M57*'Insumos - OPEX'!I$75)</f>
        <v>0</v>
      </c>
      <c r="N532" s="211">
        <f>IF($G532="PAX",N57*'Insumos - OPEX'!J$48,N57*'Insumos - OPEX'!J$75)</f>
        <v>0</v>
      </c>
      <c r="O532" s="211">
        <f>IF($G532="PAX",O57*'Insumos - OPEX'!K$48,O57*'Insumos - OPEX'!K$75)</f>
        <v>0</v>
      </c>
      <c r="P532" s="211">
        <f>IF($G532="PAX",P57*'Insumos - OPEX'!L$48,P57*'Insumos - OPEX'!L$75)</f>
        <v>0</v>
      </c>
      <c r="Q532" s="211">
        <f>IF($G532="PAX",Q57*'Insumos - OPEX'!M$48,Q57*'Insumos - OPEX'!M$75)</f>
        <v>0</v>
      </c>
      <c r="R532" s="211">
        <f>IF($G532="PAX",R57*'Insumos - OPEX'!N$48,R57*'Insumos - OPEX'!N$75)</f>
        <v>0</v>
      </c>
      <c r="S532" s="111"/>
    </row>
    <row r="533" spans="1:19" x14ac:dyDescent="0.2">
      <c r="A533" s="8"/>
      <c r="B533" s="8" t="s">
        <v>301</v>
      </c>
      <c r="C533" s="8" t="s">
        <v>171</v>
      </c>
      <c r="D533" s="8">
        <v>6380000029</v>
      </c>
      <c r="E533" s="8" t="s">
        <v>348</v>
      </c>
      <c r="F533" s="73" t="s">
        <v>23</v>
      </c>
      <c r="G533" s="73" t="s">
        <v>136</v>
      </c>
      <c r="H533" s="112" t="s">
        <v>61</v>
      </c>
      <c r="I533" s="13" t="s">
        <v>22</v>
      </c>
      <c r="K533" s="187"/>
      <c r="L533" s="187"/>
      <c r="M533" s="188">
        <f>IF($G533="PAX",M58*'Insumos - OPEX'!I$48,M58*'Insumos - OPEX'!I$75)</f>
        <v>0</v>
      </c>
      <c r="N533" s="211">
        <f>IF($G533="PAX",N58*'Insumos - OPEX'!J$48,N58*'Insumos - OPEX'!J$75)</f>
        <v>0</v>
      </c>
      <c r="O533" s="211">
        <f>IF($G533="PAX",O58*'Insumos - OPEX'!K$48,O58*'Insumos - OPEX'!K$75)</f>
        <v>0</v>
      </c>
      <c r="P533" s="211">
        <f>IF($G533="PAX",P58*'Insumos - OPEX'!L$48,P58*'Insumos - OPEX'!L$75)</f>
        <v>0</v>
      </c>
      <c r="Q533" s="211">
        <f>IF($G533="PAX",Q58*'Insumos - OPEX'!M$48,Q58*'Insumos - OPEX'!M$75)</f>
        <v>0</v>
      </c>
      <c r="R533" s="211">
        <f>IF($G533="PAX",R58*'Insumos - OPEX'!N$48,R58*'Insumos - OPEX'!N$75)</f>
        <v>0</v>
      </c>
      <c r="S533" s="111"/>
    </row>
    <row r="534" spans="1:19" s="3" customFormat="1" x14ac:dyDescent="0.2">
      <c r="A534" s="8"/>
      <c r="B534" s="8" t="s">
        <v>301</v>
      </c>
      <c r="C534" s="8" t="s">
        <v>171</v>
      </c>
      <c r="D534" s="8">
        <v>6382000001</v>
      </c>
      <c r="E534" s="8" t="s">
        <v>349</v>
      </c>
      <c r="F534" s="73" t="s">
        <v>23</v>
      </c>
      <c r="G534" s="73" t="s">
        <v>136</v>
      </c>
      <c r="H534" s="112" t="s">
        <v>61</v>
      </c>
      <c r="I534" s="13" t="s">
        <v>22</v>
      </c>
      <c r="J534" s="11"/>
      <c r="K534" s="187"/>
      <c r="L534" s="187"/>
      <c r="M534" s="188">
        <f>IF($G534="PAX",M59*'Insumos - OPEX'!I$48,M59*'Insumos - OPEX'!I$75)</f>
        <v>0</v>
      </c>
      <c r="N534" s="211">
        <f>IF($G534="PAX",N59*'Insumos - OPEX'!J$48,N59*'Insumos - OPEX'!J$75)</f>
        <v>0</v>
      </c>
      <c r="O534" s="211">
        <f>IF($G534="PAX",O59*'Insumos - OPEX'!K$48,O59*'Insumos - OPEX'!K$75)</f>
        <v>0</v>
      </c>
      <c r="P534" s="211">
        <f>IF($G534="PAX",P59*'Insumos - OPEX'!L$48,P59*'Insumos - OPEX'!L$75)</f>
        <v>0</v>
      </c>
      <c r="Q534" s="211">
        <f>IF($G534="PAX",Q59*'Insumos - OPEX'!M$48,Q59*'Insumos - OPEX'!M$75)</f>
        <v>0</v>
      </c>
      <c r="R534" s="211">
        <f>IF($G534="PAX",R59*'Insumos - OPEX'!N$48,R59*'Insumos - OPEX'!N$75)</f>
        <v>0</v>
      </c>
      <c r="S534" s="111"/>
    </row>
    <row r="535" spans="1:19" x14ac:dyDescent="0.2">
      <c r="A535" s="8"/>
      <c r="B535" s="8" t="s">
        <v>301</v>
      </c>
      <c r="C535" s="8" t="s">
        <v>171</v>
      </c>
      <c r="D535" s="8">
        <v>6381000004</v>
      </c>
      <c r="E535" s="8" t="s">
        <v>350</v>
      </c>
      <c r="F535" s="73" t="s">
        <v>23</v>
      </c>
      <c r="G535" s="73" t="s">
        <v>136</v>
      </c>
      <c r="H535" s="112" t="s">
        <v>61</v>
      </c>
      <c r="I535" s="13" t="s">
        <v>22</v>
      </c>
      <c r="K535" s="187"/>
      <c r="L535" s="187"/>
      <c r="M535" s="188">
        <f>IF($G535="PAX",M60*'Insumos - OPEX'!I$48,M60*'Insumos - OPEX'!I$75)</f>
        <v>0</v>
      </c>
      <c r="N535" s="211">
        <f>IF($G535="PAX",N60*'Insumos - OPEX'!J$48,N60*'Insumos - OPEX'!J$75)</f>
        <v>0</v>
      </c>
      <c r="O535" s="211">
        <f>IF($G535="PAX",O60*'Insumos - OPEX'!K$48,O60*'Insumos - OPEX'!K$75)</f>
        <v>0</v>
      </c>
      <c r="P535" s="211">
        <f>IF($G535="PAX",P60*'Insumos - OPEX'!L$48,P60*'Insumos - OPEX'!L$75)</f>
        <v>0</v>
      </c>
      <c r="Q535" s="211">
        <f>IF($G535="PAX",Q60*'Insumos - OPEX'!M$48,Q60*'Insumos - OPEX'!M$75)</f>
        <v>0</v>
      </c>
      <c r="R535" s="211">
        <f>IF($G535="PAX",R60*'Insumos - OPEX'!N$48,R60*'Insumos - OPEX'!N$75)</f>
        <v>0</v>
      </c>
      <c r="S535" s="111"/>
    </row>
    <row r="536" spans="1:19" x14ac:dyDescent="0.2">
      <c r="A536" s="8"/>
      <c r="B536" s="8" t="s">
        <v>301</v>
      </c>
      <c r="C536" s="8" t="s">
        <v>171</v>
      </c>
      <c r="D536" s="8">
        <v>6382000002</v>
      </c>
      <c r="E536" s="8" t="s">
        <v>351</v>
      </c>
      <c r="F536" s="73" t="s">
        <v>23</v>
      </c>
      <c r="G536" s="73" t="s">
        <v>136</v>
      </c>
      <c r="H536" s="112" t="s">
        <v>61</v>
      </c>
      <c r="I536" s="13" t="s">
        <v>22</v>
      </c>
      <c r="K536" s="187"/>
      <c r="L536" s="187"/>
      <c r="M536" s="188">
        <f>IF($G536="PAX",M61*'Insumos - OPEX'!I$48,M61*'Insumos - OPEX'!I$75)</f>
        <v>0</v>
      </c>
      <c r="N536" s="211">
        <f>IF($G536="PAX",N61*'Insumos - OPEX'!J$48,N61*'Insumos - OPEX'!J$75)</f>
        <v>0</v>
      </c>
      <c r="O536" s="211">
        <f>IF($G536="PAX",O61*'Insumos - OPEX'!K$48,O61*'Insumos - OPEX'!K$75)</f>
        <v>0</v>
      </c>
      <c r="P536" s="211">
        <f>IF($G536="PAX",P61*'Insumos - OPEX'!L$48,P61*'Insumos - OPEX'!L$75)</f>
        <v>0</v>
      </c>
      <c r="Q536" s="211">
        <f>IF($G536="PAX",Q61*'Insumos - OPEX'!M$48,Q61*'Insumos - OPEX'!M$75)</f>
        <v>0</v>
      </c>
      <c r="R536" s="211">
        <f>IF($G536="PAX",R61*'Insumos - OPEX'!N$48,R61*'Insumos - OPEX'!N$75)</f>
        <v>0</v>
      </c>
      <c r="S536" s="111"/>
    </row>
    <row r="537" spans="1:19" x14ac:dyDescent="0.2">
      <c r="A537" s="8"/>
      <c r="B537" s="8" t="s">
        <v>301</v>
      </c>
      <c r="C537" s="8" t="s">
        <v>171</v>
      </c>
      <c r="D537" s="8">
        <v>6311300001</v>
      </c>
      <c r="E537" s="8" t="s">
        <v>352</v>
      </c>
      <c r="F537" s="73" t="s">
        <v>23</v>
      </c>
      <c r="G537" s="73" t="s">
        <v>136</v>
      </c>
      <c r="H537" s="112" t="s">
        <v>61</v>
      </c>
      <c r="I537" s="13" t="s">
        <v>22</v>
      </c>
      <c r="K537" s="187"/>
      <c r="L537" s="187"/>
      <c r="M537" s="188">
        <f>IF($G537="PAX",M62*'Insumos - OPEX'!I$48,M62*'Insumos - OPEX'!I$75)</f>
        <v>0</v>
      </c>
      <c r="N537" s="211">
        <f>IF($G537="PAX",N62*'Insumos - OPEX'!J$48,N62*'Insumos - OPEX'!J$75)</f>
        <v>0</v>
      </c>
      <c r="O537" s="211">
        <f>IF($G537="PAX",O62*'Insumos - OPEX'!K$48,O62*'Insumos - OPEX'!K$75)</f>
        <v>0</v>
      </c>
      <c r="P537" s="211">
        <f>IF($G537="PAX",P62*'Insumos - OPEX'!L$48,P62*'Insumos - OPEX'!L$75)</f>
        <v>0</v>
      </c>
      <c r="Q537" s="211">
        <f>IF($G537="PAX",Q62*'Insumos - OPEX'!M$48,Q62*'Insumos - OPEX'!M$75)</f>
        <v>0</v>
      </c>
      <c r="R537" s="211">
        <f>IF($G537="PAX",R62*'Insumos - OPEX'!N$48,R62*'Insumos - OPEX'!N$75)</f>
        <v>0</v>
      </c>
      <c r="S537" s="111"/>
    </row>
    <row r="538" spans="1:19" x14ac:dyDescent="0.2">
      <c r="A538" s="8"/>
      <c r="B538" s="8" t="s">
        <v>301</v>
      </c>
      <c r="C538" s="8" t="s">
        <v>171</v>
      </c>
      <c r="D538" s="8">
        <v>6360000004</v>
      </c>
      <c r="E538" s="8" t="s">
        <v>353</v>
      </c>
      <c r="F538" s="73" t="s">
        <v>23</v>
      </c>
      <c r="G538" s="73" t="s">
        <v>136</v>
      </c>
      <c r="H538" s="112" t="s">
        <v>61</v>
      </c>
      <c r="I538" s="13" t="s">
        <v>22</v>
      </c>
      <c r="K538" s="187"/>
      <c r="L538" s="187"/>
      <c r="M538" s="188">
        <f>IF($G538="PAX",M63*'Insumos - OPEX'!I$48,M63*'Insumos - OPEX'!I$75)</f>
        <v>0</v>
      </c>
      <c r="N538" s="211">
        <f>IF($G538="PAX",N63*'Insumos - OPEX'!J$48,N63*'Insumos - OPEX'!J$75)</f>
        <v>0</v>
      </c>
      <c r="O538" s="211">
        <f>IF($G538="PAX",O63*'Insumos - OPEX'!K$48,O63*'Insumos - OPEX'!K$75)</f>
        <v>0</v>
      </c>
      <c r="P538" s="211">
        <f>IF($G538="PAX",P63*'Insumos - OPEX'!L$48,P63*'Insumos - OPEX'!L$75)</f>
        <v>0</v>
      </c>
      <c r="Q538" s="211">
        <f>IF($G538="PAX",Q63*'Insumos - OPEX'!M$48,Q63*'Insumos - OPEX'!M$75)</f>
        <v>0</v>
      </c>
      <c r="R538" s="211">
        <f>IF($G538="PAX",R63*'Insumos - OPEX'!N$48,R63*'Insumos - OPEX'!N$75)</f>
        <v>0</v>
      </c>
      <c r="S538" s="111"/>
    </row>
    <row r="539" spans="1:19" x14ac:dyDescent="0.2">
      <c r="A539" s="8"/>
      <c r="B539" s="8" t="s">
        <v>301</v>
      </c>
      <c r="C539" s="8" t="s">
        <v>171</v>
      </c>
      <c r="D539" s="8">
        <v>6360000005</v>
      </c>
      <c r="E539" s="8" t="s">
        <v>354</v>
      </c>
      <c r="F539" s="73" t="s">
        <v>23</v>
      </c>
      <c r="G539" s="73" t="s">
        <v>136</v>
      </c>
      <c r="H539" s="112" t="s">
        <v>61</v>
      </c>
      <c r="I539" s="13" t="s">
        <v>22</v>
      </c>
      <c r="K539" s="187"/>
      <c r="L539" s="187"/>
      <c r="M539" s="188">
        <f>IF($G539="PAX",M64*'Insumos - OPEX'!I$48,M64*'Insumos - OPEX'!I$75)</f>
        <v>0</v>
      </c>
      <c r="N539" s="211">
        <f>IF($G539="PAX",N64*'Insumos - OPEX'!J$48,N64*'Insumos - OPEX'!J$75)</f>
        <v>0</v>
      </c>
      <c r="O539" s="211">
        <f>IF($G539="PAX",O64*'Insumos - OPEX'!K$48,O64*'Insumos - OPEX'!K$75)</f>
        <v>0</v>
      </c>
      <c r="P539" s="211">
        <f>IF($G539="PAX",P64*'Insumos - OPEX'!L$48,P64*'Insumos - OPEX'!L$75)</f>
        <v>0</v>
      </c>
      <c r="Q539" s="211">
        <f>IF($G539="PAX",Q64*'Insumos - OPEX'!M$48,Q64*'Insumos - OPEX'!M$75)</f>
        <v>0</v>
      </c>
      <c r="R539" s="211">
        <f>IF($G539="PAX",R64*'Insumos - OPEX'!N$48,R64*'Insumos - OPEX'!N$75)</f>
        <v>0</v>
      </c>
      <c r="S539" s="111"/>
    </row>
    <row r="540" spans="1:19" x14ac:dyDescent="0.2">
      <c r="A540" s="8"/>
      <c r="B540" s="8" t="s">
        <v>301</v>
      </c>
      <c r="C540" s="8" t="s">
        <v>171</v>
      </c>
      <c r="D540" s="8">
        <v>6380000019</v>
      </c>
      <c r="E540" s="8" t="s">
        <v>355</v>
      </c>
      <c r="F540" s="73" t="s">
        <v>23</v>
      </c>
      <c r="G540" s="73" t="s">
        <v>136</v>
      </c>
      <c r="H540" s="112" t="s">
        <v>61</v>
      </c>
      <c r="I540" s="13" t="s">
        <v>22</v>
      </c>
      <c r="K540" s="187"/>
      <c r="L540" s="187"/>
      <c r="M540" s="188">
        <f>IF($G540="PAX",M65*'Insumos - OPEX'!I$48,M65*'Insumos - OPEX'!I$75)</f>
        <v>0</v>
      </c>
      <c r="N540" s="211">
        <f>IF($G540="PAX",N65*'Insumos - OPEX'!J$48,N65*'Insumos - OPEX'!J$75)</f>
        <v>0</v>
      </c>
      <c r="O540" s="211">
        <f>IF($G540="PAX",O65*'Insumos - OPEX'!K$48,O65*'Insumos - OPEX'!K$75)</f>
        <v>0</v>
      </c>
      <c r="P540" s="211">
        <f>IF($G540="PAX",P65*'Insumos - OPEX'!L$48,P65*'Insumos - OPEX'!L$75)</f>
        <v>0</v>
      </c>
      <c r="Q540" s="211">
        <f>IF($G540="PAX",Q65*'Insumos - OPEX'!M$48,Q65*'Insumos - OPEX'!M$75)</f>
        <v>0</v>
      </c>
      <c r="R540" s="211">
        <f>IF($G540="PAX",R65*'Insumos - OPEX'!N$48,R65*'Insumos - OPEX'!N$75)</f>
        <v>0</v>
      </c>
      <c r="S540" s="111"/>
    </row>
    <row r="541" spans="1:19" x14ac:dyDescent="0.2">
      <c r="A541" s="8"/>
      <c r="B541" s="8" t="s">
        <v>301</v>
      </c>
      <c r="C541" s="8" t="s">
        <v>174</v>
      </c>
      <c r="D541" s="8">
        <v>6510000001</v>
      </c>
      <c r="E541" s="8" t="s">
        <v>182</v>
      </c>
      <c r="F541" s="73" t="s">
        <v>23</v>
      </c>
      <c r="G541" s="73" t="s">
        <v>480</v>
      </c>
      <c r="H541" s="112" t="s">
        <v>61</v>
      </c>
      <c r="I541" s="13" t="s">
        <v>22</v>
      </c>
      <c r="K541" s="187"/>
      <c r="L541" s="187"/>
      <c r="M541" s="188">
        <f>IF($G541="PAX",M66*'Insumos - OPEX'!I$48,M66*'Insumos - OPEX'!I$75)</f>
        <v>70338.480001442236</v>
      </c>
      <c r="N541" s="211">
        <f>IF($G541="PAX",N66*'Insumos - OPEX'!J$48,N66*'Insumos - OPEX'!J$75)</f>
        <v>75473.954833507174</v>
      </c>
      <c r="O541" s="211">
        <f>IF($G541="PAX",O66*'Insumos - OPEX'!K$48,O66*'Insumos - OPEX'!K$75)</f>
        <v>80807.839434057489</v>
      </c>
      <c r="P541" s="211">
        <f>IF($G541="PAX",P66*'Insumos - OPEX'!L$48,P66*'Insumos - OPEX'!L$75)</f>
        <v>82840.840336118388</v>
      </c>
      <c r="Q541" s="211">
        <f>IF($G541="PAX",Q66*'Insumos - OPEX'!M$48,Q66*'Insumos - OPEX'!M$75)</f>
        <v>84797.333323044659</v>
      </c>
      <c r="R541" s="211">
        <f>IF($G541="PAX",R66*'Insumos - OPEX'!N$48,R66*'Insumos - OPEX'!N$75)</f>
        <v>86839.525340119711</v>
      </c>
      <c r="S541" s="111"/>
    </row>
    <row r="542" spans="1:19" x14ac:dyDescent="0.2">
      <c r="A542" s="8"/>
      <c r="B542" s="8" t="s">
        <v>301</v>
      </c>
      <c r="C542" s="8" t="s">
        <v>174</v>
      </c>
      <c r="D542" s="8">
        <v>6380000005</v>
      </c>
      <c r="E542" s="8" t="s">
        <v>274</v>
      </c>
      <c r="F542" s="73" t="s">
        <v>23</v>
      </c>
      <c r="G542" s="73" t="s">
        <v>136</v>
      </c>
      <c r="H542" s="112" t="s">
        <v>61</v>
      </c>
      <c r="I542" s="13" t="s">
        <v>22</v>
      </c>
      <c r="K542" s="187"/>
      <c r="L542" s="187"/>
      <c r="M542" s="188">
        <f>IF($G542="PAX",M67*'Insumos - OPEX'!I$48,M67*'Insumos - OPEX'!I$75)</f>
        <v>22855.071369666897</v>
      </c>
      <c r="N542" s="211">
        <f>IF($G542="PAX",N67*'Insumos - OPEX'!J$48,N67*'Insumos - OPEX'!J$75)</f>
        <v>27534.535227108187</v>
      </c>
      <c r="O542" s="211">
        <f>IF($G542="PAX",O67*'Insumos - OPEX'!K$48,O67*'Insumos - OPEX'!K$75)</f>
        <v>31872.722127780831</v>
      </c>
      <c r="P542" s="211">
        <f>IF($G542="PAX",P67*'Insumos - OPEX'!L$48,P67*'Insumos - OPEX'!L$75)</f>
        <v>34710.320048985217</v>
      </c>
      <c r="Q542" s="211">
        <f>IF($G542="PAX",Q67*'Insumos - OPEX'!M$48,Q67*'Insumos - OPEX'!M$75)</f>
        <v>37232.442124570145</v>
      </c>
      <c r="R542" s="211">
        <f>IF($G542="PAX",R67*'Insumos - OPEX'!N$48,R67*'Insumos - OPEX'!N$75)</f>
        <v>40027.744058232543</v>
      </c>
      <c r="S542" s="111"/>
    </row>
    <row r="543" spans="1:19" x14ac:dyDescent="0.2">
      <c r="A543" s="8"/>
      <c r="B543" s="8" t="s">
        <v>301</v>
      </c>
      <c r="C543" s="8" t="s">
        <v>174</v>
      </c>
      <c r="D543" s="8">
        <v>6430000001</v>
      </c>
      <c r="E543" s="8" t="s">
        <v>275</v>
      </c>
      <c r="F543" s="73" t="s">
        <v>23</v>
      </c>
      <c r="G543" s="73" t="s">
        <v>480</v>
      </c>
      <c r="H543" s="112" t="s">
        <v>61</v>
      </c>
      <c r="I543" s="13" t="s">
        <v>22</v>
      </c>
      <c r="K543" s="187"/>
      <c r="L543" s="187"/>
      <c r="M543" s="188">
        <f>IF($G543="PAX",M68*'Insumos - OPEX'!I$48,M68*'Insumos - OPEX'!I$75)</f>
        <v>16278.192404318163</v>
      </c>
      <c r="N543" s="211">
        <f>IF($G543="PAX",N68*'Insumos - OPEX'!J$48,N68*'Insumos - OPEX'!J$75)</f>
        <v>17466.677674431656</v>
      </c>
      <c r="O543" s="211">
        <f>IF($G543="PAX",O68*'Insumos - OPEX'!K$48,O68*'Insumos - OPEX'!K$75)</f>
        <v>18701.080234572382</v>
      </c>
      <c r="P543" s="211">
        <f>IF($G543="PAX",P68*'Insumos - OPEX'!L$48,P68*'Insumos - OPEX'!L$75)</f>
        <v>19171.57063813557</v>
      </c>
      <c r="Q543" s="211">
        <f>IF($G543="PAX",Q68*'Insumos - OPEX'!M$48,Q68*'Insumos - OPEX'!M$75)</f>
        <v>19624.355078149514</v>
      </c>
      <c r="R543" s="211">
        <f>IF($G543="PAX",R68*'Insumos - OPEX'!N$48,R68*'Insumos - OPEX'!N$75)</f>
        <v>20096.972549835406</v>
      </c>
      <c r="S543" s="111"/>
    </row>
    <row r="544" spans="1:19" x14ac:dyDescent="0.2">
      <c r="A544" s="8"/>
      <c r="B544" s="8" t="s">
        <v>301</v>
      </c>
      <c r="C544" s="8" t="s">
        <v>174</v>
      </c>
      <c r="D544" s="8">
        <v>6561000002</v>
      </c>
      <c r="E544" s="8" t="s">
        <v>356</v>
      </c>
      <c r="F544" s="73" t="s">
        <v>23</v>
      </c>
      <c r="G544" s="73" t="s">
        <v>136</v>
      </c>
      <c r="H544" s="112" t="s">
        <v>61</v>
      </c>
      <c r="I544" s="13" t="s">
        <v>22</v>
      </c>
      <c r="K544" s="187"/>
      <c r="L544" s="187"/>
      <c r="M544" s="188">
        <f>IF($G544="PAX",M69*'Insumos - OPEX'!I$48,M69*'Insumos - OPEX'!I$75)</f>
        <v>14128.997034297881</v>
      </c>
      <c r="N544" s="211">
        <f>IF($G544="PAX",N69*'Insumos - OPEX'!J$48,N69*'Insumos - OPEX'!J$75)</f>
        <v>17021.839935311134</v>
      </c>
      <c r="O544" s="211">
        <f>IF($G544="PAX",O69*'Insumos - OPEX'!K$48,O69*'Insumos - OPEX'!K$75)</f>
        <v>19703.705542398366</v>
      </c>
      <c r="P544" s="211">
        <f>IF($G544="PAX",P69*'Insumos - OPEX'!L$48,P69*'Insumos - OPEX'!L$75)</f>
        <v>21457.907573306791</v>
      </c>
      <c r="Q544" s="211">
        <f>IF($G544="PAX",Q69*'Insumos - OPEX'!M$48,Q69*'Insumos - OPEX'!M$75)</f>
        <v>23017.082548072834</v>
      </c>
      <c r="R544" s="211">
        <f>IF($G544="PAX",R69*'Insumos - OPEX'!N$48,R69*'Insumos - OPEX'!N$75)</f>
        <v>24745.137214447692</v>
      </c>
      <c r="S544" s="111"/>
    </row>
    <row r="545" spans="1:19" x14ac:dyDescent="0.2">
      <c r="A545" s="8"/>
      <c r="B545" s="8" t="s">
        <v>301</v>
      </c>
      <c r="C545" s="8" t="s">
        <v>174</v>
      </c>
      <c r="D545" s="8">
        <v>6410000002</v>
      </c>
      <c r="E545" s="8" t="s">
        <v>357</v>
      </c>
      <c r="F545" s="73" t="s">
        <v>23</v>
      </c>
      <c r="G545" s="73" t="s">
        <v>136</v>
      </c>
      <c r="H545" s="112" t="s">
        <v>61</v>
      </c>
      <c r="I545" s="13" t="s">
        <v>22</v>
      </c>
      <c r="K545" s="187"/>
      <c r="L545" s="187"/>
      <c r="M545" s="188">
        <f>IF($G545="PAX",M70*'Insumos - OPEX'!I$48,M70*'Insumos - OPEX'!I$75)</f>
        <v>2742.327614225143</v>
      </c>
      <c r="N545" s="211">
        <f>IF($G545="PAX",N70*'Insumos - OPEX'!J$48,N70*'Insumos - OPEX'!J$75)</f>
        <v>3303.805753954829</v>
      </c>
      <c r="O545" s="211">
        <f>IF($G545="PAX",O70*'Insumos - OPEX'!K$48,O70*'Insumos - OPEX'!K$75)</f>
        <v>3824.3348540815359</v>
      </c>
      <c r="P545" s="211">
        <f>IF($G545="PAX",P70*'Insumos - OPEX'!L$48,P70*'Insumos - OPEX'!L$75)</f>
        <v>4164.811722935875</v>
      </c>
      <c r="Q545" s="211">
        <f>IF($G545="PAX",Q70*'Insumos - OPEX'!M$48,Q70*'Insumos - OPEX'!M$75)</f>
        <v>4467.4353683602731</v>
      </c>
      <c r="R545" s="211">
        <f>IF($G545="PAX",R70*'Insumos - OPEX'!N$48,R70*'Insumos - OPEX'!N$75)</f>
        <v>4802.8372386407182</v>
      </c>
      <c r="S545" s="111"/>
    </row>
    <row r="546" spans="1:19" x14ac:dyDescent="0.2">
      <c r="A546" s="8"/>
      <c r="B546" s="8" t="s">
        <v>301</v>
      </c>
      <c r="C546" s="8" t="s">
        <v>174</v>
      </c>
      <c r="D546" s="8">
        <v>6561000003</v>
      </c>
      <c r="E546" s="8" t="s">
        <v>269</v>
      </c>
      <c r="F546" s="73" t="s">
        <v>23</v>
      </c>
      <c r="G546" s="73" t="s">
        <v>136</v>
      </c>
      <c r="H546" s="112" t="s">
        <v>61</v>
      </c>
      <c r="I546" s="13" t="s">
        <v>22</v>
      </c>
      <c r="K546" s="187"/>
      <c r="L546" s="187"/>
      <c r="M546" s="188">
        <f>IF($G546="PAX",M71*'Insumos - OPEX'!I$48,M71*'Insumos - OPEX'!I$75)</f>
        <v>1599.050758798541</v>
      </c>
      <c r="N546" s="211">
        <f>IF($G546="PAX",N71*'Insumos - OPEX'!J$48,N71*'Insumos - OPEX'!J$75)</f>
        <v>1926.4485652189944</v>
      </c>
      <c r="O546" s="211">
        <f>IF($G546="PAX",O71*'Insumos - OPEX'!K$48,O71*'Insumos - OPEX'!K$75)</f>
        <v>2229.9689937107291</v>
      </c>
      <c r="P546" s="211">
        <f>IF($G546="PAX",P71*'Insumos - OPEX'!L$48,P71*'Insumos - OPEX'!L$75)</f>
        <v>2428.5009972068606</v>
      </c>
      <c r="Q546" s="211">
        <f>IF($G546="PAX",Q71*'Insumos - OPEX'!M$48,Q71*'Insumos - OPEX'!M$75)</f>
        <v>2604.9607926507369</v>
      </c>
      <c r="R546" s="211">
        <f>IF($G546="PAX",R71*'Insumos - OPEX'!N$48,R71*'Insumos - OPEX'!N$75)</f>
        <v>2800.5335653538773</v>
      </c>
      <c r="S546" s="111"/>
    </row>
    <row r="547" spans="1:19" x14ac:dyDescent="0.2">
      <c r="A547" s="8"/>
      <c r="B547" s="8" t="s">
        <v>301</v>
      </c>
      <c r="C547" s="8" t="s">
        <v>174</v>
      </c>
      <c r="D547" s="8">
        <v>6561000001</v>
      </c>
      <c r="E547" s="8" t="s">
        <v>358</v>
      </c>
      <c r="F547" s="73" t="s">
        <v>23</v>
      </c>
      <c r="G547" s="73" t="s">
        <v>136</v>
      </c>
      <c r="H547" s="112" t="s">
        <v>61</v>
      </c>
      <c r="I547" s="13" t="s">
        <v>22</v>
      </c>
      <c r="K547" s="187"/>
      <c r="L547" s="187"/>
      <c r="M547" s="188">
        <f>IF($G547="PAX",M72*'Insumos - OPEX'!I$48,M72*'Insumos - OPEX'!I$75)</f>
        <v>1043.4529467696009</v>
      </c>
      <c r="N547" s="211">
        <f>IF($G547="PAX",N72*'Insumos - OPEX'!J$48,N72*'Insumos - OPEX'!J$75)</f>
        <v>1257.0948239868114</v>
      </c>
      <c r="O547" s="211">
        <f>IF($G547="PAX",O72*'Insumos - OPEX'!K$48,O72*'Insumos - OPEX'!K$75)</f>
        <v>1455.1556321080211</v>
      </c>
      <c r="P547" s="211">
        <f>IF($G547="PAX",P72*'Insumos - OPEX'!L$48,P72*'Insumos - OPEX'!L$75)</f>
        <v>1584.7067441888917</v>
      </c>
      <c r="Q547" s="211">
        <f>IF($G547="PAX",Q72*'Insumos - OPEX'!M$48,Q72*'Insumos - OPEX'!M$75)</f>
        <v>1699.8547421677799</v>
      </c>
      <c r="R547" s="211">
        <f>IF($G547="PAX",R72*'Insumos - OPEX'!N$48,R72*'Insumos - OPEX'!N$75)</f>
        <v>1827.4748223072766</v>
      </c>
      <c r="S547" s="111"/>
    </row>
    <row r="548" spans="1:19" x14ac:dyDescent="0.2">
      <c r="A548" s="8"/>
      <c r="B548" s="8" t="s">
        <v>301</v>
      </c>
      <c r="C548" s="8" t="s">
        <v>174</v>
      </c>
      <c r="D548" s="8">
        <v>6561000004</v>
      </c>
      <c r="E548" s="8" t="s">
        <v>359</v>
      </c>
      <c r="F548" s="73" t="s">
        <v>23</v>
      </c>
      <c r="G548" s="73" t="s">
        <v>136</v>
      </c>
      <c r="H548" s="112" t="s">
        <v>61</v>
      </c>
      <c r="I548" s="13" t="s">
        <v>22</v>
      </c>
      <c r="K548" s="187"/>
      <c r="L548" s="187"/>
      <c r="M548" s="188">
        <f>IF($G548="PAX",M73*'Insumos - OPEX'!I$48,M73*'Insumos - OPEX'!I$75)</f>
        <v>340.12504715166057</v>
      </c>
      <c r="N548" s="211">
        <f>IF($G548="PAX",N73*'Insumos - OPEX'!J$48,N73*'Insumos - OPEX'!J$75)</f>
        <v>409.76398371035697</v>
      </c>
      <c r="O548" s="211">
        <f>IF($G548="PAX",O73*'Insumos - OPEX'!K$48,O73*'Insumos - OPEX'!K$75)</f>
        <v>474.32409819340802</v>
      </c>
      <c r="P548" s="211">
        <f>IF($G548="PAX",P73*'Insumos - OPEX'!L$48,P73*'Insumos - OPEX'!L$75)</f>
        <v>516.55271831611833</v>
      </c>
      <c r="Q548" s="211">
        <f>IF($G548="PAX",Q73*'Insumos - OPEX'!M$48,Q73*'Insumos - OPEX'!M$75)</f>
        <v>554.08648384262119</v>
      </c>
      <c r="R548" s="211">
        <f>IF($G548="PAX",R73*'Insumos - OPEX'!N$48,R73*'Insumos - OPEX'!N$75)</f>
        <v>595.68566271247528</v>
      </c>
      <c r="S548" s="111"/>
    </row>
    <row r="549" spans="1:19" x14ac:dyDescent="0.2">
      <c r="A549" s="8"/>
      <c r="B549" s="8" t="s">
        <v>301</v>
      </c>
      <c r="C549" s="8" t="s">
        <v>174</v>
      </c>
      <c r="D549" s="8">
        <v>6590000002</v>
      </c>
      <c r="E549" s="8" t="s">
        <v>360</v>
      </c>
      <c r="F549" s="73" t="s">
        <v>23</v>
      </c>
      <c r="G549" s="73" t="s">
        <v>136</v>
      </c>
      <c r="H549" s="112" t="s">
        <v>61</v>
      </c>
      <c r="I549" s="13" t="s">
        <v>22</v>
      </c>
      <c r="J549" s="103"/>
      <c r="K549" s="187"/>
      <c r="L549" s="187"/>
      <c r="M549" s="188">
        <f>IF($G549="PAX",M74*'Insumos - OPEX'!I$48,M74*'Insumos - OPEX'!I$75)</f>
        <v>117.03256620639492</v>
      </c>
      <c r="N549" s="211">
        <f>IF($G549="PAX",N74*'Insumos - OPEX'!J$48,N74*'Insumos - OPEX'!J$75)</f>
        <v>140.99441059745061</v>
      </c>
      <c r="O549" s="211">
        <f>IF($G549="PAX",O74*'Insumos - OPEX'!K$48,O74*'Insumos - OPEX'!K$75)</f>
        <v>163.20869894758519</v>
      </c>
      <c r="P549" s="211">
        <f>IF($G549="PAX",P74*'Insumos - OPEX'!L$48,P74*'Insumos - OPEX'!L$75)</f>
        <v>177.73901308264541</v>
      </c>
      <c r="Q549" s="211">
        <f>IF($G549="PAX",Q74*'Insumos - OPEX'!M$48,Q74*'Insumos - OPEX'!M$75)</f>
        <v>190.65388934871785</v>
      </c>
      <c r="R549" s="211">
        <f>IF($G549="PAX",R74*'Insumos - OPEX'!N$48,R74*'Insumos - OPEX'!N$75)</f>
        <v>204.96762100708358</v>
      </c>
      <c r="S549" s="111"/>
    </row>
    <row r="550" spans="1:19" x14ac:dyDescent="0.2">
      <c r="A550" s="8"/>
      <c r="B550" s="8" t="s">
        <v>301</v>
      </c>
      <c r="C550" s="8" t="s">
        <v>174</v>
      </c>
      <c r="D550" s="8">
        <v>6410000001</v>
      </c>
      <c r="E550" s="8" t="s">
        <v>361</v>
      </c>
      <c r="F550" s="73" t="s">
        <v>23</v>
      </c>
      <c r="G550" s="73" t="s">
        <v>136</v>
      </c>
      <c r="H550" s="112" t="s">
        <v>61</v>
      </c>
      <c r="I550" s="13" t="s">
        <v>22</v>
      </c>
      <c r="K550" s="187"/>
      <c r="L550" s="187"/>
      <c r="M550" s="188">
        <f>IF($G550="PAX",M75*'Insumos - OPEX'!I$48,M75*'Insumos - OPEX'!I$75)</f>
        <v>104.67204595568933</v>
      </c>
      <c r="N550" s="211">
        <f>IF($G550="PAX",N75*'Insumos - OPEX'!J$48,N75*'Insumos - OPEX'!J$75)</f>
        <v>126.10313440042522</v>
      </c>
      <c r="O550" s="211">
        <f>IF($G550="PAX",O75*'Insumos - OPEX'!K$48,O75*'Insumos - OPEX'!K$75)</f>
        <v>145.97123681353943</v>
      </c>
      <c r="P550" s="211">
        <f>IF($G550="PAX",P75*'Insumos - OPEX'!L$48,P75*'Insumos - OPEX'!L$75)</f>
        <v>158.96691620600345</v>
      </c>
      <c r="Q550" s="211">
        <f>IF($G550="PAX",Q75*'Insumos - OPEX'!M$48,Q75*'Insumos - OPEX'!M$75)</f>
        <v>170.51777393606753</v>
      </c>
      <c r="R550" s="211">
        <f>IF($G550="PAX",R75*'Insumos - OPEX'!N$48,R75*'Insumos - OPEX'!N$75)</f>
        <v>183.31974544286678</v>
      </c>
      <c r="S550" s="111"/>
    </row>
    <row r="551" spans="1:19" x14ac:dyDescent="0.2">
      <c r="A551" s="8"/>
      <c r="B551" s="8" t="s">
        <v>301</v>
      </c>
      <c r="C551" s="8" t="s">
        <v>174</v>
      </c>
      <c r="D551" s="8">
        <v>6430000002</v>
      </c>
      <c r="E551" s="8" t="s">
        <v>362</v>
      </c>
      <c r="F551" s="73" t="s">
        <v>23</v>
      </c>
      <c r="G551" s="73" t="s">
        <v>480</v>
      </c>
      <c r="H551" s="112" t="s">
        <v>61</v>
      </c>
      <c r="I551" s="13" t="s">
        <v>22</v>
      </c>
      <c r="K551" s="187"/>
      <c r="L551" s="187"/>
      <c r="M551" s="188">
        <f>IF($G551="PAX",M76*'Insumos - OPEX'!I$48,M76*'Insumos - OPEX'!I$75)</f>
        <v>74.030026807821883</v>
      </c>
      <c r="N551" s="211">
        <f>IF($G551="PAX",N76*'Insumos - OPEX'!J$48,N76*'Insumos - OPEX'!J$75)</f>
        <v>79.435024747511022</v>
      </c>
      <c r="O551" s="211">
        <f>IF($G551="PAX",O76*'Insumos - OPEX'!K$48,O76*'Insumos - OPEX'!K$75)</f>
        <v>85.048845517599759</v>
      </c>
      <c r="P551" s="211">
        <f>IF($G551="PAX",P76*'Insumos - OPEX'!L$48,P76*'Insumos - OPEX'!L$75)</f>
        <v>87.188543607134946</v>
      </c>
      <c r="Q551" s="211">
        <f>IF($G551="PAX",Q76*'Insumos - OPEX'!M$48,Q76*'Insumos - OPEX'!M$75)</f>
        <v>89.247718446689319</v>
      </c>
      <c r="R551" s="211">
        <f>IF($G551="PAX",R76*'Insumos - OPEX'!N$48,R76*'Insumos - OPEX'!N$75)</f>
        <v>91.397090024916281</v>
      </c>
      <c r="S551" s="111"/>
    </row>
    <row r="552" spans="1:19" x14ac:dyDescent="0.2">
      <c r="A552" s="8"/>
      <c r="B552" s="8" t="s">
        <v>301</v>
      </c>
      <c r="C552" s="8" t="s">
        <v>174</v>
      </c>
      <c r="D552" s="8">
        <v>6391000001</v>
      </c>
      <c r="E552" s="8" t="s">
        <v>363</v>
      </c>
      <c r="F552" s="73" t="s">
        <v>23</v>
      </c>
      <c r="G552" s="73" t="s">
        <v>136</v>
      </c>
      <c r="H552" s="112" t="s">
        <v>61</v>
      </c>
      <c r="I552" s="13" t="s">
        <v>22</v>
      </c>
      <c r="K552" s="187"/>
      <c r="L552" s="187"/>
      <c r="M552" s="188">
        <f>IF($G552="PAX",M77*'Insumos - OPEX'!I$48,M77*'Insumos - OPEX'!I$75)</f>
        <v>45.587970212912957</v>
      </c>
      <c r="N552" s="211">
        <f>IF($G552="PAX",N77*'Insumos - OPEX'!J$48,N77*'Insumos - OPEX'!J$75)</f>
        <v>54.921883701739908</v>
      </c>
      <c r="O552" s="211">
        <f>IF($G552="PAX",O77*'Insumos - OPEX'!K$48,O77*'Insumos - OPEX'!K$75)</f>
        <v>63.575067584087854</v>
      </c>
      <c r="P552" s="211">
        <f>IF($G552="PAX",P77*'Insumos - OPEX'!L$48,P77*'Insumos - OPEX'!L$75)</f>
        <v>69.235094954633524</v>
      </c>
      <c r="Q552" s="211">
        <f>IF($G552="PAX",Q77*'Insumos - OPEX'!M$48,Q77*'Insumos - OPEX'!M$75)</f>
        <v>74.265857020320809</v>
      </c>
      <c r="R552" s="211">
        <f>IF($G552="PAX",R77*'Insumos - OPEX'!N$48,R77*'Insumos - OPEX'!N$75)</f>
        <v>79.841518510357844</v>
      </c>
      <c r="S552" s="111"/>
    </row>
    <row r="553" spans="1:19" x14ac:dyDescent="0.2">
      <c r="A553" s="8"/>
      <c r="B553" s="8" t="s">
        <v>301</v>
      </c>
      <c r="C553" s="8" t="s">
        <v>174</v>
      </c>
      <c r="D553" s="8">
        <v>6530000002</v>
      </c>
      <c r="E553" s="8" t="s">
        <v>271</v>
      </c>
      <c r="F553" s="73" t="s">
        <v>23</v>
      </c>
      <c r="G553" s="73" t="s">
        <v>136</v>
      </c>
      <c r="H553" s="112" t="s">
        <v>61</v>
      </c>
      <c r="I553" s="13" t="s">
        <v>22</v>
      </c>
      <c r="K553" s="187"/>
      <c r="L553" s="187"/>
      <c r="M553" s="188">
        <f>IF($G553="PAX",M78*'Insumos - OPEX'!I$48,M78*'Insumos - OPEX'!I$75)</f>
        <v>98.798024785594578</v>
      </c>
      <c r="N553" s="211">
        <f>IF($G553="PAX",N78*'Insumos - OPEX'!J$48,N78*'Insumos - OPEX'!J$75)</f>
        <v>119.0264361824791</v>
      </c>
      <c r="O553" s="211">
        <f>IF($G553="PAX",O78*'Insumos - OPEX'!K$48,O78*'Insumos - OPEX'!K$75)</f>
        <v>137.77957372489948</v>
      </c>
      <c r="P553" s="211">
        <f>IF($G553="PAX",P78*'Insumos - OPEX'!L$48,P78*'Insumos - OPEX'!L$75)</f>
        <v>150.04595719910643</v>
      </c>
      <c r="Q553" s="211">
        <f>IF($G553="PAX",Q78*'Insumos - OPEX'!M$48,Q78*'Insumos - OPEX'!M$75)</f>
        <v>160.94860000015436</v>
      </c>
      <c r="R553" s="211">
        <f>IF($G553="PAX",R78*'Insumos - OPEX'!N$48,R78*'Insumos - OPEX'!N$75)</f>
        <v>173.03214615314207</v>
      </c>
      <c r="S553" s="111"/>
    </row>
    <row r="554" spans="1:19" x14ac:dyDescent="0.2">
      <c r="A554" s="8"/>
      <c r="B554" s="8" t="s">
        <v>301</v>
      </c>
      <c r="C554" s="8" t="s">
        <v>174</v>
      </c>
      <c r="D554" s="8">
        <v>6530000001</v>
      </c>
      <c r="E554" s="8" t="s">
        <v>364</v>
      </c>
      <c r="F554" s="73" t="s">
        <v>23</v>
      </c>
      <c r="G554" s="73" t="s">
        <v>136</v>
      </c>
      <c r="H554" s="112" t="s">
        <v>61</v>
      </c>
      <c r="I554" s="13" t="s">
        <v>22</v>
      </c>
      <c r="K554" s="187"/>
      <c r="L554" s="187"/>
      <c r="M554" s="188">
        <f>IF($G554="PAX",M79*'Insumos - OPEX'!I$48,M79*'Insumos - OPEX'!I$75)</f>
        <v>6.8832674394462119</v>
      </c>
      <c r="N554" s="211">
        <f>IF($G554="PAX",N79*'Insumos - OPEX'!J$48,N79*'Insumos - OPEX'!J$75)</f>
        <v>8.292582714949571</v>
      </c>
      <c r="O554" s="211">
        <f>IF($G554="PAX",O79*'Insumos - OPEX'!K$48,O79*'Insumos - OPEX'!K$75)</f>
        <v>9.5991155258364902</v>
      </c>
      <c r="P554" s="211">
        <f>IF($G554="PAX",P79*'Insumos - OPEX'!L$48,P79*'Insumos - OPEX'!L$75)</f>
        <v>10.453715586424753</v>
      </c>
      <c r="Q554" s="211">
        <f>IF($G554="PAX",Q79*'Insumos - OPEX'!M$48,Q79*'Insumos - OPEX'!M$75)</f>
        <v>11.21330370935763</v>
      </c>
      <c r="R554" s="211">
        <f>IF($G554="PAX",R79*'Insumos - OPEX'!N$48,R79*'Insumos - OPEX'!N$75)</f>
        <v>12.055165477023593</v>
      </c>
      <c r="S554" s="111"/>
    </row>
    <row r="555" spans="1:19" x14ac:dyDescent="0.2">
      <c r="A555" s="8"/>
      <c r="B555" s="8" t="s">
        <v>301</v>
      </c>
      <c r="C555" s="8" t="s">
        <v>174</v>
      </c>
      <c r="D555" s="8">
        <v>6561000005</v>
      </c>
      <c r="E555" s="8" t="s">
        <v>365</v>
      </c>
      <c r="F555" s="73" t="s">
        <v>23</v>
      </c>
      <c r="G555" s="73" t="s">
        <v>136</v>
      </c>
      <c r="H555" s="112" t="s">
        <v>61</v>
      </c>
      <c r="I555" s="13" t="s">
        <v>22</v>
      </c>
      <c r="K555" s="187"/>
      <c r="L555" s="187"/>
      <c r="M555" s="188">
        <f>IF($G555="PAX",M80*'Insumos - OPEX'!I$48,M80*'Insumos - OPEX'!I$75)</f>
        <v>2.3639437412521138</v>
      </c>
      <c r="N555" s="211">
        <f>IF($G555="PAX",N80*'Insumos - OPEX'!J$48,N80*'Insumos - OPEX'!J$75)</f>
        <v>2.8479496373306188</v>
      </c>
      <c r="O555" s="211">
        <f>IF($G555="PAX",O80*'Insumos - OPEX'!K$48,O80*'Insumos - OPEX'!K$75)</f>
        <v>3.2966566050908539</v>
      </c>
      <c r="P555" s="211">
        <f>IF($G555="PAX",P80*'Insumos - OPEX'!L$48,P80*'Insumos - OPEX'!L$75)</f>
        <v>3.5901547848831874</v>
      </c>
      <c r="Q555" s="211">
        <f>IF($G555="PAX",Q80*'Insumos - OPEX'!M$48,Q80*'Insumos - OPEX'!M$75)</f>
        <v>3.8510226946270927</v>
      </c>
      <c r="R555" s="211">
        <f>IF($G555="PAX",R80*'Insumos - OPEX'!N$48,R80*'Insumos - OPEX'!N$75)</f>
        <v>4.1401461195384313</v>
      </c>
      <c r="S555" s="111"/>
    </row>
    <row r="556" spans="1:19" x14ac:dyDescent="0.2">
      <c r="A556" s="8"/>
      <c r="B556" s="8" t="s">
        <v>301</v>
      </c>
      <c r="C556" s="8" t="s">
        <v>174</v>
      </c>
      <c r="D556" s="8">
        <v>6540000001</v>
      </c>
      <c r="E556" s="8" t="s">
        <v>276</v>
      </c>
      <c r="F556" s="73" t="s">
        <v>23</v>
      </c>
      <c r="G556" s="73" t="s">
        <v>136</v>
      </c>
      <c r="H556" s="112" t="s">
        <v>61</v>
      </c>
      <c r="I556" s="13" t="s">
        <v>22</v>
      </c>
      <c r="K556" s="187"/>
      <c r="L556" s="187"/>
      <c r="M556" s="188">
        <f>IF($G556="PAX",M81*'Insumos - OPEX'!I$48,M81*'Insumos - OPEX'!I$75)</f>
        <v>1.2468891773479722</v>
      </c>
      <c r="N556" s="211">
        <f>IF($G556="PAX",N81*'Insumos - OPEX'!J$48,N81*'Insumos - OPEX'!J$75)</f>
        <v>1.5021836257992869</v>
      </c>
      <c r="O556" s="211">
        <f>IF($G556="PAX",O81*'Insumos - OPEX'!K$48,O81*'Insumos - OPEX'!K$75)</f>
        <v>1.7388592505772766</v>
      </c>
      <c r="P556" s="211">
        <f>IF($G556="PAX",P81*'Insumos - OPEX'!L$48,P81*'Insumos - OPEX'!L$75)</f>
        <v>1.8936682240601026</v>
      </c>
      <c r="Q556" s="211">
        <f>IF($G556="PAX",Q81*'Insumos - OPEX'!M$48,Q81*'Insumos - OPEX'!M$75)</f>
        <v>2.0312659882119579</v>
      </c>
      <c r="R556" s="211">
        <f>IF($G556="PAX",R81*'Insumos - OPEX'!N$48,R81*'Insumos - OPEX'!N$75)</f>
        <v>2.1837674471717121</v>
      </c>
      <c r="S556" s="111"/>
    </row>
    <row r="557" spans="1:19" x14ac:dyDescent="0.2">
      <c r="A557" s="8"/>
      <c r="B557" s="8" t="s">
        <v>301</v>
      </c>
      <c r="C557" s="8" t="s">
        <v>174</v>
      </c>
      <c r="D557" s="8">
        <v>6562000003</v>
      </c>
      <c r="E557" s="8" t="s">
        <v>366</v>
      </c>
      <c r="F557" s="73" t="s">
        <v>23</v>
      </c>
      <c r="G557" s="73" t="s">
        <v>136</v>
      </c>
      <c r="H557" s="112" t="s">
        <v>61</v>
      </c>
      <c r="I557" s="13" t="s">
        <v>22</v>
      </c>
      <c r="K557" s="187"/>
      <c r="L557" s="187"/>
      <c r="M557" s="188">
        <f>IF($G557="PAX",M82*'Insumos - OPEX'!I$48,M82*'Insumos - OPEX'!I$75)</f>
        <v>0.97519328198626187</v>
      </c>
      <c r="N557" s="211">
        <f>IF($G557="PAX",N82*'Insumos - OPEX'!J$48,N82*'Insumos - OPEX'!J$75)</f>
        <v>1.1748593273581769</v>
      </c>
      <c r="O557" s="211">
        <f>IF($G557="PAX",O82*'Insumos - OPEX'!K$48,O82*'Insumos - OPEX'!K$75)</f>
        <v>1.3599635719746057</v>
      </c>
      <c r="P557" s="211">
        <f>IF($G557="PAX",P82*'Insumos - OPEX'!L$48,P82*'Insumos - OPEX'!L$75)</f>
        <v>1.481039826123141</v>
      </c>
      <c r="Q557" s="211">
        <f>IF($G557="PAX",Q82*'Insumos - OPEX'!M$48,Q82*'Insumos - OPEX'!M$75)</f>
        <v>1.5886551761116767</v>
      </c>
      <c r="R557" s="211">
        <f>IF($G557="PAX",R82*'Insumos - OPEX'!N$48,R82*'Insumos - OPEX'!N$75)</f>
        <v>1.7079267208266349</v>
      </c>
      <c r="S557" s="111"/>
    </row>
    <row r="558" spans="1:19" x14ac:dyDescent="0.2">
      <c r="A558" s="8"/>
      <c r="B558" s="8" t="s">
        <v>301</v>
      </c>
      <c r="C558" s="8" t="s">
        <v>174</v>
      </c>
      <c r="D558" s="8">
        <v>6562000005</v>
      </c>
      <c r="E558" s="8" t="s">
        <v>367</v>
      </c>
      <c r="F558" s="73" t="s">
        <v>23</v>
      </c>
      <c r="G558" s="73" t="s">
        <v>136</v>
      </c>
      <c r="H558" s="112" t="s">
        <v>61</v>
      </c>
      <c r="I558" s="13" t="s">
        <v>22</v>
      </c>
      <c r="K558" s="187"/>
      <c r="L558" s="187"/>
      <c r="M558" s="188">
        <f>IF($G558="PAX",M83*'Insumos - OPEX'!I$48,M83*'Insumos - OPEX'!I$75)</f>
        <v>8.1882356861694464E-4</v>
      </c>
      <c r="N558" s="211">
        <f>IF($G558="PAX",N83*'Insumos - OPEX'!J$48,N83*'Insumos - OPEX'!J$75)</f>
        <v>9.8647368149515011E-4</v>
      </c>
      <c r="O558" s="211">
        <f>IF($G558="PAX",O83*'Insumos - OPEX'!K$48,O83*'Insumos - OPEX'!K$75)</f>
        <v>1.1418969405994957E-3</v>
      </c>
      <c r="P558" s="211">
        <f>IF($G558="PAX",P83*'Insumos - OPEX'!L$48,P83*'Insumos - OPEX'!L$75)</f>
        <v>1.2435589314355568E-3</v>
      </c>
      <c r="Q558" s="211">
        <f>IF($G558="PAX",Q83*'Insumos - OPEX'!M$48,Q83*'Insumos - OPEX'!M$75)</f>
        <v>1.3339184391795978E-3</v>
      </c>
      <c r="R558" s="211">
        <f>IF($G558="PAX",R83*'Insumos - OPEX'!N$48,R83*'Insumos - OPEX'!N$75)</f>
        <v>1.4340651010588102E-3</v>
      </c>
      <c r="S558" s="111"/>
    </row>
    <row r="559" spans="1:19" x14ac:dyDescent="0.2">
      <c r="A559" s="8"/>
      <c r="B559" s="8" t="s">
        <v>301</v>
      </c>
      <c r="C559" s="8" t="s">
        <v>174</v>
      </c>
      <c r="D559" s="8">
        <v>6390000001</v>
      </c>
      <c r="E559" s="8" t="s">
        <v>368</v>
      </c>
      <c r="F559" s="73" t="s">
        <v>23</v>
      </c>
      <c r="G559" s="73" t="s">
        <v>136</v>
      </c>
      <c r="H559" s="112" t="s">
        <v>61</v>
      </c>
      <c r="I559" s="13" t="s">
        <v>22</v>
      </c>
      <c r="K559" s="187"/>
      <c r="L559" s="187"/>
      <c r="M559" s="188">
        <f>IF($G559="PAX",M84*'Insumos - OPEX'!I$48,M84*'Insumos - OPEX'!I$75)</f>
        <v>0</v>
      </c>
      <c r="N559" s="211">
        <f>IF($G559="PAX",N84*'Insumos - OPEX'!J$48,N84*'Insumos - OPEX'!J$75)</f>
        <v>0</v>
      </c>
      <c r="O559" s="211">
        <f>IF($G559="PAX",O84*'Insumos - OPEX'!K$48,O84*'Insumos - OPEX'!K$75)</f>
        <v>0</v>
      </c>
      <c r="P559" s="211">
        <f>IF($G559="PAX",P84*'Insumos - OPEX'!L$48,P84*'Insumos - OPEX'!L$75)</f>
        <v>0</v>
      </c>
      <c r="Q559" s="211">
        <f>IF($G559="PAX",Q84*'Insumos - OPEX'!M$48,Q84*'Insumos - OPEX'!M$75)</f>
        <v>0</v>
      </c>
      <c r="R559" s="211">
        <f>IF($G559="PAX",R84*'Insumos - OPEX'!N$48,R84*'Insumos - OPEX'!N$75)</f>
        <v>0</v>
      </c>
      <c r="S559" s="111"/>
    </row>
    <row r="560" spans="1:19" x14ac:dyDescent="0.2">
      <c r="A560" s="8"/>
      <c r="B560" s="8" t="s">
        <v>301</v>
      </c>
      <c r="C560" s="8" t="s">
        <v>174</v>
      </c>
      <c r="D560" s="8">
        <v>6590000001</v>
      </c>
      <c r="E560" s="8" t="s">
        <v>369</v>
      </c>
      <c r="F560" s="73" t="s">
        <v>23</v>
      </c>
      <c r="G560" s="73" t="s">
        <v>136</v>
      </c>
      <c r="H560" s="112" t="s">
        <v>61</v>
      </c>
      <c r="I560" s="13" t="s">
        <v>22</v>
      </c>
      <c r="K560" s="187"/>
      <c r="L560" s="187"/>
      <c r="M560" s="188">
        <f>IF($G560="PAX",M85*'Insumos - OPEX'!I$48,M85*'Insumos - OPEX'!I$75)</f>
        <v>0</v>
      </c>
      <c r="N560" s="211">
        <f>IF($G560="PAX",N85*'Insumos - OPEX'!J$48,N85*'Insumos - OPEX'!J$75)</f>
        <v>0</v>
      </c>
      <c r="O560" s="211">
        <f>IF($G560="PAX",O85*'Insumos - OPEX'!K$48,O85*'Insumos - OPEX'!K$75)</f>
        <v>0</v>
      </c>
      <c r="P560" s="211">
        <f>IF($G560="PAX",P85*'Insumos - OPEX'!L$48,P85*'Insumos - OPEX'!L$75)</f>
        <v>0</v>
      </c>
      <c r="Q560" s="211">
        <f>IF($G560="PAX",Q85*'Insumos - OPEX'!M$48,Q85*'Insumos - OPEX'!M$75)</f>
        <v>0</v>
      </c>
      <c r="R560" s="211">
        <f>IF($G560="PAX",R85*'Insumos - OPEX'!N$48,R85*'Insumos - OPEX'!N$75)</f>
        <v>0</v>
      </c>
      <c r="S560" s="111"/>
    </row>
    <row r="561" spans="1:19" x14ac:dyDescent="0.2">
      <c r="A561" s="8"/>
      <c r="B561" s="8" t="s">
        <v>301</v>
      </c>
      <c r="C561" s="8" t="s">
        <v>174</v>
      </c>
      <c r="D561" s="8">
        <v>6563000004</v>
      </c>
      <c r="E561" s="8" t="s">
        <v>370</v>
      </c>
      <c r="F561" s="73" t="s">
        <v>23</v>
      </c>
      <c r="G561" s="73" t="s">
        <v>136</v>
      </c>
      <c r="H561" s="112" t="s">
        <v>61</v>
      </c>
      <c r="I561" s="13" t="s">
        <v>22</v>
      </c>
      <c r="K561" s="187"/>
      <c r="L561" s="187"/>
      <c r="M561" s="188">
        <f>IF($G561="PAX",M86*'Insumos - OPEX'!I$48,M86*'Insumos - OPEX'!I$75)</f>
        <v>0</v>
      </c>
      <c r="N561" s="211">
        <f>IF($G561="PAX",N86*'Insumos - OPEX'!J$48,N86*'Insumos - OPEX'!J$75)</f>
        <v>0</v>
      </c>
      <c r="O561" s="211">
        <f>IF($G561="PAX",O86*'Insumos - OPEX'!K$48,O86*'Insumos - OPEX'!K$75)</f>
        <v>0</v>
      </c>
      <c r="P561" s="211">
        <f>IF($G561="PAX",P86*'Insumos - OPEX'!L$48,P86*'Insumos - OPEX'!L$75)</f>
        <v>0</v>
      </c>
      <c r="Q561" s="211">
        <f>IF($G561="PAX",Q86*'Insumos - OPEX'!M$48,Q86*'Insumos - OPEX'!M$75)</f>
        <v>0</v>
      </c>
      <c r="R561" s="211">
        <f>IF($G561="PAX",R86*'Insumos - OPEX'!N$48,R86*'Insumos - OPEX'!N$75)</f>
        <v>0</v>
      </c>
      <c r="S561" s="111"/>
    </row>
    <row r="562" spans="1:19" x14ac:dyDescent="0.2">
      <c r="A562" s="8"/>
      <c r="B562" s="8" t="s">
        <v>301</v>
      </c>
      <c r="C562" s="8" t="s">
        <v>174</v>
      </c>
      <c r="D562" s="8">
        <v>6310000001</v>
      </c>
      <c r="E562" s="8" t="s">
        <v>371</v>
      </c>
      <c r="F562" s="73" t="s">
        <v>23</v>
      </c>
      <c r="G562" s="73" t="s">
        <v>136</v>
      </c>
      <c r="H562" s="112" t="s">
        <v>61</v>
      </c>
      <c r="I562" s="13" t="s">
        <v>22</v>
      </c>
      <c r="K562" s="187"/>
      <c r="L562" s="187"/>
      <c r="M562" s="188">
        <f>IF($G562="PAX",M87*'Insumos - OPEX'!I$48,M87*'Insumos - OPEX'!I$75)</f>
        <v>0</v>
      </c>
      <c r="N562" s="211">
        <f>IF($G562="PAX",N87*'Insumos - OPEX'!J$48,N87*'Insumos - OPEX'!J$75)</f>
        <v>0</v>
      </c>
      <c r="O562" s="211">
        <f>IF($G562="PAX",O87*'Insumos - OPEX'!K$48,O87*'Insumos - OPEX'!K$75)</f>
        <v>0</v>
      </c>
      <c r="P562" s="211">
        <f>IF($G562="PAX",P87*'Insumos - OPEX'!L$48,P87*'Insumos - OPEX'!L$75)</f>
        <v>0</v>
      </c>
      <c r="Q562" s="211">
        <f>IF($G562="PAX",Q87*'Insumos - OPEX'!M$48,Q87*'Insumos - OPEX'!M$75)</f>
        <v>0</v>
      </c>
      <c r="R562" s="211">
        <f>IF($G562="PAX",R87*'Insumos - OPEX'!N$48,R87*'Insumos - OPEX'!N$75)</f>
        <v>0</v>
      </c>
      <c r="S562" s="111"/>
    </row>
    <row r="563" spans="1:19" x14ac:dyDescent="0.2">
      <c r="A563" s="8"/>
      <c r="B563" s="8" t="s">
        <v>301</v>
      </c>
      <c r="C563" s="8" t="s">
        <v>174</v>
      </c>
      <c r="D563" s="8">
        <v>6590000003</v>
      </c>
      <c r="E563" s="8" t="s">
        <v>372</v>
      </c>
      <c r="F563" s="73" t="s">
        <v>23</v>
      </c>
      <c r="G563" s="73" t="s">
        <v>136</v>
      </c>
      <c r="H563" s="112" t="s">
        <v>61</v>
      </c>
      <c r="I563" s="13" t="s">
        <v>22</v>
      </c>
      <c r="K563" s="187"/>
      <c r="L563" s="187"/>
      <c r="M563" s="188">
        <f>IF($G563="PAX",M88*'Insumos - OPEX'!I$48,M88*'Insumos - OPEX'!I$75)</f>
        <v>0</v>
      </c>
      <c r="N563" s="211">
        <f>IF($G563="PAX",N88*'Insumos - OPEX'!J$48,N88*'Insumos - OPEX'!J$75)</f>
        <v>0</v>
      </c>
      <c r="O563" s="211">
        <f>IF($G563="PAX",O88*'Insumos - OPEX'!K$48,O88*'Insumos - OPEX'!K$75)</f>
        <v>0</v>
      </c>
      <c r="P563" s="211">
        <f>IF($G563="PAX",P88*'Insumos - OPEX'!L$48,P88*'Insumos - OPEX'!L$75)</f>
        <v>0</v>
      </c>
      <c r="Q563" s="211">
        <f>IF($G563="PAX",Q88*'Insumos - OPEX'!M$48,Q88*'Insumos - OPEX'!M$75)</f>
        <v>0</v>
      </c>
      <c r="R563" s="211">
        <f>IF($G563="PAX",R88*'Insumos - OPEX'!N$48,R88*'Insumos - OPEX'!N$75)</f>
        <v>0</v>
      </c>
      <c r="S563" s="111"/>
    </row>
    <row r="564" spans="1:19" s="3" customFormat="1" x14ac:dyDescent="0.2">
      <c r="A564" s="8"/>
      <c r="B564" s="8" t="s">
        <v>301</v>
      </c>
      <c r="C564" s="8" t="s">
        <v>174</v>
      </c>
      <c r="D564" s="8">
        <v>6562000001</v>
      </c>
      <c r="E564" s="8" t="s">
        <v>373</v>
      </c>
      <c r="F564" s="73" t="s">
        <v>23</v>
      </c>
      <c r="G564" s="73" t="s">
        <v>136</v>
      </c>
      <c r="H564" s="112" t="s">
        <v>61</v>
      </c>
      <c r="I564" s="13" t="s">
        <v>22</v>
      </c>
      <c r="J564" s="11"/>
      <c r="K564" s="187"/>
      <c r="L564" s="187"/>
      <c r="M564" s="188">
        <f>IF($G564="PAX",M89*'Insumos - OPEX'!I$48,M89*'Insumos - OPEX'!I$75)</f>
        <v>0</v>
      </c>
      <c r="N564" s="211">
        <f>IF($G564="PAX",N89*'Insumos - OPEX'!J$48,N89*'Insumos - OPEX'!J$75)</f>
        <v>0</v>
      </c>
      <c r="O564" s="211">
        <f>IF($G564="PAX",O89*'Insumos - OPEX'!K$48,O89*'Insumos - OPEX'!K$75)</f>
        <v>0</v>
      </c>
      <c r="P564" s="211">
        <f>IF($G564="PAX",P89*'Insumos - OPEX'!L$48,P89*'Insumos - OPEX'!L$75)</f>
        <v>0</v>
      </c>
      <c r="Q564" s="211">
        <f>IF($G564="PAX",Q89*'Insumos - OPEX'!M$48,Q89*'Insumos - OPEX'!M$75)</f>
        <v>0</v>
      </c>
      <c r="R564" s="211">
        <f>IF($G564="PAX",R89*'Insumos - OPEX'!N$48,R89*'Insumos - OPEX'!N$75)</f>
        <v>0</v>
      </c>
      <c r="S564" s="111"/>
    </row>
    <row r="565" spans="1:19" s="3" customFormat="1" x14ac:dyDescent="0.2">
      <c r="A565" s="8"/>
      <c r="B565" s="8" t="s">
        <v>301</v>
      </c>
      <c r="C565" s="8" t="s">
        <v>174</v>
      </c>
      <c r="D565" s="8">
        <v>6840000001</v>
      </c>
      <c r="E565" s="8" t="s">
        <v>374</v>
      </c>
      <c r="F565" s="73" t="s">
        <v>23</v>
      </c>
      <c r="G565" s="73" t="s">
        <v>136</v>
      </c>
      <c r="H565" s="112" t="s">
        <v>61</v>
      </c>
      <c r="I565" s="13" t="s">
        <v>22</v>
      </c>
      <c r="J565" s="11"/>
      <c r="K565" s="187"/>
      <c r="L565" s="187"/>
      <c r="M565" s="188">
        <f>IF($G565="PAX",M90*'Insumos - OPEX'!I$48,M90*'Insumos - OPEX'!I$75)</f>
        <v>0</v>
      </c>
      <c r="N565" s="211">
        <f>IF($G565="PAX",N90*'Insumos - OPEX'!J$48,N90*'Insumos - OPEX'!J$75)</f>
        <v>0</v>
      </c>
      <c r="O565" s="211">
        <f>IF($G565="PAX",O90*'Insumos - OPEX'!K$48,O90*'Insumos - OPEX'!K$75)</f>
        <v>0</v>
      </c>
      <c r="P565" s="211">
        <f>IF($G565="PAX",P90*'Insumos - OPEX'!L$48,P90*'Insumos - OPEX'!L$75)</f>
        <v>0</v>
      </c>
      <c r="Q565" s="211">
        <f>IF($G565="PAX",Q90*'Insumos - OPEX'!M$48,Q90*'Insumos - OPEX'!M$75)</f>
        <v>0</v>
      </c>
      <c r="R565" s="211">
        <f>IF($G565="PAX",R90*'Insumos - OPEX'!N$48,R90*'Insumos - OPEX'!N$75)</f>
        <v>0</v>
      </c>
      <c r="S565" s="111"/>
    </row>
    <row r="566" spans="1:19" s="3" customFormat="1" x14ac:dyDescent="0.2">
      <c r="A566" s="8"/>
      <c r="B566" s="8" t="s">
        <v>301</v>
      </c>
      <c r="C566" s="8" t="s">
        <v>174</v>
      </c>
      <c r="D566" s="8">
        <v>6380000003</v>
      </c>
      <c r="E566" s="8" t="s">
        <v>375</v>
      </c>
      <c r="F566" s="73" t="s">
        <v>23</v>
      </c>
      <c r="G566" s="73" t="s">
        <v>136</v>
      </c>
      <c r="H566" s="112" t="s">
        <v>61</v>
      </c>
      <c r="I566" s="13" t="s">
        <v>22</v>
      </c>
      <c r="J566" s="11"/>
      <c r="K566" s="187"/>
      <c r="L566" s="187"/>
      <c r="M566" s="188">
        <f>IF($G566="PAX",M91*'Insumos - OPEX'!I$48,M91*'Insumos - OPEX'!I$75)</f>
        <v>0</v>
      </c>
      <c r="N566" s="211">
        <f>IF($G566="PAX",N91*'Insumos - OPEX'!J$48,N91*'Insumos - OPEX'!J$75)</f>
        <v>0</v>
      </c>
      <c r="O566" s="211">
        <f>IF($G566="PAX",O91*'Insumos - OPEX'!K$48,O91*'Insumos - OPEX'!K$75)</f>
        <v>0</v>
      </c>
      <c r="P566" s="211">
        <f>IF($G566="PAX",P91*'Insumos - OPEX'!L$48,P91*'Insumos - OPEX'!L$75)</f>
        <v>0</v>
      </c>
      <c r="Q566" s="211">
        <f>IF($G566="PAX",Q91*'Insumos - OPEX'!M$48,Q91*'Insumos - OPEX'!M$75)</f>
        <v>0</v>
      </c>
      <c r="R566" s="211">
        <f>IF($G566="PAX",R91*'Insumos - OPEX'!N$48,R91*'Insumos - OPEX'!N$75)</f>
        <v>0</v>
      </c>
      <c r="S566" s="111"/>
    </row>
    <row r="567" spans="1:19" x14ac:dyDescent="0.2">
      <c r="A567" s="8"/>
      <c r="B567" s="8" t="s">
        <v>301</v>
      </c>
      <c r="C567" s="8" t="s">
        <v>174</v>
      </c>
      <c r="D567" s="8">
        <v>6563000005</v>
      </c>
      <c r="E567" s="8" t="s">
        <v>376</v>
      </c>
      <c r="F567" s="73" t="s">
        <v>23</v>
      </c>
      <c r="G567" s="73" t="s">
        <v>136</v>
      </c>
      <c r="H567" s="112" t="s">
        <v>61</v>
      </c>
      <c r="I567" s="13" t="s">
        <v>22</v>
      </c>
      <c r="K567" s="187"/>
      <c r="L567" s="187"/>
      <c r="M567" s="188">
        <f>IF($G567="PAX",M92*'Insumos - OPEX'!I$48,M92*'Insumos - OPEX'!I$75)</f>
        <v>0</v>
      </c>
      <c r="N567" s="211">
        <f>IF($G567="PAX",N92*'Insumos - OPEX'!J$48,N92*'Insumos - OPEX'!J$75)</f>
        <v>0</v>
      </c>
      <c r="O567" s="211">
        <f>IF($G567="PAX",O92*'Insumos - OPEX'!K$48,O92*'Insumos - OPEX'!K$75)</f>
        <v>0</v>
      </c>
      <c r="P567" s="211">
        <f>IF($G567="PAX",P92*'Insumos - OPEX'!L$48,P92*'Insumos - OPEX'!L$75)</f>
        <v>0</v>
      </c>
      <c r="Q567" s="211">
        <f>IF($G567="PAX",Q92*'Insumos - OPEX'!M$48,Q92*'Insumos - OPEX'!M$75)</f>
        <v>0</v>
      </c>
      <c r="R567" s="211">
        <f>IF($G567="PAX",R92*'Insumos - OPEX'!N$48,R92*'Insumos - OPEX'!N$75)</f>
        <v>0</v>
      </c>
      <c r="S567" s="111"/>
    </row>
    <row r="568" spans="1:19" x14ac:dyDescent="0.2">
      <c r="A568" s="8"/>
      <c r="B568" s="8" t="s">
        <v>301</v>
      </c>
      <c r="C568" s="8" t="s">
        <v>174</v>
      </c>
      <c r="D568" s="8">
        <v>6562000004</v>
      </c>
      <c r="E568" s="8" t="s">
        <v>377</v>
      </c>
      <c r="F568" s="73" t="s">
        <v>23</v>
      </c>
      <c r="G568" s="73" t="s">
        <v>136</v>
      </c>
      <c r="H568" s="112" t="s">
        <v>61</v>
      </c>
      <c r="I568" s="13" t="s">
        <v>22</v>
      </c>
      <c r="K568" s="187"/>
      <c r="L568" s="187"/>
      <c r="M568" s="188">
        <f>IF($G568="PAX",M93*'Insumos - OPEX'!I$48,M93*'Insumos - OPEX'!I$75)</f>
        <v>0</v>
      </c>
      <c r="N568" s="211">
        <f>IF($G568="PAX",N93*'Insumos - OPEX'!J$48,N93*'Insumos - OPEX'!J$75)</f>
        <v>0</v>
      </c>
      <c r="O568" s="211">
        <f>IF($G568="PAX",O93*'Insumos - OPEX'!K$48,O93*'Insumos - OPEX'!K$75)</f>
        <v>0</v>
      </c>
      <c r="P568" s="211">
        <f>IF($G568="PAX",P93*'Insumos - OPEX'!L$48,P93*'Insumos - OPEX'!L$75)</f>
        <v>0</v>
      </c>
      <c r="Q568" s="211">
        <f>IF($G568="PAX",Q93*'Insumos - OPEX'!M$48,Q93*'Insumos - OPEX'!M$75)</f>
        <v>0</v>
      </c>
      <c r="R568" s="211">
        <f>IF($G568="PAX",R93*'Insumos - OPEX'!N$48,R93*'Insumos - OPEX'!N$75)</f>
        <v>0</v>
      </c>
      <c r="S568" s="111"/>
    </row>
    <row r="569" spans="1:19" x14ac:dyDescent="0.2">
      <c r="A569" s="8"/>
      <c r="B569" s="8" t="s">
        <v>301</v>
      </c>
      <c r="C569" s="8" t="s">
        <v>174</v>
      </c>
      <c r="D569" s="8">
        <v>6391000003</v>
      </c>
      <c r="E569" s="8" t="s">
        <v>378</v>
      </c>
      <c r="F569" s="73" t="s">
        <v>23</v>
      </c>
      <c r="G569" s="73" t="s">
        <v>136</v>
      </c>
      <c r="H569" s="112" t="s">
        <v>61</v>
      </c>
      <c r="I569" s="13" t="s">
        <v>22</v>
      </c>
      <c r="K569" s="187"/>
      <c r="L569" s="187"/>
      <c r="M569" s="188">
        <f>IF($G569="PAX",M94*'Insumos - OPEX'!I$48,M94*'Insumos - OPEX'!I$75)</f>
        <v>0</v>
      </c>
      <c r="N569" s="211">
        <f>IF($G569="PAX",N94*'Insumos - OPEX'!J$48,N94*'Insumos - OPEX'!J$75)</f>
        <v>0</v>
      </c>
      <c r="O569" s="211">
        <f>IF($G569="PAX",O94*'Insumos - OPEX'!K$48,O94*'Insumos - OPEX'!K$75)</f>
        <v>0</v>
      </c>
      <c r="P569" s="211">
        <f>IF($G569="PAX",P94*'Insumos - OPEX'!L$48,P94*'Insumos - OPEX'!L$75)</f>
        <v>0</v>
      </c>
      <c r="Q569" s="211">
        <f>IF($G569="PAX",Q94*'Insumos - OPEX'!M$48,Q94*'Insumos - OPEX'!M$75)</f>
        <v>0</v>
      </c>
      <c r="R569" s="211">
        <f>IF($G569="PAX",R94*'Insumos - OPEX'!N$48,R94*'Insumos - OPEX'!N$75)</f>
        <v>0</v>
      </c>
      <c r="S569" s="111"/>
    </row>
    <row r="570" spans="1:19" x14ac:dyDescent="0.2">
      <c r="A570" s="8"/>
      <c r="B570" s="8" t="s">
        <v>301</v>
      </c>
      <c r="C570" s="8" t="s">
        <v>174</v>
      </c>
      <c r="D570" s="8">
        <v>6590000005</v>
      </c>
      <c r="E570" s="8" t="s">
        <v>379</v>
      </c>
      <c r="F570" s="73" t="s">
        <v>23</v>
      </c>
      <c r="G570" s="73" t="s">
        <v>136</v>
      </c>
      <c r="H570" s="112" t="s">
        <v>61</v>
      </c>
      <c r="I570" s="13" t="s">
        <v>22</v>
      </c>
      <c r="K570" s="187"/>
      <c r="L570" s="187"/>
      <c r="M570" s="188">
        <f>IF($G570="PAX",M95*'Insumos - OPEX'!I$48,M95*'Insumos - OPEX'!I$75)</f>
        <v>0</v>
      </c>
      <c r="N570" s="211">
        <f>IF($G570="PAX",N95*'Insumos - OPEX'!J$48,N95*'Insumos - OPEX'!J$75)</f>
        <v>0</v>
      </c>
      <c r="O570" s="211">
        <f>IF($G570="PAX",O95*'Insumos - OPEX'!K$48,O95*'Insumos - OPEX'!K$75)</f>
        <v>0</v>
      </c>
      <c r="P570" s="211">
        <f>IF($G570="PAX",P95*'Insumos - OPEX'!L$48,P95*'Insumos - OPEX'!L$75)</f>
        <v>0</v>
      </c>
      <c r="Q570" s="211">
        <f>IF($G570="PAX",Q95*'Insumos - OPEX'!M$48,Q95*'Insumos - OPEX'!M$75)</f>
        <v>0</v>
      </c>
      <c r="R570" s="211">
        <f>IF($G570="PAX",R95*'Insumos - OPEX'!N$48,R95*'Insumos - OPEX'!N$75)</f>
        <v>0</v>
      </c>
      <c r="S570" s="111"/>
    </row>
    <row r="571" spans="1:19" x14ac:dyDescent="0.2">
      <c r="A571" s="8"/>
      <c r="B571" s="8" t="s">
        <v>301</v>
      </c>
      <c r="C571" s="8" t="s">
        <v>174</v>
      </c>
      <c r="D571" s="8">
        <v>6590000004</v>
      </c>
      <c r="E571" s="8" t="s">
        <v>380</v>
      </c>
      <c r="F571" s="73" t="s">
        <v>23</v>
      </c>
      <c r="G571" s="73" t="s">
        <v>136</v>
      </c>
      <c r="H571" s="112" t="s">
        <v>61</v>
      </c>
      <c r="I571" s="13" t="s">
        <v>22</v>
      </c>
      <c r="K571" s="187"/>
      <c r="L571" s="187"/>
      <c r="M571" s="188">
        <f>IF($G571="PAX",M96*'Insumos - OPEX'!I$48,M96*'Insumos - OPEX'!I$75)</f>
        <v>0</v>
      </c>
      <c r="N571" s="211">
        <f>IF($G571="PAX",N96*'Insumos - OPEX'!J$48,N96*'Insumos - OPEX'!J$75)</f>
        <v>0</v>
      </c>
      <c r="O571" s="211">
        <f>IF($G571="PAX",O96*'Insumos - OPEX'!K$48,O96*'Insumos - OPEX'!K$75)</f>
        <v>0</v>
      </c>
      <c r="P571" s="211">
        <f>IF($G571="PAX",P96*'Insumos - OPEX'!L$48,P96*'Insumos - OPEX'!L$75)</f>
        <v>0</v>
      </c>
      <c r="Q571" s="211">
        <f>IF($G571="PAX",Q96*'Insumos - OPEX'!M$48,Q96*'Insumos - OPEX'!M$75)</f>
        <v>0</v>
      </c>
      <c r="R571" s="211">
        <f>IF($G571="PAX",R96*'Insumos - OPEX'!N$48,R96*'Insumos - OPEX'!N$75)</f>
        <v>0</v>
      </c>
      <c r="S571" s="111"/>
    </row>
    <row r="572" spans="1:19" x14ac:dyDescent="0.2">
      <c r="A572" s="8"/>
      <c r="B572" s="8" t="s">
        <v>301</v>
      </c>
      <c r="C572" s="8" t="s">
        <v>174</v>
      </c>
      <c r="D572" s="8">
        <v>6590000006</v>
      </c>
      <c r="E572" s="8" t="s">
        <v>272</v>
      </c>
      <c r="F572" s="73" t="s">
        <v>23</v>
      </c>
      <c r="G572" s="73" t="s">
        <v>136</v>
      </c>
      <c r="H572" s="112" t="s">
        <v>61</v>
      </c>
      <c r="I572" s="13" t="s">
        <v>22</v>
      </c>
      <c r="K572" s="187"/>
      <c r="L572" s="187"/>
      <c r="M572" s="188">
        <f>IF($G572="PAX",M97*'Insumos - OPEX'!I$48,M97*'Insumos - OPEX'!I$75)</f>
        <v>0</v>
      </c>
      <c r="N572" s="211">
        <f>IF($G572="PAX",N97*'Insumos - OPEX'!J$48,N97*'Insumos - OPEX'!J$75)</f>
        <v>0</v>
      </c>
      <c r="O572" s="211">
        <f>IF($G572="PAX",O97*'Insumos - OPEX'!K$48,O97*'Insumos - OPEX'!K$75)</f>
        <v>0</v>
      </c>
      <c r="P572" s="211">
        <f>IF($G572="PAX",P97*'Insumos - OPEX'!L$48,P97*'Insumos - OPEX'!L$75)</f>
        <v>0</v>
      </c>
      <c r="Q572" s="211">
        <f>IF($G572="PAX",Q97*'Insumos - OPEX'!M$48,Q97*'Insumos - OPEX'!M$75)</f>
        <v>0</v>
      </c>
      <c r="R572" s="211">
        <f>IF($G572="PAX",R97*'Insumos - OPEX'!N$48,R97*'Insumos - OPEX'!N$75)</f>
        <v>0</v>
      </c>
      <c r="S572" s="111"/>
    </row>
    <row r="573" spans="1:19" x14ac:dyDescent="0.2">
      <c r="A573" s="8"/>
      <c r="B573" s="8" t="s">
        <v>301</v>
      </c>
      <c r="C573" s="8" t="s">
        <v>174</v>
      </c>
      <c r="D573" s="8">
        <v>6590000010</v>
      </c>
      <c r="E573" s="8" t="s">
        <v>381</v>
      </c>
      <c r="F573" s="73" t="s">
        <v>23</v>
      </c>
      <c r="G573" s="73" t="s">
        <v>136</v>
      </c>
      <c r="H573" s="112" t="s">
        <v>61</v>
      </c>
      <c r="I573" s="13" t="s">
        <v>22</v>
      </c>
      <c r="K573" s="187"/>
      <c r="L573" s="187"/>
      <c r="M573" s="188">
        <f>IF($G573="PAX",M98*'Insumos - OPEX'!I$48,M98*'Insumos - OPEX'!I$75)</f>
        <v>0</v>
      </c>
      <c r="N573" s="211">
        <f>IF($G573="PAX",N98*'Insumos - OPEX'!J$48,N98*'Insumos - OPEX'!J$75)</f>
        <v>0</v>
      </c>
      <c r="O573" s="211">
        <f>IF($G573="PAX",O98*'Insumos - OPEX'!K$48,O98*'Insumos - OPEX'!K$75)</f>
        <v>0</v>
      </c>
      <c r="P573" s="211">
        <f>IF($G573="PAX",P98*'Insumos - OPEX'!L$48,P98*'Insumos - OPEX'!L$75)</f>
        <v>0</v>
      </c>
      <c r="Q573" s="211">
        <f>IF($G573="PAX",Q98*'Insumos - OPEX'!M$48,Q98*'Insumos - OPEX'!M$75)</f>
        <v>0</v>
      </c>
      <c r="R573" s="211">
        <f>IF($G573="PAX",R98*'Insumos - OPEX'!N$48,R98*'Insumos - OPEX'!N$75)</f>
        <v>0</v>
      </c>
      <c r="S573" s="111"/>
    </row>
    <row r="574" spans="1:19" x14ac:dyDescent="0.2">
      <c r="A574" s="8"/>
      <c r="B574" s="8" t="s">
        <v>301</v>
      </c>
      <c r="C574" s="8" t="s">
        <v>174</v>
      </c>
      <c r="D574" s="8">
        <v>6590000007</v>
      </c>
      <c r="E574" s="8" t="s">
        <v>382</v>
      </c>
      <c r="F574" s="73" t="s">
        <v>23</v>
      </c>
      <c r="G574" s="73" t="s">
        <v>136</v>
      </c>
      <c r="H574" s="112" t="s">
        <v>61</v>
      </c>
      <c r="I574" s="13" t="s">
        <v>22</v>
      </c>
      <c r="K574" s="187"/>
      <c r="L574" s="187"/>
      <c r="M574" s="188">
        <f>IF($G574="PAX",M99*'Insumos - OPEX'!I$48,M99*'Insumos - OPEX'!I$75)</f>
        <v>0</v>
      </c>
      <c r="N574" s="211">
        <f>IF($G574="PAX",N99*'Insumos - OPEX'!J$48,N99*'Insumos - OPEX'!J$75)</f>
        <v>0</v>
      </c>
      <c r="O574" s="211">
        <f>IF($G574="PAX",O99*'Insumos - OPEX'!K$48,O99*'Insumos - OPEX'!K$75)</f>
        <v>0</v>
      </c>
      <c r="P574" s="211">
        <f>IF($G574="PAX",P99*'Insumos - OPEX'!L$48,P99*'Insumos - OPEX'!L$75)</f>
        <v>0</v>
      </c>
      <c r="Q574" s="211">
        <f>IF($G574="PAX",Q99*'Insumos - OPEX'!M$48,Q99*'Insumos - OPEX'!M$75)</f>
        <v>0</v>
      </c>
      <c r="R574" s="211">
        <f>IF($G574="PAX",R99*'Insumos - OPEX'!N$48,R99*'Insumos - OPEX'!N$75)</f>
        <v>0</v>
      </c>
      <c r="S574" s="111"/>
    </row>
    <row r="575" spans="1:19" s="3" customFormat="1" x14ac:dyDescent="0.2">
      <c r="A575" s="8"/>
      <c r="B575" s="8" t="s">
        <v>301</v>
      </c>
      <c r="C575" s="8" t="s">
        <v>174</v>
      </c>
      <c r="D575" s="8">
        <v>6563000001</v>
      </c>
      <c r="E575" s="8" t="s">
        <v>383</v>
      </c>
      <c r="F575" s="73" t="s">
        <v>23</v>
      </c>
      <c r="G575" s="73" t="s">
        <v>136</v>
      </c>
      <c r="H575" s="112" t="s">
        <v>61</v>
      </c>
      <c r="I575" s="13" t="s">
        <v>22</v>
      </c>
      <c r="J575" s="11"/>
      <c r="K575" s="187"/>
      <c r="L575" s="187"/>
      <c r="M575" s="188">
        <f>IF($G575="PAX",M100*'Insumos - OPEX'!I$48,M100*'Insumos - OPEX'!I$75)</f>
        <v>0</v>
      </c>
      <c r="N575" s="211">
        <f>IF($G575="PAX",N100*'Insumos - OPEX'!J$48,N100*'Insumos - OPEX'!J$75)</f>
        <v>0</v>
      </c>
      <c r="O575" s="211">
        <f>IF($G575="PAX",O100*'Insumos - OPEX'!K$48,O100*'Insumos - OPEX'!K$75)</f>
        <v>0</v>
      </c>
      <c r="P575" s="211">
        <f>IF($G575="PAX",P100*'Insumos - OPEX'!L$48,P100*'Insumos - OPEX'!L$75)</f>
        <v>0</v>
      </c>
      <c r="Q575" s="211">
        <f>IF($G575="PAX",Q100*'Insumos - OPEX'!M$48,Q100*'Insumos - OPEX'!M$75)</f>
        <v>0</v>
      </c>
      <c r="R575" s="211">
        <f>IF($G575="PAX",R100*'Insumos - OPEX'!N$48,R100*'Insumos - OPEX'!N$75)</f>
        <v>0</v>
      </c>
      <c r="S575" s="111"/>
    </row>
    <row r="576" spans="1:19" x14ac:dyDescent="0.2">
      <c r="A576" s="8"/>
      <c r="B576" s="8" t="s">
        <v>301</v>
      </c>
      <c r="C576" s="8" t="s">
        <v>174</v>
      </c>
      <c r="D576" s="8">
        <v>6590000011</v>
      </c>
      <c r="E576" s="8" t="s">
        <v>384</v>
      </c>
      <c r="F576" s="73" t="s">
        <v>23</v>
      </c>
      <c r="G576" s="73" t="s">
        <v>136</v>
      </c>
      <c r="H576" s="112" t="s">
        <v>61</v>
      </c>
      <c r="I576" s="13" t="s">
        <v>22</v>
      </c>
      <c r="K576" s="187"/>
      <c r="L576" s="187"/>
      <c r="M576" s="188">
        <f>IF($G576="PAX",M101*'Insumos - OPEX'!I$48,M101*'Insumos - OPEX'!I$75)</f>
        <v>0</v>
      </c>
      <c r="N576" s="211">
        <f>IF($G576="PAX",N101*'Insumos - OPEX'!J$48,N101*'Insumos - OPEX'!J$75)</f>
        <v>0</v>
      </c>
      <c r="O576" s="211">
        <f>IF($G576="PAX",O101*'Insumos - OPEX'!K$48,O101*'Insumos - OPEX'!K$75)</f>
        <v>0</v>
      </c>
      <c r="P576" s="211">
        <f>IF($G576="PAX",P101*'Insumos - OPEX'!L$48,P101*'Insumos - OPEX'!L$75)</f>
        <v>0</v>
      </c>
      <c r="Q576" s="211">
        <f>IF($G576="PAX",Q101*'Insumos - OPEX'!M$48,Q101*'Insumos - OPEX'!M$75)</f>
        <v>0</v>
      </c>
      <c r="R576" s="211">
        <f>IF($G576="PAX",R101*'Insumos - OPEX'!N$48,R101*'Insumos - OPEX'!N$75)</f>
        <v>0</v>
      </c>
      <c r="S576" s="111"/>
    </row>
    <row r="577" spans="1:19" x14ac:dyDescent="0.2">
      <c r="A577" s="8"/>
      <c r="B577" s="8" t="s">
        <v>301</v>
      </c>
      <c r="C577" s="8" t="s">
        <v>174</v>
      </c>
      <c r="D577" s="8">
        <v>6563000002</v>
      </c>
      <c r="E577" s="8" t="s">
        <v>385</v>
      </c>
      <c r="F577" s="73" t="s">
        <v>23</v>
      </c>
      <c r="G577" s="73" t="s">
        <v>136</v>
      </c>
      <c r="H577" s="112" t="s">
        <v>61</v>
      </c>
      <c r="I577" s="13" t="s">
        <v>22</v>
      </c>
      <c r="K577" s="187"/>
      <c r="L577" s="187"/>
      <c r="M577" s="188">
        <f>IF($G577="PAX",M102*'Insumos - OPEX'!I$48,M102*'Insumos - OPEX'!I$75)</f>
        <v>0</v>
      </c>
      <c r="N577" s="211">
        <f>IF($G577="PAX",N102*'Insumos - OPEX'!J$48,N102*'Insumos - OPEX'!J$75)</f>
        <v>0</v>
      </c>
      <c r="O577" s="211">
        <f>IF($G577="PAX",O102*'Insumos - OPEX'!K$48,O102*'Insumos - OPEX'!K$75)</f>
        <v>0</v>
      </c>
      <c r="P577" s="211">
        <f>IF($G577="PAX",P102*'Insumos - OPEX'!L$48,P102*'Insumos - OPEX'!L$75)</f>
        <v>0</v>
      </c>
      <c r="Q577" s="211">
        <f>IF($G577="PAX",Q102*'Insumos - OPEX'!M$48,Q102*'Insumos - OPEX'!M$75)</f>
        <v>0</v>
      </c>
      <c r="R577" s="211">
        <f>IF($G577="PAX",R102*'Insumos - OPEX'!N$48,R102*'Insumos - OPEX'!N$75)</f>
        <v>0</v>
      </c>
      <c r="S577" s="111"/>
    </row>
    <row r="578" spans="1:19" x14ac:dyDescent="0.2">
      <c r="A578" s="8"/>
      <c r="B578" s="8" t="s">
        <v>301</v>
      </c>
      <c r="C578" s="8" t="s">
        <v>174</v>
      </c>
      <c r="D578" s="8">
        <v>6430000003</v>
      </c>
      <c r="E578" s="8" t="s">
        <v>386</v>
      </c>
      <c r="F578" s="73" t="s">
        <v>23</v>
      </c>
      <c r="G578" s="73" t="s">
        <v>136</v>
      </c>
      <c r="H578" s="112" t="s">
        <v>61</v>
      </c>
      <c r="I578" s="13" t="s">
        <v>22</v>
      </c>
      <c r="K578" s="187"/>
      <c r="L578" s="187"/>
      <c r="M578" s="188">
        <f>IF($G578="PAX",M103*'Insumos - OPEX'!I$48,M103*'Insumos - OPEX'!I$75)</f>
        <v>0</v>
      </c>
      <c r="N578" s="211">
        <f>IF($G578="PAX",N103*'Insumos - OPEX'!J$48,N103*'Insumos - OPEX'!J$75)</f>
        <v>0</v>
      </c>
      <c r="O578" s="211">
        <f>IF($G578="PAX",O103*'Insumos - OPEX'!K$48,O103*'Insumos - OPEX'!K$75)</f>
        <v>0</v>
      </c>
      <c r="P578" s="211">
        <f>IF($G578="PAX",P103*'Insumos - OPEX'!L$48,P103*'Insumos - OPEX'!L$75)</f>
        <v>0</v>
      </c>
      <c r="Q578" s="211">
        <f>IF($G578="PAX",Q103*'Insumos - OPEX'!M$48,Q103*'Insumos - OPEX'!M$75)</f>
        <v>0</v>
      </c>
      <c r="R578" s="211">
        <f>IF($G578="PAX",R103*'Insumos - OPEX'!N$48,R103*'Insumos - OPEX'!N$75)</f>
        <v>0</v>
      </c>
      <c r="S578" s="111"/>
    </row>
    <row r="579" spans="1:19" s="39" customFormat="1" x14ac:dyDescent="0.2">
      <c r="A579" s="8"/>
      <c r="B579" s="8" t="s">
        <v>301</v>
      </c>
      <c r="C579" s="8" t="s">
        <v>174</v>
      </c>
      <c r="D579" s="8">
        <v>6563000003</v>
      </c>
      <c r="E579" s="8" t="s">
        <v>387</v>
      </c>
      <c r="F579" s="73" t="s">
        <v>23</v>
      </c>
      <c r="G579" s="73" t="s">
        <v>136</v>
      </c>
      <c r="H579" s="112" t="s">
        <v>61</v>
      </c>
      <c r="I579" s="13" t="s">
        <v>22</v>
      </c>
      <c r="J579" s="40"/>
      <c r="K579" s="187"/>
      <c r="L579" s="187"/>
      <c r="M579" s="188">
        <f>IF($G579="PAX",M104*'Insumos - OPEX'!I$48,M104*'Insumos - OPEX'!I$75)</f>
        <v>0</v>
      </c>
      <c r="N579" s="211">
        <f>IF($G579="PAX",N104*'Insumos - OPEX'!J$48,N104*'Insumos - OPEX'!J$75)</f>
        <v>0</v>
      </c>
      <c r="O579" s="211">
        <f>IF($G579="PAX",O104*'Insumos - OPEX'!K$48,O104*'Insumos - OPEX'!K$75)</f>
        <v>0</v>
      </c>
      <c r="P579" s="211">
        <f>IF($G579="PAX",P104*'Insumos - OPEX'!L$48,P104*'Insumos - OPEX'!L$75)</f>
        <v>0</v>
      </c>
      <c r="Q579" s="211">
        <f>IF($G579="PAX",Q104*'Insumos - OPEX'!M$48,Q104*'Insumos - OPEX'!M$75)</f>
        <v>0</v>
      </c>
      <c r="R579" s="211">
        <f>IF($G579="PAX",R104*'Insumos - OPEX'!N$48,R104*'Insumos - OPEX'!N$75)</f>
        <v>0</v>
      </c>
      <c r="S579" s="111"/>
    </row>
    <row r="580" spans="1:19" x14ac:dyDescent="0.2">
      <c r="A580" s="8"/>
      <c r="B580" s="8" t="s">
        <v>301</v>
      </c>
      <c r="C580" s="8" t="s">
        <v>174</v>
      </c>
      <c r="D580" s="8">
        <v>6562000002</v>
      </c>
      <c r="E580" s="8" t="s">
        <v>388</v>
      </c>
      <c r="F580" s="73" t="s">
        <v>23</v>
      </c>
      <c r="G580" s="73" t="s">
        <v>136</v>
      </c>
      <c r="H580" s="112" t="s">
        <v>61</v>
      </c>
      <c r="I580" s="13" t="s">
        <v>22</v>
      </c>
      <c r="K580" s="187"/>
      <c r="L580" s="187"/>
      <c r="M580" s="188">
        <f>IF($G580="PAX",M105*'Insumos - OPEX'!I$48,M105*'Insumos - OPEX'!I$75)</f>
        <v>0</v>
      </c>
      <c r="N580" s="211">
        <f>IF($G580="PAX",N105*'Insumos - OPEX'!J$48,N105*'Insumos - OPEX'!J$75)</f>
        <v>0</v>
      </c>
      <c r="O580" s="211">
        <f>IF($G580="PAX",O105*'Insumos - OPEX'!K$48,O105*'Insumos - OPEX'!K$75)</f>
        <v>0</v>
      </c>
      <c r="P580" s="211">
        <f>IF($G580="PAX",P105*'Insumos - OPEX'!L$48,P105*'Insumos - OPEX'!L$75)</f>
        <v>0</v>
      </c>
      <c r="Q580" s="211">
        <f>IF($G580="PAX",Q105*'Insumos - OPEX'!M$48,Q105*'Insumos - OPEX'!M$75)</f>
        <v>0</v>
      </c>
      <c r="R580" s="211">
        <f>IF($G580="PAX",R105*'Insumos - OPEX'!N$48,R105*'Insumos - OPEX'!N$75)</f>
        <v>0</v>
      </c>
      <c r="S580" s="111"/>
    </row>
    <row r="581" spans="1:19" x14ac:dyDescent="0.2">
      <c r="A581" s="8"/>
      <c r="B581" s="8" t="s">
        <v>301</v>
      </c>
      <c r="C581" s="8" t="s">
        <v>173</v>
      </c>
      <c r="D581" s="8">
        <v>6343000001</v>
      </c>
      <c r="E581" s="8" t="s">
        <v>389</v>
      </c>
      <c r="F581" s="73" t="s">
        <v>23</v>
      </c>
      <c r="G581" s="73" t="s">
        <v>136</v>
      </c>
      <c r="H581" s="112" t="s">
        <v>61</v>
      </c>
      <c r="I581" s="13" t="s">
        <v>22</v>
      </c>
      <c r="K581" s="187"/>
      <c r="L581" s="187"/>
      <c r="M581" s="188">
        <f>IF($G581="PAX",M106*'Insumos - OPEX'!I$48,M106*'Insumos - OPEX'!I$75)</f>
        <v>78242.447795439643</v>
      </c>
      <c r="N581" s="211">
        <f>IF($G581="PAX",N106*'Insumos - OPEX'!J$48,N106*'Insumos - OPEX'!J$75)</f>
        <v>94262.20553999109</v>
      </c>
      <c r="O581" s="211">
        <f>IF($G581="PAX",O106*'Insumos - OPEX'!K$48,O106*'Insumos - OPEX'!K$75)</f>
        <v>109113.62983058547</v>
      </c>
      <c r="P581" s="211">
        <f>IF($G581="PAX",P106*'Insumos - OPEX'!L$48,P106*'Insumos - OPEX'!L$75)</f>
        <v>118827.91177804623</v>
      </c>
      <c r="Q581" s="211">
        <f>IF($G581="PAX",Q106*'Insumos - OPEX'!M$48,Q106*'Insumos - OPEX'!M$75)</f>
        <v>127462.18824303175</v>
      </c>
      <c r="R581" s="211">
        <f>IF($G581="PAX",R106*'Insumos - OPEX'!N$48,R106*'Insumos - OPEX'!N$75)</f>
        <v>137031.67337302983</v>
      </c>
      <c r="S581" s="111"/>
    </row>
    <row r="582" spans="1:19" x14ac:dyDescent="0.2">
      <c r="A582" s="8"/>
      <c r="B582" s="8" t="s">
        <v>301</v>
      </c>
      <c r="C582" s="8" t="s">
        <v>173</v>
      </c>
      <c r="D582" s="8">
        <v>6343100007</v>
      </c>
      <c r="E582" s="8" t="s">
        <v>390</v>
      </c>
      <c r="F582" s="73" t="s">
        <v>23</v>
      </c>
      <c r="G582" s="73" t="s">
        <v>136</v>
      </c>
      <c r="H582" s="112" t="s">
        <v>61</v>
      </c>
      <c r="I582" s="13" t="s">
        <v>22</v>
      </c>
      <c r="K582" s="187"/>
      <c r="L582" s="187"/>
      <c r="M582" s="188">
        <f>IF($G582="PAX",M107*'Insumos - OPEX'!I$48,M107*'Insumos - OPEX'!I$75)</f>
        <v>5857.2205092285149</v>
      </c>
      <c r="N582" s="211">
        <f>IF($G582="PAX",N107*'Insumos - OPEX'!J$48,N107*'Insumos - OPEX'!J$75)</f>
        <v>7056.4577041022667</v>
      </c>
      <c r="O582" s="211">
        <f>IF($G582="PAX",O107*'Insumos - OPEX'!K$48,O107*'Insumos - OPEX'!K$75)</f>
        <v>8168.2335929848496</v>
      </c>
      <c r="P582" s="211">
        <f>IF($G582="PAX",P107*'Insumos - OPEX'!L$48,P107*'Insumos - OPEX'!L$75)</f>
        <v>8895.4436056860595</v>
      </c>
      <c r="Q582" s="211">
        <f>IF($G582="PAX",Q107*'Insumos - OPEX'!M$48,Q107*'Insumos - OPEX'!M$75)</f>
        <v>9541.8045340312729</v>
      </c>
      <c r="R582" s="211">
        <f>IF($G582="PAX",R107*'Insumos - OPEX'!N$48,R107*'Insumos - OPEX'!N$75)</f>
        <v>10258.17507387843</v>
      </c>
      <c r="S582" s="111"/>
    </row>
    <row r="583" spans="1:19" x14ac:dyDescent="0.2">
      <c r="A583" s="8"/>
      <c r="B583" s="8" t="s">
        <v>301</v>
      </c>
      <c r="C583" s="8" t="s">
        <v>173</v>
      </c>
      <c r="D583" s="8">
        <v>6343000002</v>
      </c>
      <c r="E583" s="8" t="s">
        <v>391</v>
      </c>
      <c r="F583" s="73" t="s">
        <v>23</v>
      </c>
      <c r="G583" s="73" t="s">
        <v>136</v>
      </c>
      <c r="H583" s="112" t="s">
        <v>61</v>
      </c>
      <c r="I583" s="13" t="s">
        <v>22</v>
      </c>
      <c r="K583" s="187"/>
      <c r="L583" s="187"/>
      <c r="M583" s="188">
        <f>IF($G583="PAX",M108*'Insumos - OPEX'!I$48,M108*'Insumos - OPEX'!I$75)</f>
        <v>4726.3927911962865</v>
      </c>
      <c r="N583" s="211">
        <f>IF($G583="PAX",N108*'Insumos - OPEX'!J$48,N108*'Insumos - OPEX'!J$75)</f>
        <v>5694.0985526330069</v>
      </c>
      <c r="O583" s="211">
        <f>IF($G583="PAX",O108*'Insumos - OPEX'!K$48,O108*'Insumos - OPEX'!K$75)</f>
        <v>6591.2287764928242</v>
      </c>
      <c r="P583" s="211">
        <f>IF($G583="PAX",P108*'Insumos - OPEX'!L$48,P108*'Insumos - OPEX'!L$75)</f>
        <v>7178.0395609427806</v>
      </c>
      <c r="Q583" s="211">
        <f>IF($G583="PAX",Q108*'Insumos - OPEX'!M$48,Q108*'Insumos - OPEX'!M$75)</f>
        <v>7699.610436997119</v>
      </c>
      <c r="R583" s="211">
        <f>IF($G583="PAX",R108*'Insumos - OPEX'!N$48,R108*'Insumos - OPEX'!N$75)</f>
        <v>8277.6744777864878</v>
      </c>
      <c r="S583" s="111"/>
    </row>
    <row r="584" spans="1:19" x14ac:dyDescent="0.2">
      <c r="A584" s="8"/>
      <c r="B584" s="8" t="s">
        <v>301</v>
      </c>
      <c r="C584" s="8" t="s">
        <v>173</v>
      </c>
      <c r="D584" s="8">
        <v>6341100003</v>
      </c>
      <c r="E584" s="8" t="s">
        <v>392</v>
      </c>
      <c r="F584" s="73" t="s">
        <v>23</v>
      </c>
      <c r="G584" s="73" t="s">
        <v>136</v>
      </c>
      <c r="H584" s="112" t="s">
        <v>61</v>
      </c>
      <c r="I584" s="13" t="s">
        <v>22</v>
      </c>
      <c r="K584" s="187"/>
      <c r="L584" s="187"/>
      <c r="M584" s="188">
        <f>IF($G584="PAX",M109*'Insumos - OPEX'!I$48,M109*'Insumos - OPEX'!I$75)</f>
        <v>7584.5168780476843</v>
      </c>
      <c r="N584" s="211">
        <f>IF($G584="PAX",N109*'Insumos - OPEX'!J$48,N109*'Insumos - OPEX'!J$75)</f>
        <v>9137.409539502316</v>
      </c>
      <c r="O584" s="211">
        <f>IF($G584="PAX",O109*'Insumos - OPEX'!K$48,O109*'Insumos - OPEX'!K$75)</f>
        <v>10577.048525357586</v>
      </c>
      <c r="P584" s="211">
        <f>IF($G584="PAX",P109*'Insumos - OPEX'!L$48,P109*'Insumos - OPEX'!L$75)</f>
        <v>11518.713024163362</v>
      </c>
      <c r="Q584" s="211">
        <f>IF($G584="PAX",Q109*'Insumos - OPEX'!M$48,Q109*'Insumos - OPEX'!M$75)</f>
        <v>12355.686015468851</v>
      </c>
      <c r="R584" s="211">
        <f>IF($G584="PAX",R109*'Insumos - OPEX'!N$48,R109*'Insumos - OPEX'!N$75)</f>
        <v>13283.31447709946</v>
      </c>
      <c r="S584" s="111"/>
    </row>
    <row r="585" spans="1:19" x14ac:dyDescent="0.2">
      <c r="A585" s="8"/>
      <c r="B585" s="8" t="s">
        <v>301</v>
      </c>
      <c r="C585" s="8" t="s">
        <v>173</v>
      </c>
      <c r="D585" s="8">
        <v>6341100010</v>
      </c>
      <c r="E585" s="8" t="s">
        <v>393</v>
      </c>
      <c r="F585" s="73" t="s">
        <v>23</v>
      </c>
      <c r="G585" s="73" t="s">
        <v>136</v>
      </c>
      <c r="H585" s="112" t="s">
        <v>61</v>
      </c>
      <c r="I585" s="13" t="s">
        <v>22</v>
      </c>
      <c r="K585" s="187"/>
      <c r="L585" s="187"/>
      <c r="M585" s="188">
        <f>IF($G585="PAX",M110*'Insumos - OPEX'!I$48,M110*'Insumos - OPEX'!I$75)</f>
        <v>3441.6786697601751</v>
      </c>
      <c r="N585" s="211">
        <f>IF($G585="PAX",N110*'Insumos - OPEX'!J$48,N110*'Insumos - OPEX'!J$75)</f>
        <v>4146.3455108116586</v>
      </c>
      <c r="O585" s="211">
        <f>IF($G585="PAX",O110*'Insumos - OPEX'!K$48,O110*'Insumos - OPEX'!K$75)</f>
        <v>4799.6204483510746</v>
      </c>
      <c r="P585" s="211">
        <f>IF($G585="PAX",P110*'Insumos - OPEX'!L$48,P110*'Insumos - OPEX'!L$75)</f>
        <v>5226.9260594692469</v>
      </c>
      <c r="Q585" s="211">
        <f>IF($G585="PAX",Q110*'Insumos - OPEX'!M$48,Q110*'Insumos - OPEX'!M$75)</f>
        <v>5606.7250813000164</v>
      </c>
      <c r="R585" s="211">
        <f>IF($G585="PAX",R110*'Insumos - OPEX'!N$48,R110*'Insumos - OPEX'!N$75)</f>
        <v>6027.6614627717254</v>
      </c>
      <c r="S585" s="111"/>
    </row>
    <row r="586" spans="1:19" x14ac:dyDescent="0.2">
      <c r="A586" s="8"/>
      <c r="B586" s="8" t="s">
        <v>301</v>
      </c>
      <c r="C586" s="8" t="s">
        <v>173</v>
      </c>
      <c r="D586" s="8">
        <v>6347000001</v>
      </c>
      <c r="E586" s="8" t="s">
        <v>394</v>
      </c>
      <c r="F586" s="73" t="s">
        <v>23</v>
      </c>
      <c r="G586" s="73" t="s">
        <v>136</v>
      </c>
      <c r="H586" s="112" t="s">
        <v>61</v>
      </c>
      <c r="I586" s="13" t="s">
        <v>22</v>
      </c>
      <c r="K586" s="187"/>
      <c r="L586" s="187"/>
      <c r="M586" s="188">
        <f>IF($G586="PAX",M111*'Insumos - OPEX'!I$48,M111*'Insumos - OPEX'!I$75)</f>
        <v>3286.8355893079215</v>
      </c>
      <c r="N586" s="211">
        <f>IF($G586="PAX",N111*'Insumos - OPEX'!J$48,N111*'Insumos - OPEX'!J$75)</f>
        <v>3959.7990684739175</v>
      </c>
      <c r="O586" s="211">
        <f>IF($G586="PAX",O111*'Insumos - OPEX'!K$48,O111*'Insumos - OPEX'!K$75)</f>
        <v>4583.6827950906982</v>
      </c>
      <c r="P586" s="211">
        <f>IF($G586="PAX",P111*'Insumos - OPEX'!L$48,P111*'Insumos - OPEX'!L$75)</f>
        <v>4991.7636837786722</v>
      </c>
      <c r="Q586" s="211">
        <f>IF($G586="PAX",Q111*'Insumos - OPEX'!M$48,Q111*'Insumos - OPEX'!M$75)</f>
        <v>5354.4753316457573</v>
      </c>
      <c r="R586" s="211">
        <f>IF($G586="PAX",R111*'Insumos - OPEX'!N$48,R111*'Insumos - OPEX'!N$75)</f>
        <v>5756.4735459509066</v>
      </c>
      <c r="S586" s="111"/>
    </row>
    <row r="587" spans="1:19" x14ac:dyDescent="0.2">
      <c r="A587" s="8"/>
      <c r="B587" s="8" t="s">
        <v>301</v>
      </c>
      <c r="C587" s="8" t="s">
        <v>173</v>
      </c>
      <c r="D587" s="8">
        <v>6343100008</v>
      </c>
      <c r="E587" s="8" t="s">
        <v>395</v>
      </c>
      <c r="F587" s="73" t="s">
        <v>23</v>
      </c>
      <c r="G587" s="73" t="s">
        <v>136</v>
      </c>
      <c r="H587" s="112" t="s">
        <v>61</v>
      </c>
      <c r="I587" s="13" t="s">
        <v>22</v>
      </c>
      <c r="K587" s="187"/>
      <c r="L587" s="187"/>
      <c r="M587" s="188">
        <f>IF($G587="PAX",M112*'Insumos - OPEX'!I$48,M112*'Insumos - OPEX'!I$75)</f>
        <v>1124.5182588286377</v>
      </c>
      <c r="N587" s="211">
        <f>IF($G587="PAX",N112*'Insumos - OPEX'!J$48,N112*'Insumos - OPEX'!J$75)</f>
        <v>1354.7578614144034</v>
      </c>
      <c r="O587" s="211">
        <f>IF($G587="PAX",O112*'Insumos - OPEX'!K$48,O112*'Insumos - OPEX'!K$75)</f>
        <v>1568.2059098196319</v>
      </c>
      <c r="P587" s="211">
        <f>IF($G587="PAX",P112*'Insumos - OPEX'!L$48,P112*'Insumos - OPEX'!L$75)</f>
        <v>1707.8217798380253</v>
      </c>
      <c r="Q587" s="211">
        <f>IF($G587="PAX",Q112*'Insumos - OPEX'!M$48,Q112*'Insumos - OPEX'!M$75)</f>
        <v>1831.9155653754519</v>
      </c>
      <c r="R587" s="211">
        <f>IF($G587="PAX",R112*'Insumos - OPEX'!N$48,R112*'Insumos - OPEX'!N$75)</f>
        <v>1969.4503825939287</v>
      </c>
      <c r="S587" s="111"/>
    </row>
    <row r="588" spans="1:19" s="3" customFormat="1" x14ac:dyDescent="0.2">
      <c r="A588" s="8"/>
      <c r="B588" s="8" t="s">
        <v>301</v>
      </c>
      <c r="C588" s="8" t="s">
        <v>173</v>
      </c>
      <c r="D588" s="8">
        <v>6343100002</v>
      </c>
      <c r="E588" s="8" t="s">
        <v>396</v>
      </c>
      <c r="F588" s="73" t="s">
        <v>23</v>
      </c>
      <c r="G588" s="73" t="s">
        <v>136</v>
      </c>
      <c r="H588" s="112" t="s">
        <v>61</v>
      </c>
      <c r="I588" s="13" t="s">
        <v>22</v>
      </c>
      <c r="J588" s="11"/>
      <c r="K588" s="187"/>
      <c r="L588" s="187"/>
      <c r="M588" s="188">
        <f>IF($G588="PAX",M113*'Insumos - OPEX'!I$48,M113*'Insumos - OPEX'!I$75)</f>
        <v>992.08259190703541</v>
      </c>
      <c r="N588" s="211">
        <f>IF($G588="PAX",N113*'Insumos - OPEX'!J$48,N113*'Insumos - OPEX'!J$75)</f>
        <v>1195.2066407160466</v>
      </c>
      <c r="O588" s="211">
        <f>IF($G588="PAX",O113*'Insumos - OPEX'!K$48,O113*'Insumos - OPEX'!K$75)</f>
        <v>1383.5166938759983</v>
      </c>
      <c r="P588" s="211">
        <f>IF($G588="PAX",P113*'Insumos - OPEX'!L$48,P113*'Insumos - OPEX'!L$75)</f>
        <v>1506.689859906654</v>
      </c>
      <c r="Q588" s="211">
        <f>IF($G588="PAX",Q113*'Insumos - OPEX'!M$48,Q113*'Insumos - OPEX'!M$75)</f>
        <v>1616.1689932412837</v>
      </c>
      <c r="R588" s="211">
        <f>IF($G588="PAX",R113*'Insumos - OPEX'!N$48,R113*'Insumos - OPEX'!N$75)</f>
        <v>1737.5061941914012</v>
      </c>
      <c r="S588" s="111"/>
    </row>
    <row r="589" spans="1:19" x14ac:dyDescent="0.2">
      <c r="A589" s="8"/>
      <c r="B589" s="8" t="s">
        <v>301</v>
      </c>
      <c r="C589" s="8" t="s">
        <v>173</v>
      </c>
      <c r="D589" s="8">
        <v>6343100001</v>
      </c>
      <c r="E589" s="8" t="s">
        <v>397</v>
      </c>
      <c r="F589" s="73" t="s">
        <v>23</v>
      </c>
      <c r="G589" s="73" t="s">
        <v>136</v>
      </c>
      <c r="H589" s="112" t="s">
        <v>61</v>
      </c>
      <c r="I589" s="13" t="s">
        <v>22</v>
      </c>
      <c r="K589" s="187"/>
      <c r="L589" s="187"/>
      <c r="M589" s="188">
        <f>IF($G589="PAX",M114*'Insumos - OPEX'!I$48,M114*'Insumos - OPEX'!I$75)</f>
        <v>588.67879172728965</v>
      </c>
      <c r="N589" s="211">
        <f>IF($G589="PAX",N114*'Insumos - OPEX'!J$48,N114*'Insumos - OPEX'!J$75)</f>
        <v>709.20788940431919</v>
      </c>
      <c r="O589" s="211">
        <f>IF($G589="PAX",O114*'Insumos - OPEX'!K$48,O114*'Insumos - OPEX'!K$75)</f>
        <v>820.94670577767397</v>
      </c>
      <c r="P589" s="211">
        <f>IF($G589="PAX",P114*'Insumos - OPEX'!L$48,P114*'Insumos - OPEX'!L$75)</f>
        <v>894.03480463521919</v>
      </c>
      <c r="Q589" s="211">
        <f>IF($G589="PAX",Q114*'Insumos - OPEX'!M$48,Q114*'Insumos - OPEX'!M$75)</f>
        <v>958.99718222002832</v>
      </c>
      <c r="R589" s="211">
        <f>IF($G589="PAX",R114*'Insumos - OPEX'!N$48,R114*'Insumos - OPEX'!N$75)</f>
        <v>1030.9958619968625</v>
      </c>
      <c r="S589" s="111"/>
    </row>
    <row r="590" spans="1:19" x14ac:dyDescent="0.2">
      <c r="A590" s="8"/>
      <c r="B590" s="8" t="s">
        <v>301</v>
      </c>
      <c r="C590" s="8" t="s">
        <v>173</v>
      </c>
      <c r="D590" s="8">
        <v>6341100002</v>
      </c>
      <c r="E590" s="8" t="s">
        <v>398</v>
      </c>
      <c r="F590" s="73" t="s">
        <v>23</v>
      </c>
      <c r="G590" s="73" t="s">
        <v>136</v>
      </c>
      <c r="H590" s="112" t="s">
        <v>61</v>
      </c>
      <c r="I590" s="13" t="s">
        <v>22</v>
      </c>
      <c r="K590" s="187"/>
      <c r="L590" s="187"/>
      <c r="M590" s="188">
        <f>IF($G590="PAX",M115*'Insumos - OPEX'!I$48,M115*'Insumos - OPEX'!I$75)</f>
        <v>495.86660724085044</v>
      </c>
      <c r="N590" s="211">
        <f>IF($G590="PAX",N115*'Insumos - OPEX'!J$48,N115*'Insumos - OPEX'!J$75)</f>
        <v>597.39286498753177</v>
      </c>
      <c r="O590" s="211">
        <f>IF($G590="PAX",O115*'Insumos - OPEX'!K$48,O115*'Insumos - OPEX'!K$75)</f>
        <v>691.51473339999484</v>
      </c>
      <c r="P590" s="211">
        <f>IF($G590="PAX",P115*'Insumos - OPEX'!L$48,P115*'Insumos - OPEX'!L$75)</f>
        <v>753.07962773538361</v>
      </c>
      <c r="Q590" s="211">
        <f>IF($G590="PAX",Q115*'Insumos - OPEX'!M$48,Q115*'Insumos - OPEX'!M$75)</f>
        <v>807.79991700682228</v>
      </c>
      <c r="R590" s="211">
        <f>IF($G590="PAX",R115*'Insumos - OPEX'!N$48,R115*'Insumos - OPEX'!N$75)</f>
        <v>868.44715208387333</v>
      </c>
      <c r="S590" s="111"/>
    </row>
    <row r="591" spans="1:19" x14ac:dyDescent="0.2">
      <c r="A591" s="8"/>
      <c r="B591" s="8" t="s">
        <v>301</v>
      </c>
      <c r="C591" s="8" t="s">
        <v>173</v>
      </c>
      <c r="D591" s="8">
        <v>6341100001</v>
      </c>
      <c r="E591" s="8" t="s">
        <v>399</v>
      </c>
      <c r="F591" s="73" t="s">
        <v>23</v>
      </c>
      <c r="G591" s="73" t="s">
        <v>136</v>
      </c>
      <c r="H591" s="112" t="s">
        <v>61</v>
      </c>
      <c r="I591" s="13" t="s">
        <v>22</v>
      </c>
      <c r="K591" s="187"/>
      <c r="L591" s="187"/>
      <c r="M591" s="188">
        <f>IF($G591="PAX",M116*'Insumos - OPEX'!I$48,M116*'Insumos - OPEX'!I$75)</f>
        <v>217.25585863213823</v>
      </c>
      <c r="N591" s="211">
        <f>IF($G591="PAX",N116*'Insumos - OPEX'!J$48,N116*'Insumos - OPEX'!J$75)</f>
        <v>261.73793098461164</v>
      </c>
      <c r="O591" s="211">
        <f>IF($G591="PAX",O116*'Insumos - OPEX'!K$48,O116*'Insumos - OPEX'!K$75)</f>
        <v>302.97589103155354</v>
      </c>
      <c r="P591" s="211">
        <f>IF($G591="PAX",P116*'Insumos - OPEX'!L$48,P116*'Insumos - OPEX'!L$75)</f>
        <v>329.94954439945434</v>
      </c>
      <c r="Q591" s="211">
        <f>IF($G591="PAX",Q116*'Insumos - OPEX'!M$48,Q116*'Insumos - OPEX'!M$75)</f>
        <v>353.9243458010157</v>
      </c>
      <c r="R591" s="211">
        <f>IF($G591="PAX",R116*'Insumos - OPEX'!N$48,R116*'Insumos - OPEX'!N$75)</f>
        <v>380.49594174623343</v>
      </c>
      <c r="S591" s="111"/>
    </row>
    <row r="592" spans="1:19" x14ac:dyDescent="0.2">
      <c r="A592" s="8"/>
      <c r="B592" s="8" t="s">
        <v>301</v>
      </c>
      <c r="C592" s="8" t="s">
        <v>173</v>
      </c>
      <c r="D592" s="8">
        <v>6341100004</v>
      </c>
      <c r="E592" s="8" t="s">
        <v>400</v>
      </c>
      <c r="F592" s="73" t="s">
        <v>23</v>
      </c>
      <c r="G592" s="73" t="s">
        <v>136</v>
      </c>
      <c r="H592" s="112" t="s">
        <v>61</v>
      </c>
      <c r="I592" s="13" t="s">
        <v>22</v>
      </c>
      <c r="K592" s="187"/>
      <c r="L592" s="187"/>
      <c r="M592" s="188">
        <f>IF($G592="PAX",M117*'Insumos - OPEX'!I$48,M117*'Insumos - OPEX'!I$75)</f>
        <v>138.55050081260239</v>
      </c>
      <c r="N592" s="211">
        <f>IF($G592="PAX",N117*'Insumos - OPEX'!J$48,N117*'Insumos - OPEX'!J$75)</f>
        <v>166.91803686166674</v>
      </c>
      <c r="O592" s="211">
        <f>IF($G592="PAX",O117*'Insumos - OPEX'!K$48,O117*'Insumos - OPEX'!K$75)</f>
        <v>193.21670633353656</v>
      </c>
      <c r="P592" s="211">
        <f>IF($G592="PAX",P117*'Insumos - OPEX'!L$48,P117*'Insumos - OPEX'!L$75)</f>
        <v>210.41860462248499</v>
      </c>
      <c r="Q592" s="211">
        <f>IF($G592="PAX",Q117*'Insumos - OPEX'!M$48,Q117*'Insumos - OPEX'!M$75)</f>
        <v>225.70804612239596</v>
      </c>
      <c r="R592" s="211">
        <f>IF($G592="PAX",R117*'Insumos - OPEX'!N$48,R117*'Insumos - OPEX'!N$75)</f>
        <v>242.6535404753636</v>
      </c>
      <c r="S592" s="111"/>
    </row>
    <row r="593" spans="1:19" x14ac:dyDescent="0.2">
      <c r="A593" s="8"/>
      <c r="B593" s="8" t="s">
        <v>301</v>
      </c>
      <c r="C593" s="8" t="s">
        <v>173</v>
      </c>
      <c r="D593" s="8">
        <v>6343100015</v>
      </c>
      <c r="E593" s="8" t="s">
        <v>401</v>
      </c>
      <c r="F593" s="73" t="s">
        <v>23</v>
      </c>
      <c r="G593" s="73" t="s">
        <v>136</v>
      </c>
      <c r="H593" s="112" t="s">
        <v>61</v>
      </c>
      <c r="I593" s="13" t="s">
        <v>22</v>
      </c>
      <c r="K593" s="187"/>
      <c r="L593" s="187"/>
      <c r="M593" s="188">
        <f>IF($G593="PAX",M118*'Insumos - OPEX'!I$48,M118*'Insumos - OPEX'!I$75)</f>
        <v>124.56976175050765</v>
      </c>
      <c r="N593" s="211">
        <f>IF($G593="PAX",N118*'Insumos - OPEX'!J$48,N118*'Insumos - OPEX'!J$75)</f>
        <v>150.07480999180171</v>
      </c>
      <c r="O593" s="211">
        <f>IF($G593="PAX",O118*'Insumos - OPEX'!K$48,O118*'Insumos - OPEX'!K$75)</f>
        <v>173.71975512915049</v>
      </c>
      <c r="P593" s="211">
        <f>IF($G593="PAX",P118*'Insumos - OPEX'!L$48,P118*'Insumos - OPEX'!L$75)</f>
        <v>189.18585852786055</v>
      </c>
      <c r="Q593" s="211">
        <f>IF($G593="PAX",Q118*'Insumos - OPEX'!M$48,Q118*'Insumos - OPEX'!M$75)</f>
        <v>202.93248574156019</v>
      </c>
      <c r="R593" s="211">
        <f>IF($G593="PAX",R118*'Insumos - OPEX'!N$48,R118*'Insumos - OPEX'!N$75)</f>
        <v>218.16805820007374</v>
      </c>
      <c r="S593" s="111"/>
    </row>
    <row r="594" spans="1:19" x14ac:dyDescent="0.2">
      <c r="A594" s="8"/>
      <c r="B594" s="8" t="s">
        <v>301</v>
      </c>
      <c r="C594" s="8" t="s">
        <v>173</v>
      </c>
      <c r="D594" s="8">
        <v>6348000001</v>
      </c>
      <c r="E594" s="8" t="s">
        <v>402</v>
      </c>
      <c r="F594" s="73" t="s">
        <v>23</v>
      </c>
      <c r="G594" s="73" t="s">
        <v>136</v>
      </c>
      <c r="H594" s="112" t="s">
        <v>61</v>
      </c>
      <c r="I594" s="13" t="s">
        <v>22</v>
      </c>
      <c r="K594" s="187"/>
      <c r="L594" s="187"/>
      <c r="M594" s="188">
        <f>IF($G594="PAX",M119*'Insumos - OPEX'!I$48,M119*'Insumos - OPEX'!I$75)</f>
        <v>52.156498700452097</v>
      </c>
      <c r="N594" s="211">
        <f>IF($G594="PAX",N119*'Insumos - OPEX'!J$48,N119*'Insumos - OPEX'!J$75)</f>
        <v>62.835286206815788</v>
      </c>
      <c r="O594" s="211">
        <f>IF($G594="PAX",O119*'Insumos - OPEX'!K$48,O119*'Insumos - OPEX'!K$75)</f>
        <v>72.735261393397266</v>
      </c>
      <c r="P594" s="211">
        <f>IF($G594="PAX",P119*'Insumos - OPEX'!L$48,P119*'Insumos - OPEX'!L$75)</f>
        <v>79.210812044537462</v>
      </c>
      <c r="Q594" s="211">
        <f>IF($G594="PAX",Q119*'Insumos - OPEX'!M$48,Q119*'Insumos - OPEX'!M$75)</f>
        <v>84.96642989538401</v>
      </c>
      <c r="R594" s="211">
        <f>IF($G594="PAX",R119*'Insumos - OPEX'!N$48,R119*'Insumos - OPEX'!N$75)</f>
        <v>91.345458834402351</v>
      </c>
      <c r="S594" s="111"/>
    </row>
    <row r="595" spans="1:19" x14ac:dyDescent="0.2">
      <c r="A595" s="8"/>
      <c r="B595" s="8" t="s">
        <v>301</v>
      </c>
      <c r="C595" s="8" t="s">
        <v>173</v>
      </c>
      <c r="D595" s="8">
        <v>6343100017</v>
      </c>
      <c r="E595" s="8" t="s">
        <v>403</v>
      </c>
      <c r="F595" s="73" t="s">
        <v>23</v>
      </c>
      <c r="G595" s="73" t="s">
        <v>136</v>
      </c>
      <c r="H595" s="112" t="s">
        <v>61</v>
      </c>
      <c r="I595" s="13" t="s">
        <v>22</v>
      </c>
      <c r="K595" s="187"/>
      <c r="L595" s="187"/>
      <c r="M595" s="188">
        <f>IF($G595="PAX",M120*'Insumos - OPEX'!I$48,M120*'Insumos - OPEX'!I$75)</f>
        <v>0</v>
      </c>
      <c r="N595" s="211">
        <f>IF($G595="PAX",N120*'Insumos - OPEX'!J$48,N120*'Insumos - OPEX'!J$75)</f>
        <v>0</v>
      </c>
      <c r="O595" s="211">
        <f>IF($G595="PAX",O120*'Insumos - OPEX'!K$48,O120*'Insumos - OPEX'!K$75)</f>
        <v>0</v>
      </c>
      <c r="P595" s="211">
        <f>IF($G595="PAX",P120*'Insumos - OPEX'!L$48,P120*'Insumos - OPEX'!L$75)</f>
        <v>0</v>
      </c>
      <c r="Q595" s="211">
        <f>IF($G595="PAX",Q120*'Insumos - OPEX'!M$48,Q120*'Insumos - OPEX'!M$75)</f>
        <v>0</v>
      </c>
      <c r="R595" s="211">
        <f>IF($G595="PAX",R120*'Insumos - OPEX'!N$48,R120*'Insumos - OPEX'!N$75)</f>
        <v>0</v>
      </c>
      <c r="S595" s="111"/>
    </row>
    <row r="596" spans="1:19" x14ac:dyDescent="0.2">
      <c r="A596" s="8"/>
      <c r="B596" s="8" t="s">
        <v>301</v>
      </c>
      <c r="C596" s="8" t="s">
        <v>173</v>
      </c>
      <c r="D596" s="8">
        <v>6343100013</v>
      </c>
      <c r="E596" s="8" t="s">
        <v>404</v>
      </c>
      <c r="F596" s="73" t="s">
        <v>23</v>
      </c>
      <c r="G596" s="73" t="s">
        <v>136</v>
      </c>
      <c r="H596" s="112" t="s">
        <v>61</v>
      </c>
      <c r="I596" s="13" t="s">
        <v>22</v>
      </c>
      <c r="K596" s="187"/>
      <c r="L596" s="187"/>
      <c r="M596" s="188">
        <f>IF($G596="PAX",M121*'Insumos - OPEX'!I$48,M121*'Insumos - OPEX'!I$75)</f>
        <v>0</v>
      </c>
      <c r="N596" s="211">
        <f>IF($G596="PAX",N121*'Insumos - OPEX'!J$48,N121*'Insumos - OPEX'!J$75)</f>
        <v>0</v>
      </c>
      <c r="O596" s="211">
        <f>IF($G596="PAX",O121*'Insumos - OPEX'!K$48,O121*'Insumos - OPEX'!K$75)</f>
        <v>0</v>
      </c>
      <c r="P596" s="211">
        <f>IF($G596="PAX",P121*'Insumos - OPEX'!L$48,P121*'Insumos - OPEX'!L$75)</f>
        <v>0</v>
      </c>
      <c r="Q596" s="211">
        <f>IF($G596="PAX",Q121*'Insumos - OPEX'!M$48,Q121*'Insumos - OPEX'!M$75)</f>
        <v>0</v>
      </c>
      <c r="R596" s="211">
        <f>IF($G596="PAX",R121*'Insumos - OPEX'!N$48,R121*'Insumos - OPEX'!N$75)</f>
        <v>0</v>
      </c>
      <c r="S596" s="111"/>
    </row>
    <row r="597" spans="1:19" s="3" customFormat="1" x14ac:dyDescent="0.2">
      <c r="A597" s="8"/>
      <c r="B597" s="8" t="s">
        <v>301</v>
      </c>
      <c r="C597" s="8" t="s">
        <v>173</v>
      </c>
      <c r="D597" s="8">
        <v>6345000001</v>
      </c>
      <c r="E597" s="8" t="s">
        <v>405</v>
      </c>
      <c r="F597" s="73" t="s">
        <v>23</v>
      </c>
      <c r="G597" s="73" t="s">
        <v>136</v>
      </c>
      <c r="H597" s="112" t="s">
        <v>61</v>
      </c>
      <c r="I597" s="13" t="s">
        <v>22</v>
      </c>
      <c r="J597" s="11"/>
      <c r="K597" s="187"/>
      <c r="L597" s="187"/>
      <c r="M597" s="188">
        <f>IF($G597="PAX",M122*'Insumos - OPEX'!I$48,M122*'Insumos - OPEX'!I$75)</f>
        <v>0</v>
      </c>
      <c r="N597" s="211">
        <f>IF($G597="PAX",N122*'Insumos - OPEX'!J$48,N122*'Insumos - OPEX'!J$75)</f>
        <v>0</v>
      </c>
      <c r="O597" s="211">
        <f>IF($G597="PAX",O122*'Insumos - OPEX'!K$48,O122*'Insumos - OPEX'!K$75)</f>
        <v>0</v>
      </c>
      <c r="P597" s="211">
        <f>IF($G597="PAX",P122*'Insumos - OPEX'!L$48,P122*'Insumos - OPEX'!L$75)</f>
        <v>0</v>
      </c>
      <c r="Q597" s="211">
        <f>IF($G597="PAX",Q122*'Insumos - OPEX'!M$48,Q122*'Insumos - OPEX'!M$75)</f>
        <v>0</v>
      </c>
      <c r="R597" s="211">
        <f>IF($G597="PAX",R122*'Insumos - OPEX'!N$48,R122*'Insumos - OPEX'!N$75)</f>
        <v>0</v>
      </c>
      <c r="S597" s="111"/>
    </row>
    <row r="598" spans="1:19" s="3" customFormat="1" x14ac:dyDescent="0.2">
      <c r="A598" s="8"/>
      <c r="B598" s="8" t="s">
        <v>301</v>
      </c>
      <c r="C598" s="8" t="s">
        <v>173</v>
      </c>
      <c r="D598" s="8">
        <v>6343100003</v>
      </c>
      <c r="E598" s="8" t="s">
        <v>406</v>
      </c>
      <c r="F598" s="73" t="s">
        <v>23</v>
      </c>
      <c r="G598" s="73" t="s">
        <v>136</v>
      </c>
      <c r="H598" s="112" t="s">
        <v>61</v>
      </c>
      <c r="I598" s="13" t="s">
        <v>22</v>
      </c>
      <c r="J598" s="11"/>
      <c r="K598" s="187"/>
      <c r="L598" s="187"/>
      <c r="M598" s="188">
        <f>IF($G598="PAX",M123*'Insumos - OPEX'!I$48,M123*'Insumos - OPEX'!I$75)</f>
        <v>0</v>
      </c>
      <c r="N598" s="211">
        <f>IF($G598="PAX",N123*'Insumos - OPEX'!J$48,N123*'Insumos - OPEX'!J$75)</f>
        <v>0</v>
      </c>
      <c r="O598" s="211">
        <f>IF($G598="PAX",O123*'Insumos - OPEX'!K$48,O123*'Insumos - OPEX'!K$75)</f>
        <v>0</v>
      </c>
      <c r="P598" s="211">
        <f>IF($G598="PAX",P123*'Insumos - OPEX'!L$48,P123*'Insumos - OPEX'!L$75)</f>
        <v>0</v>
      </c>
      <c r="Q598" s="211">
        <f>IF($G598="PAX",Q123*'Insumos - OPEX'!M$48,Q123*'Insumos - OPEX'!M$75)</f>
        <v>0</v>
      </c>
      <c r="R598" s="211">
        <f>IF($G598="PAX",R123*'Insumos - OPEX'!N$48,R123*'Insumos - OPEX'!N$75)</f>
        <v>0</v>
      </c>
      <c r="S598" s="111"/>
    </row>
    <row r="599" spans="1:19" x14ac:dyDescent="0.2">
      <c r="A599" s="8"/>
      <c r="B599" s="8" t="s">
        <v>301</v>
      </c>
      <c r="C599" s="8" t="s">
        <v>173</v>
      </c>
      <c r="D599" s="8">
        <v>6341100009</v>
      </c>
      <c r="E599" s="8" t="s">
        <v>407</v>
      </c>
      <c r="F599" s="73" t="s">
        <v>23</v>
      </c>
      <c r="G599" s="73" t="s">
        <v>136</v>
      </c>
      <c r="H599" s="112" t="s">
        <v>61</v>
      </c>
      <c r="I599" s="13" t="s">
        <v>22</v>
      </c>
      <c r="K599" s="187"/>
      <c r="L599" s="187"/>
      <c r="M599" s="188">
        <f>IF($G599="PAX",M124*'Insumos - OPEX'!I$48,M124*'Insumos - OPEX'!I$75)</f>
        <v>0</v>
      </c>
      <c r="N599" s="211">
        <f>IF($G599="PAX",N124*'Insumos - OPEX'!J$48,N124*'Insumos - OPEX'!J$75)</f>
        <v>0</v>
      </c>
      <c r="O599" s="211">
        <f>IF($G599="PAX",O124*'Insumos - OPEX'!K$48,O124*'Insumos - OPEX'!K$75)</f>
        <v>0</v>
      </c>
      <c r="P599" s="211">
        <f>IF($G599="PAX",P124*'Insumos - OPEX'!L$48,P124*'Insumos - OPEX'!L$75)</f>
        <v>0</v>
      </c>
      <c r="Q599" s="211">
        <f>IF($G599="PAX",Q124*'Insumos - OPEX'!M$48,Q124*'Insumos - OPEX'!M$75)</f>
        <v>0</v>
      </c>
      <c r="R599" s="211">
        <f>IF($G599="PAX",R124*'Insumos - OPEX'!N$48,R124*'Insumos - OPEX'!N$75)</f>
        <v>0</v>
      </c>
      <c r="S599" s="111"/>
    </row>
    <row r="600" spans="1:19" x14ac:dyDescent="0.2">
      <c r="A600" s="8"/>
      <c r="B600" s="8" t="s">
        <v>301</v>
      </c>
      <c r="C600" s="8" t="s">
        <v>173</v>
      </c>
      <c r="D600" s="8">
        <v>6343100004</v>
      </c>
      <c r="E600" s="8" t="s">
        <v>408</v>
      </c>
      <c r="F600" s="73" t="s">
        <v>23</v>
      </c>
      <c r="G600" s="73" t="s">
        <v>136</v>
      </c>
      <c r="H600" s="112" t="s">
        <v>61</v>
      </c>
      <c r="I600" s="13" t="s">
        <v>22</v>
      </c>
      <c r="K600" s="187"/>
      <c r="L600" s="187"/>
      <c r="M600" s="188">
        <f>IF($G600="PAX",M125*'Insumos - OPEX'!I$48,M125*'Insumos - OPEX'!I$75)</f>
        <v>0</v>
      </c>
      <c r="N600" s="211">
        <f>IF($G600="PAX",N125*'Insumos - OPEX'!J$48,N125*'Insumos - OPEX'!J$75)</f>
        <v>0</v>
      </c>
      <c r="O600" s="211">
        <f>IF($G600="PAX",O125*'Insumos - OPEX'!K$48,O125*'Insumos - OPEX'!K$75)</f>
        <v>0</v>
      </c>
      <c r="P600" s="211">
        <f>IF($G600="PAX",P125*'Insumos - OPEX'!L$48,P125*'Insumos - OPEX'!L$75)</f>
        <v>0</v>
      </c>
      <c r="Q600" s="211">
        <f>IF($G600="PAX",Q125*'Insumos - OPEX'!M$48,Q125*'Insumos - OPEX'!M$75)</f>
        <v>0</v>
      </c>
      <c r="R600" s="211">
        <f>IF($G600="PAX",R125*'Insumos - OPEX'!N$48,R125*'Insumos - OPEX'!N$75)</f>
        <v>0</v>
      </c>
      <c r="S600" s="111"/>
    </row>
    <row r="601" spans="1:19" x14ac:dyDescent="0.2">
      <c r="A601" s="8"/>
      <c r="B601" s="8" t="s">
        <v>301</v>
      </c>
      <c r="C601" s="8" t="s">
        <v>173</v>
      </c>
      <c r="D601" s="8">
        <v>6344000002</v>
      </c>
      <c r="E601" s="8" t="s">
        <v>409</v>
      </c>
      <c r="F601" s="73" t="s">
        <v>23</v>
      </c>
      <c r="G601" s="73" t="s">
        <v>136</v>
      </c>
      <c r="H601" s="112" t="s">
        <v>61</v>
      </c>
      <c r="I601" s="13" t="s">
        <v>22</v>
      </c>
      <c r="K601" s="187"/>
      <c r="L601" s="187"/>
      <c r="M601" s="188">
        <f>IF($G601="PAX",M126*'Insumos - OPEX'!I$48,M126*'Insumos - OPEX'!I$75)</f>
        <v>0</v>
      </c>
      <c r="N601" s="211">
        <f>IF($G601="PAX",N126*'Insumos - OPEX'!J$48,N126*'Insumos - OPEX'!J$75)</f>
        <v>0</v>
      </c>
      <c r="O601" s="211">
        <f>IF($G601="PAX",O126*'Insumos - OPEX'!K$48,O126*'Insumos - OPEX'!K$75)</f>
        <v>0</v>
      </c>
      <c r="P601" s="211">
        <f>IF($G601="PAX",P126*'Insumos - OPEX'!L$48,P126*'Insumos - OPEX'!L$75)</f>
        <v>0</v>
      </c>
      <c r="Q601" s="211">
        <f>IF($G601="PAX",Q126*'Insumos - OPEX'!M$48,Q126*'Insumos - OPEX'!M$75)</f>
        <v>0</v>
      </c>
      <c r="R601" s="211">
        <f>IF($G601="PAX",R126*'Insumos - OPEX'!N$48,R126*'Insumos - OPEX'!N$75)</f>
        <v>0</v>
      </c>
      <c r="S601" s="111"/>
    </row>
    <row r="602" spans="1:19" x14ac:dyDescent="0.2">
      <c r="A602" s="8"/>
      <c r="B602" s="8" t="s">
        <v>301</v>
      </c>
      <c r="C602" s="8" t="s">
        <v>173</v>
      </c>
      <c r="D602" s="8">
        <v>6342000001</v>
      </c>
      <c r="E602" s="8" t="s">
        <v>410</v>
      </c>
      <c r="F602" s="73" t="s">
        <v>23</v>
      </c>
      <c r="G602" s="73" t="s">
        <v>136</v>
      </c>
      <c r="H602" s="112" t="s">
        <v>61</v>
      </c>
      <c r="I602" s="13" t="s">
        <v>22</v>
      </c>
      <c r="K602" s="187"/>
      <c r="L602" s="187"/>
      <c r="M602" s="188">
        <f>IF($G602="PAX",M127*'Insumos - OPEX'!I$48,M127*'Insumos - OPEX'!I$75)</f>
        <v>0</v>
      </c>
      <c r="N602" s="211">
        <f>IF($G602="PAX",N127*'Insumos - OPEX'!J$48,N127*'Insumos - OPEX'!J$75)</f>
        <v>0</v>
      </c>
      <c r="O602" s="211">
        <f>IF($G602="PAX",O127*'Insumos - OPEX'!K$48,O127*'Insumos - OPEX'!K$75)</f>
        <v>0</v>
      </c>
      <c r="P602" s="211">
        <f>IF($G602="PAX",P127*'Insumos - OPEX'!L$48,P127*'Insumos - OPEX'!L$75)</f>
        <v>0</v>
      </c>
      <c r="Q602" s="211">
        <f>IF($G602="PAX",Q127*'Insumos - OPEX'!M$48,Q127*'Insumos - OPEX'!M$75)</f>
        <v>0</v>
      </c>
      <c r="R602" s="211">
        <f>IF($G602="PAX",R127*'Insumos - OPEX'!N$48,R127*'Insumos - OPEX'!N$75)</f>
        <v>0</v>
      </c>
      <c r="S602" s="111"/>
    </row>
    <row r="603" spans="1:19" x14ac:dyDescent="0.2">
      <c r="A603" s="8"/>
      <c r="B603" s="8" t="s">
        <v>301</v>
      </c>
      <c r="C603" s="8" t="s">
        <v>173</v>
      </c>
      <c r="D603" s="8">
        <v>6341100005</v>
      </c>
      <c r="E603" s="8" t="s">
        <v>411</v>
      </c>
      <c r="F603" s="73" t="s">
        <v>23</v>
      </c>
      <c r="G603" s="73" t="s">
        <v>136</v>
      </c>
      <c r="H603" s="112" t="s">
        <v>61</v>
      </c>
      <c r="I603" s="13" t="s">
        <v>22</v>
      </c>
      <c r="K603" s="187"/>
      <c r="L603" s="187"/>
      <c r="M603" s="188">
        <f>IF($G603="PAX",M128*'Insumos - OPEX'!I$48,M128*'Insumos - OPEX'!I$75)</f>
        <v>0</v>
      </c>
      <c r="N603" s="211">
        <f>IF($G603="PAX",N128*'Insumos - OPEX'!J$48,N128*'Insumos - OPEX'!J$75)</f>
        <v>0</v>
      </c>
      <c r="O603" s="211">
        <f>IF($G603="PAX",O128*'Insumos - OPEX'!K$48,O128*'Insumos - OPEX'!K$75)</f>
        <v>0</v>
      </c>
      <c r="P603" s="211">
        <f>IF($G603="PAX",P128*'Insumos - OPEX'!L$48,P128*'Insumos - OPEX'!L$75)</f>
        <v>0</v>
      </c>
      <c r="Q603" s="211">
        <f>IF($G603="PAX",Q128*'Insumos - OPEX'!M$48,Q128*'Insumos - OPEX'!M$75)</f>
        <v>0</v>
      </c>
      <c r="R603" s="211">
        <f>IF($G603="PAX",R128*'Insumos - OPEX'!N$48,R128*'Insumos - OPEX'!N$75)</f>
        <v>0</v>
      </c>
      <c r="S603" s="111"/>
    </row>
    <row r="604" spans="1:19" x14ac:dyDescent="0.2">
      <c r="A604" s="8"/>
      <c r="B604" s="8" t="s">
        <v>301</v>
      </c>
      <c r="C604" s="8" t="s">
        <v>173</v>
      </c>
      <c r="D604" s="8">
        <v>6342000002</v>
      </c>
      <c r="E604" s="8" t="s">
        <v>412</v>
      </c>
      <c r="F604" s="73" t="s">
        <v>23</v>
      </c>
      <c r="G604" s="73" t="s">
        <v>136</v>
      </c>
      <c r="H604" s="112" t="s">
        <v>61</v>
      </c>
      <c r="I604" s="13" t="s">
        <v>22</v>
      </c>
      <c r="K604" s="187"/>
      <c r="L604" s="187"/>
      <c r="M604" s="188">
        <f>IF($G604="PAX",M129*'Insumos - OPEX'!I$48,M129*'Insumos - OPEX'!I$75)</f>
        <v>0</v>
      </c>
      <c r="N604" s="211">
        <f>IF($G604="PAX",N129*'Insumos - OPEX'!J$48,N129*'Insumos - OPEX'!J$75)</f>
        <v>0</v>
      </c>
      <c r="O604" s="211">
        <f>IF($G604="PAX",O129*'Insumos - OPEX'!K$48,O129*'Insumos - OPEX'!K$75)</f>
        <v>0</v>
      </c>
      <c r="P604" s="211">
        <f>IF($G604="PAX",P129*'Insumos - OPEX'!L$48,P129*'Insumos - OPEX'!L$75)</f>
        <v>0</v>
      </c>
      <c r="Q604" s="211">
        <f>IF($G604="PAX",Q129*'Insumos - OPEX'!M$48,Q129*'Insumos - OPEX'!M$75)</f>
        <v>0</v>
      </c>
      <c r="R604" s="211">
        <f>IF($G604="PAX",R129*'Insumos - OPEX'!N$48,R129*'Insumos - OPEX'!N$75)</f>
        <v>0</v>
      </c>
      <c r="S604" s="111"/>
    </row>
    <row r="605" spans="1:19" x14ac:dyDescent="0.2">
      <c r="A605" s="8"/>
      <c r="B605" s="8" t="s">
        <v>301</v>
      </c>
      <c r="C605" s="8" t="s">
        <v>173</v>
      </c>
      <c r="D605" s="8">
        <v>6343100014</v>
      </c>
      <c r="E605" s="8" t="s">
        <v>413</v>
      </c>
      <c r="F605" s="73" t="s">
        <v>23</v>
      </c>
      <c r="G605" s="73" t="s">
        <v>136</v>
      </c>
      <c r="H605" s="112" t="s">
        <v>61</v>
      </c>
      <c r="I605" s="13" t="s">
        <v>22</v>
      </c>
      <c r="K605" s="187"/>
      <c r="L605" s="187"/>
      <c r="M605" s="188">
        <f>IF($G605="PAX",M130*'Insumos - OPEX'!I$48,M130*'Insumos - OPEX'!I$75)</f>
        <v>0</v>
      </c>
      <c r="N605" s="211">
        <f>IF($G605="PAX",N130*'Insumos - OPEX'!J$48,N130*'Insumos - OPEX'!J$75)</f>
        <v>0</v>
      </c>
      <c r="O605" s="211">
        <f>IF($G605="PAX",O130*'Insumos - OPEX'!K$48,O130*'Insumos - OPEX'!K$75)</f>
        <v>0</v>
      </c>
      <c r="P605" s="211">
        <f>IF($G605="PAX",P130*'Insumos - OPEX'!L$48,P130*'Insumos - OPEX'!L$75)</f>
        <v>0</v>
      </c>
      <c r="Q605" s="211">
        <f>IF($G605="PAX",Q130*'Insumos - OPEX'!M$48,Q130*'Insumos - OPEX'!M$75)</f>
        <v>0</v>
      </c>
      <c r="R605" s="211">
        <f>IF($G605="PAX",R130*'Insumos - OPEX'!N$48,R130*'Insumos - OPEX'!N$75)</f>
        <v>0</v>
      </c>
      <c r="S605" s="111"/>
    </row>
    <row r="606" spans="1:19" s="3" customFormat="1" x14ac:dyDescent="0.2">
      <c r="A606" s="8"/>
      <c r="B606" s="8" t="s">
        <v>301</v>
      </c>
      <c r="C606" s="8" t="s">
        <v>173</v>
      </c>
      <c r="D606" s="8">
        <v>6341100007</v>
      </c>
      <c r="E606" s="8" t="s">
        <v>414</v>
      </c>
      <c r="F606" s="73" t="s">
        <v>23</v>
      </c>
      <c r="G606" s="73" t="s">
        <v>136</v>
      </c>
      <c r="H606" s="112" t="s">
        <v>61</v>
      </c>
      <c r="I606" s="13" t="s">
        <v>22</v>
      </c>
      <c r="J606" s="11"/>
      <c r="K606" s="187"/>
      <c r="L606" s="187"/>
      <c r="M606" s="188">
        <f>IF($G606="PAX",M131*'Insumos - OPEX'!I$48,M131*'Insumos - OPEX'!I$75)</f>
        <v>0</v>
      </c>
      <c r="N606" s="211">
        <f>IF($G606="PAX",N131*'Insumos - OPEX'!J$48,N131*'Insumos - OPEX'!J$75)</f>
        <v>0</v>
      </c>
      <c r="O606" s="211">
        <f>IF($G606="PAX",O131*'Insumos - OPEX'!K$48,O131*'Insumos - OPEX'!K$75)</f>
        <v>0</v>
      </c>
      <c r="P606" s="211">
        <f>IF($G606="PAX",P131*'Insumos - OPEX'!L$48,P131*'Insumos - OPEX'!L$75)</f>
        <v>0</v>
      </c>
      <c r="Q606" s="211">
        <f>IF($G606="PAX",Q131*'Insumos - OPEX'!M$48,Q131*'Insumos - OPEX'!M$75)</f>
        <v>0</v>
      </c>
      <c r="R606" s="211">
        <f>IF($G606="PAX",R131*'Insumos - OPEX'!N$48,R131*'Insumos - OPEX'!N$75)</f>
        <v>0</v>
      </c>
      <c r="S606" s="111"/>
    </row>
    <row r="607" spans="1:19" x14ac:dyDescent="0.2">
      <c r="A607" s="8"/>
      <c r="B607" s="8" t="s">
        <v>301</v>
      </c>
      <c r="C607" s="8" t="s">
        <v>173</v>
      </c>
      <c r="D607" s="8">
        <v>6343100016</v>
      </c>
      <c r="E607" s="8" t="s">
        <v>415</v>
      </c>
      <c r="F607" s="73" t="s">
        <v>23</v>
      </c>
      <c r="G607" s="73" t="s">
        <v>136</v>
      </c>
      <c r="H607" s="112" t="s">
        <v>61</v>
      </c>
      <c r="I607" s="13" t="s">
        <v>22</v>
      </c>
      <c r="K607" s="187"/>
      <c r="L607" s="187"/>
      <c r="M607" s="188">
        <f>IF($G607="PAX",M132*'Insumos - OPEX'!I$48,M132*'Insumos - OPEX'!I$75)</f>
        <v>0</v>
      </c>
      <c r="N607" s="211">
        <f>IF($G607="PAX",N132*'Insumos - OPEX'!J$48,N132*'Insumos - OPEX'!J$75)</f>
        <v>0</v>
      </c>
      <c r="O607" s="211">
        <f>IF($G607="PAX",O132*'Insumos - OPEX'!K$48,O132*'Insumos - OPEX'!K$75)</f>
        <v>0</v>
      </c>
      <c r="P607" s="211">
        <f>IF($G607="PAX",P132*'Insumos - OPEX'!L$48,P132*'Insumos - OPEX'!L$75)</f>
        <v>0</v>
      </c>
      <c r="Q607" s="211">
        <f>IF($G607="PAX",Q132*'Insumos - OPEX'!M$48,Q132*'Insumos - OPEX'!M$75)</f>
        <v>0</v>
      </c>
      <c r="R607" s="211">
        <f>IF($G607="PAX",R132*'Insumos - OPEX'!N$48,R132*'Insumos - OPEX'!N$75)</f>
        <v>0</v>
      </c>
      <c r="S607" s="111"/>
    </row>
    <row r="608" spans="1:19" x14ac:dyDescent="0.2">
      <c r="A608" s="8"/>
      <c r="B608" s="8" t="s">
        <v>301</v>
      </c>
      <c r="C608" s="8" t="s">
        <v>173</v>
      </c>
      <c r="D608" s="8">
        <v>6341100008</v>
      </c>
      <c r="E608" s="8" t="s">
        <v>416</v>
      </c>
      <c r="F608" s="73" t="s">
        <v>23</v>
      </c>
      <c r="G608" s="73" t="s">
        <v>136</v>
      </c>
      <c r="H608" s="112" t="s">
        <v>61</v>
      </c>
      <c r="I608" s="13" t="s">
        <v>22</v>
      </c>
      <c r="J608" s="40"/>
      <c r="K608" s="187"/>
      <c r="L608" s="187"/>
      <c r="M608" s="188">
        <f>IF($G608="PAX",M133*'Insumos - OPEX'!I$48,M133*'Insumos - OPEX'!I$75)</f>
        <v>0</v>
      </c>
      <c r="N608" s="211">
        <f>IF($G608="PAX",N133*'Insumos - OPEX'!J$48,N133*'Insumos - OPEX'!J$75)</f>
        <v>0</v>
      </c>
      <c r="O608" s="211">
        <f>IF($G608="PAX",O133*'Insumos - OPEX'!K$48,O133*'Insumos - OPEX'!K$75)</f>
        <v>0</v>
      </c>
      <c r="P608" s="211">
        <f>IF($G608="PAX",P133*'Insumos - OPEX'!L$48,P133*'Insumos - OPEX'!L$75)</f>
        <v>0</v>
      </c>
      <c r="Q608" s="211">
        <f>IF($G608="PAX",Q133*'Insumos - OPEX'!M$48,Q133*'Insumos - OPEX'!M$75)</f>
        <v>0</v>
      </c>
      <c r="R608" s="211">
        <f>IF($G608="PAX",R133*'Insumos - OPEX'!N$48,R133*'Insumos - OPEX'!N$75)</f>
        <v>0</v>
      </c>
      <c r="S608" s="111"/>
    </row>
    <row r="609" spans="1:19" x14ac:dyDescent="0.2">
      <c r="A609" s="8"/>
      <c r="B609" s="8" t="s">
        <v>301</v>
      </c>
      <c r="C609" s="8" t="s">
        <v>173</v>
      </c>
      <c r="D609" s="8">
        <v>6344000001</v>
      </c>
      <c r="E609" s="8" t="s">
        <v>417</v>
      </c>
      <c r="F609" s="73" t="s">
        <v>23</v>
      </c>
      <c r="G609" s="73" t="s">
        <v>136</v>
      </c>
      <c r="H609" s="112" t="s">
        <v>61</v>
      </c>
      <c r="I609" s="13" t="s">
        <v>22</v>
      </c>
      <c r="K609" s="187"/>
      <c r="L609" s="187"/>
      <c r="M609" s="188">
        <f>IF($G609="PAX",M134*'Insumos - OPEX'!I$48,M134*'Insumos - OPEX'!I$75)</f>
        <v>0</v>
      </c>
      <c r="N609" s="211">
        <f>IF($G609="PAX",N134*'Insumos - OPEX'!J$48,N134*'Insumos - OPEX'!J$75)</f>
        <v>0</v>
      </c>
      <c r="O609" s="211">
        <f>IF($G609="PAX",O134*'Insumos - OPEX'!K$48,O134*'Insumos - OPEX'!K$75)</f>
        <v>0</v>
      </c>
      <c r="P609" s="211">
        <f>IF($G609="PAX",P134*'Insumos - OPEX'!L$48,P134*'Insumos - OPEX'!L$75)</f>
        <v>0</v>
      </c>
      <c r="Q609" s="211">
        <f>IF($G609="PAX",Q134*'Insumos - OPEX'!M$48,Q134*'Insumos - OPEX'!M$75)</f>
        <v>0</v>
      </c>
      <c r="R609" s="211">
        <f>IF($G609="PAX",R134*'Insumos - OPEX'!N$48,R134*'Insumos - OPEX'!N$75)</f>
        <v>0</v>
      </c>
      <c r="S609" s="111"/>
    </row>
    <row r="610" spans="1:19" x14ac:dyDescent="0.2">
      <c r="A610" s="8"/>
      <c r="B610" s="8" t="s">
        <v>301</v>
      </c>
      <c r="C610" s="8" t="s">
        <v>173</v>
      </c>
      <c r="D610" s="8">
        <v>6343100009</v>
      </c>
      <c r="E610" s="8" t="s">
        <v>418</v>
      </c>
      <c r="F610" s="73" t="s">
        <v>23</v>
      </c>
      <c r="G610" s="73" t="s">
        <v>136</v>
      </c>
      <c r="H610" s="112" t="s">
        <v>61</v>
      </c>
      <c r="I610" s="13" t="s">
        <v>22</v>
      </c>
      <c r="K610" s="187"/>
      <c r="L610" s="187"/>
      <c r="M610" s="188">
        <f>IF($G610="PAX",M135*'Insumos - OPEX'!I$48,M135*'Insumos - OPEX'!I$75)</f>
        <v>0</v>
      </c>
      <c r="N610" s="211">
        <f>IF($G610="PAX",N135*'Insumos - OPEX'!J$48,N135*'Insumos - OPEX'!J$75)</f>
        <v>0</v>
      </c>
      <c r="O610" s="211">
        <f>IF($G610="PAX",O135*'Insumos - OPEX'!K$48,O135*'Insumos - OPEX'!K$75)</f>
        <v>0</v>
      </c>
      <c r="P610" s="211">
        <f>IF($G610="PAX",P135*'Insumos - OPEX'!L$48,P135*'Insumos - OPEX'!L$75)</f>
        <v>0</v>
      </c>
      <c r="Q610" s="211">
        <f>IF($G610="PAX",Q135*'Insumos - OPEX'!M$48,Q135*'Insumos - OPEX'!M$75)</f>
        <v>0</v>
      </c>
      <c r="R610" s="211">
        <f>IF($G610="PAX",R135*'Insumos - OPEX'!N$48,R135*'Insumos - OPEX'!N$75)</f>
        <v>0</v>
      </c>
      <c r="S610" s="111"/>
    </row>
    <row r="611" spans="1:19" x14ac:dyDescent="0.2">
      <c r="A611" s="8"/>
      <c r="B611" s="8" t="s">
        <v>301</v>
      </c>
      <c r="C611" s="8" t="s">
        <v>173</v>
      </c>
      <c r="D611" s="8">
        <v>6344000003</v>
      </c>
      <c r="E611" s="8" t="s">
        <v>419</v>
      </c>
      <c r="F611" s="73" t="s">
        <v>23</v>
      </c>
      <c r="G611" s="73" t="s">
        <v>136</v>
      </c>
      <c r="H611" s="112" t="s">
        <v>61</v>
      </c>
      <c r="I611" s="13" t="s">
        <v>22</v>
      </c>
      <c r="K611" s="187"/>
      <c r="L611" s="187"/>
      <c r="M611" s="188">
        <f>IF($G611="PAX",M136*'Insumos - OPEX'!I$48,M136*'Insumos - OPEX'!I$75)</f>
        <v>0</v>
      </c>
      <c r="N611" s="211">
        <f>IF($G611="PAX",N136*'Insumos - OPEX'!J$48,N136*'Insumos - OPEX'!J$75)</f>
        <v>0</v>
      </c>
      <c r="O611" s="211">
        <f>IF($G611="PAX",O136*'Insumos - OPEX'!K$48,O136*'Insumos - OPEX'!K$75)</f>
        <v>0</v>
      </c>
      <c r="P611" s="211">
        <f>IF($G611="PAX",P136*'Insumos - OPEX'!L$48,P136*'Insumos - OPEX'!L$75)</f>
        <v>0</v>
      </c>
      <c r="Q611" s="211">
        <f>IF($G611="PAX",Q136*'Insumos - OPEX'!M$48,Q136*'Insumos - OPEX'!M$75)</f>
        <v>0</v>
      </c>
      <c r="R611" s="211">
        <f>IF($G611="PAX",R136*'Insumos - OPEX'!N$48,R136*'Insumos - OPEX'!N$75)</f>
        <v>0</v>
      </c>
      <c r="S611" s="111"/>
    </row>
    <row r="612" spans="1:19" x14ac:dyDescent="0.2">
      <c r="A612" s="8"/>
      <c r="B612" s="8" t="s">
        <v>301</v>
      </c>
      <c r="C612" s="8" t="s">
        <v>173</v>
      </c>
      <c r="D612" s="8">
        <v>6343100010</v>
      </c>
      <c r="E612" s="8" t="s">
        <v>420</v>
      </c>
      <c r="F612" s="73" t="s">
        <v>23</v>
      </c>
      <c r="G612" s="73" t="s">
        <v>136</v>
      </c>
      <c r="H612" s="112" t="s">
        <v>61</v>
      </c>
      <c r="I612" s="13" t="s">
        <v>22</v>
      </c>
      <c r="K612" s="187"/>
      <c r="L612" s="187"/>
      <c r="M612" s="188">
        <f>IF($G612="PAX",M137*'Insumos - OPEX'!I$48,M137*'Insumos - OPEX'!I$75)</f>
        <v>0</v>
      </c>
      <c r="N612" s="211">
        <f>IF($G612="PAX",N137*'Insumos - OPEX'!J$48,N137*'Insumos - OPEX'!J$75)</f>
        <v>0</v>
      </c>
      <c r="O612" s="211">
        <f>IF($G612="PAX",O137*'Insumos - OPEX'!K$48,O137*'Insumos - OPEX'!K$75)</f>
        <v>0</v>
      </c>
      <c r="P612" s="211">
        <f>IF($G612="PAX",P137*'Insumos - OPEX'!L$48,P137*'Insumos - OPEX'!L$75)</f>
        <v>0</v>
      </c>
      <c r="Q612" s="211">
        <f>IF($G612="PAX",Q137*'Insumos - OPEX'!M$48,Q137*'Insumos - OPEX'!M$75)</f>
        <v>0</v>
      </c>
      <c r="R612" s="211">
        <f>IF($G612="PAX",R137*'Insumos - OPEX'!N$48,R137*'Insumos - OPEX'!N$75)</f>
        <v>0</v>
      </c>
      <c r="S612" s="111"/>
    </row>
    <row r="613" spans="1:19" x14ac:dyDescent="0.2">
      <c r="A613" s="8"/>
      <c r="B613" s="8" t="s">
        <v>301</v>
      </c>
      <c r="C613" s="8" t="s">
        <v>173</v>
      </c>
      <c r="D613" s="8">
        <v>6346000001</v>
      </c>
      <c r="E613" s="8" t="s">
        <v>421</v>
      </c>
      <c r="F613" s="73" t="s">
        <v>23</v>
      </c>
      <c r="G613" s="73" t="s">
        <v>136</v>
      </c>
      <c r="H613" s="112" t="s">
        <v>61</v>
      </c>
      <c r="I613" s="13" t="s">
        <v>22</v>
      </c>
      <c r="J613" s="11"/>
      <c r="K613" s="187"/>
      <c r="L613" s="187"/>
      <c r="M613" s="188">
        <f>IF($G613="PAX",M138*'Insumos - OPEX'!I$48,M138*'Insumos - OPEX'!I$75)</f>
        <v>0</v>
      </c>
      <c r="N613" s="211">
        <f>IF($G613="PAX",N138*'Insumos - OPEX'!J$48,N138*'Insumos - OPEX'!J$75)</f>
        <v>0</v>
      </c>
      <c r="O613" s="211">
        <f>IF($G613="PAX",O138*'Insumos - OPEX'!K$48,O138*'Insumos - OPEX'!K$75)</f>
        <v>0</v>
      </c>
      <c r="P613" s="211">
        <f>IF($G613="PAX",P138*'Insumos - OPEX'!L$48,P138*'Insumos - OPEX'!L$75)</f>
        <v>0</v>
      </c>
      <c r="Q613" s="211">
        <f>IF($G613="PAX",Q138*'Insumos - OPEX'!M$48,Q138*'Insumos - OPEX'!M$75)</f>
        <v>0</v>
      </c>
      <c r="R613" s="211">
        <f>IF($G613="PAX",R138*'Insumos - OPEX'!N$48,R138*'Insumos - OPEX'!N$75)</f>
        <v>0</v>
      </c>
      <c r="S613" s="111"/>
    </row>
    <row r="614" spans="1:19" x14ac:dyDescent="0.2">
      <c r="A614" s="8"/>
      <c r="B614" s="8" t="s">
        <v>301</v>
      </c>
      <c r="C614" s="8" t="s">
        <v>173</v>
      </c>
      <c r="D614" s="8">
        <v>6343100011</v>
      </c>
      <c r="E614" s="8" t="s">
        <v>422</v>
      </c>
      <c r="F614" s="73" t="s">
        <v>23</v>
      </c>
      <c r="G614" s="73" t="s">
        <v>136</v>
      </c>
      <c r="H614" s="112" t="s">
        <v>61</v>
      </c>
      <c r="I614" s="13" t="s">
        <v>22</v>
      </c>
      <c r="K614" s="187"/>
      <c r="L614" s="187"/>
      <c r="M614" s="188">
        <f>IF($G614="PAX",M139*'Insumos - OPEX'!I$48,M139*'Insumos - OPEX'!I$75)</f>
        <v>0</v>
      </c>
      <c r="N614" s="211">
        <f>IF($G614="PAX",N139*'Insumos - OPEX'!J$48,N139*'Insumos - OPEX'!J$75)</f>
        <v>0</v>
      </c>
      <c r="O614" s="211">
        <f>IF($G614="PAX",O139*'Insumos - OPEX'!K$48,O139*'Insumos - OPEX'!K$75)</f>
        <v>0</v>
      </c>
      <c r="P614" s="211">
        <f>IF($G614="PAX",P139*'Insumos - OPEX'!L$48,P139*'Insumos - OPEX'!L$75)</f>
        <v>0</v>
      </c>
      <c r="Q614" s="211">
        <f>IF($G614="PAX",Q139*'Insumos - OPEX'!M$48,Q139*'Insumos - OPEX'!M$75)</f>
        <v>0</v>
      </c>
      <c r="R614" s="211">
        <f>IF($G614="PAX",R139*'Insumos - OPEX'!N$48,R139*'Insumos - OPEX'!N$75)</f>
        <v>0</v>
      </c>
      <c r="S614" s="111"/>
    </row>
    <row r="615" spans="1:19" x14ac:dyDescent="0.2">
      <c r="A615" s="8"/>
      <c r="B615" s="8" t="s">
        <v>301</v>
      </c>
      <c r="C615" s="8" t="s">
        <v>173</v>
      </c>
      <c r="D615" s="8">
        <v>6343100012</v>
      </c>
      <c r="E615" s="8" t="s">
        <v>423</v>
      </c>
      <c r="F615" s="73" t="s">
        <v>23</v>
      </c>
      <c r="G615" s="73" t="s">
        <v>136</v>
      </c>
      <c r="H615" s="112" t="s">
        <v>61</v>
      </c>
      <c r="I615" s="13" t="s">
        <v>22</v>
      </c>
      <c r="K615" s="187"/>
      <c r="L615" s="187"/>
      <c r="M615" s="188">
        <f>IF($G615="PAX",M140*'Insumos - OPEX'!I$48,M140*'Insumos - OPEX'!I$75)</f>
        <v>0</v>
      </c>
      <c r="N615" s="211">
        <f>IF($G615="PAX",N140*'Insumos - OPEX'!J$48,N140*'Insumos - OPEX'!J$75)</f>
        <v>0</v>
      </c>
      <c r="O615" s="211">
        <f>IF($G615="PAX",O140*'Insumos - OPEX'!K$48,O140*'Insumos - OPEX'!K$75)</f>
        <v>0</v>
      </c>
      <c r="P615" s="211">
        <f>IF($G615="PAX",P140*'Insumos - OPEX'!L$48,P140*'Insumos - OPEX'!L$75)</f>
        <v>0</v>
      </c>
      <c r="Q615" s="211">
        <f>IF($G615="PAX",Q140*'Insumos - OPEX'!M$48,Q140*'Insumos - OPEX'!M$75)</f>
        <v>0</v>
      </c>
      <c r="R615" s="211">
        <f>IF($G615="PAX",R140*'Insumos - OPEX'!N$48,R140*'Insumos - OPEX'!N$75)</f>
        <v>0</v>
      </c>
      <c r="S615" s="111"/>
    </row>
    <row r="616" spans="1:19" x14ac:dyDescent="0.2">
      <c r="A616" s="8"/>
      <c r="B616" s="8" t="s">
        <v>301</v>
      </c>
      <c r="C616" s="8" t="s">
        <v>173</v>
      </c>
      <c r="D616" s="8">
        <v>6343100005</v>
      </c>
      <c r="E616" s="8" t="s">
        <v>424</v>
      </c>
      <c r="F616" s="73" t="s">
        <v>23</v>
      </c>
      <c r="G616" s="73" t="s">
        <v>136</v>
      </c>
      <c r="H616" s="112" t="s">
        <v>61</v>
      </c>
      <c r="I616" s="13" t="s">
        <v>22</v>
      </c>
      <c r="K616" s="187"/>
      <c r="L616" s="187"/>
      <c r="M616" s="188">
        <f>IF($G616="PAX",M141*'Insumos - OPEX'!I$48,M141*'Insumos - OPEX'!I$75)</f>
        <v>0</v>
      </c>
      <c r="N616" s="211">
        <f>IF($G616="PAX",N141*'Insumos - OPEX'!J$48,N141*'Insumos - OPEX'!J$75)</f>
        <v>0</v>
      </c>
      <c r="O616" s="211">
        <f>IF($G616="PAX",O141*'Insumos - OPEX'!K$48,O141*'Insumos - OPEX'!K$75)</f>
        <v>0</v>
      </c>
      <c r="P616" s="211">
        <f>IF($G616="PAX",P141*'Insumos - OPEX'!L$48,P141*'Insumos - OPEX'!L$75)</f>
        <v>0</v>
      </c>
      <c r="Q616" s="211">
        <f>IF($G616="PAX",Q141*'Insumos - OPEX'!M$48,Q141*'Insumos - OPEX'!M$75)</f>
        <v>0</v>
      </c>
      <c r="R616" s="211">
        <f>IF($G616="PAX",R141*'Insumos - OPEX'!N$48,R141*'Insumos - OPEX'!N$75)</f>
        <v>0</v>
      </c>
      <c r="S616" s="111"/>
    </row>
    <row r="617" spans="1:19" x14ac:dyDescent="0.2">
      <c r="A617" s="8"/>
      <c r="B617" s="8" t="s">
        <v>301</v>
      </c>
      <c r="C617" s="8" t="s">
        <v>173</v>
      </c>
      <c r="D617" s="8">
        <v>6343100006</v>
      </c>
      <c r="E617" s="8" t="s">
        <v>425</v>
      </c>
      <c r="F617" s="73" t="s">
        <v>23</v>
      </c>
      <c r="G617" s="73" t="s">
        <v>136</v>
      </c>
      <c r="H617" s="112" t="s">
        <v>61</v>
      </c>
      <c r="I617" s="13" t="s">
        <v>22</v>
      </c>
      <c r="J617" s="52"/>
      <c r="K617" s="187"/>
      <c r="L617" s="187"/>
      <c r="M617" s="188">
        <f>IF($G617="PAX",M142*'Insumos - OPEX'!I$48,M142*'Insumos - OPEX'!I$75)</f>
        <v>0</v>
      </c>
      <c r="N617" s="211">
        <f>IF($G617="PAX",N142*'Insumos - OPEX'!J$48,N142*'Insumos - OPEX'!J$75)</f>
        <v>0</v>
      </c>
      <c r="O617" s="211">
        <f>IF($G617="PAX",O142*'Insumos - OPEX'!K$48,O142*'Insumos - OPEX'!K$75)</f>
        <v>0</v>
      </c>
      <c r="P617" s="211">
        <f>IF($G617="PAX",P142*'Insumos - OPEX'!L$48,P142*'Insumos - OPEX'!L$75)</f>
        <v>0</v>
      </c>
      <c r="Q617" s="211">
        <f>IF($G617="PAX",Q142*'Insumos - OPEX'!M$48,Q142*'Insumos - OPEX'!M$75)</f>
        <v>0</v>
      </c>
      <c r="R617" s="211">
        <f>IF($G617="PAX",R142*'Insumos - OPEX'!N$48,R142*'Insumos - OPEX'!N$75)</f>
        <v>0</v>
      </c>
      <c r="S617" s="111"/>
    </row>
    <row r="618" spans="1:19" x14ac:dyDescent="0.2">
      <c r="A618" s="8"/>
      <c r="B618" s="8" t="s">
        <v>301</v>
      </c>
      <c r="C618" s="8" t="s">
        <v>170</v>
      </c>
      <c r="D618" s="8">
        <v>6211000001</v>
      </c>
      <c r="E618" s="8" t="s">
        <v>253</v>
      </c>
      <c r="F618" s="73" t="s">
        <v>23</v>
      </c>
      <c r="G618" s="73" t="s">
        <v>136</v>
      </c>
      <c r="H618" s="112" t="s">
        <v>61</v>
      </c>
      <c r="I618" s="13" t="s">
        <v>22</v>
      </c>
      <c r="K618" s="187"/>
      <c r="L618" s="187"/>
      <c r="M618" s="188">
        <f>IF($G618="PAX",M143*'Insumos - OPEX'!I$48,M143*'Insumos - OPEX'!I$75)</f>
        <v>31246.230682211157</v>
      </c>
      <c r="N618" s="211">
        <f>IF($G618="PAX",N143*'Insumos - OPEX'!J$48,N143*'Insumos - OPEX'!J$75)</f>
        <v>37643.743286470046</v>
      </c>
      <c r="O618" s="211">
        <f>IF($G618="PAX",O143*'Insumos - OPEX'!K$48,O143*'Insumos - OPEX'!K$75)</f>
        <v>43574.680295963153</v>
      </c>
      <c r="P618" s="211">
        <f>IF($G618="PAX",P143*'Insumos - OPEX'!L$48,P143*'Insumos - OPEX'!L$75)</f>
        <v>47454.092343960074</v>
      </c>
      <c r="Q618" s="211">
        <f>IF($G618="PAX",Q143*'Insumos - OPEX'!M$48,Q143*'Insumos - OPEX'!M$75)</f>
        <v>50902.202695827786</v>
      </c>
      <c r="R618" s="211">
        <f>IF($G618="PAX",R143*'Insumos - OPEX'!N$48,R143*'Insumos - OPEX'!N$75)</f>
        <v>54723.789932766675</v>
      </c>
      <c r="S618" s="111"/>
    </row>
    <row r="619" spans="1:19" x14ac:dyDescent="0.2">
      <c r="A619" s="8"/>
      <c r="B619" s="8" t="s">
        <v>301</v>
      </c>
      <c r="C619" s="8" t="s">
        <v>170</v>
      </c>
      <c r="D619" s="8">
        <v>6212000001</v>
      </c>
      <c r="E619" s="8" t="s">
        <v>254</v>
      </c>
      <c r="F619" s="73" t="s">
        <v>23</v>
      </c>
      <c r="G619" s="73" t="s">
        <v>136</v>
      </c>
      <c r="H619" s="112" t="s">
        <v>61</v>
      </c>
      <c r="I619" s="13" t="s">
        <v>22</v>
      </c>
      <c r="K619" s="187"/>
      <c r="L619" s="187"/>
      <c r="M619" s="188">
        <f>IF($G619="PAX",M144*'Insumos - OPEX'!I$48,M144*'Insumos - OPEX'!I$75)</f>
        <v>6684.8682912221611</v>
      </c>
      <c r="N619" s="211">
        <f>IF($G619="PAX",N144*'Insumos - OPEX'!J$48,N144*'Insumos - OPEX'!J$75)</f>
        <v>8053.5623134183106</v>
      </c>
      <c r="O619" s="211">
        <f>IF($G619="PAX",O144*'Insumos - OPEX'!K$48,O144*'Insumos - OPEX'!K$75)</f>
        <v>9322.4364107528199</v>
      </c>
      <c r="P619" s="211">
        <f>IF($G619="PAX",P144*'Insumos - OPEX'!L$48,P144*'Insumos - OPEX'!L$75)</f>
        <v>10152.403994747006</v>
      </c>
      <c r="Q619" s="211">
        <f>IF($G619="PAX",Q144*'Insumos - OPEX'!M$48,Q144*'Insumos - OPEX'!M$75)</f>
        <v>10890.098207859182</v>
      </c>
      <c r="R619" s="211">
        <f>IF($G619="PAX",R144*'Insumos - OPEX'!N$48,R144*'Insumos - OPEX'!N$75)</f>
        <v>11707.694659801664</v>
      </c>
      <c r="S619" s="111"/>
    </row>
    <row r="620" spans="1:19" x14ac:dyDescent="0.2">
      <c r="A620" s="8"/>
      <c r="B620" s="8" t="s">
        <v>301</v>
      </c>
      <c r="C620" s="8" t="s">
        <v>170</v>
      </c>
      <c r="D620" s="8">
        <v>6290000001</v>
      </c>
      <c r="E620" s="8" t="s">
        <v>426</v>
      </c>
      <c r="F620" s="73" t="s">
        <v>23</v>
      </c>
      <c r="G620" s="73" t="s">
        <v>136</v>
      </c>
      <c r="H620" s="112" t="s">
        <v>61</v>
      </c>
      <c r="I620" s="13" t="s">
        <v>22</v>
      </c>
      <c r="K620" s="187"/>
      <c r="L620" s="187"/>
      <c r="M620" s="188">
        <f>IF($G620="PAX",M145*'Insumos - OPEX'!I$48,M145*'Insumos - OPEX'!I$75)</f>
        <v>3234.1129670180449</v>
      </c>
      <c r="N620" s="211">
        <f>IF($G620="PAX",N145*'Insumos - OPEX'!J$48,N145*'Insumos - OPEX'!J$75)</f>
        <v>3896.2817476471355</v>
      </c>
      <c r="O620" s="211">
        <f>IF($G620="PAX",O145*'Insumos - OPEX'!K$48,O145*'Insumos - OPEX'!K$75)</f>
        <v>4510.1580415288499</v>
      </c>
      <c r="P620" s="211">
        <f>IF($G620="PAX",P145*'Insumos - OPEX'!L$48,P145*'Insumos - OPEX'!L$75)</f>
        <v>4911.6930918341559</v>
      </c>
      <c r="Q620" s="211">
        <f>IF($G620="PAX",Q145*'Insumos - OPEX'!M$48,Q145*'Insumos - OPEX'!M$75)</f>
        <v>5268.5866485034803</v>
      </c>
      <c r="R620" s="211">
        <f>IF($G620="PAX",R145*'Insumos - OPEX'!N$48,R145*'Insumos - OPEX'!N$75)</f>
        <v>5664.1365938161198</v>
      </c>
      <c r="S620" s="111"/>
    </row>
    <row r="621" spans="1:19" x14ac:dyDescent="0.2">
      <c r="A621" s="8"/>
      <c r="B621" s="8" t="s">
        <v>301</v>
      </c>
      <c r="C621" s="8" t="s">
        <v>170</v>
      </c>
      <c r="D621" s="8">
        <v>6213000001</v>
      </c>
      <c r="E621" s="8" t="s">
        <v>255</v>
      </c>
      <c r="F621" s="73" t="s">
        <v>23</v>
      </c>
      <c r="G621" s="73" t="s">
        <v>136</v>
      </c>
      <c r="H621" s="112" t="s">
        <v>61</v>
      </c>
      <c r="I621" s="13" t="s">
        <v>22</v>
      </c>
      <c r="K621" s="187"/>
      <c r="L621" s="187"/>
      <c r="M621" s="188">
        <f>IF($G621="PAX",M146*'Insumos - OPEX'!I$48,M146*'Insumos - OPEX'!I$75)</f>
        <v>3077.2711192151555</v>
      </c>
      <c r="N621" s="211">
        <f>IF($G621="PAX",N146*'Insumos - OPEX'!J$48,N146*'Insumos - OPEX'!J$75)</f>
        <v>3707.3273001390444</v>
      </c>
      <c r="O621" s="211">
        <f>IF($G621="PAX",O146*'Insumos - OPEX'!K$48,O146*'Insumos - OPEX'!K$75)</f>
        <v>4291.4329913124775</v>
      </c>
      <c r="P621" s="211">
        <f>IF($G621="PAX",P146*'Insumos - OPEX'!L$48,P146*'Insumos - OPEX'!L$75)</f>
        <v>4673.4951599065498</v>
      </c>
      <c r="Q621" s="211">
        <f>IF($G621="PAX",Q146*'Insumos - OPEX'!M$48,Q146*'Insumos - OPEX'!M$75)</f>
        <v>5013.0807729549151</v>
      </c>
      <c r="R621" s="211">
        <f>IF($G621="PAX",R146*'Insumos - OPEX'!N$48,R146*'Insumos - OPEX'!N$75)</f>
        <v>5389.4480907731386</v>
      </c>
      <c r="S621" s="111"/>
    </row>
    <row r="622" spans="1:19" x14ac:dyDescent="0.2">
      <c r="A622" s="8"/>
      <c r="B622" s="8" t="s">
        <v>301</v>
      </c>
      <c r="C622" s="8" t="s">
        <v>170</v>
      </c>
      <c r="D622" s="8">
        <v>6270000002</v>
      </c>
      <c r="E622" s="8" t="s">
        <v>427</v>
      </c>
      <c r="F622" s="73" t="s">
        <v>23</v>
      </c>
      <c r="G622" s="73" t="s">
        <v>136</v>
      </c>
      <c r="H622" s="112" t="s">
        <v>61</v>
      </c>
      <c r="I622" s="13" t="s">
        <v>22</v>
      </c>
      <c r="J622" s="11"/>
      <c r="K622" s="187"/>
      <c r="L622" s="187"/>
      <c r="M622" s="188">
        <f>IF($G622="PAX",M147*'Insumos - OPEX'!I$48,M147*'Insumos - OPEX'!I$75)</f>
        <v>2790.0478783404983</v>
      </c>
      <c r="N622" s="211">
        <f>IF($G622="PAX",N147*'Insumos - OPEX'!J$48,N147*'Insumos - OPEX'!J$75)</f>
        <v>3361.2965082858359</v>
      </c>
      <c r="O622" s="211">
        <f>IF($G622="PAX",O147*'Insumos - OPEX'!K$48,O147*'Insumos - OPEX'!K$75)</f>
        <v>3890.8835291397836</v>
      </c>
      <c r="P622" s="211">
        <f>IF($G622="PAX",P147*'Insumos - OPEX'!L$48,P147*'Insumos - OPEX'!L$75)</f>
        <v>4237.2851627897726</v>
      </c>
      <c r="Q622" s="211">
        <f>IF($G622="PAX",Q147*'Insumos - OPEX'!M$48,Q147*'Insumos - OPEX'!M$75)</f>
        <v>4545.1748749715825</v>
      </c>
      <c r="R622" s="211">
        <f>IF($G622="PAX",R147*'Insumos - OPEX'!N$48,R147*'Insumos - OPEX'!N$75)</f>
        <v>4886.4131981074579</v>
      </c>
      <c r="S622" s="111"/>
    </row>
    <row r="623" spans="1:19" x14ac:dyDescent="0.2">
      <c r="A623" s="8"/>
      <c r="B623" s="8" t="s">
        <v>301</v>
      </c>
      <c r="C623" s="8" t="s">
        <v>170</v>
      </c>
      <c r="D623" s="8">
        <v>8710000001</v>
      </c>
      <c r="E623" s="8" t="s">
        <v>268</v>
      </c>
      <c r="F623" s="73" t="s">
        <v>23</v>
      </c>
      <c r="G623" s="73" t="s">
        <v>136</v>
      </c>
      <c r="H623" s="112" t="s">
        <v>61</v>
      </c>
      <c r="I623" s="13" t="s">
        <v>22</v>
      </c>
      <c r="J623" s="11"/>
      <c r="K623" s="187"/>
      <c r="L623" s="187"/>
      <c r="M623" s="188">
        <f>IF($G623="PAX",M148*'Insumos - OPEX'!I$48,M148*'Insumos - OPEX'!I$75)</f>
        <v>0</v>
      </c>
      <c r="N623" s="211">
        <f>IF($G623="PAX",N148*'Insumos - OPEX'!J$48,N148*'Insumos - OPEX'!J$75)</f>
        <v>0</v>
      </c>
      <c r="O623" s="211">
        <f>IF($G623="PAX",O148*'Insumos - OPEX'!K$48,O148*'Insumos - OPEX'!K$75)</f>
        <v>0</v>
      </c>
      <c r="P623" s="211">
        <f>IF($G623="PAX",P148*'Insumos - OPEX'!L$48,P148*'Insumos - OPEX'!L$75)</f>
        <v>0</v>
      </c>
      <c r="Q623" s="211">
        <f>IF($G623="PAX",Q148*'Insumos - OPEX'!M$48,Q148*'Insumos - OPEX'!M$75)</f>
        <v>0</v>
      </c>
      <c r="R623" s="211">
        <f>IF($G623="PAX",R148*'Insumos - OPEX'!N$48,R148*'Insumos - OPEX'!N$75)</f>
        <v>0</v>
      </c>
      <c r="S623" s="111"/>
    </row>
    <row r="624" spans="1:19" x14ac:dyDescent="0.2">
      <c r="A624" s="8"/>
      <c r="B624" s="8" t="s">
        <v>301</v>
      </c>
      <c r="C624" s="8" t="s">
        <v>170</v>
      </c>
      <c r="D624" s="8">
        <v>6270000001</v>
      </c>
      <c r="E624" s="8" t="s">
        <v>259</v>
      </c>
      <c r="F624" s="73" t="s">
        <v>23</v>
      </c>
      <c r="G624" s="73" t="s">
        <v>136</v>
      </c>
      <c r="H624" s="112" t="s">
        <v>61</v>
      </c>
      <c r="I624" s="13" t="s">
        <v>22</v>
      </c>
      <c r="J624" s="11"/>
      <c r="K624" s="187"/>
      <c r="L624" s="187"/>
      <c r="M624" s="188">
        <f>IF($G624="PAX",M149*'Insumos - OPEX'!I$48,M149*'Insumos - OPEX'!I$75)</f>
        <v>1082.9243072351126</v>
      </c>
      <c r="N624" s="211">
        <f>IF($G624="PAX",N149*'Insumos - OPEX'!J$48,N149*'Insumos - OPEX'!J$75)</f>
        <v>1304.6477520709452</v>
      </c>
      <c r="O624" s="211">
        <f>IF($G624="PAX",O149*'Insumos - OPEX'!K$48,O149*'Insumos - OPEX'!K$75)</f>
        <v>1510.2007327674933</v>
      </c>
      <c r="P624" s="211">
        <f>IF($G624="PAX",P149*'Insumos - OPEX'!L$48,P149*'Insumos - OPEX'!L$75)</f>
        <v>1644.6524574341854</v>
      </c>
      <c r="Q624" s="211">
        <f>IF($G624="PAX",Q149*'Insumos - OPEX'!M$48,Q149*'Insumos - OPEX'!M$75)</f>
        <v>1764.1562322108466</v>
      </c>
      <c r="R624" s="211">
        <f>IF($G624="PAX",R149*'Insumos - OPEX'!N$48,R149*'Insumos - OPEX'!N$75)</f>
        <v>1896.6038785586886</v>
      </c>
      <c r="S624" s="111"/>
    </row>
    <row r="625" spans="1:19" x14ac:dyDescent="0.2">
      <c r="A625" s="8"/>
      <c r="B625" s="8" t="s">
        <v>301</v>
      </c>
      <c r="C625" s="8" t="s">
        <v>170</v>
      </c>
      <c r="D625" s="8">
        <v>6270000006</v>
      </c>
      <c r="E625" s="8" t="s">
        <v>261</v>
      </c>
      <c r="F625" s="73" t="s">
        <v>23</v>
      </c>
      <c r="G625" s="73" t="s">
        <v>136</v>
      </c>
      <c r="H625" s="112" t="s">
        <v>61</v>
      </c>
      <c r="I625" s="13" t="s">
        <v>22</v>
      </c>
      <c r="K625" s="187"/>
      <c r="L625" s="187"/>
      <c r="M625" s="188">
        <f>IF($G625="PAX",M150*'Insumos - OPEX'!I$48,M150*'Insumos - OPEX'!I$75)</f>
        <v>845.89386066732459</v>
      </c>
      <c r="N625" s="211">
        <f>IF($G625="PAX",N150*'Insumos - OPEX'!J$48,N150*'Insumos - OPEX'!J$75)</f>
        <v>1019.0864831798798</v>
      </c>
      <c r="O625" s="211">
        <f>IF($G625="PAX",O150*'Insumos - OPEX'!K$48,O150*'Insumos - OPEX'!K$75)</f>
        <v>1179.6480323587077</v>
      </c>
      <c r="P625" s="211">
        <f>IF($G625="PAX",P150*'Insumos - OPEX'!L$48,P150*'Insumos - OPEX'!L$75)</f>
        <v>1284.6709667335629</v>
      </c>
      <c r="Q625" s="211">
        <f>IF($G625="PAX",Q150*'Insumos - OPEX'!M$48,Q150*'Insumos - OPEX'!M$75)</f>
        <v>1378.0177581341932</v>
      </c>
      <c r="R625" s="211">
        <f>IF($G625="PAX",R150*'Insumos - OPEX'!N$48,R150*'Insumos - OPEX'!N$75)</f>
        <v>1481.475266804882</v>
      </c>
      <c r="S625" s="111"/>
    </row>
    <row r="626" spans="1:19" x14ac:dyDescent="0.2">
      <c r="A626" s="8"/>
      <c r="B626" s="8" t="s">
        <v>301</v>
      </c>
      <c r="C626" s="8" t="s">
        <v>170</v>
      </c>
      <c r="D626" s="8">
        <v>6250000005</v>
      </c>
      <c r="E626" s="8" t="s">
        <v>266</v>
      </c>
      <c r="F626" s="73" t="s">
        <v>23</v>
      </c>
      <c r="G626" s="73" t="s">
        <v>136</v>
      </c>
      <c r="H626" s="112" t="s">
        <v>61</v>
      </c>
      <c r="I626" s="13" t="s">
        <v>22</v>
      </c>
      <c r="K626" s="187"/>
      <c r="L626" s="187"/>
      <c r="M626" s="188">
        <f>IF($G626="PAX",M151*'Insumos - OPEX'!I$48,M151*'Insumos - OPEX'!I$75)</f>
        <v>590.16776186054722</v>
      </c>
      <c r="N626" s="211">
        <f>IF($G626="PAX",N151*'Insumos - OPEX'!J$48,N151*'Insumos - OPEX'!J$75)</f>
        <v>711.00171887538818</v>
      </c>
      <c r="O626" s="211">
        <f>IF($G626="PAX",O151*'Insumos - OPEX'!K$48,O151*'Insumos - OPEX'!K$75)</f>
        <v>823.02316095675815</v>
      </c>
      <c r="P626" s="211">
        <f>IF($G626="PAX",P151*'Insumos - OPEX'!L$48,P151*'Insumos - OPEX'!L$75)</f>
        <v>896.29612462992907</v>
      </c>
      <c r="Q626" s="211">
        <f>IF($G626="PAX",Q151*'Insumos - OPEX'!M$48,Q151*'Insumos - OPEX'!M$75)</f>
        <v>961.42281430032438</v>
      </c>
      <c r="R626" s="211">
        <f>IF($G626="PAX",R151*'Insumos - OPEX'!N$48,R151*'Insumos - OPEX'!N$75)</f>
        <v>1033.6036033790876</v>
      </c>
      <c r="S626" s="111"/>
    </row>
    <row r="627" spans="1:19" x14ac:dyDescent="0.2">
      <c r="A627" s="8"/>
      <c r="B627" s="8" t="s">
        <v>301</v>
      </c>
      <c r="C627" s="8" t="s">
        <v>170</v>
      </c>
      <c r="D627" s="8">
        <v>6250000003</v>
      </c>
      <c r="E627" s="8" t="s">
        <v>428</v>
      </c>
      <c r="F627" s="73" t="s">
        <v>23</v>
      </c>
      <c r="G627" s="73" t="s">
        <v>136</v>
      </c>
      <c r="H627" s="112" t="s">
        <v>61</v>
      </c>
      <c r="I627" s="13" t="s">
        <v>22</v>
      </c>
      <c r="K627" s="187"/>
      <c r="L627" s="187"/>
      <c r="M627" s="188">
        <f>IF($G627="PAX",M152*'Insumos - OPEX'!I$48,M152*'Insumos - OPEX'!I$75)</f>
        <v>573.92782691803791</v>
      </c>
      <c r="N627" s="211">
        <f>IF($G627="PAX",N152*'Insumos - OPEX'!J$48,N152*'Insumos - OPEX'!J$75)</f>
        <v>691.43673684020041</v>
      </c>
      <c r="O627" s="211">
        <f>IF($G627="PAX",O152*'Insumos - OPEX'!K$48,O152*'Insumos - OPEX'!K$75)</f>
        <v>800.37563011234317</v>
      </c>
      <c r="P627" s="211">
        <f>IF($G627="PAX",P152*'Insumos - OPEX'!L$48,P152*'Insumos - OPEX'!L$75)</f>
        <v>871.63230580776064</v>
      </c>
      <c r="Q627" s="211">
        <f>IF($G627="PAX",Q152*'Insumos - OPEX'!M$48,Q152*'Insumos - OPEX'!M$75)</f>
        <v>934.96687250631851</v>
      </c>
      <c r="R627" s="211">
        <f>IF($G627="PAX",R152*'Insumos - OPEX'!N$48,R152*'Insumos - OPEX'!N$75)</f>
        <v>1005.1614275098033</v>
      </c>
      <c r="S627" s="111"/>
    </row>
    <row r="628" spans="1:19" x14ac:dyDescent="0.2">
      <c r="A628" s="8"/>
      <c r="B628" s="8" t="s">
        <v>301</v>
      </c>
      <c r="C628" s="8" t="s">
        <v>170</v>
      </c>
      <c r="D628" s="8">
        <v>6214000001</v>
      </c>
      <c r="E628" s="8" t="s">
        <v>256</v>
      </c>
      <c r="F628" s="73" t="s">
        <v>23</v>
      </c>
      <c r="G628" s="73" t="s">
        <v>136</v>
      </c>
      <c r="H628" s="112" t="s">
        <v>61</v>
      </c>
      <c r="I628" s="13" t="s">
        <v>22</v>
      </c>
      <c r="K628" s="187"/>
      <c r="L628" s="187"/>
      <c r="M628" s="188">
        <f>IF($G628="PAX",M153*'Insumos - OPEX'!I$48,M153*'Insumos - OPEX'!I$75)</f>
        <v>449.71168376042505</v>
      </c>
      <c r="N628" s="211">
        <f>IF($G628="PAX",N153*'Insumos - OPEX'!J$48,N153*'Insumos - OPEX'!J$75)</f>
        <v>541.78794711521539</v>
      </c>
      <c r="O628" s="211">
        <f>IF($G628="PAX",O153*'Insumos - OPEX'!K$48,O153*'Insumos - OPEX'!K$75)</f>
        <v>627.1490166132603</v>
      </c>
      <c r="P628" s="211">
        <f>IF($G628="PAX",P153*'Insumos - OPEX'!L$48,P153*'Insumos - OPEX'!L$75)</f>
        <v>682.98349283692858</v>
      </c>
      <c r="Q628" s="211">
        <f>IF($G628="PAX",Q153*'Insumos - OPEX'!M$48,Q153*'Insumos - OPEX'!M$75)</f>
        <v>732.61045513843226</v>
      </c>
      <c r="R628" s="211">
        <f>IF($G628="PAX",R153*'Insumos - OPEX'!N$48,R153*'Insumos - OPEX'!N$75)</f>
        <v>787.61268719772397</v>
      </c>
      <c r="S628" s="111"/>
    </row>
    <row r="629" spans="1:19" x14ac:dyDescent="0.2">
      <c r="A629" s="8"/>
      <c r="B629" s="8" t="s">
        <v>301</v>
      </c>
      <c r="C629" s="8" t="s">
        <v>170</v>
      </c>
      <c r="D629" s="8">
        <v>6240000001</v>
      </c>
      <c r="E629" s="8" t="s">
        <v>265</v>
      </c>
      <c r="F629" s="73" t="s">
        <v>23</v>
      </c>
      <c r="G629" s="73" t="s">
        <v>136</v>
      </c>
      <c r="H629" s="112" t="s">
        <v>61</v>
      </c>
      <c r="I629" s="13" t="s">
        <v>22</v>
      </c>
      <c r="J629" s="11"/>
      <c r="K629" s="187"/>
      <c r="L629" s="187"/>
      <c r="M629" s="188">
        <f>IF($G629="PAX",M154*'Insumos - OPEX'!I$48,M154*'Insumos - OPEX'!I$75)</f>
        <v>399.8698261698313</v>
      </c>
      <c r="N629" s="211">
        <f>IF($G629="PAX",N154*'Insumos - OPEX'!J$48,N154*'Insumos - OPEX'!J$75)</f>
        <v>481.74121344217519</v>
      </c>
      <c r="O629" s="211">
        <f>IF($G629="PAX",O154*'Insumos - OPEX'!K$48,O154*'Insumos - OPEX'!K$75)</f>
        <v>557.64165644698255</v>
      </c>
      <c r="P629" s="211">
        <f>IF($G629="PAX",P154*'Insumos - OPEX'!L$48,P154*'Insumos - OPEX'!L$75)</f>
        <v>607.28795897386078</v>
      </c>
      <c r="Q629" s="211">
        <f>IF($G629="PAX",Q154*'Insumos - OPEX'!M$48,Q154*'Insumos - OPEX'!M$75)</f>
        <v>651.41473064877846</v>
      </c>
      <c r="R629" s="211">
        <f>IF($G629="PAX",R154*'Insumos - OPEX'!N$48,R154*'Insumos - OPEX'!N$75)</f>
        <v>700.32102720881699</v>
      </c>
      <c r="S629" s="111"/>
    </row>
    <row r="630" spans="1:19" x14ac:dyDescent="0.2">
      <c r="A630" s="8"/>
      <c r="B630" s="8" t="s">
        <v>301</v>
      </c>
      <c r="C630" s="8" t="s">
        <v>170</v>
      </c>
      <c r="D630" s="8">
        <v>6250000004</v>
      </c>
      <c r="E630" s="8" t="s">
        <v>264</v>
      </c>
      <c r="F630" s="73" t="s">
        <v>23</v>
      </c>
      <c r="G630" s="73" t="s">
        <v>136</v>
      </c>
      <c r="H630" s="112" t="s">
        <v>61</v>
      </c>
      <c r="I630" s="13" t="s">
        <v>22</v>
      </c>
      <c r="K630" s="187"/>
      <c r="L630" s="187"/>
      <c r="M630" s="188">
        <f>IF($G630="PAX",M155*'Insumos - OPEX'!I$48,M155*'Insumos - OPEX'!I$75)</f>
        <v>284.1170426140531</v>
      </c>
      <c r="N630" s="211">
        <f>IF($G630="PAX",N155*'Insumos - OPEX'!J$48,N155*'Insumos - OPEX'!J$75)</f>
        <v>342.28861472124385</v>
      </c>
      <c r="O630" s="211">
        <f>IF($G630="PAX",O155*'Insumos - OPEX'!K$48,O155*'Insumos - OPEX'!K$75)</f>
        <v>396.21768860556222</v>
      </c>
      <c r="P630" s="211">
        <f>IF($G630="PAX",P155*'Insumos - OPEX'!L$48,P155*'Insumos - OPEX'!L$75)</f>
        <v>431.49256989822669</v>
      </c>
      <c r="Q630" s="211">
        <f>IF($G630="PAX",Q155*'Insumos - OPEX'!M$48,Q155*'Insumos - OPEX'!M$75)</f>
        <v>462.8456929594762</v>
      </c>
      <c r="R630" s="211">
        <f>IF($G630="PAX",R155*'Insumos - OPEX'!N$48,R155*'Insumos - OPEX'!N$75)</f>
        <v>497.59478237424634</v>
      </c>
      <c r="S630" s="111"/>
    </row>
    <row r="631" spans="1:19" x14ac:dyDescent="0.2">
      <c r="A631" s="8"/>
      <c r="B631" s="8" t="s">
        <v>301</v>
      </c>
      <c r="C631" s="8" t="s">
        <v>170</v>
      </c>
      <c r="D631" s="8">
        <v>6250000008</v>
      </c>
      <c r="E631" s="8" t="s">
        <v>267</v>
      </c>
      <c r="F631" s="73" t="s">
        <v>23</v>
      </c>
      <c r="G631" s="73" t="s">
        <v>136</v>
      </c>
      <c r="H631" s="112" t="s">
        <v>61</v>
      </c>
      <c r="I631" s="13" t="s">
        <v>22</v>
      </c>
      <c r="K631" s="187"/>
      <c r="L631" s="187"/>
      <c r="M631" s="188">
        <f>IF($G631="PAX",M156*'Insumos - OPEX'!I$48,M156*'Insumos - OPEX'!I$75)</f>
        <v>266.49203276534809</v>
      </c>
      <c r="N631" s="211">
        <f>IF($G631="PAX",N156*'Insumos - OPEX'!J$48,N156*'Insumos - OPEX'!J$75)</f>
        <v>321.05497048063216</v>
      </c>
      <c r="O631" s="211">
        <f>IF($G631="PAX",O156*'Insumos - OPEX'!K$48,O156*'Insumos - OPEX'!K$75)</f>
        <v>371.63859049989043</v>
      </c>
      <c r="P631" s="211">
        <f>IF($G631="PAX",P156*'Insumos - OPEX'!L$48,P156*'Insumos - OPEX'!L$75)</f>
        <v>404.72521823171644</v>
      </c>
      <c r="Q631" s="211">
        <f>IF($G631="PAX",Q156*'Insumos - OPEX'!M$48,Q156*'Insumos - OPEX'!M$75)</f>
        <v>434.13337136909956</v>
      </c>
      <c r="R631" s="211">
        <f>IF($G631="PAX",R156*'Insumos - OPEX'!N$48,R156*'Insumos - OPEX'!N$75)</f>
        <v>466.72682436891222</v>
      </c>
      <c r="S631" s="111"/>
    </row>
    <row r="632" spans="1:19" x14ac:dyDescent="0.2">
      <c r="A632" s="8"/>
      <c r="B632" s="8" t="s">
        <v>301</v>
      </c>
      <c r="C632" s="8" t="s">
        <v>170</v>
      </c>
      <c r="D632" s="8">
        <v>6221000001</v>
      </c>
      <c r="E632" s="8" t="s">
        <v>257</v>
      </c>
      <c r="F632" s="73" t="s">
        <v>23</v>
      </c>
      <c r="G632" s="73" t="s">
        <v>136</v>
      </c>
      <c r="H632" s="112" t="s">
        <v>61</v>
      </c>
      <c r="I632" s="13" t="s">
        <v>22</v>
      </c>
      <c r="K632" s="187"/>
      <c r="L632" s="187"/>
      <c r="M632" s="188">
        <f>IF($G632="PAX",M157*'Insumos - OPEX'!I$48,M157*'Insumos - OPEX'!I$75)</f>
        <v>186.03297747756559</v>
      </c>
      <c r="N632" s="211">
        <f>IF($G632="PAX",N157*'Insumos - OPEX'!J$48,N157*'Insumos - OPEX'!J$75)</f>
        <v>224.12231792713541</v>
      </c>
      <c r="O632" s="211">
        <f>IF($G632="PAX",O157*'Insumos - OPEX'!K$48,O157*'Insumos - OPEX'!K$75)</f>
        <v>259.43377300565288</v>
      </c>
      <c r="P632" s="211">
        <f>IF($G632="PAX",P157*'Insumos - OPEX'!L$48,P157*'Insumos - OPEX'!L$75)</f>
        <v>282.53091331327016</v>
      </c>
      <c r="Q632" s="211">
        <f>IF($G632="PAX",Q157*'Insumos - OPEX'!M$48,Q157*'Insumos - OPEX'!M$75)</f>
        <v>303.06018104969371</v>
      </c>
      <c r="R632" s="211">
        <f>IF($G632="PAX",R157*'Insumos - OPEX'!N$48,R157*'Insumos - OPEX'!N$75)</f>
        <v>325.81304553464906</v>
      </c>
      <c r="S632" s="111"/>
    </row>
    <row r="633" spans="1:19" x14ac:dyDescent="0.2">
      <c r="A633" s="8"/>
      <c r="B633" s="8" t="s">
        <v>301</v>
      </c>
      <c r="C633" s="8" t="s">
        <v>170</v>
      </c>
      <c r="D633" s="8">
        <v>6250000006</v>
      </c>
      <c r="E633" s="8" t="s">
        <v>429</v>
      </c>
      <c r="F633" s="73" t="s">
        <v>23</v>
      </c>
      <c r="G633" s="73" t="s">
        <v>136</v>
      </c>
      <c r="H633" s="112" t="s">
        <v>61</v>
      </c>
      <c r="I633" s="13" t="s">
        <v>22</v>
      </c>
      <c r="K633" s="187"/>
      <c r="L633" s="187"/>
      <c r="M633" s="188">
        <f>IF($G633="PAX",M158*'Insumos - OPEX'!I$48,M158*'Insumos - OPEX'!I$75)</f>
        <v>171.73092982853663</v>
      </c>
      <c r="N633" s="211">
        <f>IF($G633="PAX",N158*'Insumos - OPEX'!J$48,N158*'Insumos - OPEX'!J$75)</f>
        <v>206.89199611179353</v>
      </c>
      <c r="O633" s="211">
        <f>IF($G633="PAX",O158*'Insumos - OPEX'!K$48,O158*'Insumos - OPEX'!K$75)</f>
        <v>239.48873834779678</v>
      </c>
      <c r="P633" s="211">
        <f>IF($G633="PAX",P158*'Insumos - OPEX'!L$48,P158*'Insumos - OPEX'!L$75)</f>
        <v>260.81019132451763</v>
      </c>
      <c r="Q633" s="211">
        <f>IF($G633="PAX",Q158*'Insumos - OPEX'!M$48,Q158*'Insumos - OPEX'!M$75)</f>
        <v>279.76118745906138</v>
      </c>
      <c r="R633" s="211">
        <f>IF($G633="PAX",R158*'Insumos - OPEX'!N$48,R158*'Insumos - OPEX'!N$75)</f>
        <v>300.7648322280931</v>
      </c>
      <c r="S633" s="111"/>
    </row>
    <row r="634" spans="1:19" x14ac:dyDescent="0.2">
      <c r="A634" s="8"/>
      <c r="B634" s="8" t="s">
        <v>301</v>
      </c>
      <c r="C634" s="8" t="s">
        <v>170</v>
      </c>
      <c r="D634" s="8">
        <v>6270000005</v>
      </c>
      <c r="E634" s="8" t="s">
        <v>430</v>
      </c>
      <c r="F634" s="73" t="s">
        <v>23</v>
      </c>
      <c r="G634" s="73" t="s">
        <v>136</v>
      </c>
      <c r="H634" s="112" t="s">
        <v>61</v>
      </c>
      <c r="I634" s="13" t="s">
        <v>22</v>
      </c>
      <c r="J634" s="11"/>
      <c r="K634" s="187"/>
      <c r="L634" s="187"/>
      <c r="M634" s="188">
        <f>IF($G634="PAX",M159*'Insumos - OPEX'!I$48,M159*'Insumos - OPEX'!I$75)</f>
        <v>160.79646890938261</v>
      </c>
      <c r="N634" s="211">
        <f>IF($G634="PAX",N159*'Insumos - OPEX'!J$48,N159*'Insumos - OPEX'!J$75)</f>
        <v>193.71875790578775</v>
      </c>
      <c r="O634" s="211">
        <f>IF($G634="PAX",O159*'Insumos - OPEX'!K$48,O159*'Insumos - OPEX'!K$75)</f>
        <v>224.23999863238217</v>
      </c>
      <c r="P634" s="211">
        <f>IF($G634="PAX",P159*'Insumos - OPEX'!L$48,P159*'Insumos - OPEX'!L$75)</f>
        <v>244.20387091850577</v>
      </c>
      <c r="Q634" s="211">
        <f>IF($G634="PAX",Q159*'Insumos - OPEX'!M$48,Q159*'Insumos - OPEX'!M$75)</f>
        <v>261.94821821687827</v>
      </c>
      <c r="R634" s="211">
        <f>IF($G634="PAX",R159*'Insumos - OPEX'!N$48,R159*'Insumos - OPEX'!N$75)</f>
        <v>281.61451779645535</v>
      </c>
      <c r="S634" s="111"/>
    </row>
    <row r="635" spans="1:19" x14ac:dyDescent="0.2">
      <c r="A635" s="8"/>
      <c r="B635" s="8" t="s">
        <v>301</v>
      </c>
      <c r="C635" s="8" t="s">
        <v>170</v>
      </c>
      <c r="D635" s="8">
        <v>6270000004</v>
      </c>
      <c r="E635" s="8" t="s">
        <v>431</v>
      </c>
      <c r="F635" s="73" t="s">
        <v>23</v>
      </c>
      <c r="G635" s="73" t="s">
        <v>136</v>
      </c>
      <c r="H635" s="112" t="s">
        <v>61</v>
      </c>
      <c r="I635" s="13" t="s">
        <v>22</v>
      </c>
      <c r="K635" s="187"/>
      <c r="L635" s="187"/>
      <c r="M635" s="188">
        <f>IF($G635="PAX",M160*'Insumos - OPEX'!I$48,M160*'Insumos - OPEX'!I$75)</f>
        <v>87.2101331745137</v>
      </c>
      <c r="N635" s="211">
        <f>IF($G635="PAX",N160*'Insumos - OPEX'!J$48,N160*'Insumos - OPEX'!J$75)</f>
        <v>105.06598055263223</v>
      </c>
      <c r="O635" s="211">
        <f>IF($G635="PAX",O160*'Insumos - OPEX'!K$48,O160*'Insumos - OPEX'!K$75)</f>
        <v>121.61958702466076</v>
      </c>
      <c r="P635" s="211">
        <f>IF($G635="PAX",P160*'Insumos - OPEX'!L$48,P160*'Insumos - OPEX'!L$75)</f>
        <v>132.44726236206509</v>
      </c>
      <c r="Q635" s="211">
        <f>IF($G635="PAX",Q160*'Insumos - OPEX'!M$48,Q160*'Insumos - OPEX'!M$75)</f>
        <v>142.07114839315682</v>
      </c>
      <c r="R635" s="211">
        <f>IF($G635="PAX",R160*'Insumos - OPEX'!N$48,R160*'Insumos - OPEX'!N$75)</f>
        <v>152.73743116054365</v>
      </c>
      <c r="S635" s="111"/>
    </row>
    <row r="636" spans="1:19" x14ac:dyDescent="0.2">
      <c r="A636" s="8"/>
      <c r="B636" s="8" t="s">
        <v>301</v>
      </c>
      <c r="C636" s="8" t="s">
        <v>170</v>
      </c>
      <c r="D636" s="8">
        <v>6250000001</v>
      </c>
      <c r="E636" s="8" t="s">
        <v>262</v>
      </c>
      <c r="F636" s="73" t="s">
        <v>23</v>
      </c>
      <c r="G636" s="73" t="s">
        <v>136</v>
      </c>
      <c r="H636" s="112" t="s">
        <v>61</v>
      </c>
      <c r="I636" s="13" t="s">
        <v>22</v>
      </c>
      <c r="K636" s="187"/>
      <c r="L636" s="187"/>
      <c r="M636" s="188">
        <f>IF($G636="PAX",M161*'Insumos - OPEX'!I$48,M161*'Insumos - OPEX'!I$75)</f>
        <v>73.13163534146878</v>
      </c>
      <c r="N636" s="211">
        <f>IF($G636="PAX",N161*'Insumos - OPEX'!J$48,N161*'Insumos - OPEX'!J$75)</f>
        <v>88.104979282549934</v>
      </c>
      <c r="O636" s="211">
        <f>IF($G636="PAX",O161*'Insumos - OPEX'!K$48,O161*'Insumos - OPEX'!K$75)</f>
        <v>101.98630554627763</v>
      </c>
      <c r="P636" s="211">
        <f>IF($G636="PAX",P161*'Insumos - OPEX'!L$48,P161*'Insumos - OPEX'!L$75)</f>
        <v>111.06604863973593</v>
      </c>
      <c r="Q636" s="211">
        <f>IF($G636="PAX",Q161*'Insumos - OPEX'!M$48,Q161*'Insumos - OPEX'!M$75)</f>
        <v>119.13633242642941</v>
      </c>
      <c r="R636" s="211">
        <f>IF($G636="PAX",R161*'Insumos - OPEX'!N$48,R161*'Insumos - OPEX'!N$75)</f>
        <v>128.08073685971476</v>
      </c>
      <c r="S636" s="111"/>
    </row>
    <row r="637" spans="1:19" x14ac:dyDescent="0.2">
      <c r="A637" s="8"/>
      <c r="B637" s="8" t="s">
        <v>301</v>
      </c>
      <c r="C637" s="8" t="s">
        <v>170</v>
      </c>
      <c r="D637" s="8">
        <v>6270000003</v>
      </c>
      <c r="E637" s="8" t="s">
        <v>432</v>
      </c>
      <c r="F637" s="73" t="s">
        <v>23</v>
      </c>
      <c r="G637" s="73" t="s">
        <v>136</v>
      </c>
      <c r="H637" s="112" t="s">
        <v>61</v>
      </c>
      <c r="I637" s="13" t="s">
        <v>22</v>
      </c>
      <c r="J637" s="11"/>
      <c r="K637" s="187"/>
      <c r="L637" s="187"/>
      <c r="M637" s="188">
        <f>IF($G637="PAX",M162*'Insumos - OPEX'!I$48,M162*'Insumos - OPEX'!I$75)</f>
        <v>71.0856736205304</v>
      </c>
      <c r="N637" s="211">
        <f>IF($G637="PAX",N162*'Insumos - OPEX'!J$48,N162*'Insumos - OPEX'!J$75)</f>
        <v>85.640116925862685</v>
      </c>
      <c r="O637" s="211">
        <f>IF($G637="PAX",O162*'Insumos - OPEX'!K$48,O162*'Insumos - OPEX'!K$75)</f>
        <v>99.13309330463521</v>
      </c>
      <c r="P637" s="211">
        <f>IF($G637="PAX",P162*'Insumos - OPEX'!L$48,P162*'Insumos - OPEX'!L$75)</f>
        <v>107.95881764521822</v>
      </c>
      <c r="Q637" s="211">
        <f>IF($G637="PAX",Q162*'Insumos - OPEX'!M$48,Q162*'Insumos - OPEX'!M$75)</f>
        <v>115.80332374175627</v>
      </c>
      <c r="R637" s="211">
        <f>IF($G637="PAX",R162*'Insumos - OPEX'!N$48,R162*'Insumos - OPEX'!N$75)</f>
        <v>124.49749571406018</v>
      </c>
      <c r="S637" s="111"/>
    </row>
    <row r="638" spans="1:19" x14ac:dyDescent="0.2">
      <c r="A638" s="8"/>
      <c r="B638" s="8" t="s">
        <v>301</v>
      </c>
      <c r="C638" s="8" t="s">
        <v>170</v>
      </c>
      <c r="D638" s="8">
        <v>6270000007</v>
      </c>
      <c r="E638" s="8" t="s">
        <v>263</v>
      </c>
      <c r="F638" s="73" t="s">
        <v>23</v>
      </c>
      <c r="G638" s="73" t="s">
        <v>136</v>
      </c>
      <c r="H638" s="112" t="s">
        <v>61</v>
      </c>
      <c r="I638" s="13" t="s">
        <v>22</v>
      </c>
      <c r="J638" s="11"/>
      <c r="K638" s="187"/>
      <c r="L638" s="187"/>
      <c r="M638" s="188">
        <f>IF($G638="PAX",M163*'Insumos - OPEX'!I$48,M163*'Insumos - OPEX'!I$75)</f>
        <v>2.0650457686366783E-2</v>
      </c>
      <c r="N638" s="211">
        <f>IF($G638="PAX",N163*'Insumos - OPEX'!J$48,N163*'Insumos - OPEX'!J$75)</f>
        <v>2.4878537696268872E-2</v>
      </c>
      <c r="O638" s="211">
        <f>IF($G638="PAX",O163*'Insumos - OPEX'!K$48,O163*'Insumos - OPEX'!K$75)</f>
        <v>2.8798260526221985E-2</v>
      </c>
      <c r="P638" s="211">
        <f>IF($G638="PAX",P163*'Insumos - OPEX'!L$48,P163*'Insumos - OPEX'!L$75)</f>
        <v>3.1362142075965209E-2</v>
      </c>
      <c r="Q638" s="211">
        <f>IF($G638="PAX",Q163*'Insumos - OPEX'!M$48,Q163*'Insumos - OPEX'!M$75)</f>
        <v>3.364097876648818E-2</v>
      </c>
      <c r="R638" s="211">
        <f>IF($G638="PAX",R163*'Insumos - OPEX'!N$48,R163*'Insumos - OPEX'!N$75)</f>
        <v>3.6166644224629167E-2</v>
      </c>
      <c r="S638" s="111"/>
    </row>
    <row r="639" spans="1:19" x14ac:dyDescent="0.2">
      <c r="A639" s="8"/>
      <c r="B639" s="8" t="s">
        <v>301</v>
      </c>
      <c r="C639" s="8" t="s">
        <v>170</v>
      </c>
      <c r="D639" s="8">
        <v>6250000009</v>
      </c>
      <c r="E639" s="8" t="s">
        <v>433</v>
      </c>
      <c r="F639" s="73" t="s">
        <v>23</v>
      </c>
      <c r="G639" s="73" t="s">
        <v>136</v>
      </c>
      <c r="H639" s="112" t="s">
        <v>61</v>
      </c>
      <c r="I639" s="13" t="s">
        <v>22</v>
      </c>
      <c r="J639" s="11"/>
      <c r="K639" s="187"/>
      <c r="L639" s="187"/>
      <c r="M639" s="188">
        <f>IF($G639="PAX",M164*'Insumos - OPEX'!I$48,M164*'Insumos - OPEX'!I$75)</f>
        <v>0</v>
      </c>
      <c r="N639" s="211">
        <f>IF($G639="PAX",N164*'Insumos - OPEX'!J$48,N164*'Insumos - OPEX'!J$75)</f>
        <v>0</v>
      </c>
      <c r="O639" s="211">
        <f>IF($G639="PAX",O164*'Insumos - OPEX'!K$48,O164*'Insumos - OPEX'!K$75)</f>
        <v>0</v>
      </c>
      <c r="P639" s="211">
        <f>IF($G639="PAX",P164*'Insumos - OPEX'!L$48,P164*'Insumos - OPEX'!L$75)</f>
        <v>0</v>
      </c>
      <c r="Q639" s="211">
        <f>IF($G639="PAX",Q164*'Insumos - OPEX'!M$48,Q164*'Insumos - OPEX'!M$75)</f>
        <v>0</v>
      </c>
      <c r="R639" s="211">
        <f>IF($G639="PAX",R164*'Insumos - OPEX'!N$48,R164*'Insumos - OPEX'!N$75)</f>
        <v>0</v>
      </c>
      <c r="S639" s="111"/>
    </row>
    <row r="640" spans="1:19" x14ac:dyDescent="0.2">
      <c r="A640" s="8"/>
      <c r="B640" s="8" t="s">
        <v>301</v>
      </c>
      <c r="C640" s="8" t="s">
        <v>170</v>
      </c>
      <c r="D640" s="8">
        <v>6250000007</v>
      </c>
      <c r="E640" s="8" t="s">
        <v>260</v>
      </c>
      <c r="F640" s="73" t="s">
        <v>23</v>
      </c>
      <c r="G640" s="73" t="s">
        <v>136</v>
      </c>
      <c r="H640" s="112" t="s">
        <v>61</v>
      </c>
      <c r="I640" s="13" t="s">
        <v>22</v>
      </c>
      <c r="K640" s="187"/>
      <c r="L640" s="187"/>
      <c r="M640" s="188">
        <f>IF($G640="PAX",M165*'Insumos - OPEX'!I$48,M165*'Insumos - OPEX'!I$75)</f>
        <v>0</v>
      </c>
      <c r="N640" s="211">
        <f>IF($G640="PAX",N165*'Insumos - OPEX'!J$48,N165*'Insumos - OPEX'!J$75)</f>
        <v>0</v>
      </c>
      <c r="O640" s="211">
        <f>IF($G640="PAX",O165*'Insumos - OPEX'!K$48,O165*'Insumos - OPEX'!K$75)</f>
        <v>0</v>
      </c>
      <c r="P640" s="211">
        <f>IF($G640="PAX",P165*'Insumos - OPEX'!L$48,P165*'Insumos - OPEX'!L$75)</f>
        <v>0</v>
      </c>
      <c r="Q640" s="211">
        <f>IF($G640="PAX",Q165*'Insumos - OPEX'!M$48,Q165*'Insumos - OPEX'!M$75)</f>
        <v>0</v>
      </c>
      <c r="R640" s="211">
        <f>IF($G640="PAX",R165*'Insumos - OPEX'!N$48,R165*'Insumos - OPEX'!N$75)</f>
        <v>0</v>
      </c>
      <c r="S640" s="111"/>
    </row>
    <row r="641" spans="1:19" x14ac:dyDescent="0.2">
      <c r="A641" s="8"/>
      <c r="B641" s="8" t="s">
        <v>301</v>
      </c>
      <c r="C641" s="8" t="s">
        <v>170</v>
      </c>
      <c r="D641" s="8">
        <v>6231000001</v>
      </c>
      <c r="E641" s="8" t="s">
        <v>258</v>
      </c>
      <c r="F641" s="73" t="s">
        <v>23</v>
      </c>
      <c r="G641" s="73" t="s">
        <v>136</v>
      </c>
      <c r="H641" s="112" t="s">
        <v>61</v>
      </c>
      <c r="I641" s="13" t="s">
        <v>22</v>
      </c>
      <c r="J641" s="11"/>
      <c r="K641" s="187"/>
      <c r="L641" s="187"/>
      <c r="M641" s="188">
        <f>IF($G641="PAX",M166*'Insumos - OPEX'!I$48,M166*'Insumos - OPEX'!I$75)</f>
        <v>0</v>
      </c>
      <c r="N641" s="211">
        <f>IF($G641="PAX",N166*'Insumos - OPEX'!J$48,N166*'Insumos - OPEX'!J$75)</f>
        <v>0</v>
      </c>
      <c r="O641" s="211">
        <f>IF($G641="PAX",O166*'Insumos - OPEX'!K$48,O166*'Insumos - OPEX'!K$75)</f>
        <v>0</v>
      </c>
      <c r="P641" s="211">
        <f>IF($G641="PAX",P166*'Insumos - OPEX'!L$48,P166*'Insumos - OPEX'!L$75)</f>
        <v>0</v>
      </c>
      <c r="Q641" s="211">
        <f>IF($G641="PAX",Q166*'Insumos - OPEX'!M$48,Q166*'Insumos - OPEX'!M$75)</f>
        <v>0</v>
      </c>
      <c r="R641" s="211">
        <f>IF($G641="PAX",R166*'Insumos - OPEX'!N$48,R166*'Insumos - OPEX'!N$75)</f>
        <v>0</v>
      </c>
      <c r="S641" s="111"/>
    </row>
    <row r="642" spans="1:19" x14ac:dyDescent="0.2">
      <c r="A642" s="8"/>
      <c r="B642" s="8" t="s">
        <v>434</v>
      </c>
      <c r="C642" s="8" t="s">
        <v>170</v>
      </c>
      <c r="D642" s="8">
        <v>6211000001</v>
      </c>
      <c r="E642" s="8" t="s">
        <v>253</v>
      </c>
      <c r="F642" s="73" t="s">
        <v>23</v>
      </c>
      <c r="G642" s="73" t="s">
        <v>136</v>
      </c>
      <c r="H642" s="112" t="s">
        <v>61</v>
      </c>
      <c r="I642" s="13" t="s">
        <v>22</v>
      </c>
      <c r="J642" s="11"/>
      <c r="K642" s="187"/>
      <c r="L642" s="187"/>
      <c r="M642" s="188">
        <f>IF($G642="PAX",M167*'Insumos - OPEX'!I$48,M167*'Insumos - OPEX'!I$75)</f>
        <v>469149.36991823744</v>
      </c>
      <c r="N642" s="211">
        <f>IF($G642="PAX",N167*'Insumos - OPEX'!J$48,N167*'Insumos - OPEX'!J$75)</f>
        <v>565205.40425586922</v>
      </c>
      <c r="O642" s="211">
        <f>IF($G642="PAX",O167*'Insumos - OPEX'!K$48,O167*'Insumos - OPEX'!K$75)</f>
        <v>654255.99692823784</v>
      </c>
      <c r="P642" s="211">
        <f>IF($G642="PAX",P167*'Insumos - OPEX'!L$48,P167*'Insumos - OPEX'!L$75)</f>
        <v>712503.78164446389</v>
      </c>
      <c r="Q642" s="211">
        <f>IF($G642="PAX",Q167*'Insumos - OPEX'!M$48,Q167*'Insumos - OPEX'!M$75)</f>
        <v>764275.74785183917</v>
      </c>
      <c r="R642" s="211">
        <f>IF($G642="PAX",R167*'Insumos - OPEX'!N$48,R167*'Insumos - OPEX'!N$75)</f>
        <v>821655.31668790278</v>
      </c>
      <c r="S642" s="111"/>
    </row>
    <row r="643" spans="1:19" x14ac:dyDescent="0.2">
      <c r="A643" s="8"/>
      <c r="B643" s="8" t="s">
        <v>434</v>
      </c>
      <c r="C643" s="8" t="s">
        <v>170</v>
      </c>
      <c r="D643" s="8">
        <v>6212000001</v>
      </c>
      <c r="E643" s="8" t="s">
        <v>254</v>
      </c>
      <c r="F643" s="73" t="s">
        <v>23</v>
      </c>
      <c r="G643" s="73" t="s">
        <v>136</v>
      </c>
      <c r="H643" s="112" t="s">
        <v>61</v>
      </c>
      <c r="I643" s="13" t="s">
        <v>22</v>
      </c>
      <c r="K643" s="187"/>
      <c r="L643" s="187"/>
      <c r="M643" s="188">
        <f>IF($G643="PAX",M168*'Insumos - OPEX'!I$48,M168*'Insumos - OPEX'!I$75)</f>
        <v>89271.27938391635</v>
      </c>
      <c r="N643" s="211">
        <f>IF($G643="PAX",N168*'Insumos - OPEX'!J$48,N168*'Insumos - OPEX'!J$75)</f>
        <v>107549.13634738245</v>
      </c>
      <c r="O643" s="211">
        <f>IF($G643="PAX",O168*'Insumos - OPEX'!K$48,O168*'Insumos - OPEX'!K$75)</f>
        <v>124493.97491584053</v>
      </c>
      <c r="P643" s="211">
        <f>IF($G643="PAX",P168*'Insumos - OPEX'!L$48,P168*'Insumos - OPEX'!L$75)</f>
        <v>135577.55425391498</v>
      </c>
      <c r="Q643" s="211">
        <f>IF($G643="PAX",Q168*'Insumos - OPEX'!M$48,Q168*'Insumos - OPEX'!M$75)</f>
        <v>145428.8936266157</v>
      </c>
      <c r="R643" s="211">
        <f>IF($G643="PAX",R168*'Insumos - OPEX'!N$48,R168*'Insumos - OPEX'!N$75)</f>
        <v>156347.26600210372</v>
      </c>
      <c r="S643" s="111"/>
    </row>
    <row r="644" spans="1:19" x14ac:dyDescent="0.2">
      <c r="A644" s="8"/>
      <c r="B644" s="8" t="s">
        <v>434</v>
      </c>
      <c r="C644" s="8" t="s">
        <v>170</v>
      </c>
      <c r="D644" s="8">
        <v>6290000001</v>
      </c>
      <c r="E644" s="8" t="s">
        <v>426</v>
      </c>
      <c r="F644" s="73" t="s">
        <v>23</v>
      </c>
      <c r="G644" s="73" t="s">
        <v>136</v>
      </c>
      <c r="H644" s="112" t="s">
        <v>61</v>
      </c>
      <c r="I644" s="13" t="s">
        <v>22</v>
      </c>
      <c r="K644" s="187"/>
      <c r="L644" s="187"/>
      <c r="M644" s="188">
        <f>IF($G644="PAX",M169*'Insumos - OPEX'!I$48,M169*'Insumos - OPEX'!I$75)</f>
        <v>48155.708035695949</v>
      </c>
      <c r="N644" s="211">
        <f>IF($G644="PAX",N169*'Insumos - OPEX'!J$48,N169*'Insumos - OPEX'!J$75)</f>
        <v>58015.353260064308</v>
      </c>
      <c r="O644" s="211">
        <f>IF($G644="PAX",O169*'Insumos - OPEX'!K$48,O169*'Insumos - OPEX'!K$75)</f>
        <v>67155.926851548895</v>
      </c>
      <c r="P644" s="211">
        <f>IF($G644="PAX",P169*'Insumos - OPEX'!L$48,P169*'Insumos - OPEX'!L$75)</f>
        <v>73134.754692689326</v>
      </c>
      <c r="Q644" s="211">
        <f>IF($G644="PAX",Q169*'Insumos - OPEX'!M$48,Q169*'Insumos - OPEX'!M$75)</f>
        <v>78448.873924163039</v>
      </c>
      <c r="R644" s="211">
        <f>IF($G644="PAX",R169*'Insumos - OPEX'!N$48,R169*'Insumos - OPEX'!N$75)</f>
        <v>84338.58398508704</v>
      </c>
      <c r="S644" s="111"/>
    </row>
    <row r="645" spans="1:19" x14ac:dyDescent="0.2">
      <c r="A645" s="8"/>
      <c r="B645" s="8" t="s">
        <v>434</v>
      </c>
      <c r="C645" s="8" t="s">
        <v>170</v>
      </c>
      <c r="D645" s="8">
        <v>6213000001</v>
      </c>
      <c r="E645" s="8" t="s">
        <v>255</v>
      </c>
      <c r="F645" s="73" t="s">
        <v>23</v>
      </c>
      <c r="G645" s="73" t="s">
        <v>136</v>
      </c>
      <c r="H645" s="112" t="s">
        <v>61</v>
      </c>
      <c r="I645" s="13" t="s">
        <v>22</v>
      </c>
      <c r="K645" s="187"/>
      <c r="L645" s="187"/>
      <c r="M645" s="188">
        <f>IF($G645="PAX",M170*'Insumos - OPEX'!I$48,M170*'Insumos - OPEX'!I$75)</f>
        <v>47395.165138068092</v>
      </c>
      <c r="N645" s="211">
        <f>IF($G645="PAX",N170*'Insumos - OPEX'!J$48,N170*'Insumos - OPEX'!J$75)</f>
        <v>57099.092931328079</v>
      </c>
      <c r="O645" s="211">
        <f>IF($G645="PAX",O170*'Insumos - OPEX'!K$48,O170*'Insumos - OPEX'!K$75)</f>
        <v>66095.30568566962</v>
      </c>
      <c r="P645" s="211">
        <f>IF($G645="PAX",P170*'Insumos - OPEX'!L$48,P170*'Insumos - OPEX'!L$75)</f>
        <v>71979.707440345956</v>
      </c>
      <c r="Q645" s="211">
        <f>IF($G645="PAX",Q170*'Insumos - OPEX'!M$48,Q170*'Insumos - OPEX'!M$75)</f>
        <v>77209.898601742301</v>
      </c>
      <c r="R645" s="211">
        <f>IF($G645="PAX",R170*'Insumos - OPEX'!N$48,R170*'Insumos - OPEX'!N$75)</f>
        <v>83006.590049948514</v>
      </c>
      <c r="S645" s="111"/>
    </row>
    <row r="646" spans="1:19" x14ac:dyDescent="0.2">
      <c r="A646" s="8"/>
      <c r="B646" s="8" t="s">
        <v>434</v>
      </c>
      <c r="C646" s="8" t="s">
        <v>170</v>
      </c>
      <c r="D646" s="8">
        <v>6270000002</v>
      </c>
      <c r="E646" s="8" t="s">
        <v>427</v>
      </c>
      <c r="F646" s="73" t="s">
        <v>23</v>
      </c>
      <c r="G646" s="73" t="s">
        <v>136</v>
      </c>
      <c r="H646" s="112" t="s">
        <v>61</v>
      </c>
      <c r="I646" s="13" t="s">
        <v>22</v>
      </c>
      <c r="J646" s="11"/>
      <c r="K646" s="187"/>
      <c r="L646" s="187"/>
      <c r="M646" s="188">
        <f>IF($G646="PAX",M171*'Insumos - OPEX'!I$48,M171*'Insumos - OPEX'!I$75)</f>
        <v>42142.771848383381</v>
      </c>
      <c r="N646" s="211">
        <f>IF($G646="PAX",N171*'Insumos - OPEX'!J$48,N171*'Insumos - OPEX'!J$75)</f>
        <v>50771.297855903722</v>
      </c>
      <c r="O646" s="211">
        <f>IF($G646="PAX",O171*'Insumos - OPEX'!K$48,O171*'Insumos - OPEX'!K$75)</f>
        <v>58770.538717314215</v>
      </c>
      <c r="P646" s="211">
        <f>IF($G646="PAX",P171*'Insumos - OPEX'!L$48,P171*'Insumos - OPEX'!L$75)</f>
        <v>64002.823484951172</v>
      </c>
      <c r="Q646" s="211">
        <f>IF($G646="PAX",Q171*'Insumos - OPEX'!M$48,Q171*'Insumos - OPEX'!M$75)</f>
        <v>68653.398120487545</v>
      </c>
      <c r="R646" s="211">
        <f>IF($G646="PAX",R171*'Insumos - OPEX'!N$48,R171*'Insumos - OPEX'!N$75)</f>
        <v>73807.692750869901</v>
      </c>
      <c r="S646" s="111"/>
    </row>
    <row r="647" spans="1:19" x14ac:dyDescent="0.2">
      <c r="A647" s="8"/>
      <c r="B647" s="8" t="s">
        <v>434</v>
      </c>
      <c r="C647" s="8" t="s">
        <v>170</v>
      </c>
      <c r="D647" s="8">
        <v>8710000001</v>
      </c>
      <c r="E647" s="8" t="s">
        <v>268</v>
      </c>
      <c r="F647" s="73" t="s">
        <v>23</v>
      </c>
      <c r="G647" s="73" t="s">
        <v>136</v>
      </c>
      <c r="H647" s="112" t="s">
        <v>61</v>
      </c>
      <c r="I647" s="13" t="s">
        <v>22</v>
      </c>
      <c r="K647" s="187"/>
      <c r="L647" s="187"/>
      <c r="M647" s="188">
        <f>IF($G647="PAX",M172*'Insumos - OPEX'!I$48,M172*'Insumos - OPEX'!I$75)</f>
        <v>0</v>
      </c>
      <c r="N647" s="211">
        <f>IF($G647="PAX",N172*'Insumos - OPEX'!J$48,N172*'Insumos - OPEX'!J$75)</f>
        <v>0</v>
      </c>
      <c r="O647" s="211">
        <f>IF($G647="PAX",O172*'Insumos - OPEX'!K$48,O172*'Insumos - OPEX'!K$75)</f>
        <v>0</v>
      </c>
      <c r="P647" s="211">
        <f>IF($G647="PAX",P172*'Insumos - OPEX'!L$48,P172*'Insumos - OPEX'!L$75)</f>
        <v>0</v>
      </c>
      <c r="Q647" s="211">
        <f>IF($G647="PAX",Q172*'Insumos - OPEX'!M$48,Q172*'Insumos - OPEX'!M$75)</f>
        <v>0</v>
      </c>
      <c r="R647" s="211">
        <f>IF($G647="PAX",R172*'Insumos - OPEX'!N$48,R172*'Insumos - OPEX'!N$75)</f>
        <v>0</v>
      </c>
      <c r="S647" s="111"/>
    </row>
    <row r="648" spans="1:19" x14ac:dyDescent="0.2">
      <c r="A648" s="8"/>
      <c r="B648" s="8" t="s">
        <v>434</v>
      </c>
      <c r="C648" s="8" t="s">
        <v>170</v>
      </c>
      <c r="D648" s="8">
        <v>6270000001</v>
      </c>
      <c r="E648" s="8" t="s">
        <v>259</v>
      </c>
      <c r="F648" s="73" t="s">
        <v>23</v>
      </c>
      <c r="G648" s="73" t="s">
        <v>136</v>
      </c>
      <c r="H648" s="112" t="s">
        <v>61</v>
      </c>
      <c r="I648" s="13" t="s">
        <v>22</v>
      </c>
      <c r="J648" s="40"/>
      <c r="K648" s="187"/>
      <c r="L648" s="187"/>
      <c r="M648" s="188">
        <f>IF($G648="PAX",M173*'Insumos - OPEX'!I$48,M173*'Insumos - OPEX'!I$75)</f>
        <v>20729.190744569158</v>
      </c>
      <c r="N648" s="211">
        <f>IF($G648="PAX",N173*'Insumos - OPEX'!J$48,N173*'Insumos - OPEX'!J$75)</f>
        <v>24973.390962292287</v>
      </c>
      <c r="O648" s="211">
        <f>IF($G648="PAX",O173*'Insumos - OPEX'!K$48,O173*'Insumos - OPEX'!K$75)</f>
        <v>28908.058340709889</v>
      </c>
      <c r="P648" s="211">
        <f>IF($G648="PAX",P173*'Insumos - OPEX'!L$48,P173*'Insumos - OPEX'!L$75)</f>
        <v>31481.715084705258</v>
      </c>
      <c r="Q648" s="211">
        <f>IF($G648="PAX",Q173*'Insumos - OPEX'!M$48,Q173*'Insumos - OPEX'!M$75)</f>
        <v>33769.240191945843</v>
      </c>
      <c r="R648" s="211">
        <f>IF($G648="PAX",R173*'Insumos - OPEX'!N$48,R173*'Insumos - OPEX'!N$75)</f>
        <v>36304.535139589476</v>
      </c>
      <c r="S648" s="111"/>
    </row>
    <row r="649" spans="1:19" x14ac:dyDescent="0.2">
      <c r="A649" s="8"/>
      <c r="B649" s="8" t="s">
        <v>434</v>
      </c>
      <c r="C649" s="8" t="s">
        <v>170</v>
      </c>
      <c r="D649" s="8">
        <v>6214000001</v>
      </c>
      <c r="E649" s="8" t="s">
        <v>256</v>
      </c>
      <c r="F649" s="73" t="s">
        <v>23</v>
      </c>
      <c r="G649" s="73" t="s">
        <v>136</v>
      </c>
      <c r="H649" s="112" t="s">
        <v>61</v>
      </c>
      <c r="I649" s="13" t="s">
        <v>22</v>
      </c>
      <c r="K649" s="187"/>
      <c r="L649" s="187"/>
      <c r="M649" s="188">
        <f>IF($G649="PAX",M174*'Insumos - OPEX'!I$48,M174*'Insumos - OPEX'!I$75)</f>
        <v>13402.013287372596</v>
      </c>
      <c r="N649" s="211">
        <f>IF($G649="PAX",N174*'Insumos - OPEX'!J$48,N174*'Insumos - OPEX'!J$75)</f>
        <v>16146.009828921004</v>
      </c>
      <c r="O649" s="211">
        <f>IF($G649="PAX",O174*'Insumos - OPEX'!K$48,O174*'Insumos - OPEX'!K$75)</f>
        <v>18689.884557883091</v>
      </c>
      <c r="P649" s="211">
        <f>IF($G649="PAX",P174*'Insumos - OPEX'!L$48,P174*'Insumos - OPEX'!L$75)</f>
        <v>20353.827077645881</v>
      </c>
      <c r="Q649" s="211">
        <f>IF($G649="PAX",Q174*'Insumos - OPEX'!M$48,Q174*'Insumos - OPEX'!M$75)</f>
        <v>21832.777329983579</v>
      </c>
      <c r="R649" s="211">
        <f>IF($G649="PAX",R174*'Insumos - OPEX'!N$48,R174*'Insumos - OPEX'!N$75)</f>
        <v>23471.91785381857</v>
      </c>
      <c r="S649" s="111"/>
    </row>
    <row r="650" spans="1:19" x14ac:dyDescent="0.2">
      <c r="A650" s="8"/>
      <c r="B650" s="8" t="s">
        <v>434</v>
      </c>
      <c r="C650" s="8" t="s">
        <v>170</v>
      </c>
      <c r="D650" s="8">
        <v>6270000006</v>
      </c>
      <c r="E650" s="8" t="s">
        <v>261</v>
      </c>
      <c r="F650" s="73" t="s">
        <v>23</v>
      </c>
      <c r="G650" s="73" t="s">
        <v>136</v>
      </c>
      <c r="H650" s="112" t="s">
        <v>61</v>
      </c>
      <c r="I650" s="13" t="s">
        <v>22</v>
      </c>
      <c r="K650" s="187"/>
      <c r="L650" s="187"/>
      <c r="M650" s="188">
        <f>IF($G650="PAX",M175*'Insumos - OPEX'!I$48,M175*'Insumos - OPEX'!I$75)</f>
        <v>11954.562899894443</v>
      </c>
      <c r="N650" s="211">
        <f>IF($G650="PAX",N175*'Insumos - OPEX'!J$48,N175*'Insumos - OPEX'!J$75)</f>
        <v>14402.201068104632</v>
      </c>
      <c r="O650" s="211">
        <f>IF($G650="PAX",O175*'Insumos - OPEX'!K$48,O175*'Insumos - OPEX'!K$75)</f>
        <v>16671.331071540939</v>
      </c>
      <c r="P650" s="211">
        <f>IF($G650="PAX",P175*'Insumos - OPEX'!L$48,P175*'Insumos - OPEX'!L$75)</f>
        <v>18155.563707920664</v>
      </c>
      <c r="Q650" s="211">
        <f>IF($G650="PAX",Q175*'Insumos - OPEX'!M$48,Q175*'Insumos - OPEX'!M$75)</f>
        <v>19474.78369661028</v>
      </c>
      <c r="R650" s="211">
        <f>IF($G650="PAX",R175*'Insumos - OPEX'!N$48,R175*'Insumos - OPEX'!N$75)</f>
        <v>20936.893013604764</v>
      </c>
      <c r="S650" s="111"/>
    </row>
    <row r="651" spans="1:19" x14ac:dyDescent="0.2">
      <c r="A651" s="8"/>
      <c r="B651" s="8" t="s">
        <v>434</v>
      </c>
      <c r="C651" s="8" t="s">
        <v>170</v>
      </c>
      <c r="D651" s="8">
        <v>6250000003</v>
      </c>
      <c r="E651" s="8" t="s">
        <v>428</v>
      </c>
      <c r="F651" s="73" t="s">
        <v>23</v>
      </c>
      <c r="G651" s="73" t="s">
        <v>136</v>
      </c>
      <c r="H651" s="112" t="s">
        <v>61</v>
      </c>
      <c r="I651" s="13" t="s">
        <v>22</v>
      </c>
      <c r="K651" s="187"/>
      <c r="L651" s="187"/>
      <c r="M651" s="188">
        <f>IF($G651="PAX",M176*'Insumos - OPEX'!I$48,M176*'Insumos - OPEX'!I$75)</f>
        <v>5641.3127870178359</v>
      </c>
      <c r="N651" s="211">
        <f>IF($G651="PAX",N176*'Insumos - OPEX'!J$48,N176*'Insumos - OPEX'!J$75)</f>
        <v>6796.3439338646167</v>
      </c>
      <c r="O651" s="211">
        <f>IF($G651="PAX",O176*'Insumos - OPEX'!K$48,O176*'Insumos - OPEX'!K$75)</f>
        <v>7867.1377563559508</v>
      </c>
      <c r="P651" s="211">
        <f>IF($G651="PAX",P176*'Insumos - OPEX'!L$48,P176*'Insumos - OPEX'!L$75)</f>
        <v>8567.5414951318853</v>
      </c>
      <c r="Q651" s="211">
        <f>IF($G651="PAX",Q176*'Insumos - OPEX'!M$48,Q176*'Insumos - OPEX'!M$75)</f>
        <v>9190.0763927608023</v>
      </c>
      <c r="R651" s="211">
        <f>IF($G651="PAX",R176*'Insumos - OPEX'!N$48,R176*'Insumos - OPEX'!N$75)</f>
        <v>9880.0402212209574</v>
      </c>
      <c r="S651" s="111"/>
    </row>
    <row r="652" spans="1:19" x14ac:dyDescent="0.2">
      <c r="A652" s="8"/>
      <c r="B652" s="8" t="s">
        <v>434</v>
      </c>
      <c r="C652" s="8" t="s">
        <v>170</v>
      </c>
      <c r="D652" s="8">
        <v>6221000001</v>
      </c>
      <c r="E652" s="8" t="s">
        <v>257</v>
      </c>
      <c r="F652" s="73" t="s">
        <v>23</v>
      </c>
      <c r="G652" s="73" t="s">
        <v>136</v>
      </c>
      <c r="H652" s="112" t="s">
        <v>61</v>
      </c>
      <c r="I652" s="13" t="s">
        <v>22</v>
      </c>
      <c r="K652" s="187"/>
      <c r="L652" s="187"/>
      <c r="M652" s="188">
        <f>IF($G652="PAX",M177*'Insumos - OPEX'!I$48,M177*'Insumos - OPEX'!I$75)</f>
        <v>4968.682866418545</v>
      </c>
      <c r="N652" s="211">
        <f>IF($G652="PAX",N177*'Insumos - OPEX'!J$48,N177*'Insumos - OPEX'!J$75)</f>
        <v>5985.9963333697642</v>
      </c>
      <c r="O652" s="211">
        <f>IF($G652="PAX",O177*'Insumos - OPEX'!K$48,O177*'Insumos - OPEX'!K$75)</f>
        <v>6929.1163340056537</v>
      </c>
      <c r="P652" s="211">
        <f>IF($G652="PAX",P177*'Insumos - OPEX'!L$48,P177*'Insumos - OPEX'!L$75)</f>
        <v>7546.0089240496027</v>
      </c>
      <c r="Q652" s="211">
        <f>IF($G652="PAX",Q177*'Insumos - OPEX'!M$48,Q177*'Insumos - OPEX'!M$75)</f>
        <v>8094.3171984488981</v>
      </c>
      <c r="R652" s="211">
        <f>IF($G652="PAX",R177*'Insumos - OPEX'!N$48,R177*'Insumos - OPEX'!N$75)</f>
        <v>8702.0146586584669</v>
      </c>
      <c r="S652" s="111"/>
    </row>
    <row r="653" spans="1:19" x14ac:dyDescent="0.2">
      <c r="A653" s="8"/>
      <c r="B653" s="8" t="s">
        <v>434</v>
      </c>
      <c r="C653" s="8" t="s">
        <v>170</v>
      </c>
      <c r="D653" s="8">
        <v>6240000001</v>
      </c>
      <c r="E653" s="8" t="s">
        <v>265</v>
      </c>
      <c r="F653" s="73" t="s">
        <v>23</v>
      </c>
      <c r="G653" s="73" t="s">
        <v>136</v>
      </c>
      <c r="H653" s="112" t="s">
        <v>61</v>
      </c>
      <c r="I653" s="13" t="s">
        <v>22</v>
      </c>
      <c r="J653" s="11"/>
      <c r="K653" s="187"/>
      <c r="L653" s="187"/>
      <c r="M653" s="188">
        <f>IF($G653="PAX",M178*'Insumos - OPEX'!I$48,M178*'Insumos - OPEX'!I$75)</f>
        <v>3899.7622678993675</v>
      </c>
      <c r="N653" s="211">
        <f>IF($G653="PAX",N178*'Insumos - OPEX'!J$48,N178*'Insumos - OPEX'!J$75)</f>
        <v>4698.2194807465812</v>
      </c>
      <c r="O653" s="211">
        <f>IF($G653="PAX",O178*'Insumos - OPEX'!K$48,O178*'Insumos - OPEX'!K$75)</f>
        <v>5438.4445849565727</v>
      </c>
      <c r="P653" s="211">
        <f>IF($G653="PAX",P178*'Insumos - OPEX'!L$48,P178*'Insumos - OPEX'!L$75)</f>
        <v>5922.6240970481094</v>
      </c>
      <c r="Q653" s="211">
        <f>IF($G653="PAX",Q178*'Insumos - OPEX'!M$48,Q178*'Insumos - OPEX'!M$75)</f>
        <v>6352.9739457235301</v>
      </c>
      <c r="R653" s="211">
        <f>IF($G653="PAX",R178*'Insumos - OPEX'!N$48,R178*'Insumos - OPEX'!N$75)</f>
        <v>6829.9364907957179</v>
      </c>
      <c r="S653" s="111"/>
    </row>
    <row r="654" spans="1:19" x14ac:dyDescent="0.2">
      <c r="A654" s="8"/>
      <c r="B654" s="8" t="s">
        <v>434</v>
      </c>
      <c r="C654" s="8" t="s">
        <v>170</v>
      </c>
      <c r="D654" s="8">
        <v>6250000004</v>
      </c>
      <c r="E654" s="8" t="s">
        <v>264</v>
      </c>
      <c r="F654" s="73" t="s">
        <v>23</v>
      </c>
      <c r="G654" s="73" t="s">
        <v>136</v>
      </c>
      <c r="H654" s="112" t="s">
        <v>61</v>
      </c>
      <c r="I654" s="13" t="s">
        <v>22</v>
      </c>
      <c r="K654" s="187"/>
      <c r="L654" s="187"/>
      <c r="M654" s="188">
        <f>IF($G654="PAX",M179*'Insumos - OPEX'!I$48,M179*'Insumos - OPEX'!I$75)</f>
        <v>3442.8746907648901</v>
      </c>
      <c r="N654" s="211">
        <f>IF($G654="PAX",N179*'Insumos - OPEX'!J$48,N179*'Insumos - OPEX'!J$75)</f>
        <v>4147.7864112557672</v>
      </c>
      <c r="O654" s="211">
        <f>IF($G654="PAX",O179*'Insumos - OPEX'!K$48,O179*'Insumos - OPEX'!K$75)</f>
        <v>4801.2883689856544</v>
      </c>
      <c r="P654" s="211">
        <f>IF($G654="PAX",P179*'Insumos - OPEX'!L$48,P179*'Insumos - OPEX'!L$75)</f>
        <v>5228.742473480278</v>
      </c>
      <c r="Q654" s="211">
        <f>IF($G654="PAX",Q179*'Insumos - OPEX'!M$48,Q179*'Insumos - OPEX'!M$75)</f>
        <v>5608.6734796277888</v>
      </c>
      <c r="R654" s="211">
        <f>IF($G654="PAX",R179*'Insumos - OPEX'!N$48,R179*'Insumos - OPEX'!N$75)</f>
        <v>6029.756141098941</v>
      </c>
      <c r="S654" s="111"/>
    </row>
    <row r="655" spans="1:19" x14ac:dyDescent="0.2">
      <c r="A655" s="8"/>
      <c r="B655" s="8" t="s">
        <v>434</v>
      </c>
      <c r="C655" s="8" t="s">
        <v>170</v>
      </c>
      <c r="D655" s="8">
        <v>6270000005</v>
      </c>
      <c r="E655" s="8" t="s">
        <v>430</v>
      </c>
      <c r="F655" s="73" t="s">
        <v>23</v>
      </c>
      <c r="G655" s="73" t="s">
        <v>136</v>
      </c>
      <c r="H655" s="112" t="s">
        <v>61</v>
      </c>
      <c r="I655" s="13" t="s">
        <v>22</v>
      </c>
      <c r="K655" s="187"/>
      <c r="L655" s="187"/>
      <c r="M655" s="188">
        <f>IF($G655="PAX",M180*'Insumos - OPEX'!I$48,M180*'Insumos - OPEX'!I$75)</f>
        <v>2414.2926432467575</v>
      </c>
      <c r="N655" s="211">
        <f>IF($G655="PAX",N180*'Insumos - OPEX'!J$48,N180*'Insumos - OPEX'!J$75)</f>
        <v>2908.6072302645739</v>
      </c>
      <c r="O655" s="211">
        <f>IF($G655="PAX",O180*'Insumos - OPEX'!K$48,O180*'Insumos - OPEX'!K$75)</f>
        <v>3366.8710680762538</v>
      </c>
      <c r="P655" s="211">
        <f>IF($G655="PAX",P180*'Insumos - OPEX'!L$48,P180*'Insumos - OPEX'!L$75)</f>
        <v>3666.6203742520543</v>
      </c>
      <c r="Q655" s="211">
        <f>IF($G655="PAX",Q180*'Insumos - OPEX'!M$48,Q180*'Insumos - OPEX'!M$75)</f>
        <v>3933.0444284134596</v>
      </c>
      <c r="R655" s="211">
        <f>IF($G655="PAX",R180*'Insumos - OPEX'!N$48,R180*'Insumos - OPEX'!N$75)</f>
        <v>4228.3258031656469</v>
      </c>
      <c r="S655" s="111"/>
    </row>
    <row r="656" spans="1:19" x14ac:dyDescent="0.2">
      <c r="A656" s="8"/>
      <c r="B656" s="8" t="s">
        <v>434</v>
      </c>
      <c r="C656" s="8" t="s">
        <v>170</v>
      </c>
      <c r="D656" s="8">
        <v>6250000008</v>
      </c>
      <c r="E656" s="8" t="s">
        <v>267</v>
      </c>
      <c r="F656" s="73" t="s">
        <v>23</v>
      </c>
      <c r="G656" s="73" t="s">
        <v>136</v>
      </c>
      <c r="H656" s="112" t="s">
        <v>61</v>
      </c>
      <c r="I656" s="13" t="s">
        <v>22</v>
      </c>
      <c r="K656" s="187"/>
      <c r="L656" s="187"/>
      <c r="M656" s="188">
        <f>IF($G656="PAX",M181*'Insumos - OPEX'!I$48,M181*'Insumos - OPEX'!I$75)</f>
        <v>2316.8810022727221</v>
      </c>
      <c r="N656" s="211">
        <f>IF($G656="PAX",N181*'Insumos - OPEX'!J$48,N181*'Insumos - OPEX'!J$75)</f>
        <v>2791.2510331848403</v>
      </c>
      <c r="O656" s="211">
        <f>IF($G656="PAX",O181*'Insumos - OPEX'!K$48,O181*'Insumos - OPEX'!K$75)</f>
        <v>3231.0248869570291</v>
      </c>
      <c r="P656" s="211">
        <f>IF($G656="PAX",P181*'Insumos - OPEX'!L$48,P181*'Insumos - OPEX'!L$75)</f>
        <v>3518.679937750373</v>
      </c>
      <c r="Q656" s="211">
        <f>IF($G656="PAX",Q181*'Insumos - OPEX'!M$48,Q181*'Insumos - OPEX'!M$75)</f>
        <v>3774.3543405041851</v>
      </c>
      <c r="R656" s="211">
        <f>IF($G656="PAX",R181*'Insumos - OPEX'!N$48,R181*'Insumos - OPEX'!N$75)</f>
        <v>4057.7217315294456</v>
      </c>
      <c r="S656" s="111"/>
    </row>
    <row r="657" spans="1:19" x14ac:dyDescent="0.2">
      <c r="A657" s="8"/>
      <c r="B657" s="8" t="s">
        <v>434</v>
      </c>
      <c r="C657" s="8" t="s">
        <v>170</v>
      </c>
      <c r="D657" s="8">
        <v>6250000001</v>
      </c>
      <c r="E657" s="8" t="s">
        <v>262</v>
      </c>
      <c r="F657" s="73" t="s">
        <v>23</v>
      </c>
      <c r="G657" s="73" t="s">
        <v>136</v>
      </c>
      <c r="H657" s="112" t="s">
        <v>61</v>
      </c>
      <c r="I657" s="13" t="s">
        <v>22</v>
      </c>
      <c r="K657" s="187"/>
      <c r="L657" s="187"/>
      <c r="M657" s="188">
        <f>IF($G657="PAX",M182*'Insumos - OPEX'!I$48,M182*'Insumos - OPEX'!I$75)</f>
        <v>2130.0818356191198</v>
      </c>
      <c r="N657" s="211">
        <f>IF($G657="PAX",N182*'Insumos - OPEX'!J$48,N182*'Insumos - OPEX'!J$75)</f>
        <v>2566.2056526027263</v>
      </c>
      <c r="O657" s="211">
        <f>IF($G657="PAX",O182*'Insumos - OPEX'!K$48,O182*'Insumos - OPEX'!K$75)</f>
        <v>2970.5226187228927</v>
      </c>
      <c r="P657" s="211">
        <f>IF($G657="PAX",P182*'Insumos - OPEX'!L$48,P182*'Insumos - OPEX'!L$75)</f>
        <v>3234.9854021019032</v>
      </c>
      <c r="Q657" s="211">
        <f>IF($G657="PAX",Q182*'Insumos - OPEX'!M$48,Q182*'Insumos - OPEX'!M$75)</f>
        <v>3470.0459859663474</v>
      </c>
      <c r="R657" s="211">
        <f>IF($G657="PAX",R182*'Insumos - OPEX'!N$48,R182*'Insumos - OPEX'!N$75)</f>
        <v>3730.5668033227826</v>
      </c>
      <c r="S657" s="111"/>
    </row>
    <row r="658" spans="1:19" x14ac:dyDescent="0.2">
      <c r="A658" s="8"/>
      <c r="B658" s="8" t="s">
        <v>434</v>
      </c>
      <c r="C658" s="8" t="s">
        <v>170</v>
      </c>
      <c r="D658" s="8">
        <v>6250000006</v>
      </c>
      <c r="E658" s="8" t="s">
        <v>429</v>
      </c>
      <c r="F658" s="73" t="s">
        <v>23</v>
      </c>
      <c r="G658" s="73" t="s">
        <v>136</v>
      </c>
      <c r="H658" s="112" t="s">
        <v>61</v>
      </c>
      <c r="I658" s="13" t="s">
        <v>22</v>
      </c>
      <c r="K658" s="187"/>
      <c r="L658" s="187"/>
      <c r="M658" s="188">
        <f>IF($G658="PAX",M183*'Insumos - OPEX'!I$48,M183*'Insumos - OPEX'!I$75)</f>
        <v>1687.9948978010234</v>
      </c>
      <c r="N658" s="211">
        <f>IF($G658="PAX",N183*'Insumos - OPEX'!J$48,N183*'Insumos - OPEX'!J$75)</f>
        <v>2033.6035807950561</v>
      </c>
      <c r="O658" s="211">
        <f>IF($G658="PAX",O183*'Insumos - OPEX'!K$48,O183*'Insumos - OPEX'!K$75)</f>
        <v>2354.0067523975513</v>
      </c>
      <c r="P658" s="211">
        <f>IF($G658="PAX",P183*'Insumos - OPEX'!L$48,P183*'Insumos - OPEX'!L$75)</f>
        <v>2563.5817187378816</v>
      </c>
      <c r="Q658" s="211">
        <f>IF($G658="PAX",Q183*'Insumos - OPEX'!M$48,Q183*'Insumos - OPEX'!M$75)</f>
        <v>2749.856752683695</v>
      </c>
      <c r="R658" s="211">
        <f>IF($G658="PAX",R183*'Insumos - OPEX'!N$48,R183*'Insumos - OPEX'!N$75)</f>
        <v>2956.3078866800547</v>
      </c>
      <c r="S658" s="111"/>
    </row>
    <row r="659" spans="1:19" x14ac:dyDescent="0.2">
      <c r="A659" s="8"/>
      <c r="B659" s="8" t="s">
        <v>434</v>
      </c>
      <c r="C659" s="8" t="s">
        <v>170</v>
      </c>
      <c r="D659" s="8">
        <v>6250000005</v>
      </c>
      <c r="E659" s="8" t="s">
        <v>266</v>
      </c>
      <c r="F659" s="73" t="s">
        <v>23</v>
      </c>
      <c r="G659" s="73" t="s">
        <v>136</v>
      </c>
      <c r="H659" s="112" t="s">
        <v>61</v>
      </c>
      <c r="I659" s="13" t="s">
        <v>22</v>
      </c>
      <c r="K659" s="187"/>
      <c r="L659" s="187"/>
      <c r="M659" s="188">
        <f>IF($G659="PAX",M184*'Insumos - OPEX'!I$48,M184*'Insumos - OPEX'!I$75)</f>
        <v>1358.1950504814906</v>
      </c>
      <c r="N659" s="211">
        <f>IF($G659="PAX",N184*'Insumos - OPEX'!J$48,N184*'Insumos - OPEX'!J$75)</f>
        <v>1636.2788309819061</v>
      </c>
      <c r="O659" s="211">
        <f>IF($G659="PAX",O184*'Insumos - OPEX'!K$48,O184*'Insumos - OPEX'!K$75)</f>
        <v>1894.0817440096548</v>
      </c>
      <c r="P659" s="211">
        <f>IF($G659="PAX",P184*'Insumos - OPEX'!L$48,P184*'Insumos - OPEX'!L$75)</f>
        <v>2062.710027400246</v>
      </c>
      <c r="Q659" s="211">
        <f>IF($G659="PAX",Q184*'Insumos - OPEX'!M$48,Q184*'Insumos - OPEX'!M$75)</f>
        <v>2212.5907109633649</v>
      </c>
      <c r="R659" s="211">
        <f>IF($G659="PAX",R184*'Insumos - OPEX'!N$48,R184*'Insumos - OPEX'!N$75)</f>
        <v>2378.7054952707285</v>
      </c>
      <c r="S659" s="111"/>
    </row>
    <row r="660" spans="1:19" x14ac:dyDescent="0.2">
      <c r="A660" s="8"/>
      <c r="B660" s="8" t="s">
        <v>434</v>
      </c>
      <c r="C660" s="8" t="s">
        <v>170</v>
      </c>
      <c r="D660" s="8">
        <v>6270000004</v>
      </c>
      <c r="E660" s="8" t="s">
        <v>431</v>
      </c>
      <c r="F660" s="73" t="s">
        <v>23</v>
      </c>
      <c r="G660" s="73" t="s">
        <v>136</v>
      </c>
      <c r="H660" s="112" t="s">
        <v>61</v>
      </c>
      <c r="I660" s="13" t="s">
        <v>22</v>
      </c>
      <c r="K660" s="187"/>
      <c r="L660" s="187"/>
      <c r="M660" s="188">
        <f>IF($G660="PAX",M185*'Insumos - OPEX'!I$48,M185*'Insumos - OPEX'!I$75)</f>
        <v>1309.4202682628531</v>
      </c>
      <c r="N660" s="211">
        <f>IF($G660="PAX",N185*'Insumos - OPEX'!J$48,N185*'Insumos - OPEX'!J$75)</f>
        <v>1577.5176511338307</v>
      </c>
      <c r="O660" s="211">
        <f>IF($G660="PAX",O185*'Insumos - OPEX'!K$48,O185*'Insumos - OPEX'!K$75)</f>
        <v>1826.0624823170012</v>
      </c>
      <c r="P660" s="211">
        <f>IF($G660="PAX",P185*'Insumos - OPEX'!L$48,P185*'Insumos - OPEX'!L$75)</f>
        <v>1988.6350759925078</v>
      </c>
      <c r="Q660" s="211">
        <f>IF($G660="PAX",Q185*'Insumos - OPEX'!M$48,Q185*'Insumos - OPEX'!M$75)</f>
        <v>2133.1333237287695</v>
      </c>
      <c r="R660" s="211">
        <f>IF($G660="PAX",R185*'Insumos - OPEX'!N$48,R185*'Insumos - OPEX'!N$75)</f>
        <v>2293.2826817705795</v>
      </c>
      <c r="S660" s="111"/>
    </row>
    <row r="661" spans="1:19" x14ac:dyDescent="0.2">
      <c r="A661" s="8"/>
      <c r="B661" s="8" t="s">
        <v>434</v>
      </c>
      <c r="C661" s="8" t="s">
        <v>170</v>
      </c>
      <c r="D661" s="8">
        <v>6270000003</v>
      </c>
      <c r="E661" s="8" t="s">
        <v>432</v>
      </c>
      <c r="F661" s="73" t="s">
        <v>23</v>
      </c>
      <c r="G661" s="73" t="s">
        <v>136</v>
      </c>
      <c r="H661" s="112" t="s">
        <v>61</v>
      </c>
      <c r="I661" s="13" t="s">
        <v>22</v>
      </c>
      <c r="K661" s="187"/>
      <c r="L661" s="187"/>
      <c r="M661" s="188">
        <f>IF($G661="PAX",M186*'Insumos - OPEX'!I$48,M186*'Insumos - OPEX'!I$75)</f>
        <v>1067.3234626749461</v>
      </c>
      <c r="N661" s="211">
        <f>IF($G661="PAX",N186*'Insumos - OPEX'!J$48,N186*'Insumos - OPEX'!J$75)</f>
        <v>1285.8527110419047</v>
      </c>
      <c r="O661" s="211">
        <f>IF($G661="PAX",O186*'Insumos - OPEX'!K$48,O186*'Insumos - OPEX'!K$75)</f>
        <v>1488.4444505147576</v>
      </c>
      <c r="P661" s="211">
        <f>IF($G661="PAX",P186*'Insumos - OPEX'!L$48,P186*'Insumos - OPEX'!L$75)</f>
        <v>1620.9592342121161</v>
      </c>
      <c r="Q661" s="211">
        <f>IF($G661="PAX",Q186*'Insumos - OPEX'!M$48,Q186*'Insumos - OPEX'!M$75)</f>
        <v>1738.7414114568094</v>
      </c>
      <c r="R661" s="211">
        <f>IF($G661="PAX",R186*'Insumos - OPEX'!N$48,R186*'Insumos - OPEX'!N$75)</f>
        <v>1869.2809880261566</v>
      </c>
      <c r="S661" s="111"/>
    </row>
    <row r="662" spans="1:19" x14ac:dyDescent="0.2">
      <c r="A662" s="8"/>
      <c r="B662" s="8" t="s">
        <v>434</v>
      </c>
      <c r="C662" s="8" t="s">
        <v>170</v>
      </c>
      <c r="D662" s="8">
        <v>6270000007</v>
      </c>
      <c r="E662" s="8" t="s">
        <v>263</v>
      </c>
      <c r="F662" s="73" t="s">
        <v>23</v>
      </c>
      <c r="G662" s="73" t="s">
        <v>136</v>
      </c>
      <c r="H662" s="112" t="s">
        <v>61</v>
      </c>
      <c r="I662" s="13" t="s">
        <v>22</v>
      </c>
      <c r="K662" s="187"/>
      <c r="L662" s="187"/>
      <c r="M662" s="188">
        <f>IF($G662="PAX",M187*'Insumos - OPEX'!I$48,M187*'Insumos - OPEX'!I$75)</f>
        <v>1055.969804787941</v>
      </c>
      <c r="N662" s="211">
        <f>IF($G662="PAX",N187*'Insumos - OPEX'!J$48,N187*'Insumos - OPEX'!J$75)</f>
        <v>1272.1744473432325</v>
      </c>
      <c r="O662" s="211">
        <f>IF($G662="PAX",O187*'Insumos - OPEX'!K$48,O187*'Insumos - OPEX'!K$75)</f>
        <v>1472.6111163232629</v>
      </c>
      <c r="P662" s="211">
        <f>IF($G662="PAX",P187*'Insumos - OPEX'!L$48,P187*'Insumos - OPEX'!L$75)</f>
        <v>1603.7162734437825</v>
      </c>
      <c r="Q662" s="211">
        <f>IF($G662="PAX",Q187*'Insumos - OPEX'!M$48,Q187*'Insumos - OPEX'!M$75)</f>
        <v>1720.2455422756209</v>
      </c>
      <c r="R662" s="211">
        <f>IF($G662="PAX",R187*'Insumos - OPEX'!N$48,R187*'Insumos - OPEX'!N$75)</f>
        <v>1849.3965035423792</v>
      </c>
      <c r="S662" s="111"/>
    </row>
    <row r="663" spans="1:19" x14ac:dyDescent="0.2">
      <c r="A663" s="8"/>
      <c r="B663" s="8" t="s">
        <v>434</v>
      </c>
      <c r="C663" s="8" t="s">
        <v>170</v>
      </c>
      <c r="D663" s="8">
        <v>6231000001</v>
      </c>
      <c r="E663" s="8" t="s">
        <v>258</v>
      </c>
      <c r="F663" s="73" t="s">
        <v>23</v>
      </c>
      <c r="G663" s="73" t="s">
        <v>136</v>
      </c>
      <c r="H663" s="112" t="s">
        <v>61</v>
      </c>
      <c r="I663" s="13" t="s">
        <v>22</v>
      </c>
      <c r="J663" s="11"/>
      <c r="K663" s="187"/>
      <c r="L663" s="187"/>
      <c r="M663" s="188">
        <f>IF($G663="PAX",M188*'Insumos - OPEX'!I$48,M188*'Insumos - OPEX'!I$75)</f>
        <v>0</v>
      </c>
      <c r="N663" s="211">
        <f>IF($G663="PAX",N188*'Insumos - OPEX'!J$48,N188*'Insumos - OPEX'!J$75)</f>
        <v>0</v>
      </c>
      <c r="O663" s="211">
        <f>IF($G663="PAX",O188*'Insumos - OPEX'!K$48,O188*'Insumos - OPEX'!K$75)</f>
        <v>0</v>
      </c>
      <c r="P663" s="211">
        <f>IF($G663="PAX",P188*'Insumos - OPEX'!L$48,P188*'Insumos - OPEX'!L$75)</f>
        <v>0</v>
      </c>
      <c r="Q663" s="211">
        <f>IF($G663="PAX",Q188*'Insumos - OPEX'!M$48,Q188*'Insumos - OPEX'!M$75)</f>
        <v>0</v>
      </c>
      <c r="R663" s="211">
        <f>IF($G663="PAX",R188*'Insumos - OPEX'!N$48,R188*'Insumos - OPEX'!N$75)</f>
        <v>0</v>
      </c>
      <c r="S663" s="111"/>
    </row>
    <row r="664" spans="1:19" x14ac:dyDescent="0.2">
      <c r="A664" s="8"/>
      <c r="B664" s="8" t="s">
        <v>434</v>
      </c>
      <c r="C664" s="8" t="s">
        <v>170</v>
      </c>
      <c r="D664" s="8">
        <v>6250000007</v>
      </c>
      <c r="E664" s="8" t="s">
        <v>260</v>
      </c>
      <c r="F664" s="73" t="s">
        <v>23</v>
      </c>
      <c r="G664" s="73" t="s">
        <v>136</v>
      </c>
      <c r="H664" s="112" t="s">
        <v>61</v>
      </c>
      <c r="I664" s="13" t="s">
        <v>22</v>
      </c>
      <c r="J664" s="11"/>
      <c r="K664" s="187"/>
      <c r="L664" s="187"/>
      <c r="M664" s="188">
        <f>IF($G664="PAX",M189*'Insumos - OPEX'!I$48,M189*'Insumos - OPEX'!I$75)</f>
        <v>0</v>
      </c>
      <c r="N664" s="211">
        <f>IF($G664="PAX",N189*'Insumos - OPEX'!J$48,N189*'Insumos - OPEX'!J$75)</f>
        <v>0</v>
      </c>
      <c r="O664" s="211">
        <f>IF($G664="PAX",O189*'Insumos - OPEX'!K$48,O189*'Insumos - OPEX'!K$75)</f>
        <v>0</v>
      </c>
      <c r="P664" s="211">
        <f>IF($G664="PAX",P189*'Insumos - OPEX'!L$48,P189*'Insumos - OPEX'!L$75)</f>
        <v>0</v>
      </c>
      <c r="Q664" s="211">
        <f>IF($G664="PAX",Q189*'Insumos - OPEX'!M$48,Q189*'Insumos - OPEX'!M$75)</f>
        <v>0</v>
      </c>
      <c r="R664" s="211">
        <f>IF($G664="PAX",R189*'Insumos - OPEX'!N$48,R189*'Insumos - OPEX'!N$75)</f>
        <v>0</v>
      </c>
      <c r="S664" s="111"/>
    </row>
    <row r="665" spans="1:19" x14ac:dyDescent="0.2">
      <c r="A665" s="8"/>
      <c r="B665" s="8" t="s">
        <v>434</v>
      </c>
      <c r="C665" s="8" t="s">
        <v>170</v>
      </c>
      <c r="D665" s="8">
        <v>6250000009</v>
      </c>
      <c r="E665" s="8" t="s">
        <v>433</v>
      </c>
      <c r="F665" s="73" t="s">
        <v>23</v>
      </c>
      <c r="G665" s="73" t="s">
        <v>136</v>
      </c>
      <c r="H665" s="112" t="s">
        <v>61</v>
      </c>
      <c r="I665" s="13" t="s">
        <v>22</v>
      </c>
      <c r="K665" s="187"/>
      <c r="L665" s="187"/>
      <c r="M665" s="188">
        <f>IF($G665="PAX",M190*'Insumos - OPEX'!I$48,M190*'Insumos - OPEX'!I$75)</f>
        <v>0</v>
      </c>
      <c r="N665" s="211">
        <f>IF($G665="PAX",N190*'Insumos - OPEX'!J$48,N190*'Insumos - OPEX'!J$75)</f>
        <v>0</v>
      </c>
      <c r="O665" s="211">
        <f>IF($G665="PAX",O190*'Insumos - OPEX'!K$48,O190*'Insumos - OPEX'!K$75)</f>
        <v>0</v>
      </c>
      <c r="P665" s="211">
        <f>IF($G665="PAX",P190*'Insumos - OPEX'!L$48,P190*'Insumos - OPEX'!L$75)</f>
        <v>0</v>
      </c>
      <c r="Q665" s="211">
        <f>IF($G665="PAX",Q190*'Insumos - OPEX'!M$48,Q190*'Insumos - OPEX'!M$75)</f>
        <v>0</v>
      </c>
      <c r="R665" s="211">
        <f>IF($G665="PAX",R190*'Insumos - OPEX'!N$48,R190*'Insumos - OPEX'!N$75)</f>
        <v>0</v>
      </c>
      <c r="S665" s="111"/>
    </row>
    <row r="666" spans="1:19" x14ac:dyDescent="0.2">
      <c r="A666" s="8"/>
      <c r="B666" s="8" t="s">
        <v>434</v>
      </c>
      <c r="C666" s="8" t="s">
        <v>172</v>
      </c>
      <c r="D666" s="8">
        <v>6381000001</v>
      </c>
      <c r="E666" s="8" t="s">
        <v>313</v>
      </c>
      <c r="F666" s="73" t="s">
        <v>23</v>
      </c>
      <c r="G666" s="73" t="s">
        <v>136</v>
      </c>
      <c r="H666" s="112" t="s">
        <v>61</v>
      </c>
      <c r="I666" s="13" t="s">
        <v>22</v>
      </c>
      <c r="K666" s="187"/>
      <c r="L666" s="187"/>
      <c r="M666" s="188">
        <f>IF($G666="PAX",M191*'Insumos - OPEX'!I$48,M191*'Insumos - OPEX'!I$75)</f>
        <v>153162.34767864356</v>
      </c>
      <c r="N666" s="211">
        <f>IF($G666="PAX",N191*'Insumos - OPEX'!J$48,N191*'Insumos - OPEX'!J$75)</f>
        <v>184521.58776547582</v>
      </c>
      <c r="O666" s="211">
        <f>IF($G666="PAX",O191*'Insumos - OPEX'!K$48,O191*'Insumos - OPEX'!K$75)</f>
        <v>213593.77396121045</v>
      </c>
      <c r="P666" s="211">
        <f>IF($G666="PAX",P191*'Insumos - OPEX'!L$48,P191*'Insumos - OPEX'!L$75)</f>
        <v>232609.82306252798</v>
      </c>
      <c r="Q666" s="211">
        <f>IF($G666="PAX",Q191*'Insumos - OPEX'!M$48,Q191*'Insumos - OPEX'!M$75)</f>
        <v>249511.72338830895</v>
      </c>
      <c r="R666" s="211">
        <f>IF($G666="PAX",R191*'Insumos - OPEX'!N$48,R191*'Insumos - OPEX'!N$75)</f>
        <v>268244.32761892205</v>
      </c>
      <c r="S666" s="111"/>
    </row>
    <row r="667" spans="1:19" x14ac:dyDescent="0.2">
      <c r="A667" s="8"/>
      <c r="B667" s="8" t="s">
        <v>434</v>
      </c>
      <c r="C667" s="8" t="s">
        <v>172</v>
      </c>
      <c r="D667" s="8">
        <v>6381000006</v>
      </c>
      <c r="E667" s="8" t="s">
        <v>311</v>
      </c>
      <c r="F667" s="73" t="s">
        <v>23</v>
      </c>
      <c r="G667" s="73" t="s">
        <v>136</v>
      </c>
      <c r="H667" s="112" t="s">
        <v>61</v>
      </c>
      <c r="I667" s="13" t="s">
        <v>22</v>
      </c>
      <c r="K667" s="187"/>
      <c r="L667" s="187"/>
      <c r="M667" s="188">
        <f>IF($G667="PAX",M192*'Insumos - OPEX'!I$48,M192*'Insumos - OPEX'!I$75)</f>
        <v>91284.295358160409</v>
      </c>
      <c r="N667" s="211">
        <f>IF($G667="PAX",N192*'Insumos - OPEX'!J$48,N192*'Insumos - OPEX'!J$75)</f>
        <v>109974.30747719645</v>
      </c>
      <c r="O667" s="211">
        <f>IF($G667="PAX",O192*'Insumos - OPEX'!K$48,O192*'Insumos - OPEX'!K$75)</f>
        <v>127301.24240357273</v>
      </c>
      <c r="P667" s="211">
        <f>IF($G667="PAX",P192*'Insumos - OPEX'!L$48,P192*'Insumos - OPEX'!L$75)</f>
        <v>138634.75007709081</v>
      </c>
      <c r="Q667" s="211">
        <f>IF($G667="PAX",Q192*'Insumos - OPEX'!M$48,Q192*'Insumos - OPEX'!M$75)</f>
        <v>148708.23148317341</v>
      </c>
      <c r="R667" s="211">
        <f>IF($G667="PAX",R192*'Insumos - OPEX'!N$48,R192*'Insumos - OPEX'!N$75)</f>
        <v>159872.8068721758</v>
      </c>
      <c r="S667" s="111"/>
    </row>
    <row r="668" spans="1:19" x14ac:dyDescent="0.2">
      <c r="A668" s="8"/>
      <c r="B668" s="8" t="s">
        <v>434</v>
      </c>
      <c r="C668" s="8" t="s">
        <v>172</v>
      </c>
      <c r="D668" s="8">
        <v>6381000005</v>
      </c>
      <c r="E668" s="8" t="s">
        <v>316</v>
      </c>
      <c r="F668" s="73" t="s">
        <v>23</v>
      </c>
      <c r="G668" s="73" t="s">
        <v>136</v>
      </c>
      <c r="H668" s="112" t="s">
        <v>61</v>
      </c>
      <c r="I668" s="13" t="s">
        <v>22</v>
      </c>
      <c r="K668" s="187"/>
      <c r="L668" s="187"/>
      <c r="M668" s="188">
        <f>IF($G668="PAX",M193*'Insumos - OPEX'!I$48,M193*'Insumos - OPEX'!I$75)</f>
        <v>18370.146688112727</v>
      </c>
      <c r="N668" s="211">
        <f>IF($G668="PAX",N193*'Insumos - OPEX'!J$48,N193*'Insumos - OPEX'!J$75)</f>
        <v>22131.344196207461</v>
      </c>
      <c r="O668" s="211">
        <f>IF($G668="PAX",O193*'Insumos - OPEX'!K$48,O193*'Insumos - OPEX'!K$75)</f>
        <v>25618.234630142997</v>
      </c>
      <c r="P668" s="211">
        <f>IF($G668="PAX",P193*'Insumos - OPEX'!L$48,P193*'Insumos - OPEX'!L$75)</f>
        <v>27899.001520400496</v>
      </c>
      <c r="Q668" s="211">
        <f>IF($G668="PAX",Q193*'Insumos - OPEX'!M$48,Q193*'Insumos - OPEX'!M$75)</f>
        <v>29926.199412038397</v>
      </c>
      <c r="R668" s="211">
        <f>IF($G668="PAX",R193*'Insumos - OPEX'!N$48,R193*'Insumos - OPEX'!N$75)</f>
        <v>32172.970193384328</v>
      </c>
      <c r="S668" s="111"/>
    </row>
    <row r="669" spans="1:19" x14ac:dyDescent="0.2">
      <c r="A669" s="8"/>
      <c r="B669" s="8" t="s">
        <v>434</v>
      </c>
      <c r="C669" s="8" t="s">
        <v>172</v>
      </c>
      <c r="D669" s="8">
        <v>6381000003</v>
      </c>
      <c r="E669" s="8" t="s">
        <v>315</v>
      </c>
      <c r="F669" s="73" t="s">
        <v>23</v>
      </c>
      <c r="G669" s="73" t="s">
        <v>136</v>
      </c>
      <c r="H669" s="112" t="s">
        <v>61</v>
      </c>
      <c r="I669" s="13" t="s">
        <v>22</v>
      </c>
      <c r="K669" s="187"/>
      <c r="L669" s="187"/>
      <c r="M669" s="188">
        <f>IF($G669="PAX",M194*'Insumos - OPEX'!I$48,M194*'Insumos - OPEX'!I$75)</f>
        <v>6753.2147753457048</v>
      </c>
      <c r="N669" s="211">
        <f>IF($G669="PAX",N194*'Insumos - OPEX'!J$48,N194*'Insumos - OPEX'!J$75)</f>
        <v>8135.9024052215827</v>
      </c>
      <c r="O669" s="211">
        <f>IF($G669="PAX",O194*'Insumos - OPEX'!K$48,O194*'Insumos - OPEX'!K$75)</f>
        <v>9417.7495454898071</v>
      </c>
      <c r="P669" s="211">
        <f>IF($G669="PAX",P194*'Insumos - OPEX'!L$48,P194*'Insumos - OPEX'!L$75)</f>
        <v>10256.202766572311</v>
      </c>
      <c r="Q669" s="211">
        <f>IF($G669="PAX",Q194*'Insumos - OPEX'!M$48,Q194*'Insumos - OPEX'!M$75)</f>
        <v>11001.439208435755</v>
      </c>
      <c r="R669" s="211">
        <f>IF($G669="PAX",R194*'Insumos - OPEX'!N$48,R194*'Insumos - OPEX'!N$75)</f>
        <v>11827.394814289395</v>
      </c>
      <c r="S669" s="111"/>
    </row>
    <row r="670" spans="1:19" x14ac:dyDescent="0.2">
      <c r="A670" s="8"/>
      <c r="B670" s="8" t="s">
        <v>434</v>
      </c>
      <c r="C670" s="8" t="s">
        <v>172</v>
      </c>
      <c r="D670" s="8">
        <v>6381000002</v>
      </c>
      <c r="E670" s="8" t="s">
        <v>302</v>
      </c>
      <c r="F670" s="73" t="s">
        <v>23</v>
      </c>
      <c r="G670" s="73" t="s">
        <v>136</v>
      </c>
      <c r="H670" s="112" t="s">
        <v>61</v>
      </c>
      <c r="I670" s="13" t="s">
        <v>22</v>
      </c>
      <c r="K670" s="187"/>
      <c r="L670" s="187"/>
      <c r="M670" s="188">
        <f>IF($G670="PAX",M195*'Insumos - OPEX'!I$48,M195*'Insumos - OPEX'!I$75)</f>
        <v>3906.3571176245478</v>
      </c>
      <c r="N670" s="211">
        <f>IF($G670="PAX",N195*'Insumos - OPEX'!J$48,N195*'Insumos - OPEX'!J$75)</f>
        <v>4706.1645936337127</v>
      </c>
      <c r="O670" s="211">
        <f>IF($G670="PAX",O195*'Insumos - OPEX'!K$48,O195*'Insumos - OPEX'!K$75)</f>
        <v>5447.6414852578382</v>
      </c>
      <c r="P670" s="211">
        <f>IF($G670="PAX",P195*'Insumos - OPEX'!L$48,P195*'Insumos - OPEX'!L$75)</f>
        <v>5932.639788573787</v>
      </c>
      <c r="Q670" s="211">
        <f>IF($G670="PAX",Q195*'Insumos - OPEX'!M$48,Q195*'Insumos - OPEX'!M$75)</f>
        <v>6363.7173976577433</v>
      </c>
      <c r="R670" s="211">
        <f>IF($G670="PAX",R195*'Insumos - OPEX'!N$48,R195*'Insumos - OPEX'!N$75)</f>
        <v>6841.4865294121955</v>
      </c>
      <c r="S670" s="111"/>
    </row>
    <row r="671" spans="1:19" x14ac:dyDescent="0.2">
      <c r="A671" s="8"/>
      <c r="B671" s="8" t="s">
        <v>434</v>
      </c>
      <c r="C671" s="8" t="s">
        <v>172</v>
      </c>
      <c r="D671" s="8">
        <v>6380000004</v>
      </c>
      <c r="E671" s="8" t="s">
        <v>273</v>
      </c>
      <c r="F671" s="73" t="s">
        <v>23</v>
      </c>
      <c r="G671" s="73" t="s">
        <v>471</v>
      </c>
      <c r="H671" s="112" t="s">
        <v>61</v>
      </c>
      <c r="I671" s="13" t="s">
        <v>22</v>
      </c>
      <c r="K671" s="187"/>
      <c r="L671" s="187"/>
      <c r="M671" s="188">
        <f>IF($G671="PAX",M196*'Insumos - OPEX'!I$48,M196*'Insumos - OPEX'!I$75)</f>
        <v>3414.4257892881783</v>
      </c>
      <c r="N671" s="211">
        <f>IF($G671="PAX",N196*'Insumos - OPEX'!J$48,N196*'Insumos - OPEX'!J$75)</f>
        <v>3794.1180166283575</v>
      </c>
      <c r="O671" s="211">
        <f>IF($G671="PAX",O196*'Insumos - OPEX'!K$48,O196*'Insumos - OPEX'!K$75)</f>
        <v>4171.9280780890713</v>
      </c>
      <c r="P671" s="211">
        <f>IF($G671="PAX",P196*'Insumos - OPEX'!L$48,P196*'Insumos - OPEX'!L$75)</f>
        <v>4394.5904358326652</v>
      </c>
      <c r="Q671" s="211">
        <f>IF($G671="PAX",Q196*'Insumos - OPEX'!M$48,Q196*'Insumos - OPEX'!M$75)</f>
        <v>4631.7549096118191</v>
      </c>
      <c r="R671" s="211">
        <f>IF($G671="PAX",R196*'Insumos - OPEX'!N$48,R196*'Insumos - OPEX'!N$75)</f>
        <v>4876.6507074506371</v>
      </c>
      <c r="S671" s="111"/>
    </row>
    <row r="672" spans="1:19" x14ac:dyDescent="0.2">
      <c r="A672" s="8"/>
      <c r="B672" s="8" t="s">
        <v>434</v>
      </c>
      <c r="C672" s="8" t="s">
        <v>172</v>
      </c>
      <c r="D672" s="8">
        <v>6380000020</v>
      </c>
      <c r="E672" s="8" t="s">
        <v>308</v>
      </c>
      <c r="F672" s="73" t="s">
        <v>23</v>
      </c>
      <c r="G672" s="73" t="s">
        <v>136</v>
      </c>
      <c r="H672" s="112" t="s">
        <v>61</v>
      </c>
      <c r="I672" s="13" t="s">
        <v>22</v>
      </c>
      <c r="K672" s="187"/>
      <c r="L672" s="187"/>
      <c r="M672" s="188">
        <f>IF($G672="PAX",M197*'Insumos - OPEX'!I$48,M197*'Insumos - OPEX'!I$75)</f>
        <v>0</v>
      </c>
      <c r="N672" s="211">
        <f>IF($G672="PAX",N197*'Insumos - OPEX'!J$48,N197*'Insumos - OPEX'!J$75)</f>
        <v>0</v>
      </c>
      <c r="O672" s="211">
        <f>IF($G672="PAX",O197*'Insumos - OPEX'!K$48,O197*'Insumos - OPEX'!K$75)</f>
        <v>0</v>
      </c>
      <c r="P672" s="211">
        <f>IF($G672="PAX",P197*'Insumos - OPEX'!L$48,P197*'Insumos - OPEX'!L$75)</f>
        <v>0</v>
      </c>
      <c r="Q672" s="211">
        <f>IF($G672="PAX",Q197*'Insumos - OPEX'!M$48,Q197*'Insumos - OPEX'!M$75)</f>
        <v>0</v>
      </c>
      <c r="R672" s="211">
        <f>IF($G672="PAX",R197*'Insumos - OPEX'!N$48,R197*'Insumos - OPEX'!N$75)</f>
        <v>0</v>
      </c>
      <c r="S672" s="111"/>
    </row>
    <row r="673" spans="1:19" x14ac:dyDescent="0.2">
      <c r="A673" s="8"/>
      <c r="B673" s="8" t="s">
        <v>434</v>
      </c>
      <c r="C673" s="8" t="s">
        <v>172</v>
      </c>
      <c r="D673" s="8">
        <v>6380000027</v>
      </c>
      <c r="E673" s="8" t="s">
        <v>318</v>
      </c>
      <c r="F673" s="73" t="s">
        <v>23</v>
      </c>
      <c r="G673" s="73" t="s">
        <v>136</v>
      </c>
      <c r="H673" s="112" t="s">
        <v>61</v>
      </c>
      <c r="I673" s="13" t="s">
        <v>22</v>
      </c>
      <c r="K673" s="187"/>
      <c r="L673" s="187"/>
      <c r="M673" s="188">
        <f>IF($G673="PAX",M198*'Insumos - OPEX'!I$48,M198*'Insumos - OPEX'!I$75)</f>
        <v>0</v>
      </c>
      <c r="N673" s="211">
        <f>IF($G673="PAX",N198*'Insumos - OPEX'!J$48,N198*'Insumos - OPEX'!J$75)</f>
        <v>0</v>
      </c>
      <c r="O673" s="211">
        <f>IF($G673="PAX",O198*'Insumos - OPEX'!K$48,O198*'Insumos - OPEX'!K$75)</f>
        <v>0</v>
      </c>
      <c r="P673" s="211">
        <f>IF($G673="PAX",P198*'Insumos - OPEX'!L$48,P198*'Insumos - OPEX'!L$75)</f>
        <v>0</v>
      </c>
      <c r="Q673" s="211">
        <f>IF($G673="PAX",Q198*'Insumos - OPEX'!M$48,Q198*'Insumos - OPEX'!M$75)</f>
        <v>0</v>
      </c>
      <c r="R673" s="211">
        <f>IF($G673="PAX",R198*'Insumos - OPEX'!N$48,R198*'Insumos - OPEX'!N$75)</f>
        <v>0</v>
      </c>
      <c r="S673" s="111"/>
    </row>
    <row r="674" spans="1:19" x14ac:dyDescent="0.2">
      <c r="A674" s="8"/>
      <c r="B674" s="8" t="s">
        <v>434</v>
      </c>
      <c r="C674" s="8" t="s">
        <v>172</v>
      </c>
      <c r="D674" s="8">
        <v>6380000026</v>
      </c>
      <c r="E674" s="8" t="s">
        <v>314</v>
      </c>
      <c r="F674" s="73" t="s">
        <v>23</v>
      </c>
      <c r="G674" s="73" t="s">
        <v>136</v>
      </c>
      <c r="H674" s="112" t="s">
        <v>61</v>
      </c>
      <c r="I674" s="13" t="s">
        <v>22</v>
      </c>
      <c r="J674" s="11"/>
      <c r="K674" s="187"/>
      <c r="L674" s="187"/>
      <c r="M674" s="188">
        <f>IF($G674="PAX",M199*'Insumos - OPEX'!I$48,M199*'Insumos - OPEX'!I$75)</f>
        <v>0</v>
      </c>
      <c r="N674" s="211">
        <f>IF($G674="PAX",N199*'Insumos - OPEX'!J$48,N199*'Insumos - OPEX'!J$75)</f>
        <v>0</v>
      </c>
      <c r="O674" s="211">
        <f>IF($G674="PAX",O199*'Insumos - OPEX'!K$48,O199*'Insumos - OPEX'!K$75)</f>
        <v>0</v>
      </c>
      <c r="P674" s="211">
        <f>IF($G674="PAX",P199*'Insumos - OPEX'!L$48,P199*'Insumos - OPEX'!L$75)</f>
        <v>0</v>
      </c>
      <c r="Q674" s="211">
        <f>IF($G674="PAX",Q199*'Insumos - OPEX'!M$48,Q199*'Insumos - OPEX'!M$75)</f>
        <v>0</v>
      </c>
      <c r="R674" s="211">
        <f>IF($G674="PAX",R199*'Insumos - OPEX'!N$48,R199*'Insumos - OPEX'!N$75)</f>
        <v>0</v>
      </c>
      <c r="S674" s="111"/>
    </row>
    <row r="675" spans="1:19" x14ac:dyDescent="0.2">
      <c r="A675" s="8"/>
      <c r="B675" s="8" t="s">
        <v>434</v>
      </c>
      <c r="C675" s="8" t="s">
        <v>172</v>
      </c>
      <c r="D675" s="8">
        <v>6380000023</v>
      </c>
      <c r="E675" s="8" t="s">
        <v>307</v>
      </c>
      <c r="F675" s="73" t="s">
        <v>23</v>
      </c>
      <c r="G675" s="73" t="s">
        <v>136</v>
      </c>
      <c r="H675" s="112" t="s">
        <v>61</v>
      </c>
      <c r="I675" s="13" t="s">
        <v>22</v>
      </c>
      <c r="J675" s="11"/>
      <c r="K675" s="187"/>
      <c r="L675" s="187"/>
      <c r="M675" s="188">
        <f>IF($G675="PAX",M200*'Insumos - OPEX'!I$48,M200*'Insumos - OPEX'!I$75)</f>
        <v>0</v>
      </c>
      <c r="N675" s="211">
        <f>IF($G675="PAX",N200*'Insumos - OPEX'!J$48,N200*'Insumos - OPEX'!J$75)</f>
        <v>0</v>
      </c>
      <c r="O675" s="211">
        <f>IF($G675="PAX",O200*'Insumos - OPEX'!K$48,O200*'Insumos - OPEX'!K$75)</f>
        <v>0</v>
      </c>
      <c r="P675" s="211">
        <f>IF($G675="PAX",P200*'Insumos - OPEX'!L$48,P200*'Insumos - OPEX'!L$75)</f>
        <v>0</v>
      </c>
      <c r="Q675" s="211">
        <f>IF($G675="PAX",Q200*'Insumos - OPEX'!M$48,Q200*'Insumos - OPEX'!M$75)</f>
        <v>0</v>
      </c>
      <c r="R675" s="211">
        <f>IF($G675="PAX",R200*'Insumos - OPEX'!N$48,R200*'Insumos - OPEX'!N$75)</f>
        <v>0</v>
      </c>
      <c r="S675" s="111"/>
    </row>
    <row r="676" spans="1:19" x14ac:dyDescent="0.2">
      <c r="A676" s="8"/>
      <c r="B676" s="8" t="s">
        <v>434</v>
      </c>
      <c r="C676" s="8" t="s">
        <v>172</v>
      </c>
      <c r="D676" s="8">
        <v>6380000028</v>
      </c>
      <c r="E676" s="8" t="s">
        <v>305</v>
      </c>
      <c r="F676" s="73" t="s">
        <v>23</v>
      </c>
      <c r="G676" s="73" t="s">
        <v>136</v>
      </c>
      <c r="H676" s="112" t="s">
        <v>61</v>
      </c>
      <c r="I676" s="13" t="s">
        <v>22</v>
      </c>
      <c r="J676" s="11"/>
      <c r="K676" s="187"/>
      <c r="L676" s="187"/>
      <c r="M676" s="188">
        <f>IF($G676="PAX",M201*'Insumos - OPEX'!I$48,M201*'Insumos - OPEX'!I$75)</f>
        <v>0</v>
      </c>
      <c r="N676" s="211">
        <f>IF($G676="PAX",N201*'Insumos - OPEX'!J$48,N201*'Insumos - OPEX'!J$75)</f>
        <v>0</v>
      </c>
      <c r="O676" s="211">
        <f>IF($G676="PAX",O201*'Insumos - OPEX'!K$48,O201*'Insumos - OPEX'!K$75)</f>
        <v>0</v>
      </c>
      <c r="P676" s="211">
        <f>IF($G676="PAX",P201*'Insumos - OPEX'!L$48,P201*'Insumos - OPEX'!L$75)</f>
        <v>0</v>
      </c>
      <c r="Q676" s="211">
        <f>IF($G676="PAX",Q201*'Insumos - OPEX'!M$48,Q201*'Insumos - OPEX'!M$75)</f>
        <v>0</v>
      </c>
      <c r="R676" s="211">
        <f>IF($G676="PAX",R201*'Insumos - OPEX'!N$48,R201*'Insumos - OPEX'!N$75)</f>
        <v>0</v>
      </c>
      <c r="S676" s="111"/>
    </row>
    <row r="677" spans="1:19" x14ac:dyDescent="0.2">
      <c r="A677" s="8"/>
      <c r="B677" s="8" t="s">
        <v>434</v>
      </c>
      <c r="C677" s="8" t="s">
        <v>172</v>
      </c>
      <c r="D677" s="8">
        <v>6380000031</v>
      </c>
      <c r="E677" s="8" t="s">
        <v>310</v>
      </c>
      <c r="F677" s="73" t="s">
        <v>23</v>
      </c>
      <c r="G677" s="73" t="s">
        <v>136</v>
      </c>
      <c r="H677" s="112" t="s">
        <v>61</v>
      </c>
      <c r="I677" s="13" t="s">
        <v>22</v>
      </c>
      <c r="K677" s="187"/>
      <c r="L677" s="187"/>
      <c r="M677" s="188">
        <f>IF($G677="PAX",M202*'Insumos - OPEX'!I$48,M202*'Insumos - OPEX'!I$75)</f>
        <v>0</v>
      </c>
      <c r="N677" s="211">
        <f>IF($G677="PAX",N202*'Insumos - OPEX'!J$48,N202*'Insumos - OPEX'!J$75)</f>
        <v>0</v>
      </c>
      <c r="O677" s="211">
        <f>IF($G677="PAX",O202*'Insumos - OPEX'!K$48,O202*'Insumos - OPEX'!K$75)</f>
        <v>0</v>
      </c>
      <c r="P677" s="211">
        <f>IF($G677="PAX",P202*'Insumos - OPEX'!L$48,P202*'Insumos - OPEX'!L$75)</f>
        <v>0</v>
      </c>
      <c r="Q677" s="211">
        <f>IF($G677="PAX",Q202*'Insumos - OPEX'!M$48,Q202*'Insumos - OPEX'!M$75)</f>
        <v>0</v>
      </c>
      <c r="R677" s="211">
        <f>IF($G677="PAX",R202*'Insumos - OPEX'!N$48,R202*'Insumos - OPEX'!N$75)</f>
        <v>0</v>
      </c>
      <c r="S677" s="111"/>
    </row>
    <row r="678" spans="1:19" x14ac:dyDescent="0.2">
      <c r="A678" s="8"/>
      <c r="B678" s="8" t="s">
        <v>434</v>
      </c>
      <c r="C678" s="8" t="s">
        <v>172</v>
      </c>
      <c r="D678" s="8">
        <v>6380000018</v>
      </c>
      <c r="E678" s="8" t="s">
        <v>309</v>
      </c>
      <c r="F678" s="73" t="s">
        <v>23</v>
      </c>
      <c r="G678" s="73" t="s">
        <v>136</v>
      </c>
      <c r="H678" s="112" t="s">
        <v>61</v>
      </c>
      <c r="I678" s="13" t="s">
        <v>22</v>
      </c>
      <c r="K678" s="187"/>
      <c r="L678" s="187"/>
      <c r="M678" s="188">
        <f>IF($G678="PAX",M203*'Insumos - OPEX'!I$48,M203*'Insumos - OPEX'!I$75)</f>
        <v>0</v>
      </c>
      <c r="N678" s="211">
        <f>IF($G678="PAX",N203*'Insumos - OPEX'!J$48,N203*'Insumos - OPEX'!J$75)</f>
        <v>0</v>
      </c>
      <c r="O678" s="211">
        <f>IF($G678="PAX",O203*'Insumos - OPEX'!K$48,O203*'Insumos - OPEX'!K$75)</f>
        <v>0</v>
      </c>
      <c r="P678" s="211">
        <f>IF($G678="PAX",P203*'Insumos - OPEX'!L$48,P203*'Insumos - OPEX'!L$75)</f>
        <v>0</v>
      </c>
      <c r="Q678" s="211">
        <f>IF($G678="PAX",Q203*'Insumos - OPEX'!M$48,Q203*'Insumos - OPEX'!M$75)</f>
        <v>0</v>
      </c>
      <c r="R678" s="211">
        <f>IF($G678="PAX",R203*'Insumos - OPEX'!N$48,R203*'Insumos - OPEX'!N$75)</f>
        <v>0</v>
      </c>
      <c r="S678" s="111"/>
    </row>
    <row r="679" spans="1:19" x14ac:dyDescent="0.2">
      <c r="A679" s="8"/>
      <c r="B679" s="8" t="s">
        <v>434</v>
      </c>
      <c r="C679" s="8" t="s">
        <v>172</v>
      </c>
      <c r="D679" s="8">
        <v>6380000017</v>
      </c>
      <c r="E679" s="8" t="s">
        <v>317</v>
      </c>
      <c r="F679" s="73" t="s">
        <v>23</v>
      </c>
      <c r="G679" s="73" t="s">
        <v>136</v>
      </c>
      <c r="H679" s="112" t="s">
        <v>61</v>
      </c>
      <c r="I679" s="13" t="s">
        <v>22</v>
      </c>
      <c r="K679" s="187"/>
      <c r="L679" s="187"/>
      <c r="M679" s="188">
        <f>IF($G679="PAX",M204*'Insumos - OPEX'!I$48,M204*'Insumos - OPEX'!I$75)</f>
        <v>0</v>
      </c>
      <c r="N679" s="211">
        <f>IF($G679="PAX",N204*'Insumos - OPEX'!J$48,N204*'Insumos - OPEX'!J$75)</f>
        <v>0</v>
      </c>
      <c r="O679" s="211">
        <f>IF($G679="PAX",O204*'Insumos - OPEX'!K$48,O204*'Insumos - OPEX'!K$75)</f>
        <v>0</v>
      </c>
      <c r="P679" s="211">
        <f>IF($G679="PAX",P204*'Insumos - OPEX'!L$48,P204*'Insumos - OPEX'!L$75)</f>
        <v>0</v>
      </c>
      <c r="Q679" s="211">
        <f>IF($G679="PAX",Q204*'Insumos - OPEX'!M$48,Q204*'Insumos - OPEX'!M$75)</f>
        <v>0</v>
      </c>
      <c r="R679" s="211">
        <f>IF($G679="PAX",R204*'Insumos - OPEX'!N$48,R204*'Insumos - OPEX'!N$75)</f>
        <v>0</v>
      </c>
      <c r="S679" s="111"/>
    </row>
    <row r="680" spans="1:19" x14ac:dyDescent="0.2">
      <c r="A680" s="8"/>
      <c r="B680" s="8" t="s">
        <v>434</v>
      </c>
      <c r="C680" s="8" t="s">
        <v>172</v>
      </c>
      <c r="D680" s="8">
        <v>6380000016</v>
      </c>
      <c r="E680" s="8" t="s">
        <v>304</v>
      </c>
      <c r="F680" s="73" t="s">
        <v>23</v>
      </c>
      <c r="G680" s="73" t="s">
        <v>136</v>
      </c>
      <c r="H680" s="112" t="s">
        <v>61</v>
      </c>
      <c r="I680" s="13" t="s">
        <v>22</v>
      </c>
      <c r="K680" s="187"/>
      <c r="L680" s="187"/>
      <c r="M680" s="188">
        <f>IF($G680="PAX",M205*'Insumos - OPEX'!I$48,M205*'Insumos - OPEX'!I$75)</f>
        <v>0</v>
      </c>
      <c r="N680" s="211">
        <f>IF($G680="PAX",N205*'Insumos - OPEX'!J$48,N205*'Insumos - OPEX'!J$75)</f>
        <v>0</v>
      </c>
      <c r="O680" s="211">
        <f>IF($G680="PAX",O205*'Insumos - OPEX'!K$48,O205*'Insumos - OPEX'!K$75)</f>
        <v>0</v>
      </c>
      <c r="P680" s="211">
        <f>IF($G680="PAX",P205*'Insumos - OPEX'!L$48,P205*'Insumos - OPEX'!L$75)</f>
        <v>0</v>
      </c>
      <c r="Q680" s="211">
        <f>IF($G680="PAX",Q205*'Insumos - OPEX'!M$48,Q205*'Insumos - OPEX'!M$75)</f>
        <v>0</v>
      </c>
      <c r="R680" s="211">
        <f>IF($G680="PAX",R205*'Insumos - OPEX'!N$48,R205*'Insumos - OPEX'!N$75)</f>
        <v>0</v>
      </c>
      <c r="S680" s="111"/>
    </row>
    <row r="681" spans="1:19" x14ac:dyDescent="0.2">
      <c r="A681" s="8"/>
      <c r="B681" s="8" t="s">
        <v>434</v>
      </c>
      <c r="C681" s="8" t="s">
        <v>172</v>
      </c>
      <c r="D681" s="8">
        <v>6380000014</v>
      </c>
      <c r="E681" s="8" t="s">
        <v>312</v>
      </c>
      <c r="F681" s="73" t="s">
        <v>23</v>
      </c>
      <c r="G681" s="73" t="s">
        <v>136</v>
      </c>
      <c r="H681" s="112" t="s">
        <v>61</v>
      </c>
      <c r="I681" s="13" t="s">
        <v>22</v>
      </c>
      <c r="K681" s="187"/>
      <c r="L681" s="187"/>
      <c r="M681" s="188">
        <f>IF($G681="PAX",M206*'Insumos - OPEX'!I$48,M206*'Insumos - OPEX'!I$75)</f>
        <v>0</v>
      </c>
      <c r="N681" s="211">
        <f>IF($G681="PAX",N206*'Insumos - OPEX'!J$48,N206*'Insumos - OPEX'!J$75)</f>
        <v>0</v>
      </c>
      <c r="O681" s="211">
        <f>IF($G681="PAX",O206*'Insumos - OPEX'!K$48,O206*'Insumos - OPEX'!K$75)</f>
        <v>0</v>
      </c>
      <c r="P681" s="211">
        <f>IF($G681="PAX",P206*'Insumos - OPEX'!L$48,P206*'Insumos - OPEX'!L$75)</f>
        <v>0</v>
      </c>
      <c r="Q681" s="211">
        <f>IF($G681="PAX",Q206*'Insumos - OPEX'!M$48,Q206*'Insumos - OPEX'!M$75)</f>
        <v>0</v>
      </c>
      <c r="R681" s="211">
        <f>IF($G681="PAX",R206*'Insumos - OPEX'!N$48,R206*'Insumos - OPEX'!N$75)</f>
        <v>0</v>
      </c>
      <c r="S681" s="111"/>
    </row>
    <row r="682" spans="1:19" x14ac:dyDescent="0.2">
      <c r="A682" s="8"/>
      <c r="B682" s="8" t="s">
        <v>434</v>
      </c>
      <c r="C682" s="8" t="s">
        <v>172</v>
      </c>
      <c r="D682" s="8">
        <v>6320000007</v>
      </c>
      <c r="E682" s="8" t="s">
        <v>303</v>
      </c>
      <c r="F682" s="73" t="s">
        <v>23</v>
      </c>
      <c r="G682" s="73" t="s">
        <v>136</v>
      </c>
      <c r="H682" s="112" t="s">
        <v>61</v>
      </c>
      <c r="I682" s="13" t="s">
        <v>22</v>
      </c>
      <c r="K682" s="187"/>
      <c r="L682" s="187"/>
      <c r="M682" s="188">
        <f>IF($G682="PAX",M207*'Insumos - OPEX'!I$48,M207*'Insumos - OPEX'!I$75)</f>
        <v>0</v>
      </c>
      <c r="N682" s="211">
        <f>IF($G682="PAX",N207*'Insumos - OPEX'!J$48,N207*'Insumos - OPEX'!J$75)</f>
        <v>0</v>
      </c>
      <c r="O682" s="211">
        <f>IF($G682="PAX",O207*'Insumos - OPEX'!K$48,O207*'Insumos - OPEX'!K$75)</f>
        <v>0</v>
      </c>
      <c r="P682" s="211">
        <f>IF($G682="PAX",P207*'Insumos - OPEX'!L$48,P207*'Insumos - OPEX'!L$75)</f>
        <v>0</v>
      </c>
      <c r="Q682" s="211">
        <f>IF($G682="PAX",Q207*'Insumos - OPEX'!M$48,Q207*'Insumos - OPEX'!M$75)</f>
        <v>0</v>
      </c>
      <c r="R682" s="211">
        <f>IF($G682="PAX",R207*'Insumos - OPEX'!N$48,R207*'Insumos - OPEX'!N$75)</f>
        <v>0</v>
      </c>
      <c r="S682" s="111"/>
    </row>
    <row r="683" spans="1:19" x14ac:dyDescent="0.2">
      <c r="A683" s="8"/>
      <c r="B683" s="8" t="s">
        <v>434</v>
      </c>
      <c r="C683" s="8" t="s">
        <v>172</v>
      </c>
      <c r="D683" s="8">
        <v>6380000024</v>
      </c>
      <c r="E683" s="8" t="s">
        <v>306</v>
      </c>
      <c r="F683" s="73" t="s">
        <v>23</v>
      </c>
      <c r="G683" s="73" t="s">
        <v>136</v>
      </c>
      <c r="H683" s="112" t="s">
        <v>61</v>
      </c>
      <c r="I683" s="13" t="s">
        <v>22</v>
      </c>
      <c r="K683" s="187"/>
      <c r="L683" s="187"/>
      <c r="M683" s="188">
        <f>IF($G683="PAX",M208*'Insumos - OPEX'!I$48,M208*'Insumos - OPEX'!I$75)</f>
        <v>0</v>
      </c>
      <c r="N683" s="211">
        <f>IF($G683="PAX",N208*'Insumos - OPEX'!J$48,N208*'Insumos - OPEX'!J$75)</f>
        <v>0</v>
      </c>
      <c r="O683" s="211">
        <f>IF($G683="PAX",O208*'Insumos - OPEX'!K$48,O208*'Insumos - OPEX'!K$75)</f>
        <v>0</v>
      </c>
      <c r="P683" s="211">
        <f>IF($G683="PAX",P208*'Insumos - OPEX'!L$48,P208*'Insumos - OPEX'!L$75)</f>
        <v>0</v>
      </c>
      <c r="Q683" s="211">
        <f>IF($G683="PAX",Q208*'Insumos - OPEX'!M$48,Q208*'Insumos - OPEX'!M$75)</f>
        <v>0</v>
      </c>
      <c r="R683" s="211">
        <f>IF($G683="PAX",R208*'Insumos - OPEX'!N$48,R208*'Insumos - OPEX'!N$75)</f>
        <v>0</v>
      </c>
      <c r="S683" s="111"/>
    </row>
    <row r="684" spans="1:19" x14ac:dyDescent="0.2">
      <c r="A684" s="8"/>
      <c r="B684" s="8" t="s">
        <v>434</v>
      </c>
      <c r="C684" s="8" t="s">
        <v>172</v>
      </c>
      <c r="D684" s="8">
        <v>6380000025</v>
      </c>
      <c r="E684" s="8" t="s">
        <v>319</v>
      </c>
      <c r="F684" s="73" t="s">
        <v>23</v>
      </c>
      <c r="G684" s="73" t="s">
        <v>136</v>
      </c>
      <c r="H684" s="112" t="s">
        <v>61</v>
      </c>
      <c r="I684" s="13" t="s">
        <v>22</v>
      </c>
      <c r="K684" s="187"/>
      <c r="L684" s="187"/>
      <c r="M684" s="188">
        <f>IF($G684="PAX",M209*'Insumos - OPEX'!I$48,M209*'Insumos - OPEX'!I$75)</f>
        <v>0</v>
      </c>
      <c r="N684" s="211">
        <f>IF($G684="PAX",N209*'Insumos - OPEX'!J$48,N209*'Insumos - OPEX'!J$75)</f>
        <v>0</v>
      </c>
      <c r="O684" s="211">
        <f>IF($G684="PAX",O209*'Insumos - OPEX'!K$48,O209*'Insumos - OPEX'!K$75)</f>
        <v>0</v>
      </c>
      <c r="P684" s="211">
        <f>IF($G684="PAX",P209*'Insumos - OPEX'!L$48,P209*'Insumos - OPEX'!L$75)</f>
        <v>0</v>
      </c>
      <c r="Q684" s="211">
        <f>IF($G684="PAX",Q209*'Insumos - OPEX'!M$48,Q209*'Insumos - OPEX'!M$75)</f>
        <v>0</v>
      </c>
      <c r="R684" s="211">
        <f>IF($G684="PAX",R209*'Insumos - OPEX'!N$48,R209*'Insumos - OPEX'!N$75)</f>
        <v>0</v>
      </c>
      <c r="S684" s="111"/>
    </row>
    <row r="685" spans="1:19" x14ac:dyDescent="0.2">
      <c r="A685" s="8"/>
      <c r="B685" s="8" t="s">
        <v>434</v>
      </c>
      <c r="C685" s="8" t="s">
        <v>171</v>
      </c>
      <c r="D685" s="8">
        <v>6320000004</v>
      </c>
      <c r="E685" s="8" t="s">
        <v>340</v>
      </c>
      <c r="F685" s="73" t="s">
        <v>23</v>
      </c>
      <c r="G685" s="73" t="s">
        <v>136</v>
      </c>
      <c r="H685" s="112" t="s">
        <v>61</v>
      </c>
      <c r="I685" s="13" t="s">
        <v>22</v>
      </c>
      <c r="K685" s="187"/>
      <c r="L685" s="187"/>
      <c r="M685" s="188">
        <f>IF($G685="PAX",M210*'Insumos - OPEX'!I$48,M210*'Insumos - OPEX'!I$75)</f>
        <v>35169.252851423975</v>
      </c>
      <c r="N685" s="211">
        <f>IF($G685="PAX",N210*'Insumos - OPEX'!J$48,N210*'Insumos - OPEX'!J$75)</f>
        <v>42369.985019334556</v>
      </c>
      <c r="O685" s="211">
        <f>IF($G685="PAX",O210*'Insumos - OPEX'!K$48,O210*'Insumos - OPEX'!K$75)</f>
        <v>49045.562161875554</v>
      </c>
      <c r="P685" s="211">
        <f>IF($G685="PAX",P210*'Insumos - OPEX'!L$48,P210*'Insumos - OPEX'!L$75)</f>
        <v>53412.041582016893</v>
      </c>
      <c r="Q685" s="211">
        <f>IF($G685="PAX",Q210*'Insumos - OPEX'!M$48,Q210*'Insumos - OPEX'!M$75)</f>
        <v>57293.068578770355</v>
      </c>
      <c r="R685" s="211">
        <f>IF($G685="PAX",R210*'Insumos - OPEX'!N$48,R210*'Insumos - OPEX'!N$75)</f>
        <v>61594.463175661542</v>
      </c>
      <c r="S685" s="111"/>
    </row>
    <row r="686" spans="1:19" x14ac:dyDescent="0.2">
      <c r="A686" s="8"/>
      <c r="B686" s="8" t="s">
        <v>434</v>
      </c>
      <c r="C686" s="8" t="s">
        <v>171</v>
      </c>
      <c r="D686" s="8">
        <v>6380000007</v>
      </c>
      <c r="E686" s="8" t="s">
        <v>329</v>
      </c>
      <c r="F686" s="73" t="s">
        <v>23</v>
      </c>
      <c r="G686" s="73" t="s">
        <v>471</v>
      </c>
      <c r="H686" s="112" t="s">
        <v>61</v>
      </c>
      <c r="I686" s="13" t="s">
        <v>22</v>
      </c>
      <c r="K686" s="187"/>
      <c r="L686" s="187"/>
      <c r="M686" s="188">
        <f>IF($G686="PAX",M211*'Insumos - OPEX'!I$48,M211*'Insumos - OPEX'!I$75)</f>
        <v>19280.813605876057</v>
      </c>
      <c r="N686" s="211">
        <f>IF($G686="PAX",N211*'Insumos - OPEX'!J$48,N211*'Insumos - OPEX'!J$75)</f>
        <v>21424.885703126733</v>
      </c>
      <c r="O686" s="211">
        <f>IF($G686="PAX",O211*'Insumos - OPEX'!K$48,O211*'Insumos - OPEX'!K$75)</f>
        <v>23558.329457066757</v>
      </c>
      <c r="P686" s="211">
        <f>IF($G686="PAX",P211*'Insumos - OPEX'!L$48,P211*'Insumos - OPEX'!L$75)</f>
        <v>24815.674522280238</v>
      </c>
      <c r="Q686" s="211">
        <f>IF($G686="PAX",Q211*'Insumos - OPEX'!M$48,Q211*'Insumos - OPEX'!M$75)</f>
        <v>26154.911130443521</v>
      </c>
      <c r="R686" s="211">
        <f>IF($G686="PAX",R211*'Insumos - OPEX'!N$48,R211*'Insumos - OPEX'!N$75)</f>
        <v>27537.805509289261</v>
      </c>
      <c r="S686" s="111"/>
    </row>
    <row r="687" spans="1:19" x14ac:dyDescent="0.2">
      <c r="A687" s="8"/>
      <c r="B687" s="8" t="s">
        <v>434</v>
      </c>
      <c r="C687" s="8" t="s">
        <v>171</v>
      </c>
      <c r="D687" s="8">
        <v>6381000004</v>
      </c>
      <c r="E687" s="8" t="s">
        <v>350</v>
      </c>
      <c r="F687" s="73" t="s">
        <v>23</v>
      </c>
      <c r="G687" s="73" t="s">
        <v>136</v>
      </c>
      <c r="H687" s="112" t="s">
        <v>61</v>
      </c>
      <c r="I687" s="13" t="s">
        <v>22</v>
      </c>
      <c r="J687" s="11"/>
      <c r="K687" s="187"/>
      <c r="L687" s="187"/>
      <c r="M687" s="188">
        <f>IF($G687="PAX",M212*'Insumos - OPEX'!I$48,M212*'Insumos - OPEX'!I$75)</f>
        <v>23735.612931364652</v>
      </c>
      <c r="N687" s="211">
        <f>IF($G687="PAX",N212*'Insumos - OPEX'!J$48,N212*'Insumos - OPEX'!J$75)</f>
        <v>28595.363358307022</v>
      </c>
      <c r="O687" s="211">
        <f>IF($G687="PAX",O212*'Insumos - OPEX'!K$48,O212*'Insumos - OPEX'!K$75)</f>
        <v>33100.688388048242</v>
      </c>
      <c r="P687" s="211">
        <f>IF($G687="PAX",P212*'Insumos - OPEX'!L$48,P212*'Insumos - OPEX'!L$75)</f>
        <v>36047.610969175759</v>
      </c>
      <c r="Q687" s="211">
        <f>IF($G687="PAX",Q212*'Insumos - OPEX'!M$48,Q212*'Insumos - OPEX'!M$75)</f>
        <v>38666.903308432469</v>
      </c>
      <c r="R687" s="211">
        <f>IF($G687="PAX",R212*'Insumos - OPEX'!N$48,R212*'Insumos - OPEX'!N$75)</f>
        <v>41569.900356683334</v>
      </c>
      <c r="S687" s="111"/>
    </row>
    <row r="688" spans="1:19" x14ac:dyDescent="0.2">
      <c r="A688" s="8"/>
      <c r="B688" s="8" t="s">
        <v>434</v>
      </c>
      <c r="C688" s="8" t="s">
        <v>171</v>
      </c>
      <c r="D688" s="8">
        <v>6380000021</v>
      </c>
      <c r="E688" s="8" t="s">
        <v>330</v>
      </c>
      <c r="F688" s="73" t="s">
        <v>23</v>
      </c>
      <c r="G688" s="73" t="s">
        <v>136</v>
      </c>
      <c r="H688" s="112" t="s">
        <v>61</v>
      </c>
      <c r="I688" s="13" t="s">
        <v>22</v>
      </c>
      <c r="K688" s="187"/>
      <c r="L688" s="187"/>
      <c r="M688" s="188">
        <f>IF($G688="PAX",M213*'Insumos - OPEX'!I$48,M213*'Insumos - OPEX'!I$75)</f>
        <v>15178.850267457179</v>
      </c>
      <c r="N688" s="211">
        <f>IF($G688="PAX",N213*'Insumos - OPEX'!J$48,N213*'Insumos - OPEX'!J$75)</f>
        <v>18286.64547296015</v>
      </c>
      <c r="O688" s="211">
        <f>IF($G688="PAX",O213*'Insumos - OPEX'!K$48,O213*'Insumos - OPEX'!K$75)</f>
        <v>21167.786744955829</v>
      </c>
      <c r="P688" s="211">
        <f>IF($G688="PAX",P213*'Insumos - OPEX'!L$48,P213*'Insumos - OPEX'!L$75)</f>
        <v>23052.334522932724</v>
      </c>
      <c r="Q688" s="211">
        <f>IF($G688="PAX",Q213*'Insumos - OPEX'!M$48,Q213*'Insumos - OPEX'!M$75)</f>
        <v>24727.36378546921</v>
      </c>
      <c r="R688" s="211">
        <f>IF($G688="PAX",R213*'Insumos - OPEX'!N$48,R213*'Insumos - OPEX'!N$75)</f>
        <v>26583.821322491272</v>
      </c>
      <c r="S688" s="111"/>
    </row>
    <row r="689" spans="1:19" x14ac:dyDescent="0.2">
      <c r="A689" s="8"/>
      <c r="B689" s="8" t="s">
        <v>434</v>
      </c>
      <c r="C689" s="8" t="s">
        <v>171</v>
      </c>
      <c r="D689" s="8">
        <v>6380000030</v>
      </c>
      <c r="E689" s="8" t="s">
        <v>326</v>
      </c>
      <c r="F689" s="73" t="s">
        <v>23</v>
      </c>
      <c r="G689" s="73" t="s">
        <v>136</v>
      </c>
      <c r="H689" s="112" t="s">
        <v>61</v>
      </c>
      <c r="I689" s="13" t="s">
        <v>22</v>
      </c>
      <c r="K689" s="187"/>
      <c r="L689" s="187"/>
      <c r="M689" s="188">
        <f>IF($G689="PAX",M214*'Insumos - OPEX'!I$48,M214*'Insumos - OPEX'!I$75)</f>
        <v>52354.126896780559</v>
      </c>
      <c r="N689" s="211">
        <f>IF($G689="PAX",N214*'Insumos - OPEX'!J$48,N214*'Insumos - OPEX'!J$75)</f>
        <v>63073.377807829027</v>
      </c>
      <c r="O689" s="211">
        <f>IF($G689="PAX",O214*'Insumos - OPEX'!K$48,O214*'Insumos - OPEX'!K$75)</f>
        <v>73010.865371363907</v>
      </c>
      <c r="P689" s="211">
        <f>IF($G689="PAX",P214*'Insumos - OPEX'!L$48,P214*'Insumos - OPEX'!L$75)</f>
        <v>79510.952780670501</v>
      </c>
      <c r="Q689" s="211">
        <f>IF($G689="PAX",Q214*'Insumos - OPEX'!M$48,Q214*'Insumos - OPEX'!M$75)</f>
        <v>85288.379464605139</v>
      </c>
      <c r="R689" s="211">
        <f>IF($G689="PAX",R214*'Insumos - OPEX'!N$48,R214*'Insumos - OPEX'!N$75)</f>
        <v>91691.579427656092</v>
      </c>
      <c r="S689" s="111"/>
    </row>
    <row r="690" spans="1:19" x14ac:dyDescent="0.2">
      <c r="A690" s="8"/>
      <c r="B690" s="8" t="s">
        <v>434</v>
      </c>
      <c r="C690" s="8" t="s">
        <v>171</v>
      </c>
      <c r="D690" s="8">
        <v>6320000001</v>
      </c>
      <c r="E690" s="8" t="s">
        <v>324</v>
      </c>
      <c r="F690" s="73" t="s">
        <v>23</v>
      </c>
      <c r="G690" s="73" t="s">
        <v>136</v>
      </c>
      <c r="H690" s="112" t="s">
        <v>61</v>
      </c>
      <c r="I690" s="13" t="s">
        <v>22</v>
      </c>
      <c r="K690" s="187"/>
      <c r="L690" s="187"/>
      <c r="M690" s="188">
        <f>IF($G690="PAX",M215*'Insumos - OPEX'!I$48,M215*'Insumos - OPEX'!I$75)</f>
        <v>17215.18849075371</v>
      </c>
      <c r="N690" s="211">
        <f>IF($G690="PAX",N215*'Insumos - OPEX'!J$48,N215*'Insumos - OPEX'!J$75)</f>
        <v>20739.913968025125</v>
      </c>
      <c r="O690" s="211">
        <f>IF($G690="PAX",O215*'Insumos - OPEX'!K$48,O215*'Insumos - OPEX'!K$75)</f>
        <v>24007.578461180747</v>
      </c>
      <c r="P690" s="211">
        <f>IF($G690="PAX",P215*'Insumos - OPEX'!L$48,P215*'Insumos - OPEX'!L$75)</f>
        <v>26144.950175510086</v>
      </c>
      <c r="Q690" s="211">
        <f>IF($G690="PAX",Q215*'Insumos - OPEX'!M$48,Q215*'Insumos - OPEX'!M$75)</f>
        <v>28044.695147888979</v>
      </c>
      <c r="R690" s="211">
        <f>IF($G690="PAX",R215*'Insumos - OPEX'!N$48,R215*'Insumos - OPEX'!N$75)</f>
        <v>30150.208138779632</v>
      </c>
      <c r="S690" s="111"/>
    </row>
    <row r="691" spans="1:19" x14ac:dyDescent="0.2">
      <c r="A691" s="8"/>
      <c r="B691" s="8" t="s">
        <v>434</v>
      </c>
      <c r="C691" s="8" t="s">
        <v>171</v>
      </c>
      <c r="D691" s="8">
        <v>6360000004</v>
      </c>
      <c r="E691" s="8" t="s">
        <v>353</v>
      </c>
      <c r="F691" s="73" t="s">
        <v>23</v>
      </c>
      <c r="G691" s="73" t="s">
        <v>136</v>
      </c>
      <c r="H691" s="112" t="s">
        <v>61</v>
      </c>
      <c r="I691" s="13" t="s">
        <v>22</v>
      </c>
      <c r="K691" s="187"/>
      <c r="L691" s="187"/>
      <c r="M691" s="188">
        <f>IF($G691="PAX",M216*'Insumos - OPEX'!I$48,M216*'Insumos - OPEX'!I$75)</f>
        <v>7137.5356061123466</v>
      </c>
      <c r="N691" s="211">
        <f>IF($G691="PAX",N216*'Insumos - OPEX'!J$48,N216*'Insumos - OPEX'!J$75)</f>
        <v>8598.9110426524876</v>
      </c>
      <c r="O691" s="211">
        <f>IF($G691="PAX",O216*'Insumos - OPEX'!K$48,O216*'Insumos - OPEX'!K$75)</f>
        <v>9953.7072263395949</v>
      </c>
      <c r="P691" s="211">
        <f>IF($G691="PAX",P216*'Insumos - OPEX'!L$48,P216*'Insumos - OPEX'!L$75)</f>
        <v>10839.876246371925</v>
      </c>
      <c r="Q691" s="211">
        <f>IF($G691="PAX",Q216*'Insumos - OPEX'!M$48,Q216*'Insumos - OPEX'!M$75)</f>
        <v>11627.523584080138</v>
      </c>
      <c r="R691" s="211">
        <f>IF($G691="PAX",R216*'Insumos - OPEX'!N$48,R216*'Insumos - OPEX'!N$75)</f>
        <v>12500.483758154667</v>
      </c>
      <c r="S691" s="111"/>
    </row>
    <row r="692" spans="1:19" x14ac:dyDescent="0.2">
      <c r="A692" s="8"/>
      <c r="B692" s="8" t="s">
        <v>434</v>
      </c>
      <c r="C692" s="8" t="s">
        <v>171</v>
      </c>
      <c r="D692" s="8">
        <v>6360000001</v>
      </c>
      <c r="E692" s="8" t="s">
        <v>331</v>
      </c>
      <c r="F692" s="73" t="s">
        <v>23</v>
      </c>
      <c r="G692" s="73" t="s">
        <v>136</v>
      </c>
      <c r="H692" s="112" t="s">
        <v>61</v>
      </c>
      <c r="I692" s="13" t="s">
        <v>22</v>
      </c>
      <c r="J692" s="11"/>
      <c r="K692" s="187"/>
      <c r="L692" s="187"/>
      <c r="M692" s="188">
        <f>IF($G692="PAX",M217*'Insumos - OPEX'!I$48,M217*'Insumos - OPEX'!I$75)</f>
        <v>4407.4316356806321</v>
      </c>
      <c r="N692" s="211">
        <f>IF($G692="PAX",N217*'Insumos - OPEX'!J$48,N217*'Insumos - OPEX'!J$75)</f>
        <v>5309.8316636535692</v>
      </c>
      <c r="O692" s="211">
        <f>IF($G692="PAX",O217*'Insumos - OPEX'!K$48,O217*'Insumos - OPEX'!K$75)</f>
        <v>6146.4189522365405</v>
      </c>
      <c r="P692" s="211">
        <f>IF($G692="PAX",P217*'Insumos - OPEX'!L$48,P217*'Insumos - OPEX'!L$75)</f>
        <v>6693.6287441016575</v>
      </c>
      <c r="Q692" s="211">
        <f>IF($G692="PAX",Q217*'Insumos - OPEX'!M$48,Q217*'Insumos - OPEX'!M$75)</f>
        <v>7180.0013502154434</v>
      </c>
      <c r="R692" s="211">
        <f>IF($G692="PAX",R217*'Insumos - OPEX'!N$48,R217*'Insumos - OPEX'!N$75)</f>
        <v>7719.0546734115414</v>
      </c>
      <c r="S692" s="111"/>
    </row>
    <row r="693" spans="1:19" x14ac:dyDescent="0.2">
      <c r="A693" s="8"/>
      <c r="B693" s="8" t="s">
        <v>434</v>
      </c>
      <c r="C693" s="8" t="s">
        <v>171</v>
      </c>
      <c r="D693" s="8">
        <v>6356000002</v>
      </c>
      <c r="E693" s="8" t="s">
        <v>337</v>
      </c>
      <c r="F693" s="73" t="s">
        <v>23</v>
      </c>
      <c r="G693" s="73" t="s">
        <v>136</v>
      </c>
      <c r="H693" s="112" t="s">
        <v>61</v>
      </c>
      <c r="I693" s="13" t="s">
        <v>22</v>
      </c>
      <c r="K693" s="187"/>
      <c r="L693" s="187"/>
      <c r="M693" s="188">
        <f>IF($G693="PAX",M218*'Insumos - OPEX'!I$48,M218*'Insumos - OPEX'!I$75)</f>
        <v>2424.7567800203756</v>
      </c>
      <c r="N693" s="211">
        <f>IF($G693="PAX",N218*'Insumos - OPEX'!J$48,N218*'Insumos - OPEX'!J$75)</f>
        <v>2921.2138477611552</v>
      </c>
      <c r="O693" s="211">
        <f>IF($G693="PAX",O218*'Insumos - OPEX'!K$48,O218*'Insumos - OPEX'!K$75)</f>
        <v>3381.4639135020298</v>
      </c>
      <c r="P693" s="211">
        <f>IF($G693="PAX",P218*'Insumos - OPEX'!L$48,P218*'Insumos - OPEX'!L$75)</f>
        <v>3682.5124067280799</v>
      </c>
      <c r="Q693" s="211">
        <f>IF($G693="PAX",Q218*'Insumos - OPEX'!M$48,Q218*'Insumos - OPEX'!M$75)</f>
        <v>3950.091208119622</v>
      </c>
      <c r="R693" s="211">
        <f>IF($G693="PAX",R218*'Insumos - OPEX'!N$48,R218*'Insumos - OPEX'!N$75)</f>
        <v>4246.6524048108558</v>
      </c>
      <c r="S693" s="111"/>
    </row>
    <row r="694" spans="1:19" x14ac:dyDescent="0.2">
      <c r="A694" s="8"/>
      <c r="B694" s="8" t="s">
        <v>434</v>
      </c>
      <c r="C694" s="8" t="s">
        <v>171</v>
      </c>
      <c r="D694" s="8">
        <v>6360000002</v>
      </c>
      <c r="E694" s="8" t="s">
        <v>320</v>
      </c>
      <c r="F694" s="73" t="s">
        <v>23</v>
      </c>
      <c r="G694" s="73" t="s">
        <v>471</v>
      </c>
      <c r="H694" s="112" t="s">
        <v>61</v>
      </c>
      <c r="I694" s="13" t="s">
        <v>22</v>
      </c>
      <c r="K694" s="187"/>
      <c r="L694" s="187"/>
      <c r="M694" s="188">
        <f>IF($G694="PAX",M219*'Insumos - OPEX'!I$48,M219*'Insumos - OPEX'!I$75)</f>
        <v>2503.1253001390114</v>
      </c>
      <c r="N694" s="211">
        <f>IF($G694="PAX",N219*'Insumos - OPEX'!J$48,N219*'Insumos - OPEX'!J$75)</f>
        <v>2781.4787566712948</v>
      </c>
      <c r="O694" s="211">
        <f>IF($G694="PAX",O219*'Insumos - OPEX'!K$48,O219*'Insumos - OPEX'!K$75)</f>
        <v>3058.4523920205474</v>
      </c>
      <c r="P694" s="211">
        <f>IF($G694="PAX",P219*'Insumos - OPEX'!L$48,P219*'Insumos - OPEX'!L$75)</f>
        <v>3221.686802563348</v>
      </c>
      <c r="Q694" s="211">
        <f>IF($G694="PAX",Q219*'Insumos - OPEX'!M$48,Q219*'Insumos - OPEX'!M$75)</f>
        <v>3395.5527558001058</v>
      </c>
      <c r="R694" s="211">
        <f>IF($G694="PAX",R219*'Insumos - OPEX'!N$48,R219*'Insumos - OPEX'!N$75)</f>
        <v>3575.0865647911246</v>
      </c>
      <c r="S694" s="111"/>
    </row>
    <row r="695" spans="1:19" x14ac:dyDescent="0.2">
      <c r="A695" s="8"/>
      <c r="B695" s="8" t="s">
        <v>434</v>
      </c>
      <c r="C695" s="8" t="s">
        <v>171</v>
      </c>
      <c r="D695" s="8">
        <v>6320000002</v>
      </c>
      <c r="E695" s="8" t="s">
        <v>346</v>
      </c>
      <c r="F695" s="73" t="s">
        <v>23</v>
      </c>
      <c r="G695" s="73" t="s">
        <v>136</v>
      </c>
      <c r="H695" s="112" t="s">
        <v>61</v>
      </c>
      <c r="I695" s="13" t="s">
        <v>22</v>
      </c>
      <c r="K695" s="187"/>
      <c r="L695" s="187"/>
      <c r="M695" s="188">
        <f>IF($G695="PAX",M220*'Insumos - OPEX'!I$48,M220*'Insumos - OPEX'!I$75)</f>
        <v>1276.2400858529202</v>
      </c>
      <c r="N695" s="211">
        <f>IF($G695="PAX",N220*'Insumos - OPEX'!J$48,N220*'Insumos - OPEX'!J$75)</f>
        <v>1537.5439889810752</v>
      </c>
      <c r="O695" s="211">
        <f>IF($G695="PAX",O220*'Insumos - OPEX'!K$48,O220*'Insumos - OPEX'!K$75)</f>
        <v>1779.7907942091074</v>
      </c>
      <c r="P695" s="211">
        <f>IF($G695="PAX",P220*'Insumos - OPEX'!L$48,P220*'Insumos - OPEX'!L$75)</f>
        <v>1938.2438638144961</v>
      </c>
      <c r="Q695" s="211">
        <f>IF($G695="PAX",Q220*'Insumos - OPEX'!M$48,Q220*'Insumos - OPEX'!M$75)</f>
        <v>2079.0805841297979</v>
      </c>
      <c r="R695" s="211">
        <f>IF($G695="PAX",R220*'Insumos - OPEX'!N$48,R220*'Insumos - OPEX'!N$75)</f>
        <v>2235.1718219168247</v>
      </c>
      <c r="S695" s="111"/>
    </row>
    <row r="696" spans="1:19" x14ac:dyDescent="0.2">
      <c r="A696" s="8"/>
      <c r="B696" s="8" t="s">
        <v>434</v>
      </c>
      <c r="C696" s="8" t="s">
        <v>171</v>
      </c>
      <c r="D696" s="8">
        <v>6360000005</v>
      </c>
      <c r="E696" s="8" t="s">
        <v>354</v>
      </c>
      <c r="F696" s="73" t="s">
        <v>23</v>
      </c>
      <c r="G696" s="73" t="s">
        <v>136</v>
      </c>
      <c r="H696" s="112" t="s">
        <v>61</v>
      </c>
      <c r="I696" s="13" t="s">
        <v>22</v>
      </c>
      <c r="K696" s="187"/>
      <c r="L696" s="187"/>
      <c r="M696" s="188">
        <f>IF($G696="PAX",M221*'Insumos - OPEX'!I$48,M221*'Insumos - OPEX'!I$75)</f>
        <v>469.46752978202449</v>
      </c>
      <c r="N696" s="211">
        <f>IF($G696="PAX",N221*'Insumos - OPEX'!J$48,N221*'Insumos - OPEX'!J$75)</f>
        <v>565.58870579256541</v>
      </c>
      <c r="O696" s="211">
        <f>IF($G696="PAX",O221*'Insumos - OPEX'!K$48,O221*'Insumos - OPEX'!K$75)</f>
        <v>654.69968930472078</v>
      </c>
      <c r="P696" s="211">
        <f>IF($G696="PAX",P221*'Insumos - OPEX'!L$48,P221*'Insumos - OPEX'!L$75)</f>
        <v>712.98697552822682</v>
      </c>
      <c r="Q696" s="211">
        <f>IF($G696="PAX",Q221*'Insumos - OPEX'!M$48,Q221*'Insumos - OPEX'!M$75)</f>
        <v>764.79405158072336</v>
      </c>
      <c r="R696" s="211">
        <f>IF($G696="PAX",R221*'Insumos - OPEX'!N$48,R221*'Insumos - OPEX'!N$75)</f>
        <v>822.21253313195962</v>
      </c>
      <c r="S696" s="111"/>
    </row>
    <row r="697" spans="1:19" ht="14.45" customHeight="1" x14ac:dyDescent="0.2">
      <c r="A697" s="8"/>
      <c r="B697" s="8" t="s">
        <v>434</v>
      </c>
      <c r="C697" s="8" t="s">
        <v>171</v>
      </c>
      <c r="D697" s="8">
        <v>6360000003</v>
      </c>
      <c r="E697" s="8" t="s">
        <v>322</v>
      </c>
      <c r="F697" s="73" t="s">
        <v>23</v>
      </c>
      <c r="G697" s="73" t="s">
        <v>471</v>
      </c>
      <c r="H697" s="112" t="s">
        <v>61</v>
      </c>
      <c r="I697" s="13" t="s">
        <v>22</v>
      </c>
      <c r="K697" s="187"/>
      <c r="L697" s="187"/>
      <c r="M697" s="188">
        <f>IF($G697="PAX",M222*'Insumos - OPEX'!I$48,M222*'Insumos - OPEX'!I$75)</f>
        <v>347.12006967281127</v>
      </c>
      <c r="N697" s="211">
        <f>IF($G697="PAX",N222*'Insumos - OPEX'!J$48,N222*'Insumos - OPEX'!J$75)</f>
        <v>385.72064281223339</v>
      </c>
      <c r="O697" s="211">
        <f>IF($G697="PAX",O222*'Insumos - OPEX'!K$48,O222*'Insumos - OPEX'!K$75)</f>
        <v>424.12986970735733</v>
      </c>
      <c r="P697" s="211">
        <f>IF($G697="PAX",P222*'Insumos - OPEX'!L$48,P222*'Insumos - OPEX'!L$75)</f>
        <v>446.76634737688147</v>
      </c>
      <c r="Q697" s="211">
        <f>IF($G697="PAX",Q222*'Insumos - OPEX'!M$48,Q222*'Insumos - OPEX'!M$75)</f>
        <v>470.87715069860133</v>
      </c>
      <c r="R697" s="211">
        <f>IF($G697="PAX",R222*'Insumos - OPEX'!N$48,R222*'Insumos - OPEX'!N$75)</f>
        <v>495.77394203466702</v>
      </c>
      <c r="S697" s="111"/>
    </row>
    <row r="698" spans="1:19" x14ac:dyDescent="0.2">
      <c r="A698" s="8"/>
      <c r="B698" s="8" t="s">
        <v>434</v>
      </c>
      <c r="C698" s="8" t="s">
        <v>171</v>
      </c>
      <c r="D698" s="8">
        <v>6370000003</v>
      </c>
      <c r="E698" s="8" t="s">
        <v>339</v>
      </c>
      <c r="F698" s="73" t="s">
        <v>23</v>
      </c>
      <c r="G698" s="73" t="s">
        <v>136</v>
      </c>
      <c r="H698" s="112" t="s">
        <v>61</v>
      </c>
      <c r="I698" s="13" t="s">
        <v>22</v>
      </c>
      <c r="K698" s="187"/>
      <c r="L698" s="187"/>
      <c r="M698" s="188">
        <f>IF($G698="PAX",M223*'Insumos - OPEX'!I$48,M223*'Insumos - OPEX'!I$75)</f>
        <v>32.598264704173516</v>
      </c>
      <c r="N698" s="211">
        <f>IF($G698="PAX",N223*'Insumos - OPEX'!J$48,N223*'Insumos - OPEX'!J$75)</f>
        <v>39.272599648536783</v>
      </c>
      <c r="O698" s="211">
        <f>IF($G698="PAX",O223*'Insumos - OPEX'!K$48,O223*'Insumos - OPEX'!K$75)</f>
        <v>45.460170128495683</v>
      </c>
      <c r="P698" s="211">
        <f>IF($G698="PAX",P223*'Insumos - OPEX'!L$48,P223*'Insumos - OPEX'!L$75)</f>
        <v>49.507445530234293</v>
      </c>
      <c r="Q698" s="211">
        <f>IF($G698="PAX",Q223*'Insumos - OPEX'!M$48,Q223*'Insumos - OPEX'!M$75)</f>
        <v>53.104756678659513</v>
      </c>
      <c r="R698" s="211">
        <f>IF($G698="PAX",R223*'Insumos - OPEX'!N$48,R223*'Insumos - OPEX'!N$75)</f>
        <v>57.09170517196204</v>
      </c>
      <c r="S698" s="111"/>
    </row>
    <row r="699" spans="1:19" x14ac:dyDescent="0.2">
      <c r="A699" s="8"/>
      <c r="B699" s="8" t="s">
        <v>434</v>
      </c>
      <c r="C699" s="8" t="s">
        <v>171</v>
      </c>
      <c r="D699" s="8">
        <v>6380000022</v>
      </c>
      <c r="E699" s="8" t="s">
        <v>328</v>
      </c>
      <c r="F699" s="73" t="s">
        <v>23</v>
      </c>
      <c r="G699" s="73" t="s">
        <v>136</v>
      </c>
      <c r="H699" s="112" t="s">
        <v>61</v>
      </c>
      <c r="I699" s="13" t="s">
        <v>22</v>
      </c>
      <c r="K699" s="187"/>
      <c r="L699" s="187"/>
      <c r="M699" s="188">
        <f>IF($G699="PAX",M224*'Insumos - OPEX'!I$48,M224*'Insumos - OPEX'!I$75)</f>
        <v>27.562150970002126</v>
      </c>
      <c r="N699" s="211">
        <f>IF($G699="PAX",N224*'Insumos - OPEX'!J$48,N224*'Insumos - OPEX'!J$75)</f>
        <v>33.205366307699194</v>
      </c>
      <c r="O699" s="211">
        <f>IF($G699="PAX",O224*'Insumos - OPEX'!K$48,O224*'Insumos - OPEX'!K$75)</f>
        <v>38.437017539868052</v>
      </c>
      <c r="P699" s="211">
        <f>IF($G699="PAX",P224*'Insumos - OPEX'!L$48,P224*'Insumos - OPEX'!L$75)</f>
        <v>41.859028393887947</v>
      </c>
      <c r="Q699" s="211">
        <f>IF($G699="PAX",Q224*'Insumos - OPEX'!M$48,Q224*'Insumos - OPEX'!M$75)</f>
        <v>44.90059008003113</v>
      </c>
      <c r="R699" s="211">
        <f>IF($G699="PAX",R224*'Insumos - OPEX'!N$48,R224*'Insumos - OPEX'!N$75)</f>
        <v>48.271593944171109</v>
      </c>
      <c r="S699" s="111"/>
    </row>
    <row r="700" spans="1:19" x14ac:dyDescent="0.2">
      <c r="A700" s="8"/>
      <c r="B700" s="8" t="s">
        <v>434</v>
      </c>
      <c r="C700" s="8" t="s">
        <v>171</v>
      </c>
      <c r="D700" s="8">
        <v>6380000010</v>
      </c>
      <c r="E700" s="8" t="s">
        <v>332</v>
      </c>
      <c r="F700" s="73" t="s">
        <v>23</v>
      </c>
      <c r="G700" s="73" t="s">
        <v>136</v>
      </c>
      <c r="H700" s="112" t="s">
        <v>61</v>
      </c>
      <c r="I700" s="13" t="s">
        <v>22</v>
      </c>
      <c r="K700" s="187"/>
      <c r="L700" s="187"/>
      <c r="M700" s="188">
        <f>IF($G700="PAX",M225*'Insumos - OPEX'!I$48,M225*'Insumos - OPEX'!I$75)</f>
        <v>23.786880943348887</v>
      </c>
      <c r="N700" s="211">
        <f>IF($G700="PAX",N225*'Insumos - OPEX'!J$48,N225*'Insumos - OPEX'!J$75)</f>
        <v>28.657128244496668</v>
      </c>
      <c r="O700" s="211">
        <f>IF($G700="PAX",O225*'Insumos - OPEX'!K$48,O225*'Insumos - OPEX'!K$75)</f>
        <v>33.172184603202751</v>
      </c>
      <c r="P700" s="211">
        <f>IF($G700="PAX",P225*'Insumos - OPEX'!L$48,P225*'Insumos - OPEX'!L$75)</f>
        <v>36.125472423881597</v>
      </c>
      <c r="Q700" s="211">
        <f>IF($G700="PAX",Q225*'Insumos - OPEX'!M$48,Q225*'Insumos - OPEX'!M$75)</f>
        <v>38.750422333955093</v>
      </c>
      <c r="R700" s="211">
        <f>IF($G700="PAX",R225*'Insumos - OPEX'!N$48,R225*'Insumos - OPEX'!N$75)</f>
        <v>41.659689744293956</v>
      </c>
      <c r="S700" s="111"/>
    </row>
    <row r="701" spans="1:19" x14ac:dyDescent="0.2">
      <c r="A701" s="8"/>
      <c r="B701" s="8" t="s">
        <v>434</v>
      </c>
      <c r="C701" s="8" t="s">
        <v>171</v>
      </c>
      <c r="D701" s="8">
        <v>6380000012</v>
      </c>
      <c r="E701" s="8" t="s">
        <v>345</v>
      </c>
      <c r="F701" s="73" t="s">
        <v>23</v>
      </c>
      <c r="G701" s="73" t="s">
        <v>136</v>
      </c>
      <c r="H701" s="112" t="s">
        <v>61</v>
      </c>
      <c r="I701" s="13" t="s">
        <v>22</v>
      </c>
      <c r="J701" s="11"/>
      <c r="K701" s="187"/>
      <c r="L701" s="187"/>
      <c r="M701" s="188">
        <f>IF($G701="PAX",M226*'Insumos - OPEX'!I$48,M226*'Insumos - OPEX'!I$75)</f>
        <v>21.122099987046663</v>
      </c>
      <c r="N701" s="211">
        <f>IF($G701="PAX",N226*'Insumos - OPEX'!J$48,N226*'Insumos - OPEX'!J$75)</f>
        <v>25.446746446642763</v>
      </c>
      <c r="O701" s="211">
        <f>IF($G701="PAX",O226*'Insumos - OPEX'!K$48,O226*'Insumos - OPEX'!K$75)</f>
        <v>29.455993059633716</v>
      </c>
      <c r="P701" s="211">
        <f>IF($G701="PAX",P226*'Insumos - OPEX'!L$48,P226*'Insumos - OPEX'!L$75)</f>
        <v>32.07843190680623</v>
      </c>
      <c r="Q701" s="211">
        <f>IF($G701="PAX",Q226*'Insumos - OPEX'!M$48,Q226*'Insumos - OPEX'!M$75)</f>
        <v>34.409315665530578</v>
      </c>
      <c r="R701" s="211">
        <f>IF($G701="PAX",R226*'Insumos - OPEX'!N$48,R226*'Insumos - OPEX'!N$75)</f>
        <v>36.992665591760222</v>
      </c>
      <c r="S701" s="111"/>
    </row>
    <row r="702" spans="1:19" x14ac:dyDescent="0.2">
      <c r="A702" s="8"/>
      <c r="B702" s="8" t="s">
        <v>434</v>
      </c>
      <c r="C702" s="8" t="s">
        <v>171</v>
      </c>
      <c r="D702" s="8">
        <v>6311300002</v>
      </c>
      <c r="E702" s="8" t="s">
        <v>347</v>
      </c>
      <c r="F702" s="73" t="s">
        <v>23</v>
      </c>
      <c r="G702" s="73" t="s">
        <v>136</v>
      </c>
      <c r="H702" s="112" t="s">
        <v>61</v>
      </c>
      <c r="I702" s="13" t="s">
        <v>22</v>
      </c>
      <c r="J702" s="11"/>
      <c r="K702" s="187"/>
      <c r="L702" s="187"/>
      <c r="M702" s="188">
        <f>IF($G702="PAX",M227*'Insumos - OPEX'!I$48,M227*'Insumos - OPEX'!I$75)</f>
        <v>11.787382743354025</v>
      </c>
      <c r="N702" s="211">
        <f>IF($G702="PAX",N227*'Insumos - OPEX'!J$48,N227*'Insumos - OPEX'!J$75)</f>
        <v>14.200791593809795</v>
      </c>
      <c r="O702" s="211">
        <f>IF($G702="PAX",O227*'Insumos - OPEX'!K$48,O227*'Insumos - OPEX'!K$75)</f>
        <v>16.438188650390433</v>
      </c>
      <c r="P702" s="211">
        <f>IF($G702="PAX",P227*'Insumos - OPEX'!L$48,P227*'Insumos - OPEX'!L$75)</f>
        <v>17.90166484033459</v>
      </c>
      <c r="Q702" s="211">
        <f>IF($G702="PAX",Q227*'Insumos - OPEX'!M$48,Q227*'Insumos - OPEX'!M$75)</f>
        <v>19.202436023654471</v>
      </c>
      <c r="R702" s="211">
        <f>IF($G702="PAX",R227*'Insumos - OPEX'!N$48,R227*'Insumos - OPEX'!N$75)</f>
        <v>20.644098280681874</v>
      </c>
      <c r="S702" s="111"/>
    </row>
    <row r="703" spans="1:19" x14ac:dyDescent="0.2">
      <c r="A703" s="8"/>
      <c r="B703" s="8" t="s">
        <v>434</v>
      </c>
      <c r="C703" s="8" t="s">
        <v>171</v>
      </c>
      <c r="D703" s="8">
        <v>6380000009</v>
      </c>
      <c r="E703" s="8" t="s">
        <v>321</v>
      </c>
      <c r="F703" s="73" t="s">
        <v>23</v>
      </c>
      <c r="G703" s="73" t="s">
        <v>136</v>
      </c>
      <c r="H703" s="112" t="s">
        <v>61</v>
      </c>
      <c r="I703" s="13" t="s">
        <v>22</v>
      </c>
      <c r="J703" s="11"/>
      <c r="K703" s="187"/>
      <c r="L703" s="187"/>
      <c r="M703" s="188">
        <f>IF($G703="PAX",M228*'Insumos - OPEX'!I$48,M228*'Insumos - OPEX'!I$75)</f>
        <v>0</v>
      </c>
      <c r="N703" s="211">
        <f>IF($G703="PAX",N228*'Insumos - OPEX'!J$48,N228*'Insumos - OPEX'!J$75)</f>
        <v>0</v>
      </c>
      <c r="O703" s="211">
        <f>IF($G703="PAX",O228*'Insumos - OPEX'!K$48,O228*'Insumos - OPEX'!K$75)</f>
        <v>0</v>
      </c>
      <c r="P703" s="211">
        <f>IF($G703="PAX",P228*'Insumos - OPEX'!L$48,P228*'Insumos - OPEX'!L$75)</f>
        <v>0</v>
      </c>
      <c r="Q703" s="211">
        <f>IF($G703="PAX",Q228*'Insumos - OPEX'!M$48,Q228*'Insumos - OPEX'!M$75)</f>
        <v>0</v>
      </c>
      <c r="R703" s="211">
        <f>IF($G703="PAX",R228*'Insumos - OPEX'!N$48,R228*'Insumos - OPEX'!N$75)</f>
        <v>0</v>
      </c>
      <c r="S703" s="111"/>
    </row>
    <row r="704" spans="1:19" x14ac:dyDescent="0.2">
      <c r="A704" s="8"/>
      <c r="B704" s="8" t="s">
        <v>434</v>
      </c>
      <c r="C704" s="8" t="s">
        <v>171</v>
      </c>
      <c r="D704" s="8">
        <v>6354000001</v>
      </c>
      <c r="E704" s="8" t="s">
        <v>336</v>
      </c>
      <c r="F704" s="73" t="s">
        <v>23</v>
      </c>
      <c r="G704" s="73" t="s">
        <v>136</v>
      </c>
      <c r="H704" s="112" t="s">
        <v>61</v>
      </c>
      <c r="I704" s="13" t="s">
        <v>22</v>
      </c>
      <c r="K704" s="187"/>
      <c r="L704" s="187"/>
      <c r="M704" s="188">
        <f>IF($G704="PAX",M229*'Insumos - OPEX'!I$48,M229*'Insumos - OPEX'!I$75)</f>
        <v>0</v>
      </c>
      <c r="N704" s="211">
        <f>IF($G704="PAX",N229*'Insumos - OPEX'!J$48,N229*'Insumos - OPEX'!J$75)</f>
        <v>0</v>
      </c>
      <c r="O704" s="211">
        <f>IF($G704="PAX",O229*'Insumos - OPEX'!K$48,O229*'Insumos - OPEX'!K$75)</f>
        <v>0</v>
      </c>
      <c r="P704" s="211">
        <f>IF($G704="PAX",P229*'Insumos - OPEX'!L$48,P229*'Insumos - OPEX'!L$75)</f>
        <v>0</v>
      </c>
      <c r="Q704" s="211">
        <f>IF($G704="PAX",Q229*'Insumos - OPEX'!M$48,Q229*'Insumos - OPEX'!M$75)</f>
        <v>0</v>
      </c>
      <c r="R704" s="211">
        <f>IF($G704="PAX",R229*'Insumos - OPEX'!N$48,R229*'Insumos - OPEX'!N$75)</f>
        <v>0</v>
      </c>
      <c r="S704" s="111"/>
    </row>
    <row r="705" spans="1:19" x14ac:dyDescent="0.2">
      <c r="A705" s="8"/>
      <c r="B705" s="8" t="s">
        <v>434</v>
      </c>
      <c r="C705" s="8" t="s">
        <v>171</v>
      </c>
      <c r="D705" s="8">
        <v>6358000001</v>
      </c>
      <c r="E705" s="8" t="s">
        <v>335</v>
      </c>
      <c r="F705" s="73" t="s">
        <v>23</v>
      </c>
      <c r="G705" s="73" t="s">
        <v>136</v>
      </c>
      <c r="H705" s="112" t="s">
        <v>61</v>
      </c>
      <c r="I705" s="13" t="s">
        <v>22</v>
      </c>
      <c r="K705" s="187"/>
      <c r="L705" s="187"/>
      <c r="M705" s="188">
        <f>IF($G705="PAX",M230*'Insumos - OPEX'!I$48,M230*'Insumos - OPEX'!I$75)</f>
        <v>0</v>
      </c>
      <c r="N705" s="211">
        <f>IF($G705="PAX",N230*'Insumos - OPEX'!J$48,N230*'Insumos - OPEX'!J$75)</f>
        <v>0</v>
      </c>
      <c r="O705" s="211">
        <f>IF($G705="PAX",O230*'Insumos - OPEX'!K$48,O230*'Insumos - OPEX'!K$75)</f>
        <v>0</v>
      </c>
      <c r="P705" s="211">
        <f>IF($G705="PAX",P230*'Insumos - OPEX'!L$48,P230*'Insumos - OPEX'!L$75)</f>
        <v>0</v>
      </c>
      <c r="Q705" s="211">
        <f>IF($G705="PAX",Q230*'Insumos - OPEX'!M$48,Q230*'Insumos - OPEX'!M$75)</f>
        <v>0</v>
      </c>
      <c r="R705" s="211">
        <f>IF($G705="PAX",R230*'Insumos - OPEX'!N$48,R230*'Insumos - OPEX'!N$75)</f>
        <v>0</v>
      </c>
      <c r="S705" s="111"/>
    </row>
    <row r="706" spans="1:19" x14ac:dyDescent="0.2">
      <c r="A706" s="8"/>
      <c r="B706" s="8" t="s">
        <v>434</v>
      </c>
      <c r="C706" s="8" t="s">
        <v>171</v>
      </c>
      <c r="D706" s="8">
        <v>6370000001</v>
      </c>
      <c r="E706" s="8" t="s">
        <v>270</v>
      </c>
      <c r="F706" s="73" t="s">
        <v>23</v>
      </c>
      <c r="G706" s="73" t="s">
        <v>136</v>
      </c>
      <c r="H706" s="112" t="s">
        <v>61</v>
      </c>
      <c r="I706" s="13" t="s">
        <v>22</v>
      </c>
      <c r="K706" s="187"/>
      <c r="L706" s="187"/>
      <c r="M706" s="188">
        <f>IF($G706="PAX",M231*'Insumos - OPEX'!I$48,M231*'Insumos - OPEX'!I$75)</f>
        <v>0</v>
      </c>
      <c r="N706" s="211">
        <f>IF($G706="PAX",N231*'Insumos - OPEX'!J$48,N231*'Insumos - OPEX'!J$75)</f>
        <v>0</v>
      </c>
      <c r="O706" s="211">
        <f>IF($G706="PAX",O231*'Insumos - OPEX'!K$48,O231*'Insumos - OPEX'!K$75)</f>
        <v>0</v>
      </c>
      <c r="P706" s="211">
        <f>IF($G706="PAX",P231*'Insumos - OPEX'!L$48,P231*'Insumos - OPEX'!L$75)</f>
        <v>0</v>
      </c>
      <c r="Q706" s="211">
        <f>IF($G706="PAX",Q231*'Insumos - OPEX'!M$48,Q231*'Insumos - OPEX'!M$75)</f>
        <v>0</v>
      </c>
      <c r="R706" s="211">
        <f>IF($G706="PAX",R231*'Insumos - OPEX'!N$48,R231*'Insumos - OPEX'!N$75)</f>
        <v>0</v>
      </c>
      <c r="S706" s="111"/>
    </row>
    <row r="707" spans="1:19" x14ac:dyDescent="0.2">
      <c r="A707" s="8"/>
      <c r="B707" s="8" t="s">
        <v>434</v>
      </c>
      <c r="C707" s="8" t="s">
        <v>171</v>
      </c>
      <c r="D707" s="8">
        <v>6311300001</v>
      </c>
      <c r="E707" s="8" t="s">
        <v>352</v>
      </c>
      <c r="F707" s="73" t="s">
        <v>23</v>
      </c>
      <c r="G707" s="73" t="s">
        <v>136</v>
      </c>
      <c r="H707" s="112" t="s">
        <v>61</v>
      </c>
      <c r="I707" s="13" t="s">
        <v>22</v>
      </c>
      <c r="K707" s="187"/>
      <c r="L707" s="187"/>
      <c r="M707" s="188">
        <f>IF($G707="PAX",M232*'Insumos - OPEX'!I$48,M232*'Insumos - OPEX'!I$75)</f>
        <v>0</v>
      </c>
      <c r="N707" s="211">
        <f>IF($G707="PAX",N232*'Insumos - OPEX'!J$48,N232*'Insumos - OPEX'!J$75)</f>
        <v>0</v>
      </c>
      <c r="O707" s="211">
        <f>IF($G707="PAX",O232*'Insumos - OPEX'!K$48,O232*'Insumos - OPEX'!K$75)</f>
        <v>0</v>
      </c>
      <c r="P707" s="211">
        <f>IF($G707="PAX",P232*'Insumos - OPEX'!L$48,P232*'Insumos - OPEX'!L$75)</f>
        <v>0</v>
      </c>
      <c r="Q707" s="211">
        <f>IF($G707="PAX",Q232*'Insumos - OPEX'!M$48,Q232*'Insumos - OPEX'!M$75)</f>
        <v>0</v>
      </c>
      <c r="R707" s="211">
        <f>IF($G707="PAX",R232*'Insumos - OPEX'!N$48,R232*'Insumos - OPEX'!N$75)</f>
        <v>0</v>
      </c>
      <c r="S707" s="111"/>
    </row>
    <row r="708" spans="1:19" x14ac:dyDescent="0.2">
      <c r="A708" s="8"/>
      <c r="B708" s="8" t="s">
        <v>434</v>
      </c>
      <c r="C708" s="8" t="s">
        <v>171</v>
      </c>
      <c r="D708" s="8">
        <v>6370000002</v>
      </c>
      <c r="E708" s="8" t="s">
        <v>338</v>
      </c>
      <c r="F708" s="73" t="s">
        <v>23</v>
      </c>
      <c r="G708" s="73" t="s">
        <v>136</v>
      </c>
      <c r="H708" s="112" t="s">
        <v>61</v>
      </c>
      <c r="I708" s="13" t="s">
        <v>22</v>
      </c>
      <c r="K708" s="187"/>
      <c r="L708" s="187"/>
      <c r="M708" s="188">
        <f>IF($G708="PAX",M233*'Insumos - OPEX'!I$48,M233*'Insumos - OPEX'!I$75)</f>
        <v>0</v>
      </c>
      <c r="N708" s="211">
        <f>IF($G708="PAX",N233*'Insumos - OPEX'!J$48,N233*'Insumos - OPEX'!J$75)</f>
        <v>0</v>
      </c>
      <c r="O708" s="211">
        <f>IF($G708="PAX",O233*'Insumos - OPEX'!K$48,O233*'Insumos - OPEX'!K$75)</f>
        <v>0</v>
      </c>
      <c r="P708" s="211">
        <f>IF($G708="PAX",P233*'Insumos - OPEX'!L$48,P233*'Insumos - OPEX'!L$75)</f>
        <v>0</v>
      </c>
      <c r="Q708" s="211">
        <f>IF($G708="PAX",Q233*'Insumos - OPEX'!M$48,Q233*'Insumos - OPEX'!M$75)</f>
        <v>0</v>
      </c>
      <c r="R708" s="211">
        <f>IF($G708="PAX",R233*'Insumos - OPEX'!N$48,R233*'Insumos - OPEX'!N$75)</f>
        <v>0</v>
      </c>
      <c r="S708" s="111"/>
    </row>
    <row r="709" spans="1:19" x14ac:dyDescent="0.2">
      <c r="A709" s="8"/>
      <c r="B709" s="8" t="s">
        <v>434</v>
      </c>
      <c r="C709" s="8" t="s">
        <v>171</v>
      </c>
      <c r="D709" s="8">
        <v>6320000005</v>
      </c>
      <c r="E709" s="8" t="s">
        <v>342</v>
      </c>
      <c r="F709" s="73" t="s">
        <v>23</v>
      </c>
      <c r="G709" s="73" t="s">
        <v>136</v>
      </c>
      <c r="H709" s="112" t="s">
        <v>61</v>
      </c>
      <c r="I709" s="13" t="s">
        <v>22</v>
      </c>
      <c r="K709" s="187"/>
      <c r="L709" s="187"/>
      <c r="M709" s="188">
        <f>IF($G709="PAX",M234*'Insumos - OPEX'!I$48,M234*'Insumos - OPEX'!I$75)</f>
        <v>0</v>
      </c>
      <c r="N709" s="211">
        <f>IF($G709="PAX",N234*'Insumos - OPEX'!J$48,N234*'Insumos - OPEX'!J$75)</f>
        <v>0</v>
      </c>
      <c r="O709" s="211">
        <f>IF($G709="PAX",O234*'Insumos - OPEX'!K$48,O234*'Insumos - OPEX'!K$75)</f>
        <v>0</v>
      </c>
      <c r="P709" s="211">
        <f>IF($G709="PAX",P234*'Insumos - OPEX'!L$48,P234*'Insumos - OPEX'!L$75)</f>
        <v>0</v>
      </c>
      <c r="Q709" s="211">
        <f>IF($G709="PAX",Q234*'Insumos - OPEX'!M$48,Q234*'Insumos - OPEX'!M$75)</f>
        <v>0</v>
      </c>
      <c r="R709" s="211">
        <f>IF($G709="PAX",R234*'Insumos - OPEX'!N$48,R234*'Insumos - OPEX'!N$75)</f>
        <v>0</v>
      </c>
      <c r="S709" s="111"/>
    </row>
    <row r="710" spans="1:19" x14ac:dyDescent="0.2">
      <c r="A710" s="8"/>
      <c r="B710" s="8" t="s">
        <v>434</v>
      </c>
      <c r="C710" s="8" t="s">
        <v>171</v>
      </c>
      <c r="D710" s="8">
        <v>6356000001</v>
      </c>
      <c r="E710" s="8" t="s">
        <v>343</v>
      </c>
      <c r="F710" s="73" t="s">
        <v>23</v>
      </c>
      <c r="G710" s="73" t="s">
        <v>136</v>
      </c>
      <c r="H710" s="112" t="s">
        <v>61</v>
      </c>
      <c r="I710" s="13" t="s">
        <v>22</v>
      </c>
      <c r="K710" s="187"/>
      <c r="L710" s="187"/>
      <c r="M710" s="188">
        <f>IF($G710="PAX",M235*'Insumos - OPEX'!I$48,M235*'Insumos - OPEX'!I$75)</f>
        <v>0</v>
      </c>
      <c r="N710" s="211">
        <f>IF($G710="PAX",N235*'Insumos - OPEX'!J$48,N235*'Insumos - OPEX'!J$75)</f>
        <v>0</v>
      </c>
      <c r="O710" s="211">
        <f>IF($G710="PAX",O235*'Insumos - OPEX'!K$48,O235*'Insumos - OPEX'!K$75)</f>
        <v>0</v>
      </c>
      <c r="P710" s="211">
        <f>IF($G710="PAX",P235*'Insumos - OPEX'!L$48,P235*'Insumos - OPEX'!L$75)</f>
        <v>0</v>
      </c>
      <c r="Q710" s="211">
        <f>IF($G710="PAX",Q235*'Insumos - OPEX'!M$48,Q235*'Insumos - OPEX'!M$75)</f>
        <v>0</v>
      </c>
      <c r="R710" s="211">
        <f>IF($G710="PAX",R235*'Insumos - OPEX'!N$48,R235*'Insumos - OPEX'!N$75)</f>
        <v>0</v>
      </c>
      <c r="S710" s="111"/>
    </row>
    <row r="711" spans="1:19" x14ac:dyDescent="0.2">
      <c r="A711" s="8"/>
      <c r="B711" s="8" t="s">
        <v>434</v>
      </c>
      <c r="C711" s="8" t="s">
        <v>171</v>
      </c>
      <c r="D711" s="8">
        <v>6380000015</v>
      </c>
      <c r="E711" s="8" t="s">
        <v>327</v>
      </c>
      <c r="F711" s="73" t="s">
        <v>23</v>
      </c>
      <c r="G711" s="73" t="s">
        <v>136</v>
      </c>
      <c r="H711" s="112" t="s">
        <v>61</v>
      </c>
      <c r="I711" s="13" t="s">
        <v>22</v>
      </c>
      <c r="J711" s="11"/>
      <c r="K711" s="187"/>
      <c r="L711" s="187"/>
      <c r="M711" s="188">
        <f>IF($G711="PAX",M236*'Insumos - OPEX'!I$48,M236*'Insumos - OPEX'!I$75)</f>
        <v>0</v>
      </c>
      <c r="N711" s="211">
        <f>IF($G711="PAX",N236*'Insumos - OPEX'!J$48,N236*'Insumos - OPEX'!J$75)</f>
        <v>0</v>
      </c>
      <c r="O711" s="211">
        <f>IF($G711="PAX",O236*'Insumos - OPEX'!K$48,O236*'Insumos - OPEX'!K$75)</f>
        <v>0</v>
      </c>
      <c r="P711" s="211">
        <f>IF($G711="PAX",P236*'Insumos - OPEX'!L$48,P236*'Insumos - OPEX'!L$75)</f>
        <v>0</v>
      </c>
      <c r="Q711" s="211">
        <f>IF($G711="PAX",Q236*'Insumos - OPEX'!M$48,Q236*'Insumos - OPEX'!M$75)</f>
        <v>0</v>
      </c>
      <c r="R711" s="211">
        <f>IF($G711="PAX",R236*'Insumos - OPEX'!N$48,R236*'Insumos - OPEX'!N$75)</f>
        <v>0</v>
      </c>
      <c r="S711" s="111"/>
    </row>
    <row r="712" spans="1:19" ht="12" customHeight="1" x14ac:dyDescent="0.2">
      <c r="A712" s="8"/>
      <c r="B712" s="8" t="s">
        <v>434</v>
      </c>
      <c r="C712" s="8" t="s">
        <v>171</v>
      </c>
      <c r="D712" s="8">
        <v>6380000029</v>
      </c>
      <c r="E712" s="8" t="s">
        <v>348</v>
      </c>
      <c r="F712" s="73" t="s">
        <v>23</v>
      </c>
      <c r="G712" s="73" t="s">
        <v>136</v>
      </c>
      <c r="H712" s="112" t="s">
        <v>61</v>
      </c>
      <c r="I712" s="13" t="s">
        <v>22</v>
      </c>
      <c r="J712" s="11"/>
      <c r="K712" s="187"/>
      <c r="L712" s="187"/>
      <c r="M712" s="188">
        <f>IF($G712="PAX",M237*'Insumos - OPEX'!I$48,M237*'Insumos - OPEX'!I$75)</f>
        <v>0</v>
      </c>
      <c r="N712" s="211">
        <f>IF($G712="PAX",N237*'Insumos - OPEX'!J$48,N237*'Insumos - OPEX'!J$75)</f>
        <v>0</v>
      </c>
      <c r="O712" s="211">
        <f>IF($G712="PAX",O237*'Insumos - OPEX'!K$48,O237*'Insumos - OPEX'!K$75)</f>
        <v>0</v>
      </c>
      <c r="P712" s="211">
        <f>IF($G712="PAX",P237*'Insumos - OPEX'!L$48,P237*'Insumos - OPEX'!L$75)</f>
        <v>0</v>
      </c>
      <c r="Q712" s="211">
        <f>IF($G712="PAX",Q237*'Insumos - OPEX'!M$48,Q237*'Insumos - OPEX'!M$75)</f>
        <v>0</v>
      </c>
      <c r="R712" s="211">
        <f>IF($G712="PAX",R237*'Insumos - OPEX'!N$48,R237*'Insumos - OPEX'!N$75)</f>
        <v>0</v>
      </c>
      <c r="S712" s="111"/>
    </row>
    <row r="713" spans="1:19" ht="12" customHeight="1" x14ac:dyDescent="0.2">
      <c r="A713" s="8"/>
      <c r="B713" s="8" t="s">
        <v>434</v>
      </c>
      <c r="C713" s="8" t="s">
        <v>171</v>
      </c>
      <c r="D713" s="8">
        <v>6320000006</v>
      </c>
      <c r="E713" s="8" t="s">
        <v>344</v>
      </c>
      <c r="F713" s="73" t="s">
        <v>23</v>
      </c>
      <c r="G713" s="73" t="s">
        <v>136</v>
      </c>
      <c r="H713" s="112" t="s">
        <v>61</v>
      </c>
      <c r="I713" s="13" t="s">
        <v>22</v>
      </c>
      <c r="K713" s="187"/>
      <c r="L713" s="187"/>
      <c r="M713" s="188">
        <f>IF($G713="PAX",M238*'Insumos - OPEX'!I$48,M238*'Insumos - OPEX'!I$75)</f>
        <v>0</v>
      </c>
      <c r="N713" s="211">
        <f>IF($G713="PAX",N238*'Insumos - OPEX'!J$48,N238*'Insumos - OPEX'!J$75)</f>
        <v>0</v>
      </c>
      <c r="O713" s="211">
        <f>IF($G713="PAX",O238*'Insumos - OPEX'!K$48,O238*'Insumos - OPEX'!K$75)</f>
        <v>0</v>
      </c>
      <c r="P713" s="211">
        <f>IF($G713="PAX",P238*'Insumos - OPEX'!L$48,P238*'Insumos - OPEX'!L$75)</f>
        <v>0</v>
      </c>
      <c r="Q713" s="211">
        <f>IF($G713="PAX",Q238*'Insumos - OPEX'!M$48,Q238*'Insumos - OPEX'!M$75)</f>
        <v>0</v>
      </c>
      <c r="R713" s="211">
        <f>IF($G713="PAX",R238*'Insumos - OPEX'!N$48,R238*'Insumos - OPEX'!N$75)</f>
        <v>0</v>
      </c>
      <c r="S713" s="111"/>
    </row>
    <row r="714" spans="1:19" ht="12" customHeight="1" x14ac:dyDescent="0.2">
      <c r="A714" s="8"/>
      <c r="B714" s="8" t="s">
        <v>434</v>
      </c>
      <c r="C714" s="8" t="s">
        <v>171</v>
      </c>
      <c r="D714" s="8">
        <v>6382000002</v>
      </c>
      <c r="E714" s="8" t="s">
        <v>351</v>
      </c>
      <c r="F714" s="73" t="s">
        <v>23</v>
      </c>
      <c r="G714" s="73" t="s">
        <v>136</v>
      </c>
      <c r="H714" s="112" t="s">
        <v>61</v>
      </c>
      <c r="I714" s="13" t="s">
        <v>22</v>
      </c>
      <c r="J714" s="11"/>
      <c r="K714" s="187"/>
      <c r="L714" s="187"/>
      <c r="M714" s="188">
        <f>IF($G714="PAX",M239*'Insumos - OPEX'!I$48,M239*'Insumos - OPEX'!I$75)</f>
        <v>0</v>
      </c>
      <c r="N714" s="211">
        <f>IF($G714="PAX",N239*'Insumos - OPEX'!J$48,N239*'Insumos - OPEX'!J$75)</f>
        <v>0</v>
      </c>
      <c r="O714" s="211">
        <f>IF($G714="PAX",O239*'Insumos - OPEX'!K$48,O239*'Insumos - OPEX'!K$75)</f>
        <v>0</v>
      </c>
      <c r="P714" s="211">
        <f>IF($G714="PAX",P239*'Insumos - OPEX'!L$48,P239*'Insumos - OPEX'!L$75)</f>
        <v>0</v>
      </c>
      <c r="Q714" s="211">
        <f>IF($G714="PAX",Q239*'Insumos - OPEX'!M$48,Q239*'Insumos - OPEX'!M$75)</f>
        <v>0</v>
      </c>
      <c r="R714" s="211">
        <f>IF($G714="PAX",R239*'Insumos - OPEX'!N$48,R239*'Insumos - OPEX'!N$75)</f>
        <v>0</v>
      </c>
      <c r="S714" s="111"/>
    </row>
    <row r="715" spans="1:19" ht="12" customHeight="1" x14ac:dyDescent="0.2">
      <c r="A715" s="8"/>
      <c r="B715" s="8" t="s">
        <v>434</v>
      </c>
      <c r="C715" s="8" t="s">
        <v>171</v>
      </c>
      <c r="D715" s="8">
        <v>6357000001</v>
      </c>
      <c r="E715" s="8" t="s">
        <v>334</v>
      </c>
      <c r="F715" s="73" t="s">
        <v>23</v>
      </c>
      <c r="G715" s="73" t="s">
        <v>136</v>
      </c>
      <c r="H715" s="112" t="s">
        <v>61</v>
      </c>
      <c r="I715" s="13" t="s">
        <v>22</v>
      </c>
      <c r="K715" s="187"/>
      <c r="L715" s="187"/>
      <c r="M715" s="188">
        <f>IF($G715="PAX",M240*'Insumos - OPEX'!I$48,M240*'Insumos - OPEX'!I$75)</f>
        <v>0</v>
      </c>
      <c r="N715" s="211">
        <f>IF($G715="PAX",N240*'Insumos - OPEX'!J$48,N240*'Insumos - OPEX'!J$75)</f>
        <v>0</v>
      </c>
      <c r="O715" s="211">
        <f>IF($G715="PAX",O240*'Insumos - OPEX'!K$48,O240*'Insumos - OPEX'!K$75)</f>
        <v>0</v>
      </c>
      <c r="P715" s="211">
        <f>IF($G715="PAX",P240*'Insumos - OPEX'!L$48,P240*'Insumos - OPEX'!L$75)</f>
        <v>0</v>
      </c>
      <c r="Q715" s="211">
        <f>IF($G715="PAX",Q240*'Insumos - OPEX'!M$48,Q240*'Insumos - OPEX'!M$75)</f>
        <v>0</v>
      </c>
      <c r="R715" s="211">
        <f>IF($G715="PAX",R240*'Insumos - OPEX'!N$48,R240*'Insumos - OPEX'!N$75)</f>
        <v>0</v>
      </c>
      <c r="S715" s="111"/>
    </row>
    <row r="716" spans="1:19" ht="12" customHeight="1" x14ac:dyDescent="0.2">
      <c r="A716" s="8"/>
      <c r="B716" s="8" t="s">
        <v>434</v>
      </c>
      <c r="C716" s="8" t="s">
        <v>171</v>
      </c>
      <c r="D716" s="8">
        <v>6320000003</v>
      </c>
      <c r="E716" s="8" t="s">
        <v>325</v>
      </c>
      <c r="F716" s="73" t="s">
        <v>23</v>
      </c>
      <c r="G716" s="73" t="s">
        <v>136</v>
      </c>
      <c r="H716" s="112" t="s">
        <v>61</v>
      </c>
      <c r="I716" s="13" t="s">
        <v>22</v>
      </c>
      <c r="K716" s="187"/>
      <c r="L716" s="187"/>
      <c r="M716" s="188">
        <f>IF($G716="PAX",M241*'Insumos - OPEX'!I$48,M241*'Insumos - OPEX'!I$75)</f>
        <v>0</v>
      </c>
      <c r="N716" s="211">
        <f>IF($G716="PAX",N241*'Insumos - OPEX'!J$48,N241*'Insumos - OPEX'!J$75)</f>
        <v>0</v>
      </c>
      <c r="O716" s="211">
        <f>IF($G716="PAX",O241*'Insumos - OPEX'!K$48,O241*'Insumos - OPEX'!K$75)</f>
        <v>0</v>
      </c>
      <c r="P716" s="211">
        <f>IF($G716="PAX",P241*'Insumos - OPEX'!L$48,P241*'Insumos - OPEX'!L$75)</f>
        <v>0</v>
      </c>
      <c r="Q716" s="211">
        <f>IF($G716="PAX",Q241*'Insumos - OPEX'!M$48,Q241*'Insumos - OPEX'!M$75)</f>
        <v>0</v>
      </c>
      <c r="R716" s="211">
        <f>IF($G716="PAX",R241*'Insumos - OPEX'!N$48,R241*'Insumos - OPEX'!N$75)</f>
        <v>0</v>
      </c>
      <c r="S716" s="111"/>
    </row>
    <row r="717" spans="1:19" ht="12" customHeight="1" x14ac:dyDescent="0.2">
      <c r="A717" s="8"/>
      <c r="B717" s="8" t="s">
        <v>434</v>
      </c>
      <c r="C717" s="8" t="s">
        <v>171</v>
      </c>
      <c r="D717" s="8">
        <v>6382000001</v>
      </c>
      <c r="E717" s="8" t="s">
        <v>349</v>
      </c>
      <c r="F717" s="73" t="s">
        <v>23</v>
      </c>
      <c r="G717" s="73" t="s">
        <v>136</v>
      </c>
      <c r="H717" s="112" t="s">
        <v>61</v>
      </c>
      <c r="I717" s="13" t="s">
        <v>22</v>
      </c>
      <c r="K717" s="187"/>
      <c r="L717" s="187"/>
      <c r="M717" s="188">
        <f>IF($G717="PAX",M242*'Insumos - OPEX'!I$48,M242*'Insumos - OPEX'!I$75)</f>
        <v>0</v>
      </c>
      <c r="N717" s="211">
        <f>IF($G717="PAX",N242*'Insumos - OPEX'!J$48,N242*'Insumos - OPEX'!J$75)</f>
        <v>0</v>
      </c>
      <c r="O717" s="211">
        <f>IF($G717="PAX",O242*'Insumos - OPEX'!K$48,O242*'Insumos - OPEX'!K$75)</f>
        <v>0</v>
      </c>
      <c r="P717" s="211">
        <f>IF($G717="PAX",P242*'Insumos - OPEX'!L$48,P242*'Insumos - OPEX'!L$75)</f>
        <v>0</v>
      </c>
      <c r="Q717" s="211">
        <f>IF($G717="PAX",Q242*'Insumos - OPEX'!M$48,Q242*'Insumos - OPEX'!M$75)</f>
        <v>0</v>
      </c>
      <c r="R717" s="211">
        <f>IF($G717="PAX",R242*'Insumos - OPEX'!N$48,R242*'Insumos - OPEX'!N$75)</f>
        <v>0</v>
      </c>
      <c r="S717" s="111"/>
    </row>
    <row r="718" spans="1:19" ht="12" customHeight="1" x14ac:dyDescent="0.2">
      <c r="A718" s="8"/>
      <c r="B718" s="8" t="s">
        <v>434</v>
      </c>
      <c r="C718" s="8" t="s">
        <v>171</v>
      </c>
      <c r="D718" s="8">
        <v>6380000002</v>
      </c>
      <c r="E718" s="8" t="s">
        <v>333</v>
      </c>
      <c r="F718" s="73" t="s">
        <v>23</v>
      </c>
      <c r="G718" s="73" t="s">
        <v>136</v>
      </c>
      <c r="H718" s="112" t="s">
        <v>61</v>
      </c>
      <c r="I718" s="13" t="s">
        <v>22</v>
      </c>
      <c r="K718" s="187"/>
      <c r="L718" s="187"/>
      <c r="M718" s="188">
        <f>IF($G718="PAX",M243*'Insumos - OPEX'!I$48,M243*'Insumos - OPEX'!I$75)</f>
        <v>0</v>
      </c>
      <c r="N718" s="211">
        <f>IF($G718="PAX",N243*'Insumos - OPEX'!J$48,N243*'Insumos - OPEX'!J$75)</f>
        <v>0</v>
      </c>
      <c r="O718" s="211">
        <f>IF($G718="PAX",O243*'Insumos - OPEX'!K$48,O243*'Insumos - OPEX'!K$75)</f>
        <v>0</v>
      </c>
      <c r="P718" s="211">
        <f>IF($G718="PAX",P243*'Insumos - OPEX'!L$48,P243*'Insumos - OPEX'!L$75)</f>
        <v>0</v>
      </c>
      <c r="Q718" s="211">
        <f>IF($G718="PAX",Q243*'Insumos - OPEX'!M$48,Q243*'Insumos - OPEX'!M$75)</f>
        <v>0</v>
      </c>
      <c r="R718" s="211">
        <f>IF($G718="PAX",R243*'Insumos - OPEX'!N$48,R243*'Insumos - OPEX'!N$75)</f>
        <v>0</v>
      </c>
      <c r="S718" s="111"/>
    </row>
    <row r="719" spans="1:19" ht="12" customHeight="1" x14ac:dyDescent="0.2">
      <c r="A719" s="8"/>
      <c r="B719" s="8" t="s">
        <v>434</v>
      </c>
      <c r="C719" s="8" t="s">
        <v>171</v>
      </c>
      <c r="D719" s="8">
        <v>6329000003</v>
      </c>
      <c r="E719" s="8" t="s">
        <v>341</v>
      </c>
      <c r="F719" s="73" t="s">
        <v>23</v>
      </c>
      <c r="G719" s="73" t="s">
        <v>136</v>
      </c>
      <c r="H719" s="112" t="s">
        <v>61</v>
      </c>
      <c r="I719" s="13" t="s">
        <v>22</v>
      </c>
      <c r="K719" s="187"/>
      <c r="L719" s="187"/>
      <c r="M719" s="188">
        <f>IF($G719="PAX",M244*'Insumos - OPEX'!I$48,M244*'Insumos - OPEX'!I$75)</f>
        <v>0</v>
      </c>
      <c r="N719" s="211">
        <f>IF($G719="PAX",N244*'Insumos - OPEX'!J$48,N244*'Insumos - OPEX'!J$75)</f>
        <v>0</v>
      </c>
      <c r="O719" s="211">
        <f>IF($G719="PAX",O244*'Insumos - OPEX'!K$48,O244*'Insumos - OPEX'!K$75)</f>
        <v>0</v>
      </c>
      <c r="P719" s="211">
        <f>IF($G719="PAX",P244*'Insumos - OPEX'!L$48,P244*'Insumos - OPEX'!L$75)</f>
        <v>0</v>
      </c>
      <c r="Q719" s="211">
        <f>IF($G719="PAX",Q244*'Insumos - OPEX'!M$48,Q244*'Insumos - OPEX'!M$75)</f>
        <v>0</v>
      </c>
      <c r="R719" s="211">
        <f>IF($G719="PAX",R244*'Insumos - OPEX'!N$48,R244*'Insumos - OPEX'!N$75)</f>
        <v>0</v>
      </c>
      <c r="S719" s="111"/>
    </row>
    <row r="720" spans="1:19" ht="12" customHeight="1" x14ac:dyDescent="0.2">
      <c r="A720" s="8"/>
      <c r="B720" s="8" t="s">
        <v>434</v>
      </c>
      <c r="C720" s="8" t="s">
        <v>171</v>
      </c>
      <c r="D720" s="8">
        <v>6380000008</v>
      </c>
      <c r="E720" s="8" t="s">
        <v>323</v>
      </c>
      <c r="F720" s="73" t="s">
        <v>23</v>
      </c>
      <c r="G720" s="73" t="s">
        <v>136</v>
      </c>
      <c r="H720" s="112" t="s">
        <v>61</v>
      </c>
      <c r="I720" s="13" t="s">
        <v>22</v>
      </c>
      <c r="K720" s="187"/>
      <c r="L720" s="187"/>
      <c r="M720" s="188">
        <f>IF($G720="PAX",M245*'Insumos - OPEX'!I$48,M245*'Insumos - OPEX'!I$75)</f>
        <v>0</v>
      </c>
      <c r="N720" s="211">
        <f>IF($G720="PAX",N245*'Insumos - OPEX'!J$48,N245*'Insumos - OPEX'!J$75)</f>
        <v>0</v>
      </c>
      <c r="O720" s="211">
        <f>IF($G720="PAX",O245*'Insumos - OPEX'!K$48,O245*'Insumos - OPEX'!K$75)</f>
        <v>0</v>
      </c>
      <c r="P720" s="211">
        <f>IF($G720="PAX",P245*'Insumos - OPEX'!L$48,P245*'Insumos - OPEX'!L$75)</f>
        <v>0</v>
      </c>
      <c r="Q720" s="211">
        <f>IF($G720="PAX",Q245*'Insumos - OPEX'!M$48,Q245*'Insumos - OPEX'!M$75)</f>
        <v>0</v>
      </c>
      <c r="R720" s="211">
        <f>IF($G720="PAX",R245*'Insumos - OPEX'!N$48,R245*'Insumos - OPEX'!N$75)</f>
        <v>0</v>
      </c>
      <c r="S720" s="111"/>
    </row>
    <row r="721" spans="1:19" ht="12" customHeight="1" x14ac:dyDescent="0.2">
      <c r="A721" s="8"/>
      <c r="B721" s="8" t="s">
        <v>434</v>
      </c>
      <c r="C721" s="8" t="s">
        <v>171</v>
      </c>
      <c r="D721" s="8">
        <v>6380000019</v>
      </c>
      <c r="E721" s="8" t="s">
        <v>355</v>
      </c>
      <c r="F721" s="73" t="s">
        <v>23</v>
      </c>
      <c r="G721" s="73" t="s">
        <v>136</v>
      </c>
      <c r="H721" s="112" t="s">
        <v>61</v>
      </c>
      <c r="I721" s="13" t="s">
        <v>22</v>
      </c>
      <c r="K721" s="187"/>
      <c r="L721" s="187"/>
      <c r="M721" s="188">
        <f>IF($G721="PAX",M246*'Insumos - OPEX'!I$48,M246*'Insumos - OPEX'!I$75)</f>
        <v>0</v>
      </c>
      <c r="N721" s="211">
        <f>IF($G721="PAX",N246*'Insumos - OPEX'!J$48,N246*'Insumos - OPEX'!J$75)</f>
        <v>0</v>
      </c>
      <c r="O721" s="211">
        <f>IF($G721="PAX",O246*'Insumos - OPEX'!K$48,O246*'Insumos - OPEX'!K$75)</f>
        <v>0</v>
      </c>
      <c r="P721" s="211">
        <f>IF($G721="PAX",P246*'Insumos - OPEX'!L$48,P246*'Insumos - OPEX'!L$75)</f>
        <v>0</v>
      </c>
      <c r="Q721" s="211">
        <f>IF($G721="PAX",Q246*'Insumos - OPEX'!M$48,Q246*'Insumos - OPEX'!M$75)</f>
        <v>0</v>
      </c>
      <c r="R721" s="211">
        <f>IF($G721="PAX",R246*'Insumos - OPEX'!N$48,R246*'Insumos - OPEX'!N$75)</f>
        <v>0</v>
      </c>
      <c r="S721" s="111"/>
    </row>
    <row r="722" spans="1:19" ht="12" customHeight="1" x14ac:dyDescent="0.2">
      <c r="A722" s="8"/>
      <c r="B722" s="8" t="s">
        <v>434</v>
      </c>
      <c r="C722" s="8" t="s">
        <v>173</v>
      </c>
      <c r="D722" s="8">
        <v>6343000001</v>
      </c>
      <c r="E722" s="8" t="s">
        <v>389</v>
      </c>
      <c r="F722" s="73" t="s">
        <v>23</v>
      </c>
      <c r="G722" s="73" t="s">
        <v>136</v>
      </c>
      <c r="H722" s="112" t="s">
        <v>61</v>
      </c>
      <c r="I722" s="13" t="s">
        <v>22</v>
      </c>
      <c r="K722" s="187"/>
      <c r="L722" s="187"/>
      <c r="M722" s="188">
        <f>IF($G722="PAX",M247*'Insumos - OPEX'!I$48,M247*'Insumos - OPEX'!I$75)</f>
        <v>96115.184708545174</v>
      </c>
      <c r="N722" s="211">
        <f>IF($G722="PAX",N247*'Insumos - OPEX'!J$48,N247*'Insumos - OPEX'!J$75)</f>
        <v>115794.29774740708</v>
      </c>
      <c r="O722" s="211">
        <f>IF($G722="PAX",O247*'Insumos - OPEX'!K$48,O247*'Insumos - OPEX'!K$75)</f>
        <v>134038.19769040775</v>
      </c>
      <c r="P722" s="211">
        <f>IF($G722="PAX",P247*'Insumos - OPEX'!L$48,P247*'Insumos - OPEX'!L$75)</f>
        <v>145971.49004000492</v>
      </c>
      <c r="Q722" s="211">
        <f>IF($G722="PAX",Q247*'Insumos - OPEX'!M$48,Q247*'Insumos - OPEX'!M$75)</f>
        <v>156578.07381440848</v>
      </c>
      <c r="R722" s="211">
        <f>IF($G722="PAX",R247*'Insumos - OPEX'!N$48,R247*'Insumos - OPEX'!N$75)</f>
        <v>168333.49375270252</v>
      </c>
      <c r="S722" s="111"/>
    </row>
    <row r="723" spans="1:19" ht="12" customHeight="1" x14ac:dyDescent="0.2">
      <c r="A723" s="8"/>
      <c r="B723" s="8" t="s">
        <v>434</v>
      </c>
      <c r="C723" s="8" t="s">
        <v>173</v>
      </c>
      <c r="D723" s="8">
        <v>6343100016</v>
      </c>
      <c r="E723" s="8" t="s">
        <v>415</v>
      </c>
      <c r="F723" s="73" t="s">
        <v>23</v>
      </c>
      <c r="G723" s="73" t="s">
        <v>136</v>
      </c>
      <c r="H723" s="112" t="s">
        <v>61</v>
      </c>
      <c r="I723" s="13" t="s">
        <v>22</v>
      </c>
      <c r="J723" s="11"/>
      <c r="K723" s="187"/>
      <c r="L723" s="187"/>
      <c r="M723" s="188">
        <f>IF($G723="PAX",M248*'Insumos - OPEX'!I$48,M248*'Insumos - OPEX'!I$75)</f>
        <v>20268.123493246338</v>
      </c>
      <c r="N723" s="211">
        <f>IF($G723="PAX",N248*'Insumos - OPEX'!J$48,N248*'Insumos - OPEX'!J$75)</f>
        <v>24417.922450806334</v>
      </c>
      <c r="O723" s="211">
        <f>IF($G723="PAX",O248*'Insumos - OPEX'!K$48,O248*'Insumos - OPEX'!K$75)</f>
        <v>28265.073326752088</v>
      </c>
      <c r="P723" s="211">
        <f>IF($G723="PAX",P248*'Insumos - OPEX'!L$48,P248*'Insumos - OPEX'!L$75)</f>
        <v>30781.485730848981</v>
      </c>
      <c r="Q723" s="211">
        <f>IF($G723="PAX",Q248*'Insumos - OPEX'!M$48,Q248*'Insumos - OPEX'!M$75)</f>
        <v>33018.130756637103</v>
      </c>
      <c r="R723" s="211">
        <f>IF($G723="PAX",R248*'Insumos - OPEX'!N$48,R248*'Insumos - OPEX'!N$75)</f>
        <v>35497.034623354964</v>
      </c>
      <c r="S723" s="111"/>
    </row>
    <row r="724" spans="1:19" x14ac:dyDescent="0.2">
      <c r="A724" s="8"/>
      <c r="B724" s="8" t="s">
        <v>434</v>
      </c>
      <c r="C724" s="8" t="s">
        <v>173</v>
      </c>
      <c r="D724" s="8">
        <v>6343100013</v>
      </c>
      <c r="E724" s="8" t="s">
        <v>404</v>
      </c>
      <c r="F724" s="73" t="s">
        <v>23</v>
      </c>
      <c r="G724" s="73" t="s">
        <v>136</v>
      </c>
      <c r="H724" s="112" t="s">
        <v>61</v>
      </c>
      <c r="I724" s="13" t="s">
        <v>22</v>
      </c>
      <c r="K724" s="187"/>
      <c r="L724" s="187"/>
      <c r="M724" s="188">
        <f>IF($G724="PAX",M249*'Insumos - OPEX'!I$48,M249*'Insumos - OPEX'!I$75)</f>
        <v>9085.9663921544852</v>
      </c>
      <c r="N724" s="211">
        <f>IF($G724="PAX",N249*'Insumos - OPEX'!J$48,N249*'Insumos - OPEX'!J$75)</f>
        <v>10946.273483491863</v>
      </c>
      <c r="O724" s="211">
        <f>IF($G724="PAX",O249*'Insumos - OPEX'!K$48,O249*'Insumos - OPEX'!K$75)</f>
        <v>12670.906924571813</v>
      </c>
      <c r="P724" s="211">
        <f>IF($G724="PAX",P249*'Insumos - OPEX'!L$48,P249*'Insumos - OPEX'!L$75)</f>
        <v>13798.985631021562</v>
      </c>
      <c r="Q724" s="211">
        <f>IF($G724="PAX",Q249*'Insumos - OPEX'!M$48,Q249*'Insumos - OPEX'!M$75)</f>
        <v>14801.647843054263</v>
      </c>
      <c r="R724" s="211">
        <f>IF($G724="PAX",R249*'Insumos - OPEX'!N$48,R249*'Insumos - OPEX'!N$75)</f>
        <v>15912.911904075274</v>
      </c>
      <c r="S724" s="111"/>
    </row>
    <row r="725" spans="1:19" x14ac:dyDescent="0.2">
      <c r="A725" s="8"/>
      <c r="B725" s="8" t="s">
        <v>434</v>
      </c>
      <c r="C725" s="8" t="s">
        <v>173</v>
      </c>
      <c r="D725" s="8">
        <v>6341100008</v>
      </c>
      <c r="E725" s="8" t="s">
        <v>416</v>
      </c>
      <c r="F725" s="73" t="s">
        <v>23</v>
      </c>
      <c r="G725" s="73" t="s">
        <v>136</v>
      </c>
      <c r="H725" s="112" t="s">
        <v>61</v>
      </c>
      <c r="I725" s="13" t="s">
        <v>22</v>
      </c>
      <c r="K725" s="187"/>
      <c r="L725" s="187"/>
      <c r="M725" s="188">
        <f>IF($G725="PAX",M250*'Insumos - OPEX'!I$48,M250*'Insumos - OPEX'!I$75)</f>
        <v>6456.7893309276451</v>
      </c>
      <c r="N725" s="211">
        <f>IF($G725="PAX",N250*'Insumos - OPEX'!J$48,N250*'Insumos - OPEX'!J$75)</f>
        <v>7778.7853037465575</v>
      </c>
      <c r="O725" s="211">
        <f>IF($G725="PAX",O250*'Insumos - OPEX'!K$48,O250*'Insumos - OPEX'!K$75)</f>
        <v>9004.3670769458713</v>
      </c>
      <c r="P725" s="211">
        <f>IF($G725="PAX",P250*'Insumos - OPEX'!L$48,P250*'Insumos - OPEX'!L$75)</f>
        <v>9806.0172528193743</v>
      </c>
      <c r="Q725" s="211">
        <f>IF($G725="PAX",Q250*'Insumos - OPEX'!M$48,Q250*'Insumos - OPEX'!M$75)</f>
        <v>10518.542304504268</v>
      </c>
      <c r="R725" s="211">
        <f>IF($G725="PAX",R250*'Insumos - OPEX'!N$48,R250*'Insumos - OPEX'!N$75)</f>
        <v>11308.24343516654</v>
      </c>
      <c r="S725" s="111"/>
    </row>
    <row r="726" spans="1:19" x14ac:dyDescent="0.2">
      <c r="A726" s="8"/>
      <c r="B726" s="8" t="s">
        <v>434</v>
      </c>
      <c r="C726" s="8" t="s">
        <v>173</v>
      </c>
      <c r="D726" s="8">
        <v>6341100010</v>
      </c>
      <c r="E726" s="8" t="s">
        <v>393</v>
      </c>
      <c r="F726" s="73" t="s">
        <v>23</v>
      </c>
      <c r="G726" s="73" t="s">
        <v>136</v>
      </c>
      <c r="H726" s="112" t="s">
        <v>61</v>
      </c>
      <c r="I726" s="13" t="s">
        <v>22</v>
      </c>
      <c r="K726" s="187"/>
      <c r="L726" s="187"/>
      <c r="M726" s="188">
        <f>IF($G726="PAX",M251*'Insumos - OPEX'!I$48,M251*'Insumos - OPEX'!I$75)</f>
        <v>6089.5093321868126</v>
      </c>
      <c r="N726" s="211">
        <f>IF($G726="PAX",N251*'Insumos - OPEX'!J$48,N251*'Insumos - OPEX'!J$75)</f>
        <v>7336.3065251870021</v>
      </c>
      <c r="O726" s="211">
        <f>IF($G726="PAX",O251*'Insumos - OPEX'!K$48,O251*'Insumos - OPEX'!K$75)</f>
        <v>8492.1738243579712</v>
      </c>
      <c r="P726" s="211">
        <f>IF($G726="PAX",P251*'Insumos - OPEX'!L$48,P251*'Insumos - OPEX'!L$75)</f>
        <v>9248.2239255666409</v>
      </c>
      <c r="Q726" s="211">
        <f>IF($G726="PAX",Q251*'Insumos - OPEX'!M$48,Q251*'Insumos - OPEX'!M$75)</f>
        <v>9920.2185856477481</v>
      </c>
      <c r="R726" s="211">
        <f>IF($G726="PAX",R251*'Insumos - OPEX'!N$48,R251*'Insumos - OPEX'!N$75)</f>
        <v>10664.999336317753</v>
      </c>
      <c r="S726" s="111"/>
    </row>
    <row r="727" spans="1:19" x14ac:dyDescent="0.2">
      <c r="A727" s="8"/>
      <c r="B727" s="8" t="s">
        <v>434</v>
      </c>
      <c r="C727" s="8" t="s">
        <v>173</v>
      </c>
      <c r="D727" s="8">
        <v>6343100010</v>
      </c>
      <c r="E727" s="8" t="s">
        <v>420</v>
      </c>
      <c r="F727" s="73" t="s">
        <v>23</v>
      </c>
      <c r="G727" s="73" t="s">
        <v>136</v>
      </c>
      <c r="H727" s="112" t="s">
        <v>61</v>
      </c>
      <c r="I727" s="13" t="s">
        <v>22</v>
      </c>
      <c r="K727" s="187"/>
      <c r="L727" s="187"/>
      <c r="M727" s="188">
        <f>IF($G727="PAX",M252*'Insumos - OPEX'!I$48,M252*'Insumos - OPEX'!I$75)</f>
        <v>4771.1717161105507</v>
      </c>
      <c r="N727" s="211">
        <f>IF($G727="PAX",N252*'Insumos - OPEX'!J$48,N252*'Insumos - OPEX'!J$75)</f>
        <v>5748.0457429760754</v>
      </c>
      <c r="O727" s="211">
        <f>IF($G727="PAX",O252*'Insumos - OPEX'!K$48,O252*'Insumos - OPEX'!K$75)</f>
        <v>6653.6755835007116</v>
      </c>
      <c r="P727" s="211">
        <f>IF($G727="PAX",P252*'Insumos - OPEX'!L$48,P252*'Insumos - OPEX'!L$75)</f>
        <v>7246.0459473628389</v>
      </c>
      <c r="Q727" s="211">
        <f>IF($G727="PAX",Q252*'Insumos - OPEX'!M$48,Q252*'Insumos - OPEX'!M$75)</f>
        <v>7772.5583050349996</v>
      </c>
      <c r="R727" s="211">
        <f>IF($G727="PAX",R252*'Insumos - OPEX'!N$48,R252*'Insumos - OPEX'!N$75)</f>
        <v>8356.0990565891516</v>
      </c>
      <c r="S727" s="111"/>
    </row>
    <row r="728" spans="1:19" x14ac:dyDescent="0.2">
      <c r="A728" s="8"/>
      <c r="B728" s="8" t="s">
        <v>434</v>
      </c>
      <c r="C728" s="8" t="s">
        <v>173</v>
      </c>
      <c r="D728" s="8">
        <v>6341100002</v>
      </c>
      <c r="E728" s="8" t="s">
        <v>398</v>
      </c>
      <c r="F728" s="73" t="s">
        <v>23</v>
      </c>
      <c r="G728" s="73" t="s">
        <v>136</v>
      </c>
      <c r="H728" s="112" t="s">
        <v>61</v>
      </c>
      <c r="I728" s="13" t="s">
        <v>22</v>
      </c>
      <c r="K728" s="187"/>
      <c r="L728" s="187"/>
      <c r="M728" s="188">
        <f>IF($G728="PAX",M253*'Insumos - OPEX'!I$48,M253*'Insumos - OPEX'!I$75)</f>
        <v>4311.0638150677032</v>
      </c>
      <c r="N728" s="211">
        <f>IF($G728="PAX",N253*'Insumos - OPEX'!J$48,N253*'Insumos - OPEX'!J$75)</f>
        <v>5193.733004038445</v>
      </c>
      <c r="O728" s="211">
        <f>IF($G728="PAX",O253*'Insumos - OPEX'!K$48,O253*'Insumos - OPEX'!K$75)</f>
        <v>6012.0284391300174</v>
      </c>
      <c r="P728" s="211">
        <f>IF($G728="PAX",P253*'Insumos - OPEX'!L$48,P253*'Insumos - OPEX'!L$75)</f>
        <v>6547.2735723415126</v>
      </c>
      <c r="Q728" s="211">
        <f>IF($G728="PAX",Q253*'Insumos - OPEX'!M$48,Q253*'Insumos - OPEX'!M$75)</f>
        <v>7023.011715590902</v>
      </c>
      <c r="R728" s="211">
        <f>IF($G728="PAX",R253*'Insumos - OPEX'!N$48,R253*'Insumos - OPEX'!N$75)</f>
        <v>7550.2787200770235</v>
      </c>
      <c r="S728" s="111"/>
    </row>
    <row r="729" spans="1:19" x14ac:dyDescent="0.2">
      <c r="A729" s="8"/>
      <c r="B729" s="8" t="s">
        <v>434</v>
      </c>
      <c r="C729" s="8" t="s">
        <v>173</v>
      </c>
      <c r="D729" s="8">
        <v>6343000002</v>
      </c>
      <c r="E729" s="8" t="s">
        <v>391</v>
      </c>
      <c r="F729" s="73" t="s">
        <v>23</v>
      </c>
      <c r="G729" s="73" t="s">
        <v>136</v>
      </c>
      <c r="H729" s="112" t="s">
        <v>61</v>
      </c>
      <c r="I729" s="13" t="s">
        <v>22</v>
      </c>
      <c r="K729" s="187"/>
      <c r="L729" s="187"/>
      <c r="M729" s="188">
        <f>IF($G729="PAX",M254*'Insumos - OPEX'!I$48,M254*'Insumos - OPEX'!I$75)</f>
        <v>3481.8860027598039</v>
      </c>
      <c r="N729" s="211">
        <f>IF($G729="PAX",N254*'Insumos - OPEX'!J$48,N254*'Insumos - OPEX'!J$75)</f>
        <v>4194.7850981995007</v>
      </c>
      <c r="O729" s="211">
        <f>IF($G729="PAX",O254*'Insumos - OPEX'!K$48,O254*'Insumos - OPEX'!K$75)</f>
        <v>4855.6919053799566</v>
      </c>
      <c r="P729" s="211">
        <f>IF($G729="PAX",P254*'Insumos - OPEX'!L$48,P254*'Insumos - OPEX'!L$75)</f>
        <v>5287.9895046084066</v>
      </c>
      <c r="Q729" s="211">
        <f>IF($G729="PAX",Q254*'Insumos - OPEX'!M$48,Q254*'Insumos - OPEX'!M$75)</f>
        <v>5672.2255198975872</v>
      </c>
      <c r="R729" s="211">
        <f>IF($G729="PAX",R254*'Insumos - OPEX'!N$48,R254*'Insumos - OPEX'!N$75)</f>
        <v>6098.0794810986899</v>
      </c>
      <c r="S729" s="111"/>
    </row>
    <row r="730" spans="1:19" x14ac:dyDescent="0.2">
      <c r="A730" s="8"/>
      <c r="B730" s="8" t="s">
        <v>434</v>
      </c>
      <c r="C730" s="8" t="s">
        <v>173</v>
      </c>
      <c r="D730" s="8">
        <v>6343100014</v>
      </c>
      <c r="E730" s="8" t="s">
        <v>413</v>
      </c>
      <c r="F730" s="73" t="s">
        <v>23</v>
      </c>
      <c r="G730" s="73" t="s">
        <v>136</v>
      </c>
      <c r="H730" s="112" t="s">
        <v>61</v>
      </c>
      <c r="I730" s="13" t="s">
        <v>22</v>
      </c>
      <c r="J730" s="52"/>
      <c r="K730" s="187"/>
      <c r="L730" s="187"/>
      <c r="M730" s="188">
        <f>IF($G730="PAX",M255*'Insumos - OPEX'!I$48,M255*'Insumos - OPEX'!I$75)</f>
        <v>3088.7743549321854</v>
      </c>
      <c r="N730" s="211">
        <f>IF($G730="PAX",N255*'Insumos - OPEX'!J$48,N255*'Insumos - OPEX'!J$75)</f>
        <v>3721.1857669954047</v>
      </c>
      <c r="O730" s="211">
        <f>IF($G730="PAX",O255*'Insumos - OPEX'!K$48,O255*'Insumos - OPEX'!K$75)</f>
        <v>4307.4749204602404</v>
      </c>
      <c r="P730" s="211">
        <f>IF($G730="PAX",P255*'Insumos - OPEX'!L$48,P255*'Insumos - OPEX'!L$75)</f>
        <v>4690.9652866403012</v>
      </c>
      <c r="Q730" s="211">
        <f>IF($G730="PAX",Q255*'Insumos - OPEX'!M$48,Q255*'Insumos - OPEX'!M$75)</f>
        <v>5031.8203144401368</v>
      </c>
      <c r="R730" s="211">
        <f>IF($G730="PAX",R255*'Insumos - OPEX'!N$48,R255*'Insumos - OPEX'!N$75)</f>
        <v>5409.5945417587991</v>
      </c>
      <c r="S730" s="111"/>
    </row>
    <row r="731" spans="1:19" x14ac:dyDescent="0.2">
      <c r="A731" s="8"/>
      <c r="B731" s="8" t="s">
        <v>434</v>
      </c>
      <c r="C731" s="8" t="s">
        <v>173</v>
      </c>
      <c r="D731" s="8">
        <v>6343100012</v>
      </c>
      <c r="E731" s="8" t="s">
        <v>423</v>
      </c>
      <c r="F731" s="73" t="s">
        <v>23</v>
      </c>
      <c r="G731" s="73" t="s">
        <v>136</v>
      </c>
      <c r="H731" s="112" t="s">
        <v>61</v>
      </c>
      <c r="I731" s="13" t="s">
        <v>22</v>
      </c>
      <c r="K731" s="187"/>
      <c r="L731" s="187"/>
      <c r="M731" s="188">
        <f>IF($G731="PAX",M256*'Insumos - OPEX'!I$48,M256*'Insumos - OPEX'!I$75)</f>
        <v>2877.5851313085709</v>
      </c>
      <c r="N731" s="211">
        <f>IF($G731="PAX",N256*'Insumos - OPEX'!J$48,N256*'Insumos - OPEX'!J$75)</f>
        <v>3466.756584806647</v>
      </c>
      <c r="O731" s="211">
        <f>IF($G731="PAX",O256*'Insumos - OPEX'!K$48,O256*'Insumos - OPEX'!K$75)</f>
        <v>4012.9593036824772</v>
      </c>
      <c r="P731" s="211">
        <f>IF($G731="PAX",P256*'Insumos - OPEX'!L$48,P256*'Insumos - OPEX'!L$75)</f>
        <v>4370.2292266076338</v>
      </c>
      <c r="Q731" s="211">
        <f>IF($G731="PAX",Q256*'Insumos - OPEX'!M$48,Q256*'Insumos - OPEX'!M$75)</f>
        <v>4687.7789234193688</v>
      </c>
      <c r="R731" s="211">
        <f>IF($G731="PAX",R256*'Insumos - OPEX'!N$48,R256*'Insumos - OPEX'!N$75)</f>
        <v>5039.7235378868872</v>
      </c>
      <c r="S731" s="111"/>
    </row>
    <row r="732" spans="1:19" x14ac:dyDescent="0.2">
      <c r="A732" s="8"/>
      <c r="B732" s="8" t="s">
        <v>434</v>
      </c>
      <c r="C732" s="8" t="s">
        <v>173</v>
      </c>
      <c r="D732" s="8">
        <v>6343100006</v>
      </c>
      <c r="E732" s="8" t="s">
        <v>425</v>
      </c>
      <c r="F732" s="73" t="s">
        <v>23</v>
      </c>
      <c r="G732" s="73" t="s">
        <v>136</v>
      </c>
      <c r="H732" s="112" t="s">
        <v>61</v>
      </c>
      <c r="I732" s="13" t="s">
        <v>22</v>
      </c>
      <c r="J732" s="40"/>
      <c r="K732" s="187"/>
      <c r="L732" s="187"/>
      <c r="M732" s="188">
        <f>IF($G732="PAX",M257*'Insumos - OPEX'!I$48,M257*'Insumos - OPEX'!I$75)</f>
        <v>2229.2838985551693</v>
      </c>
      <c r="N732" s="211">
        <f>IF($G732="PAX",N257*'Insumos - OPEX'!J$48,N257*'Insumos - OPEX'!J$75)</f>
        <v>2685.7188517669028</v>
      </c>
      <c r="O732" s="211">
        <f>IF($G732="PAX",O257*'Insumos - OPEX'!K$48,O257*'Insumos - OPEX'!K$75)</f>
        <v>3108.8656470741284</v>
      </c>
      <c r="P732" s="211">
        <f>IF($G732="PAX",P257*'Insumos - OPEX'!L$48,P257*'Insumos - OPEX'!L$75)</f>
        <v>3385.6449777530142</v>
      </c>
      <c r="Q732" s="211">
        <f>IF($G732="PAX",Q257*'Insumos - OPEX'!M$48,Q257*'Insumos - OPEX'!M$75)</f>
        <v>3631.6527911766116</v>
      </c>
      <c r="R732" s="211">
        <f>IF($G732="PAX",R257*'Insumos - OPEX'!N$48,R257*'Insumos - OPEX'!N$75)</f>
        <v>3904.3065707917635</v>
      </c>
      <c r="S732" s="111"/>
    </row>
    <row r="733" spans="1:19" x14ac:dyDescent="0.2">
      <c r="A733" s="8"/>
      <c r="B733" s="8" t="s">
        <v>434</v>
      </c>
      <c r="C733" s="8" t="s">
        <v>173</v>
      </c>
      <c r="D733" s="8">
        <v>6341100003</v>
      </c>
      <c r="E733" s="8" t="s">
        <v>392</v>
      </c>
      <c r="F733" s="73" t="s">
        <v>23</v>
      </c>
      <c r="G733" s="73" t="s">
        <v>136</v>
      </c>
      <c r="H733" s="112" t="s">
        <v>61</v>
      </c>
      <c r="I733" s="13" t="s">
        <v>22</v>
      </c>
      <c r="K733" s="187"/>
      <c r="L733" s="187"/>
      <c r="M733" s="188">
        <f>IF($G733="PAX",M258*'Insumos - OPEX'!I$48,M258*'Insumos - OPEX'!I$75)</f>
        <v>4147.829990695478</v>
      </c>
      <c r="N733" s="211">
        <f>IF($G733="PAX",N258*'Insumos - OPEX'!J$48,N258*'Insumos - OPEX'!J$75)</f>
        <v>4997.0778540835081</v>
      </c>
      <c r="O733" s="211">
        <f>IF($G733="PAX",O258*'Insumos - OPEX'!K$48,O258*'Insumos - OPEX'!K$75)</f>
        <v>5784.3894069904854</v>
      </c>
      <c r="P733" s="211">
        <f>IF($G733="PAX",P258*'Insumos - OPEX'!L$48,P258*'Insumos - OPEX'!L$75)</f>
        <v>6299.368055218536</v>
      </c>
      <c r="Q733" s="211">
        <f>IF($G733="PAX",Q258*'Insumos - OPEX'!M$48,Q258*'Insumos - OPEX'!M$75)</f>
        <v>6757.0928820677091</v>
      </c>
      <c r="R733" s="211">
        <f>IF($G733="PAX",R258*'Insumos - OPEX'!N$48,R258*'Insumos - OPEX'!N$75)</f>
        <v>7264.3954848888088</v>
      </c>
      <c r="S733" s="111"/>
    </row>
    <row r="734" spans="1:19" x14ac:dyDescent="0.2">
      <c r="A734" s="8"/>
      <c r="B734" s="8" t="s">
        <v>434</v>
      </c>
      <c r="C734" s="8" t="s">
        <v>173</v>
      </c>
      <c r="D734" s="8">
        <v>6341100001</v>
      </c>
      <c r="E734" s="8" t="s">
        <v>399</v>
      </c>
      <c r="F734" s="73" t="s">
        <v>23</v>
      </c>
      <c r="G734" s="73" t="s">
        <v>136</v>
      </c>
      <c r="H734" s="112" t="s">
        <v>61</v>
      </c>
      <c r="I734" s="13" t="s">
        <v>22</v>
      </c>
      <c r="K734" s="187"/>
      <c r="L734" s="187"/>
      <c r="M734" s="188">
        <f>IF($G734="PAX",M259*'Insumos - OPEX'!I$48,M259*'Insumos - OPEX'!I$75)</f>
        <v>1888.8219370286411</v>
      </c>
      <c r="N734" s="211">
        <f>IF($G734="PAX",N259*'Insumos - OPEX'!J$48,N259*'Insumos - OPEX'!J$75)</f>
        <v>2275.5489721145354</v>
      </c>
      <c r="O734" s="211">
        <f>IF($G734="PAX",O259*'Insumos - OPEX'!K$48,O259*'Insumos - OPEX'!K$75)</f>
        <v>2634.0717022511772</v>
      </c>
      <c r="P734" s="211">
        <f>IF($G734="PAX",P259*'Insumos - OPEX'!L$48,P259*'Insumos - OPEX'!L$75)</f>
        <v>2868.5805828119746</v>
      </c>
      <c r="Q734" s="211">
        <f>IF($G734="PAX",Q259*'Insumos - OPEX'!M$48,Q259*'Insumos - OPEX'!M$75)</f>
        <v>3077.0174512503531</v>
      </c>
      <c r="R734" s="211">
        <f>IF($G734="PAX",R259*'Insumos - OPEX'!N$48,R259*'Insumos - OPEX'!N$75)</f>
        <v>3308.0308454998008</v>
      </c>
      <c r="S734" s="111"/>
    </row>
    <row r="735" spans="1:19" x14ac:dyDescent="0.2">
      <c r="A735" s="8"/>
      <c r="B735" s="8" t="s">
        <v>434</v>
      </c>
      <c r="C735" s="8" t="s">
        <v>173</v>
      </c>
      <c r="D735" s="8">
        <v>6341100005</v>
      </c>
      <c r="E735" s="8" t="s">
        <v>411</v>
      </c>
      <c r="F735" s="73" t="s">
        <v>23</v>
      </c>
      <c r="G735" s="73" t="s">
        <v>136</v>
      </c>
      <c r="H735" s="112" t="s">
        <v>61</v>
      </c>
      <c r="I735" s="13" t="s">
        <v>22</v>
      </c>
      <c r="K735" s="187"/>
      <c r="L735" s="187"/>
      <c r="M735" s="188">
        <f>IF($G735="PAX",M260*'Insumos - OPEX'!I$48,M260*'Insumos - OPEX'!I$75)</f>
        <v>1875.6697104270386</v>
      </c>
      <c r="N735" s="211">
        <f>IF($G735="PAX",N260*'Insumos - OPEX'!J$48,N260*'Insumos - OPEX'!J$75)</f>
        <v>2259.7038915711701</v>
      </c>
      <c r="O735" s="211">
        <f>IF($G735="PAX",O260*'Insumos - OPEX'!K$48,O260*'Insumos - OPEX'!K$75)</f>
        <v>2615.7301597088581</v>
      </c>
      <c r="P735" s="211">
        <f>IF($G735="PAX",P260*'Insumos - OPEX'!L$48,P260*'Insumos - OPEX'!L$75)</f>
        <v>2848.6061103058728</v>
      </c>
      <c r="Q735" s="211">
        <f>IF($G735="PAX",Q260*'Insumos - OPEX'!M$48,Q260*'Insumos - OPEX'!M$75)</f>
        <v>3055.5915931625368</v>
      </c>
      <c r="R735" s="211">
        <f>IF($G735="PAX",R260*'Insumos - OPEX'!N$48,R260*'Insumos - OPEX'!N$75)</f>
        <v>3284.9963971846</v>
      </c>
      <c r="S735" s="111"/>
    </row>
    <row r="736" spans="1:19" x14ac:dyDescent="0.2">
      <c r="A736" s="8"/>
      <c r="B736" s="8" t="s">
        <v>434</v>
      </c>
      <c r="C736" s="8" t="s">
        <v>173</v>
      </c>
      <c r="D736" s="8">
        <v>6343100005</v>
      </c>
      <c r="E736" s="8" t="s">
        <v>424</v>
      </c>
      <c r="F736" s="73" t="s">
        <v>23</v>
      </c>
      <c r="G736" s="73" t="s">
        <v>136</v>
      </c>
      <c r="H736" s="112" t="s">
        <v>61</v>
      </c>
      <c r="I736" s="13" t="s">
        <v>22</v>
      </c>
      <c r="K736" s="187"/>
      <c r="L736" s="187"/>
      <c r="M736" s="188">
        <f>IF($G736="PAX",M261*'Insumos - OPEX'!I$48,M261*'Insumos - OPEX'!I$75)</f>
        <v>1542.8268941587414</v>
      </c>
      <c r="N736" s="211">
        <f>IF($G736="PAX",N261*'Insumos - OPEX'!J$48,N261*'Insumos - OPEX'!J$75)</f>
        <v>1858.7131398296274</v>
      </c>
      <c r="O736" s="211">
        <f>IF($G736="PAX",O261*'Insumos - OPEX'!K$48,O261*'Insumos - OPEX'!K$75)</f>
        <v>2151.5615546951312</v>
      </c>
      <c r="P736" s="211">
        <f>IF($G736="PAX",P261*'Insumos - OPEX'!L$48,P261*'Insumos - OPEX'!L$75)</f>
        <v>2343.1130189996097</v>
      </c>
      <c r="Q736" s="211">
        <f>IF($G736="PAX",Q261*'Insumos - OPEX'!M$48,Q261*'Insumos - OPEX'!M$75)</f>
        <v>2513.3683512025218</v>
      </c>
      <c r="R736" s="211">
        <f>IF($G736="PAX",R261*'Insumos - OPEX'!N$48,R261*'Insumos - OPEX'!N$75)</f>
        <v>2702.0646335633828</v>
      </c>
      <c r="S736" s="111"/>
    </row>
    <row r="737" spans="1:19" x14ac:dyDescent="0.2">
      <c r="A737" s="8"/>
      <c r="B737" s="8" t="s">
        <v>434</v>
      </c>
      <c r="C737" s="8" t="s">
        <v>173</v>
      </c>
      <c r="D737" s="8">
        <v>6343100003</v>
      </c>
      <c r="E737" s="8" t="s">
        <v>406</v>
      </c>
      <c r="F737" s="73" t="s">
        <v>23</v>
      </c>
      <c r="G737" s="73" t="s">
        <v>136</v>
      </c>
      <c r="H737" s="112" t="s">
        <v>61</v>
      </c>
      <c r="I737" s="13" t="s">
        <v>22</v>
      </c>
      <c r="K737" s="187"/>
      <c r="L737" s="187"/>
      <c r="M737" s="188">
        <f>IF($G737="PAX",M262*'Insumos - OPEX'!I$48,M262*'Insumos - OPEX'!I$75)</f>
        <v>1222.4431323505578</v>
      </c>
      <c r="N737" s="211">
        <f>IF($G737="PAX",N262*'Insumos - OPEX'!J$48,N262*'Insumos - OPEX'!J$75)</f>
        <v>1472.7323728910098</v>
      </c>
      <c r="O737" s="211">
        <f>IF($G737="PAX",O262*'Insumos - OPEX'!K$48,O262*'Insumos - OPEX'!K$75)</f>
        <v>1704.7678234833359</v>
      </c>
      <c r="P737" s="211">
        <f>IF($G737="PAX",P262*'Insumos - OPEX'!L$48,P262*'Insumos - OPEX'!L$75)</f>
        <v>1856.5416698670444</v>
      </c>
      <c r="Q737" s="211">
        <f>IF($G737="PAX",Q262*'Insumos - OPEX'!M$48,Q262*'Insumos - OPEX'!M$75)</f>
        <v>1991.4417434822362</v>
      </c>
      <c r="R737" s="211">
        <f>IF($G737="PAX",R262*'Insumos - OPEX'!N$48,R262*'Insumos - OPEX'!N$75)</f>
        <v>2140.9533156135308</v>
      </c>
      <c r="S737" s="111"/>
    </row>
    <row r="738" spans="1:19" x14ac:dyDescent="0.2">
      <c r="A738" s="8"/>
      <c r="B738" s="8" t="s">
        <v>434</v>
      </c>
      <c r="C738" s="8" t="s">
        <v>173</v>
      </c>
      <c r="D738" s="8">
        <v>6341100007</v>
      </c>
      <c r="E738" s="8" t="s">
        <v>414</v>
      </c>
      <c r="F738" s="73" t="s">
        <v>23</v>
      </c>
      <c r="G738" s="73" t="s">
        <v>136</v>
      </c>
      <c r="H738" s="112" t="s">
        <v>61</v>
      </c>
      <c r="I738" s="13" t="s">
        <v>22</v>
      </c>
      <c r="K738" s="187"/>
      <c r="L738" s="187"/>
      <c r="M738" s="188">
        <f>IF($G738="PAX",M263*'Insumos - OPEX'!I$48,M263*'Insumos - OPEX'!I$75)</f>
        <v>1210.9153005782957</v>
      </c>
      <c r="N738" s="211">
        <f>IF($G738="PAX",N263*'Insumos - OPEX'!J$48,N263*'Insumos - OPEX'!J$75)</f>
        <v>1458.8442740576456</v>
      </c>
      <c r="O738" s="211">
        <f>IF($G738="PAX",O263*'Insumos - OPEX'!K$48,O263*'Insumos - OPEX'!K$75)</f>
        <v>1688.6915937105091</v>
      </c>
      <c r="P738" s="211">
        <f>IF($G738="PAX",P263*'Insumos - OPEX'!L$48,P263*'Insumos - OPEX'!L$75)</f>
        <v>1839.0341887564346</v>
      </c>
      <c r="Q738" s="211">
        <f>IF($G738="PAX",Q263*'Insumos - OPEX'!M$48,Q263*'Insumos - OPEX'!M$75)</f>
        <v>1972.6621333755631</v>
      </c>
      <c r="R738" s="211">
        <f>IF($G738="PAX",R263*'Insumos - OPEX'!N$48,R263*'Insumos - OPEX'!N$75)</f>
        <v>2120.7637877725074</v>
      </c>
      <c r="S738" s="111"/>
    </row>
    <row r="739" spans="1:19" x14ac:dyDescent="0.2">
      <c r="A739" s="8"/>
      <c r="B739" s="8" t="s">
        <v>434</v>
      </c>
      <c r="C739" s="8" t="s">
        <v>173</v>
      </c>
      <c r="D739" s="8">
        <v>6341100004</v>
      </c>
      <c r="E739" s="8" t="s">
        <v>400</v>
      </c>
      <c r="F739" s="73" t="s">
        <v>23</v>
      </c>
      <c r="G739" s="73" t="s">
        <v>136</v>
      </c>
      <c r="H739" s="112" t="s">
        <v>61</v>
      </c>
      <c r="I739" s="13" t="s">
        <v>22</v>
      </c>
      <c r="K739" s="187"/>
      <c r="L739" s="187"/>
      <c r="M739" s="188">
        <f>IF($G739="PAX",M264*'Insumos - OPEX'!I$48,M264*'Insumos - OPEX'!I$75)</f>
        <v>1204.5575116558905</v>
      </c>
      <c r="N739" s="211">
        <f>IF($G739="PAX",N264*'Insumos - OPEX'!J$48,N264*'Insumos - OPEX'!J$75)</f>
        <v>1451.1847590108969</v>
      </c>
      <c r="O739" s="211">
        <f>IF($G739="PAX",O264*'Insumos - OPEX'!K$48,O264*'Insumos - OPEX'!K$75)</f>
        <v>1679.8252884431433</v>
      </c>
      <c r="P739" s="211">
        <f>IF($G739="PAX",P264*'Insumos - OPEX'!L$48,P264*'Insumos - OPEX'!L$75)</f>
        <v>1829.3785248238571</v>
      </c>
      <c r="Q739" s="211">
        <f>IF($G739="PAX",Q264*'Insumos - OPEX'!M$48,Q264*'Insumos - OPEX'!M$75)</f>
        <v>1962.3048693677224</v>
      </c>
      <c r="R739" s="211">
        <f>IF($G739="PAX",R264*'Insumos - OPEX'!N$48,R264*'Insumos - OPEX'!N$75)</f>
        <v>2109.6289309328104</v>
      </c>
      <c r="S739" s="111"/>
    </row>
    <row r="740" spans="1:19" x14ac:dyDescent="0.2">
      <c r="A740" s="8"/>
      <c r="B740" s="8" t="s">
        <v>434</v>
      </c>
      <c r="C740" s="8" t="s">
        <v>173</v>
      </c>
      <c r="D740" s="8">
        <v>6342000002</v>
      </c>
      <c r="E740" s="8" t="s">
        <v>412</v>
      </c>
      <c r="F740" s="73" t="s">
        <v>23</v>
      </c>
      <c r="G740" s="73" t="s">
        <v>136</v>
      </c>
      <c r="H740" s="112" t="s">
        <v>61</v>
      </c>
      <c r="I740" s="13" t="s">
        <v>22</v>
      </c>
      <c r="K740" s="187"/>
      <c r="L740" s="187"/>
      <c r="M740" s="188">
        <f>IF($G740="PAX",M265*'Insumos - OPEX'!I$48,M265*'Insumos - OPEX'!I$75)</f>
        <v>1146.397627707498</v>
      </c>
      <c r="N740" s="211">
        <f>IF($G740="PAX",N265*'Insumos - OPEX'!J$48,N265*'Insumos - OPEX'!J$75)</f>
        <v>1381.1169238473228</v>
      </c>
      <c r="O740" s="211">
        <f>IF($G740="PAX",O265*'Insumos - OPEX'!K$48,O265*'Insumos - OPEX'!K$75)</f>
        <v>1598.7179582542146</v>
      </c>
      <c r="P740" s="211">
        <f>IF($G740="PAX",P265*'Insumos - OPEX'!L$48,P265*'Insumos - OPEX'!L$75)</f>
        <v>1741.0502867182518</v>
      </c>
      <c r="Q740" s="211">
        <f>IF($G740="PAX",Q265*'Insumos - OPEX'!M$48,Q265*'Insumos - OPEX'!M$75)</f>
        <v>1867.5585227886345</v>
      </c>
      <c r="R740" s="211">
        <f>IF($G740="PAX",R265*'Insumos - OPEX'!N$48,R265*'Insumos - OPEX'!N$75)</f>
        <v>2007.7693081169971</v>
      </c>
      <c r="S740" s="111"/>
    </row>
    <row r="741" spans="1:19" x14ac:dyDescent="0.2">
      <c r="A741" s="8"/>
      <c r="B741" s="8" t="s">
        <v>434</v>
      </c>
      <c r="C741" s="8" t="s">
        <v>173</v>
      </c>
      <c r="D741" s="8">
        <v>6344000003</v>
      </c>
      <c r="E741" s="8" t="s">
        <v>419</v>
      </c>
      <c r="F741" s="73" t="s">
        <v>23</v>
      </c>
      <c r="G741" s="73" t="s">
        <v>136</v>
      </c>
      <c r="H741" s="112" t="s">
        <v>61</v>
      </c>
      <c r="I741" s="13" t="s">
        <v>22</v>
      </c>
      <c r="K741" s="187"/>
      <c r="L741" s="187"/>
      <c r="M741" s="188">
        <f>IF($G741="PAX",M266*'Insumos - OPEX'!I$48,M266*'Insumos - OPEX'!I$75)</f>
        <v>772.37323860947356</v>
      </c>
      <c r="N741" s="211">
        <f>IF($G741="PAX",N266*'Insumos - OPEX'!J$48,N266*'Insumos - OPEX'!J$75)</f>
        <v>930.51287405706967</v>
      </c>
      <c r="O741" s="211">
        <f>IF($G741="PAX",O266*'Insumos - OPEX'!K$48,O266*'Insumos - OPEX'!K$75)</f>
        <v>1077.1192622835683</v>
      </c>
      <c r="P741" s="211">
        <f>IF($G741="PAX",P266*'Insumos - OPEX'!L$48,P266*'Insumos - OPEX'!L$75)</f>
        <v>1173.0141584675694</v>
      </c>
      <c r="Q741" s="211">
        <f>IF($G741="PAX",Q266*'Insumos - OPEX'!M$48,Q266*'Insumos - OPEX'!M$75)</f>
        <v>1258.2477402919244</v>
      </c>
      <c r="R741" s="211">
        <f>IF($G741="PAX",R266*'Insumos - OPEX'!N$48,R266*'Insumos - OPEX'!N$75)</f>
        <v>1352.7132692974294</v>
      </c>
      <c r="S741" s="111"/>
    </row>
    <row r="742" spans="1:19" x14ac:dyDescent="0.2">
      <c r="A742" s="8"/>
      <c r="B742" s="8" t="s">
        <v>434</v>
      </c>
      <c r="C742" s="8" t="s">
        <v>173</v>
      </c>
      <c r="D742" s="8">
        <v>6343100002</v>
      </c>
      <c r="E742" s="8" t="s">
        <v>396</v>
      </c>
      <c r="F742" s="73" t="s">
        <v>23</v>
      </c>
      <c r="G742" s="73" t="s">
        <v>136</v>
      </c>
      <c r="H742" s="112" t="s">
        <v>61</v>
      </c>
      <c r="I742" s="13" t="s">
        <v>22</v>
      </c>
      <c r="K742" s="187"/>
      <c r="L742" s="187"/>
      <c r="M742" s="188">
        <f>IF($G742="PAX",M267*'Insumos - OPEX'!I$48,M267*'Insumos - OPEX'!I$75)</f>
        <v>542.55040463397768</v>
      </c>
      <c r="N742" s="211">
        <f>IF($G742="PAX",N267*'Insumos - OPEX'!J$48,N267*'Insumos - OPEX'!J$75)</f>
        <v>653.63494111433135</v>
      </c>
      <c r="O742" s="211">
        <f>IF($G742="PAX",O267*'Insumos - OPEX'!K$48,O267*'Insumos - OPEX'!K$75)</f>
        <v>756.61799552130901</v>
      </c>
      <c r="P742" s="211">
        <f>IF($G742="PAX",P267*'Insumos - OPEX'!L$48,P267*'Insumos - OPEX'!L$75)</f>
        <v>823.97897092308528</v>
      </c>
      <c r="Q742" s="211">
        <f>IF($G742="PAX",Q267*'Insumos - OPEX'!M$48,Q267*'Insumos - OPEX'!M$75)</f>
        <v>883.85094990368873</v>
      </c>
      <c r="R742" s="211">
        <f>IF($G742="PAX",R267*'Insumos - OPEX'!N$48,R267*'Insumos - OPEX'!N$75)</f>
        <v>950.20787221002172</v>
      </c>
      <c r="S742" s="111"/>
    </row>
    <row r="743" spans="1:19" x14ac:dyDescent="0.2">
      <c r="A743" s="8"/>
      <c r="B743" s="8" t="s">
        <v>434</v>
      </c>
      <c r="C743" s="8" t="s">
        <v>173</v>
      </c>
      <c r="D743" s="8">
        <v>6343100001</v>
      </c>
      <c r="E743" s="8" t="s">
        <v>397</v>
      </c>
      <c r="F743" s="73" t="s">
        <v>23</v>
      </c>
      <c r="G743" s="73" t="s">
        <v>136</v>
      </c>
      <c r="H743" s="112" t="s">
        <v>61</v>
      </c>
      <c r="I743" s="13" t="s">
        <v>22</v>
      </c>
      <c r="K743" s="187"/>
      <c r="L743" s="187"/>
      <c r="M743" s="188">
        <f>IF($G743="PAX",M268*'Insumos - OPEX'!I$48,M268*'Insumos - OPEX'!I$75)</f>
        <v>321.93761198516199</v>
      </c>
      <c r="N743" s="211">
        <f>IF($G743="PAX",N268*'Insumos - OPEX'!J$48,N268*'Insumos - OPEX'!J$75)</f>
        <v>387.85276032440265</v>
      </c>
      <c r="O743" s="211">
        <f>IF($G743="PAX",O268*'Insumos - OPEX'!K$48,O268*'Insumos - OPEX'!K$75)</f>
        <v>448.96066537349617</v>
      </c>
      <c r="P743" s="211">
        <f>IF($G743="PAX",P268*'Insumos - OPEX'!L$48,P268*'Insumos - OPEX'!L$75)</f>
        <v>488.9312033670476</v>
      </c>
      <c r="Q743" s="211">
        <f>IF($G743="PAX",Q268*'Insumos - OPEX'!M$48,Q268*'Insumos - OPEX'!M$75)</f>
        <v>524.45793373755544</v>
      </c>
      <c r="R743" s="211">
        <f>IF($G743="PAX",R268*'Insumos - OPEX'!N$48,R268*'Insumos - OPEX'!N$75)</f>
        <v>563.83268845808288</v>
      </c>
      <c r="S743" s="111"/>
    </row>
    <row r="744" spans="1:19" x14ac:dyDescent="0.2">
      <c r="A744" s="8"/>
      <c r="B744" s="8" t="s">
        <v>434</v>
      </c>
      <c r="C744" s="8" t="s">
        <v>173</v>
      </c>
      <c r="D744" s="8">
        <v>6344000002</v>
      </c>
      <c r="E744" s="8" t="s">
        <v>409</v>
      </c>
      <c r="F744" s="73" t="s">
        <v>23</v>
      </c>
      <c r="G744" s="73" t="s">
        <v>136</v>
      </c>
      <c r="H744" s="112" t="s">
        <v>61</v>
      </c>
      <c r="I744" s="13" t="s">
        <v>22</v>
      </c>
      <c r="K744" s="187"/>
      <c r="L744" s="187"/>
      <c r="M744" s="188">
        <f>IF($G744="PAX",M269*'Insumos - OPEX'!I$48,M269*'Insumos - OPEX'!I$75)</f>
        <v>288.37389368484571</v>
      </c>
      <c r="N744" s="211">
        <f>IF($G744="PAX",N269*'Insumos - OPEX'!J$48,N269*'Insumos - OPEX'!J$75)</f>
        <v>347.41703518729651</v>
      </c>
      <c r="O744" s="211">
        <f>IF($G744="PAX",O269*'Insumos - OPEX'!K$48,O269*'Insumos - OPEX'!K$75)</f>
        <v>402.15411422962706</v>
      </c>
      <c r="P744" s="211">
        <f>IF($G744="PAX",P269*'Insumos - OPEX'!L$48,P269*'Insumos - OPEX'!L$75)</f>
        <v>437.95750980929517</v>
      </c>
      <c r="Q744" s="211">
        <f>IF($G744="PAX",Q269*'Insumos - OPEX'!M$48,Q269*'Insumos - OPEX'!M$75)</f>
        <v>469.78038848340066</v>
      </c>
      <c r="R744" s="211">
        <f>IF($G744="PAX",R269*'Insumos - OPEX'!N$48,R269*'Insumos - OPEX'!N$75)</f>
        <v>505.05011438348447</v>
      </c>
      <c r="S744" s="111"/>
    </row>
    <row r="745" spans="1:19" x14ac:dyDescent="0.2">
      <c r="A745" s="8"/>
      <c r="B745" s="8" t="s">
        <v>434</v>
      </c>
      <c r="C745" s="8" t="s">
        <v>173</v>
      </c>
      <c r="D745" s="8">
        <v>6343100015</v>
      </c>
      <c r="E745" s="8" t="s">
        <v>401</v>
      </c>
      <c r="F745" s="73" t="s">
        <v>23</v>
      </c>
      <c r="G745" s="73" t="s">
        <v>136</v>
      </c>
      <c r="H745" s="112" t="s">
        <v>61</v>
      </c>
      <c r="I745" s="13" t="s">
        <v>22</v>
      </c>
      <c r="J745" s="1"/>
      <c r="K745" s="187"/>
      <c r="L745" s="187"/>
      <c r="M745" s="188">
        <f>IF($G745="PAX",M270*'Insumos - OPEX'!I$48,M270*'Insumos - OPEX'!I$75)</f>
        <v>220.40701618626403</v>
      </c>
      <c r="N745" s="211">
        <f>IF($G745="PAX",N270*'Insumos - OPEX'!J$48,N270*'Insumos - OPEX'!J$75)</f>
        <v>265.53427260511512</v>
      </c>
      <c r="O745" s="211">
        <f>IF($G745="PAX",O270*'Insumos - OPEX'!K$48,O270*'Insumos - OPEX'!K$75)</f>
        <v>307.37036294017366</v>
      </c>
      <c r="P745" s="211">
        <f>IF($G745="PAX",P270*'Insumos - OPEX'!L$48,P270*'Insumos - OPEX'!L$75)</f>
        <v>334.73525193277885</v>
      </c>
      <c r="Q745" s="211">
        <f>IF($G745="PAX",Q270*'Insumos - OPEX'!M$48,Q270*'Insumos - OPEX'!M$75)</f>
        <v>359.05779252545273</v>
      </c>
      <c r="R745" s="211">
        <f>IF($G745="PAX",R270*'Insumos - OPEX'!N$48,R270*'Insumos - OPEX'!N$75)</f>
        <v>386.01479250909375</v>
      </c>
      <c r="S745" s="111"/>
    </row>
    <row r="746" spans="1:19" x14ac:dyDescent="0.2">
      <c r="A746" s="8"/>
      <c r="B746" s="8" t="s">
        <v>434</v>
      </c>
      <c r="C746" s="8" t="s">
        <v>173</v>
      </c>
      <c r="D746" s="8">
        <v>6345000001</v>
      </c>
      <c r="E746" s="8" t="s">
        <v>405</v>
      </c>
      <c r="F746" s="73" t="s">
        <v>23</v>
      </c>
      <c r="G746" s="73" t="s">
        <v>136</v>
      </c>
      <c r="H746" s="112" t="s">
        <v>61</v>
      </c>
      <c r="I746" s="13" t="s">
        <v>22</v>
      </c>
      <c r="K746" s="187"/>
      <c r="L746" s="187"/>
      <c r="M746" s="188">
        <f>IF($G746="PAX",M271*'Insumos - OPEX'!I$48,M271*'Insumos - OPEX'!I$75)</f>
        <v>176.8426434367602</v>
      </c>
      <c r="N746" s="211">
        <f>IF($G746="PAX",N271*'Insumos - OPEX'!J$48,N271*'Insumos - OPEX'!J$75)</f>
        <v>213.0503080304043</v>
      </c>
      <c r="O746" s="211">
        <f>IF($G746="PAX",O271*'Insumos - OPEX'!K$48,O271*'Insumos - OPEX'!K$75)</f>
        <v>246.61731934395758</v>
      </c>
      <c r="P746" s="211">
        <f>IF($G746="PAX",P271*'Insumos - OPEX'!L$48,P271*'Insumos - OPEX'!L$75)</f>
        <v>268.57342305853342</v>
      </c>
      <c r="Q746" s="211">
        <f>IF($G746="PAX",Q271*'Insumos - OPEX'!M$48,Q271*'Insumos - OPEX'!M$75)</f>
        <v>288.08851131630183</v>
      </c>
      <c r="R746" s="211">
        <f>IF($G746="PAX",R271*'Insumos - OPEX'!N$48,R271*'Insumos - OPEX'!N$75)</f>
        <v>309.71734699820735</v>
      </c>
      <c r="S746" s="111"/>
    </row>
    <row r="747" spans="1:19" x14ac:dyDescent="0.2">
      <c r="A747" s="8"/>
      <c r="B747" s="8" t="s">
        <v>434</v>
      </c>
      <c r="C747" s="8" t="s">
        <v>173</v>
      </c>
      <c r="D747" s="8">
        <v>6348000001</v>
      </c>
      <c r="E747" s="8" t="s">
        <v>402</v>
      </c>
      <c r="F747" s="73" t="s">
        <v>23</v>
      </c>
      <c r="G747" s="73" t="s">
        <v>136</v>
      </c>
      <c r="H747" s="112" t="s">
        <v>61</v>
      </c>
      <c r="I747" s="13" t="s">
        <v>22</v>
      </c>
      <c r="K747" s="187"/>
      <c r="L747" s="187"/>
      <c r="M747" s="188">
        <f>IF($G747="PAX",M272*'Insumos - OPEX'!I$48,M272*'Insumos - OPEX'!I$75)</f>
        <v>139.58497147081295</v>
      </c>
      <c r="N747" s="211">
        <f>IF($G747="PAX",N272*'Insumos - OPEX'!J$48,N272*'Insumos - OPEX'!J$75)</f>
        <v>168.16431031753137</v>
      </c>
      <c r="O747" s="211">
        <f>IF($G747="PAX",O272*'Insumos - OPEX'!K$48,O272*'Insumos - OPEX'!K$75)</f>
        <v>194.65933564346938</v>
      </c>
      <c r="P747" s="211">
        <f>IF($G747="PAX",P272*'Insumos - OPEX'!L$48,P272*'Insumos - OPEX'!L$75)</f>
        <v>211.98966983803396</v>
      </c>
      <c r="Q747" s="211">
        <f>IF($G747="PAX",Q272*'Insumos - OPEX'!M$48,Q272*'Insumos - OPEX'!M$75)</f>
        <v>227.39326811485526</v>
      </c>
      <c r="R747" s="211">
        <f>IF($G747="PAX",R272*'Insumos - OPEX'!N$48,R272*'Insumos - OPEX'!N$75)</f>
        <v>244.46528396427513</v>
      </c>
      <c r="S747" s="111"/>
    </row>
    <row r="748" spans="1:19" x14ac:dyDescent="0.2">
      <c r="A748" s="8"/>
      <c r="B748" s="8" t="s">
        <v>434</v>
      </c>
      <c r="C748" s="8" t="s">
        <v>173</v>
      </c>
      <c r="D748" s="8">
        <v>6342000001</v>
      </c>
      <c r="E748" s="8" t="s">
        <v>410</v>
      </c>
      <c r="F748" s="73" t="s">
        <v>23</v>
      </c>
      <c r="G748" s="73" t="s">
        <v>136</v>
      </c>
      <c r="H748" s="112" t="s">
        <v>61</v>
      </c>
      <c r="I748" s="13" t="s">
        <v>22</v>
      </c>
      <c r="K748" s="187"/>
      <c r="L748" s="187"/>
      <c r="M748" s="188">
        <f>IF($G748="PAX",M273*'Insumos - OPEX'!I$48,M273*'Insumos - OPEX'!I$75)</f>
        <v>135.0965062572715</v>
      </c>
      <c r="N748" s="211">
        <f>IF($G748="PAX",N273*'Insumos - OPEX'!J$48,N273*'Insumos - OPEX'!J$75)</f>
        <v>162.75685384807002</v>
      </c>
      <c r="O748" s="211">
        <f>IF($G748="PAX",O273*'Insumos - OPEX'!K$48,O273*'Insumos - OPEX'!K$75)</f>
        <v>188.39991066870056</v>
      </c>
      <c r="P748" s="211">
        <f>IF($G748="PAX",P273*'Insumos - OPEX'!L$48,P273*'Insumos - OPEX'!L$75)</f>
        <v>205.17297425345873</v>
      </c>
      <c r="Q748" s="211">
        <f>IF($G748="PAX",Q273*'Insumos - OPEX'!M$48,Q273*'Insumos - OPEX'!M$75)</f>
        <v>220.08125763856665</v>
      </c>
      <c r="R748" s="211">
        <f>IF($G748="PAX",R273*'Insumos - OPEX'!N$48,R273*'Insumos - OPEX'!N$75)</f>
        <v>236.60430930897982</v>
      </c>
      <c r="S748" s="111"/>
    </row>
    <row r="749" spans="1:19" x14ac:dyDescent="0.2">
      <c r="A749" s="8"/>
      <c r="B749" s="8" t="s">
        <v>434</v>
      </c>
      <c r="C749" s="8" t="s">
        <v>173</v>
      </c>
      <c r="D749" s="8">
        <v>6343100017</v>
      </c>
      <c r="E749" s="8" t="s">
        <v>403</v>
      </c>
      <c r="F749" s="73" t="s">
        <v>23</v>
      </c>
      <c r="G749" s="73" t="s">
        <v>136</v>
      </c>
      <c r="H749" s="112" t="s">
        <v>61</v>
      </c>
      <c r="I749" s="13" t="s">
        <v>22</v>
      </c>
      <c r="K749" s="187"/>
      <c r="L749" s="187"/>
      <c r="M749" s="188">
        <f>IF($G749="PAX",M274*'Insumos - OPEX'!I$48,M274*'Insumos - OPEX'!I$75)</f>
        <v>4.0318538436812714</v>
      </c>
      <c r="N749" s="211">
        <f>IF($G749="PAX",N274*'Insumos - OPEX'!J$48,N274*'Insumos - OPEX'!J$75)</f>
        <v>4.8573561593306698</v>
      </c>
      <c r="O749" s="211">
        <f>IF($G749="PAX",O274*'Insumos - OPEX'!K$48,O274*'Insumos - OPEX'!K$75)</f>
        <v>5.6226539458560083</v>
      </c>
      <c r="P749" s="211">
        <f>IF($G749="PAX",P274*'Insumos - OPEX'!L$48,P274*'Insumos - OPEX'!L$75)</f>
        <v>6.1232334409003339</v>
      </c>
      <c r="Q749" s="211">
        <f>IF($G749="PAX",Q274*'Insumos - OPEX'!M$48,Q274*'Insumos - OPEX'!M$75)</f>
        <v>6.5681599703434435</v>
      </c>
      <c r="R749" s="211">
        <f>IF($G749="PAX",R274*'Insumos - OPEX'!N$48,R274*'Insumos - OPEX'!N$75)</f>
        <v>7.0612780474300134</v>
      </c>
      <c r="S749" s="111"/>
    </row>
    <row r="750" spans="1:19" x14ac:dyDescent="0.2">
      <c r="A750" s="8"/>
      <c r="B750" s="8" t="s">
        <v>434</v>
      </c>
      <c r="C750" s="8" t="s">
        <v>173</v>
      </c>
      <c r="D750" s="8">
        <v>6343100007</v>
      </c>
      <c r="E750" s="8" t="s">
        <v>390</v>
      </c>
      <c r="F750" s="73" t="s">
        <v>23</v>
      </c>
      <c r="G750" s="73" t="s">
        <v>136</v>
      </c>
      <c r="H750" s="112" t="s">
        <v>61</v>
      </c>
      <c r="I750" s="13" t="s">
        <v>22</v>
      </c>
      <c r="K750" s="187"/>
      <c r="L750" s="187"/>
      <c r="M750" s="188">
        <f>IF($G750="PAX",M275*'Insumos - OPEX'!I$48,M275*'Insumos - OPEX'!I$75)</f>
        <v>0</v>
      </c>
      <c r="N750" s="211">
        <f>IF($G750="PAX",N275*'Insumos - OPEX'!J$48,N275*'Insumos - OPEX'!J$75)</f>
        <v>0</v>
      </c>
      <c r="O750" s="211">
        <f>IF($G750="PAX",O275*'Insumos - OPEX'!K$48,O275*'Insumos - OPEX'!K$75)</f>
        <v>0</v>
      </c>
      <c r="P750" s="211">
        <f>IF($G750="PAX",P275*'Insumos - OPEX'!L$48,P275*'Insumos - OPEX'!L$75)</f>
        <v>0</v>
      </c>
      <c r="Q750" s="211">
        <f>IF($G750="PAX",Q275*'Insumos - OPEX'!M$48,Q275*'Insumos - OPEX'!M$75)</f>
        <v>0</v>
      </c>
      <c r="R750" s="211">
        <f>IF($G750="PAX",R275*'Insumos - OPEX'!N$48,R275*'Insumos - OPEX'!N$75)</f>
        <v>0</v>
      </c>
      <c r="S750" s="111"/>
    </row>
    <row r="751" spans="1:19" x14ac:dyDescent="0.2">
      <c r="A751" s="8"/>
      <c r="B751" s="8" t="s">
        <v>434</v>
      </c>
      <c r="C751" s="8" t="s">
        <v>173</v>
      </c>
      <c r="D751" s="8">
        <v>6343100009</v>
      </c>
      <c r="E751" s="8" t="s">
        <v>418</v>
      </c>
      <c r="F751" s="73" t="s">
        <v>23</v>
      </c>
      <c r="G751" s="73" t="s">
        <v>136</v>
      </c>
      <c r="H751" s="112" t="s">
        <v>61</v>
      </c>
      <c r="I751" s="13" t="s">
        <v>22</v>
      </c>
      <c r="K751" s="187"/>
      <c r="L751" s="187"/>
      <c r="M751" s="188">
        <f>IF($G751="PAX",M276*'Insumos - OPEX'!I$48,M276*'Insumos - OPEX'!I$75)</f>
        <v>0</v>
      </c>
      <c r="N751" s="211">
        <f>IF($G751="PAX",N276*'Insumos - OPEX'!J$48,N276*'Insumos - OPEX'!J$75)</f>
        <v>0</v>
      </c>
      <c r="O751" s="211">
        <f>IF($G751="PAX",O276*'Insumos - OPEX'!K$48,O276*'Insumos - OPEX'!K$75)</f>
        <v>0</v>
      </c>
      <c r="P751" s="211">
        <f>IF($G751="PAX",P276*'Insumos - OPEX'!L$48,P276*'Insumos - OPEX'!L$75)</f>
        <v>0</v>
      </c>
      <c r="Q751" s="211">
        <f>IF($G751="PAX",Q276*'Insumos - OPEX'!M$48,Q276*'Insumos - OPEX'!M$75)</f>
        <v>0</v>
      </c>
      <c r="R751" s="211">
        <f>IF($G751="PAX",R276*'Insumos - OPEX'!N$48,R276*'Insumos - OPEX'!N$75)</f>
        <v>0</v>
      </c>
      <c r="S751" s="111"/>
    </row>
    <row r="752" spans="1:19" x14ac:dyDescent="0.2">
      <c r="A752" s="8"/>
      <c r="B752" s="8" t="s">
        <v>434</v>
      </c>
      <c r="C752" s="8" t="s">
        <v>173</v>
      </c>
      <c r="D752" s="8">
        <v>6343100008</v>
      </c>
      <c r="E752" s="8" t="s">
        <v>395</v>
      </c>
      <c r="F752" s="73" t="s">
        <v>23</v>
      </c>
      <c r="G752" s="73" t="s">
        <v>136</v>
      </c>
      <c r="H752" s="112" t="s">
        <v>61</v>
      </c>
      <c r="I752" s="13" t="s">
        <v>22</v>
      </c>
      <c r="K752" s="187"/>
      <c r="L752" s="187"/>
      <c r="M752" s="188">
        <f>IF($G752="PAX",M277*'Insumos - OPEX'!I$48,M277*'Insumos - OPEX'!I$75)</f>
        <v>0</v>
      </c>
      <c r="N752" s="211">
        <f>IF($G752="PAX",N277*'Insumos - OPEX'!J$48,N277*'Insumos - OPEX'!J$75)</f>
        <v>0</v>
      </c>
      <c r="O752" s="211">
        <f>IF($G752="PAX",O277*'Insumos - OPEX'!K$48,O277*'Insumos - OPEX'!K$75)</f>
        <v>0</v>
      </c>
      <c r="P752" s="211">
        <f>IF($G752="PAX",P277*'Insumos - OPEX'!L$48,P277*'Insumos - OPEX'!L$75)</f>
        <v>0</v>
      </c>
      <c r="Q752" s="211">
        <f>IF($G752="PAX",Q277*'Insumos - OPEX'!M$48,Q277*'Insumos - OPEX'!M$75)</f>
        <v>0</v>
      </c>
      <c r="R752" s="211">
        <f>IF($G752="PAX",R277*'Insumos - OPEX'!N$48,R277*'Insumos - OPEX'!N$75)</f>
        <v>0</v>
      </c>
      <c r="S752" s="111"/>
    </row>
    <row r="753" spans="1:19" x14ac:dyDescent="0.2">
      <c r="A753" s="8"/>
      <c r="B753" s="8" t="s">
        <v>434</v>
      </c>
      <c r="C753" s="8" t="s">
        <v>173</v>
      </c>
      <c r="D753" s="8">
        <v>6347000001</v>
      </c>
      <c r="E753" s="8" t="s">
        <v>394</v>
      </c>
      <c r="F753" s="73" t="s">
        <v>23</v>
      </c>
      <c r="G753" s="73" t="s">
        <v>136</v>
      </c>
      <c r="H753" s="112" t="s">
        <v>61</v>
      </c>
      <c r="I753" s="13" t="s">
        <v>22</v>
      </c>
      <c r="K753" s="187"/>
      <c r="L753" s="187"/>
      <c r="M753" s="188">
        <f>IF($G753="PAX",M278*'Insumos - OPEX'!I$48,M278*'Insumos - OPEX'!I$75)</f>
        <v>0</v>
      </c>
      <c r="N753" s="211">
        <f>IF($G753="PAX",N278*'Insumos - OPEX'!J$48,N278*'Insumos - OPEX'!J$75)</f>
        <v>0</v>
      </c>
      <c r="O753" s="211">
        <f>IF($G753="PAX",O278*'Insumos - OPEX'!K$48,O278*'Insumos - OPEX'!K$75)</f>
        <v>0</v>
      </c>
      <c r="P753" s="211">
        <f>IF($G753="PAX",P278*'Insumos - OPEX'!L$48,P278*'Insumos - OPEX'!L$75)</f>
        <v>0</v>
      </c>
      <c r="Q753" s="211">
        <f>IF($G753="PAX",Q278*'Insumos - OPEX'!M$48,Q278*'Insumos - OPEX'!M$75)</f>
        <v>0</v>
      </c>
      <c r="R753" s="211">
        <f>IF($G753="PAX",R278*'Insumos - OPEX'!N$48,R278*'Insumos - OPEX'!N$75)</f>
        <v>0</v>
      </c>
      <c r="S753" s="111"/>
    </row>
    <row r="754" spans="1:19" x14ac:dyDescent="0.2">
      <c r="A754" s="8"/>
      <c r="B754" s="8" t="s">
        <v>434</v>
      </c>
      <c r="C754" s="8" t="s">
        <v>173</v>
      </c>
      <c r="D754" s="8">
        <v>6346000001</v>
      </c>
      <c r="E754" s="8" t="s">
        <v>421</v>
      </c>
      <c r="F754" s="73" t="s">
        <v>23</v>
      </c>
      <c r="G754" s="73" t="s">
        <v>136</v>
      </c>
      <c r="H754" s="112" t="s">
        <v>61</v>
      </c>
      <c r="I754" s="13" t="s">
        <v>22</v>
      </c>
      <c r="K754" s="187"/>
      <c r="L754" s="187"/>
      <c r="M754" s="188">
        <f>IF($G754="PAX",M279*'Insumos - OPEX'!I$48,M279*'Insumos - OPEX'!I$75)</f>
        <v>0</v>
      </c>
      <c r="N754" s="211">
        <f>IF($G754="PAX",N279*'Insumos - OPEX'!J$48,N279*'Insumos - OPEX'!J$75)</f>
        <v>0</v>
      </c>
      <c r="O754" s="211">
        <f>IF($G754="PAX",O279*'Insumos - OPEX'!K$48,O279*'Insumos - OPEX'!K$75)</f>
        <v>0</v>
      </c>
      <c r="P754" s="211">
        <f>IF($G754="PAX",P279*'Insumos - OPEX'!L$48,P279*'Insumos - OPEX'!L$75)</f>
        <v>0</v>
      </c>
      <c r="Q754" s="211">
        <f>IF($G754="PAX",Q279*'Insumos - OPEX'!M$48,Q279*'Insumos - OPEX'!M$75)</f>
        <v>0</v>
      </c>
      <c r="R754" s="211">
        <f>IF($G754="PAX",R279*'Insumos - OPEX'!N$48,R279*'Insumos - OPEX'!N$75)</f>
        <v>0</v>
      </c>
      <c r="S754" s="111"/>
    </row>
    <row r="755" spans="1:19" x14ac:dyDescent="0.2">
      <c r="A755" s="8"/>
      <c r="B755" s="8" t="s">
        <v>434</v>
      </c>
      <c r="C755" s="8" t="s">
        <v>173</v>
      </c>
      <c r="D755" s="8">
        <v>6344000001</v>
      </c>
      <c r="E755" s="8" t="s">
        <v>417</v>
      </c>
      <c r="F755" s="73" t="s">
        <v>23</v>
      </c>
      <c r="G755" s="73" t="s">
        <v>136</v>
      </c>
      <c r="H755" s="112" t="s">
        <v>61</v>
      </c>
      <c r="I755" s="13" t="s">
        <v>22</v>
      </c>
      <c r="K755" s="187"/>
      <c r="L755" s="187"/>
      <c r="M755" s="188">
        <f>IF($G755="PAX",M280*'Insumos - OPEX'!I$48,M280*'Insumos - OPEX'!I$75)</f>
        <v>0</v>
      </c>
      <c r="N755" s="211">
        <f>IF($G755="PAX",N280*'Insumos - OPEX'!J$48,N280*'Insumos - OPEX'!J$75)</f>
        <v>0</v>
      </c>
      <c r="O755" s="211">
        <f>IF($G755="PAX",O280*'Insumos - OPEX'!K$48,O280*'Insumos - OPEX'!K$75)</f>
        <v>0</v>
      </c>
      <c r="P755" s="211">
        <f>IF($G755="PAX",P280*'Insumos - OPEX'!L$48,P280*'Insumos - OPEX'!L$75)</f>
        <v>0</v>
      </c>
      <c r="Q755" s="211">
        <f>IF($G755="PAX",Q280*'Insumos - OPEX'!M$48,Q280*'Insumos - OPEX'!M$75)</f>
        <v>0</v>
      </c>
      <c r="R755" s="211">
        <f>IF($G755="PAX",R280*'Insumos - OPEX'!N$48,R280*'Insumos - OPEX'!N$75)</f>
        <v>0</v>
      </c>
      <c r="S755" s="111"/>
    </row>
    <row r="756" spans="1:19" x14ac:dyDescent="0.2">
      <c r="A756" s="8"/>
      <c r="B756" s="8" t="s">
        <v>434</v>
      </c>
      <c r="C756" s="8" t="s">
        <v>173</v>
      </c>
      <c r="D756" s="8">
        <v>6343100004</v>
      </c>
      <c r="E756" s="8" t="s">
        <v>408</v>
      </c>
      <c r="F756" s="73" t="s">
        <v>23</v>
      </c>
      <c r="G756" s="73" t="s">
        <v>136</v>
      </c>
      <c r="H756" s="112" t="s">
        <v>61</v>
      </c>
      <c r="I756" s="13" t="s">
        <v>22</v>
      </c>
      <c r="K756" s="187"/>
      <c r="L756" s="187"/>
      <c r="M756" s="188">
        <f>IF($G756="PAX",M281*'Insumos - OPEX'!I$48,M281*'Insumos - OPEX'!I$75)</f>
        <v>0</v>
      </c>
      <c r="N756" s="211">
        <f>IF($G756="PAX",N281*'Insumos - OPEX'!J$48,N281*'Insumos - OPEX'!J$75)</f>
        <v>0</v>
      </c>
      <c r="O756" s="211">
        <f>IF($G756="PAX",O281*'Insumos - OPEX'!K$48,O281*'Insumos - OPEX'!K$75)</f>
        <v>0</v>
      </c>
      <c r="P756" s="211">
        <f>IF($G756="PAX",P281*'Insumos - OPEX'!L$48,P281*'Insumos - OPEX'!L$75)</f>
        <v>0</v>
      </c>
      <c r="Q756" s="211">
        <f>IF($G756="PAX",Q281*'Insumos - OPEX'!M$48,Q281*'Insumos - OPEX'!M$75)</f>
        <v>0</v>
      </c>
      <c r="R756" s="211">
        <f>IF($G756="PAX",R281*'Insumos - OPEX'!N$48,R281*'Insumos - OPEX'!N$75)</f>
        <v>0</v>
      </c>
      <c r="S756" s="111"/>
    </row>
    <row r="757" spans="1:19" x14ac:dyDescent="0.2">
      <c r="A757" s="8"/>
      <c r="B757" s="8" t="s">
        <v>434</v>
      </c>
      <c r="C757" s="8" t="s">
        <v>173</v>
      </c>
      <c r="D757" s="8">
        <v>6341100009</v>
      </c>
      <c r="E757" s="8" t="s">
        <v>407</v>
      </c>
      <c r="F757" s="73" t="s">
        <v>23</v>
      </c>
      <c r="G757" s="73" t="s">
        <v>136</v>
      </c>
      <c r="H757" s="112" t="s">
        <v>61</v>
      </c>
      <c r="I757" s="13" t="s">
        <v>22</v>
      </c>
      <c r="K757" s="187"/>
      <c r="L757" s="187"/>
      <c r="M757" s="188">
        <f>IF($G757="PAX",M282*'Insumos - OPEX'!I$48,M282*'Insumos - OPEX'!I$75)</f>
        <v>0</v>
      </c>
      <c r="N757" s="211">
        <f>IF($G757="PAX",N282*'Insumos - OPEX'!J$48,N282*'Insumos - OPEX'!J$75)</f>
        <v>0</v>
      </c>
      <c r="O757" s="211">
        <f>IF($G757="PAX",O282*'Insumos - OPEX'!K$48,O282*'Insumos - OPEX'!K$75)</f>
        <v>0</v>
      </c>
      <c r="P757" s="211">
        <f>IF($G757="PAX",P282*'Insumos - OPEX'!L$48,P282*'Insumos - OPEX'!L$75)</f>
        <v>0</v>
      </c>
      <c r="Q757" s="211">
        <f>IF($G757="PAX",Q282*'Insumos - OPEX'!M$48,Q282*'Insumos - OPEX'!M$75)</f>
        <v>0</v>
      </c>
      <c r="R757" s="211">
        <f>IF($G757="PAX",R282*'Insumos - OPEX'!N$48,R282*'Insumos - OPEX'!N$75)</f>
        <v>0</v>
      </c>
      <c r="S757" s="111"/>
    </row>
    <row r="758" spans="1:19" x14ac:dyDescent="0.2">
      <c r="A758" s="8"/>
      <c r="B758" s="8" t="s">
        <v>434</v>
      </c>
      <c r="C758" s="8" t="s">
        <v>173</v>
      </c>
      <c r="D758" s="8">
        <v>6343100011</v>
      </c>
      <c r="E758" s="8" t="s">
        <v>422</v>
      </c>
      <c r="F758" s="73" t="s">
        <v>23</v>
      </c>
      <c r="G758" s="73" t="s">
        <v>136</v>
      </c>
      <c r="H758" s="112" t="s">
        <v>61</v>
      </c>
      <c r="I758" s="13" t="s">
        <v>22</v>
      </c>
      <c r="J758" s="1"/>
      <c r="K758" s="187"/>
      <c r="L758" s="187"/>
      <c r="M758" s="188">
        <f>IF($G758="PAX",M283*'Insumos - OPEX'!I$48,M283*'Insumos - OPEX'!I$75)</f>
        <v>0</v>
      </c>
      <c r="N758" s="211">
        <f>IF($G758="PAX",N283*'Insumos - OPEX'!J$48,N283*'Insumos - OPEX'!J$75)</f>
        <v>0</v>
      </c>
      <c r="O758" s="211">
        <f>IF($G758="PAX",O283*'Insumos - OPEX'!K$48,O283*'Insumos - OPEX'!K$75)</f>
        <v>0</v>
      </c>
      <c r="P758" s="211">
        <f>IF($G758="PAX",P283*'Insumos - OPEX'!L$48,P283*'Insumos - OPEX'!L$75)</f>
        <v>0</v>
      </c>
      <c r="Q758" s="211">
        <f>IF($G758="PAX",Q283*'Insumos - OPEX'!M$48,Q283*'Insumos - OPEX'!M$75)</f>
        <v>0</v>
      </c>
      <c r="R758" s="211">
        <f>IF($G758="PAX",R283*'Insumos - OPEX'!N$48,R283*'Insumos - OPEX'!N$75)</f>
        <v>0</v>
      </c>
      <c r="S758" s="111"/>
    </row>
    <row r="759" spans="1:19" x14ac:dyDescent="0.2">
      <c r="A759" s="8"/>
      <c r="B759" s="8" t="s">
        <v>434</v>
      </c>
      <c r="C759" s="8" t="s">
        <v>174</v>
      </c>
      <c r="D759" s="8">
        <v>6561000003</v>
      </c>
      <c r="E759" s="8" t="s">
        <v>269</v>
      </c>
      <c r="F759" s="73" t="s">
        <v>23</v>
      </c>
      <c r="G759" s="73" t="s">
        <v>136</v>
      </c>
      <c r="H759" s="112" t="s">
        <v>61</v>
      </c>
      <c r="I759" s="13" t="s">
        <v>22</v>
      </c>
      <c r="K759" s="187"/>
      <c r="L759" s="187"/>
      <c r="M759" s="188">
        <f>IF($G759="PAX",M284*'Insumos - OPEX'!I$48,M284*'Insumos - OPEX'!I$75)</f>
        <v>29761.281908355806</v>
      </c>
      <c r="N759" s="211">
        <f>IF($G759="PAX",N284*'Insumos - OPEX'!J$48,N284*'Insumos - OPEX'!J$75)</f>
        <v>35854.7585284335</v>
      </c>
      <c r="O759" s="211">
        <f>IF($G759="PAX",O284*'Insumos - OPEX'!K$48,O284*'Insumos - OPEX'!K$75)</f>
        <v>41503.833135717767</v>
      </c>
      <c r="P759" s="211">
        <f>IF($G759="PAX",P284*'Insumos - OPEX'!L$48,P284*'Insumos - OPEX'!L$75)</f>
        <v>45198.879644634399</v>
      </c>
      <c r="Q759" s="211">
        <f>IF($G759="PAX",Q284*'Insumos - OPEX'!M$48,Q284*'Insumos - OPEX'!M$75)</f>
        <v>48483.121679353724</v>
      </c>
      <c r="R759" s="211">
        <f>IF($G759="PAX",R284*'Insumos - OPEX'!N$48,R284*'Insumos - OPEX'!N$75)</f>
        <v>52123.091448912644</v>
      </c>
      <c r="S759" s="111"/>
    </row>
    <row r="760" spans="1:19" x14ac:dyDescent="0.2">
      <c r="A760" s="8"/>
      <c r="B760" s="8" t="s">
        <v>434</v>
      </c>
      <c r="C760" s="8" t="s">
        <v>174</v>
      </c>
      <c r="D760" s="8">
        <v>6561000004</v>
      </c>
      <c r="E760" s="8" t="s">
        <v>359</v>
      </c>
      <c r="F760" s="73" t="s">
        <v>23</v>
      </c>
      <c r="G760" s="73" t="s">
        <v>136</v>
      </c>
      <c r="H760" s="112" t="s">
        <v>61</v>
      </c>
      <c r="I760" s="13" t="s">
        <v>22</v>
      </c>
      <c r="K760" s="187"/>
      <c r="L760" s="187"/>
      <c r="M760" s="188">
        <f>IF($G760="PAX",M285*'Insumos - OPEX'!I$48,M285*'Insumos - OPEX'!I$75)</f>
        <v>10916.301389953216</v>
      </c>
      <c r="N760" s="211">
        <f>IF($G760="PAX",N285*'Insumos - OPEX'!J$48,N285*'Insumos - OPEX'!J$75)</f>
        <v>13151.360602195209</v>
      </c>
      <c r="O760" s="211">
        <f>IF($G760="PAX",O285*'Insumos - OPEX'!K$48,O285*'Insumos - OPEX'!K$75)</f>
        <v>15223.415199081808</v>
      </c>
      <c r="P760" s="211">
        <f>IF($G760="PAX",P285*'Insumos - OPEX'!L$48,P285*'Insumos - OPEX'!L$75)</f>
        <v>16578.741272247476</v>
      </c>
      <c r="Q760" s="211">
        <f>IF($G760="PAX",Q285*'Insumos - OPEX'!M$48,Q285*'Insumos - OPEX'!M$75)</f>
        <v>17783.386152765332</v>
      </c>
      <c r="R760" s="211">
        <f>IF($G760="PAX",R285*'Insumos - OPEX'!N$48,R285*'Insumos - OPEX'!N$75)</f>
        <v>19118.510331124988</v>
      </c>
      <c r="S760" s="111"/>
    </row>
    <row r="761" spans="1:19" x14ac:dyDescent="0.2">
      <c r="A761" s="8"/>
      <c r="B761" s="8" t="s">
        <v>434</v>
      </c>
      <c r="C761" s="8" t="s">
        <v>174</v>
      </c>
      <c r="D761" s="8">
        <v>6561000002</v>
      </c>
      <c r="E761" s="8" t="s">
        <v>356</v>
      </c>
      <c r="F761" s="73" t="s">
        <v>23</v>
      </c>
      <c r="G761" s="73" t="s">
        <v>136</v>
      </c>
      <c r="H761" s="112" t="s">
        <v>61</v>
      </c>
      <c r="I761" s="13" t="s">
        <v>22</v>
      </c>
      <c r="K761" s="187"/>
      <c r="L761" s="187"/>
      <c r="M761" s="188">
        <f>IF($G761="PAX",M286*'Insumos - OPEX'!I$48,M286*'Insumos - OPEX'!I$75)</f>
        <v>8533.3299624738775</v>
      </c>
      <c r="N761" s="211">
        <f>IF($G761="PAX",N286*'Insumos - OPEX'!J$48,N286*'Insumos - OPEX'!J$75)</f>
        <v>10280.487453131032</v>
      </c>
      <c r="O761" s="211">
        <f>IF($G761="PAX",O286*'Insumos - OPEX'!K$48,O286*'Insumos - OPEX'!K$75)</f>
        <v>11900.223382350365</v>
      </c>
      <c r="P761" s="211">
        <f>IF($G761="PAX",P286*'Insumos - OPEX'!L$48,P286*'Insumos - OPEX'!L$75)</f>
        <v>12959.688871248547</v>
      </c>
      <c r="Q761" s="211">
        <f>IF($G761="PAX",Q286*'Insumos - OPEX'!M$48,Q286*'Insumos - OPEX'!M$75)</f>
        <v>13901.366082774108</v>
      </c>
      <c r="R761" s="211">
        <f>IF($G761="PAX",R286*'Insumos - OPEX'!N$48,R286*'Insumos - OPEX'!N$75)</f>
        <v>14945.039644710145</v>
      </c>
      <c r="S761" s="111"/>
    </row>
    <row r="762" spans="1:19" x14ac:dyDescent="0.2">
      <c r="A762" s="8"/>
      <c r="B762" s="8" t="s">
        <v>434</v>
      </c>
      <c r="C762" s="8" t="s">
        <v>174</v>
      </c>
      <c r="D762" s="8">
        <v>6510000001</v>
      </c>
      <c r="E762" s="8" t="s">
        <v>182</v>
      </c>
      <c r="F762" s="73" t="s">
        <v>23</v>
      </c>
      <c r="G762" s="73" t="s">
        <v>480</v>
      </c>
      <c r="H762" s="112" t="s">
        <v>61</v>
      </c>
      <c r="I762" s="13" t="s">
        <v>22</v>
      </c>
      <c r="K762" s="187"/>
      <c r="L762" s="187"/>
      <c r="M762" s="188">
        <f>IF($G762="PAX",M287*'Insumos - OPEX'!I$48,M287*'Insumos - OPEX'!I$75)</f>
        <v>3932.0183783552584</v>
      </c>
      <c r="N762" s="211">
        <f>IF($G762="PAX",N287*'Insumos - OPEX'!J$48,N287*'Insumos - OPEX'!J$75)</f>
        <v>4219.098528805569</v>
      </c>
      <c r="O762" s="211">
        <f>IF($G762="PAX",O287*'Insumos - OPEX'!K$48,O287*'Insumos - OPEX'!K$75)</f>
        <v>4517.2700599071777</v>
      </c>
      <c r="P762" s="211">
        <f>IF($G762="PAX",P287*'Insumos - OPEX'!L$48,P287*'Insumos - OPEX'!L$75)</f>
        <v>4630.9176239425733</v>
      </c>
      <c r="Q762" s="211">
        <f>IF($G762="PAX",Q287*'Insumos - OPEX'!M$48,Q287*'Insumos - OPEX'!M$75)</f>
        <v>4740.2882896373621</v>
      </c>
      <c r="R762" s="211">
        <f>IF($G762="PAX",R287*'Insumos - OPEX'!N$48,R287*'Insumos - OPEX'!N$75)</f>
        <v>4854.4496497222663</v>
      </c>
      <c r="S762" s="111"/>
    </row>
    <row r="763" spans="1:19" x14ac:dyDescent="0.2">
      <c r="A763" s="8"/>
      <c r="B763" s="8" t="s">
        <v>434</v>
      </c>
      <c r="C763" s="8" t="s">
        <v>174</v>
      </c>
      <c r="D763" s="8">
        <v>6310000001</v>
      </c>
      <c r="E763" s="8" t="s">
        <v>371</v>
      </c>
      <c r="F763" s="73" t="s">
        <v>23</v>
      </c>
      <c r="G763" s="73" t="s">
        <v>136</v>
      </c>
      <c r="H763" s="112" t="s">
        <v>61</v>
      </c>
      <c r="I763" s="13" t="s">
        <v>22</v>
      </c>
      <c r="K763" s="187"/>
      <c r="L763" s="187"/>
      <c r="M763" s="188">
        <f>IF($G763="PAX",M288*'Insumos - OPEX'!I$48,M288*'Insumos - OPEX'!I$75)</f>
        <v>3556.6354667388268</v>
      </c>
      <c r="N763" s="211">
        <f>IF($G763="PAX",N288*'Insumos - OPEX'!J$48,N288*'Insumos - OPEX'!J$75)</f>
        <v>4284.8391486046758</v>
      </c>
      <c r="O763" s="211">
        <f>IF($G763="PAX",O288*'Insumos - OPEX'!K$48,O288*'Insumos - OPEX'!K$75)</f>
        <v>4959.9343667605826</v>
      </c>
      <c r="P763" s="211">
        <f>IF($G763="PAX",P288*'Insumos - OPEX'!L$48,P288*'Insumos - OPEX'!L$75)</f>
        <v>5401.5125724753252</v>
      </c>
      <c r="Q763" s="211">
        <f>IF($G763="PAX",Q288*'Insumos - OPEX'!M$48,Q288*'Insumos - OPEX'!M$75)</f>
        <v>5793.9974035389278</v>
      </c>
      <c r="R763" s="211">
        <f>IF($G763="PAX",R288*'Insumos - OPEX'!N$48,R288*'Insumos - OPEX'!N$75)</f>
        <v>6228.9936385846913</v>
      </c>
      <c r="S763" s="111"/>
    </row>
    <row r="764" spans="1:19" x14ac:dyDescent="0.2">
      <c r="A764" s="8"/>
      <c r="B764" s="8" t="s">
        <v>434</v>
      </c>
      <c r="C764" s="8" t="s">
        <v>174</v>
      </c>
      <c r="D764" s="8">
        <v>6430000001</v>
      </c>
      <c r="E764" s="8" t="s">
        <v>275</v>
      </c>
      <c r="F764" s="73" t="s">
        <v>23</v>
      </c>
      <c r="G764" s="73" t="s">
        <v>480</v>
      </c>
      <c r="H764" s="112" t="s">
        <v>61</v>
      </c>
      <c r="I764" s="13" t="s">
        <v>22</v>
      </c>
      <c r="K764" s="187"/>
      <c r="L764" s="187"/>
      <c r="M764" s="188">
        <f>IF($G764="PAX",M289*'Insumos - OPEX'!I$48,M289*'Insumos - OPEX'!I$75)</f>
        <v>1446.383754362088</v>
      </c>
      <c r="N764" s="211">
        <f>IF($G764="PAX",N289*'Insumos - OPEX'!J$48,N289*'Insumos - OPEX'!J$75)</f>
        <v>1551.9855155585451</v>
      </c>
      <c r="O764" s="211">
        <f>IF($G764="PAX",O289*'Insumos - OPEX'!K$48,O289*'Insumos - OPEX'!K$75)</f>
        <v>1661.6672151591038</v>
      </c>
      <c r="P764" s="211">
        <f>IF($G764="PAX",P289*'Insumos - OPEX'!L$48,P289*'Insumos - OPEX'!L$75)</f>
        <v>1703.4722055041339</v>
      </c>
      <c r="Q764" s="211">
        <f>IF($G764="PAX",Q289*'Insumos - OPEX'!M$48,Q289*'Insumos - OPEX'!M$75)</f>
        <v>1743.7039488081614</v>
      </c>
      <c r="R764" s="211">
        <f>IF($G764="PAX",R289*'Insumos - OPEX'!N$48,R289*'Insumos - OPEX'!N$75)</f>
        <v>1785.6979378270416</v>
      </c>
      <c r="S764" s="111"/>
    </row>
    <row r="765" spans="1:19" x14ac:dyDescent="0.2">
      <c r="A765" s="8"/>
      <c r="B765" s="8" t="s">
        <v>434</v>
      </c>
      <c r="C765" s="8" t="s">
        <v>174</v>
      </c>
      <c r="D765" s="8">
        <v>6410000001</v>
      </c>
      <c r="E765" s="8" t="s">
        <v>361</v>
      </c>
      <c r="F765" s="73" t="s">
        <v>23</v>
      </c>
      <c r="G765" s="73" t="s">
        <v>136</v>
      </c>
      <c r="H765" s="112" t="s">
        <v>61</v>
      </c>
      <c r="I765" s="13" t="s">
        <v>22</v>
      </c>
      <c r="K765" s="187"/>
      <c r="L765" s="187"/>
      <c r="M765" s="188">
        <f>IF($G765="PAX",M290*'Insumos - OPEX'!I$48,M290*'Insumos - OPEX'!I$75)</f>
        <v>1933.1940168743192</v>
      </c>
      <c r="N765" s="211">
        <f>IF($G765="PAX",N290*'Insumos - OPEX'!J$48,N290*'Insumos - OPEX'!J$75)</f>
        <v>2329.0060178550443</v>
      </c>
      <c r="O765" s="211">
        <f>IF($G765="PAX",O290*'Insumos - OPEX'!K$48,O290*'Insumos - OPEX'!K$75)</f>
        <v>2695.9511402226549</v>
      </c>
      <c r="P765" s="211">
        <f>IF($G765="PAX",P290*'Insumos - OPEX'!L$48,P290*'Insumos - OPEX'!L$75)</f>
        <v>2935.9690878737752</v>
      </c>
      <c r="Q765" s="211">
        <f>IF($G765="PAX",Q290*'Insumos - OPEX'!M$48,Q290*'Insumos - OPEX'!M$75)</f>
        <v>3149.3025414204781</v>
      </c>
      <c r="R765" s="211">
        <f>IF($G765="PAX",R290*'Insumos - OPEX'!N$48,R290*'Insumos - OPEX'!N$75)</f>
        <v>3385.7428870273334</v>
      </c>
      <c r="S765" s="111"/>
    </row>
    <row r="766" spans="1:19" x14ac:dyDescent="0.2">
      <c r="A766" s="8"/>
      <c r="B766" s="8" t="s">
        <v>434</v>
      </c>
      <c r="C766" s="8" t="s">
        <v>174</v>
      </c>
      <c r="D766" s="8">
        <v>6561000001</v>
      </c>
      <c r="E766" s="8" t="s">
        <v>358</v>
      </c>
      <c r="F766" s="73" t="s">
        <v>23</v>
      </c>
      <c r="G766" s="73" t="s">
        <v>136</v>
      </c>
      <c r="H766" s="112" t="s">
        <v>61</v>
      </c>
      <c r="I766" s="13" t="s">
        <v>22</v>
      </c>
      <c r="K766" s="187"/>
      <c r="L766" s="187"/>
      <c r="M766" s="188">
        <f>IF($G766="PAX",M291*'Insumos - OPEX'!I$48,M291*'Insumos - OPEX'!I$75)</f>
        <v>1494.4133450802626</v>
      </c>
      <c r="N766" s="211">
        <f>IF($G766="PAX",N291*'Insumos - OPEX'!J$48,N291*'Insumos - OPEX'!J$75)</f>
        <v>1800.3871538368685</v>
      </c>
      <c r="O766" s="211">
        <f>IF($G766="PAX",O291*'Insumos - OPEX'!K$48,O291*'Insumos - OPEX'!K$75)</f>
        <v>2084.0460535601846</v>
      </c>
      <c r="P766" s="211">
        <f>IF($G766="PAX",P291*'Insumos - OPEX'!L$48,P291*'Insumos - OPEX'!L$75)</f>
        <v>2269.5866774694964</v>
      </c>
      <c r="Q766" s="211">
        <f>IF($G766="PAX",Q291*'Insumos - OPEX'!M$48,Q291*'Insumos - OPEX'!M$75)</f>
        <v>2434.499436949126</v>
      </c>
      <c r="R766" s="211">
        <f>IF($G766="PAX",R291*'Insumos - OPEX'!N$48,R291*'Insumos - OPEX'!N$75)</f>
        <v>2617.2744738600977</v>
      </c>
      <c r="S766" s="111"/>
    </row>
    <row r="767" spans="1:19" x14ac:dyDescent="0.2">
      <c r="A767" s="8"/>
      <c r="B767" s="8" t="s">
        <v>434</v>
      </c>
      <c r="C767" s="8" t="s">
        <v>174</v>
      </c>
      <c r="D767" s="8">
        <v>6530000002</v>
      </c>
      <c r="E767" s="8" t="s">
        <v>271</v>
      </c>
      <c r="F767" s="73" t="s">
        <v>23</v>
      </c>
      <c r="G767" s="73" t="s">
        <v>136</v>
      </c>
      <c r="H767" s="112" t="s">
        <v>61</v>
      </c>
      <c r="I767" s="13" t="s">
        <v>22</v>
      </c>
      <c r="K767" s="187"/>
      <c r="L767" s="187"/>
      <c r="M767" s="188">
        <f>IF($G767="PAX",M292*'Insumos - OPEX'!I$48,M292*'Insumos - OPEX'!I$75)</f>
        <v>870.69532647943004</v>
      </c>
      <c r="N767" s="211">
        <f>IF($G767="PAX",N292*'Insumos - OPEX'!J$48,N292*'Insumos - OPEX'!J$75)</f>
        <v>1048.9659275728504</v>
      </c>
      <c r="O767" s="211">
        <f>IF($G767="PAX",O292*'Insumos - OPEX'!K$48,O292*'Insumos - OPEX'!K$75)</f>
        <v>1214.2351143855014</v>
      </c>
      <c r="P767" s="211">
        <f>IF($G767="PAX",P292*'Insumos - OPEX'!L$48,P292*'Insumos - OPEX'!L$75)</f>
        <v>1322.337303543374</v>
      </c>
      <c r="Q767" s="211">
        <f>IF($G767="PAX",Q292*'Insumos - OPEX'!M$48,Q292*'Insumos - OPEX'!M$75)</f>
        <v>1418.4210071776101</v>
      </c>
      <c r="R767" s="211">
        <f>IF($G767="PAX",R292*'Insumos - OPEX'!N$48,R292*'Insumos - OPEX'!N$75)</f>
        <v>1524.9118726127963</v>
      </c>
      <c r="S767" s="111"/>
    </row>
    <row r="768" spans="1:19" x14ac:dyDescent="0.2">
      <c r="A768" s="8"/>
      <c r="B768" s="8" t="s">
        <v>434</v>
      </c>
      <c r="C768" s="8" t="s">
        <v>174</v>
      </c>
      <c r="D768" s="8">
        <v>6430000002</v>
      </c>
      <c r="E768" s="8" t="s">
        <v>362</v>
      </c>
      <c r="F768" s="73" t="s">
        <v>23</v>
      </c>
      <c r="G768" s="73" t="s">
        <v>480</v>
      </c>
      <c r="H768" s="112" t="s">
        <v>61</v>
      </c>
      <c r="I768" s="13" t="s">
        <v>22</v>
      </c>
      <c r="K768" s="187"/>
      <c r="L768" s="187"/>
      <c r="M768" s="188">
        <f>IF($G768="PAX",M293*'Insumos - OPEX'!I$48,M293*'Insumos - OPEX'!I$75)</f>
        <v>108.55746491645957</v>
      </c>
      <c r="N768" s="211">
        <f>IF($G768="PAX",N293*'Insumos - OPEX'!J$48,N293*'Insumos - OPEX'!J$75)</f>
        <v>116.48334174660742</v>
      </c>
      <c r="O768" s="211">
        <f>IF($G768="PAX",O293*'Insumos - OPEX'!K$48,O293*'Insumos - OPEX'!K$75)</f>
        <v>124.71543590588998</v>
      </c>
      <c r="P768" s="211">
        <f>IF($G768="PAX",P293*'Insumos - OPEX'!L$48,P293*'Insumos - OPEX'!L$75)</f>
        <v>127.85308437506477</v>
      </c>
      <c r="Q768" s="211">
        <f>IF($G768="PAX",Q293*'Insumos - OPEX'!M$48,Q293*'Insumos - OPEX'!M$75)</f>
        <v>130.87265373145678</v>
      </c>
      <c r="R768" s="211">
        <f>IF($G768="PAX",R293*'Insumos - OPEX'!N$48,R293*'Insumos - OPEX'!N$75)</f>
        <v>134.02448738270647</v>
      </c>
      <c r="S768" s="111"/>
    </row>
    <row r="769" spans="1:19" x14ac:dyDescent="0.2">
      <c r="A769" s="8"/>
      <c r="B769" s="8" t="s">
        <v>434</v>
      </c>
      <c r="C769" s="8" t="s">
        <v>174</v>
      </c>
      <c r="D769" s="8">
        <v>6590000002</v>
      </c>
      <c r="E769" s="8" t="s">
        <v>360</v>
      </c>
      <c r="F769" s="73" t="s">
        <v>23</v>
      </c>
      <c r="G769" s="73" t="s">
        <v>136</v>
      </c>
      <c r="H769" s="112" t="s">
        <v>61</v>
      </c>
      <c r="I769" s="13" t="s">
        <v>22</v>
      </c>
      <c r="K769" s="187"/>
      <c r="L769" s="187"/>
      <c r="M769" s="188">
        <f>IF($G769="PAX",M294*'Insumos - OPEX'!I$48,M294*'Insumos - OPEX'!I$75)</f>
        <v>103.89604501557888</v>
      </c>
      <c r="N769" s="211">
        <f>IF($G769="PAX",N294*'Insumos - OPEX'!J$48,N294*'Insumos - OPEX'!J$75)</f>
        <v>125.16825107076306</v>
      </c>
      <c r="O769" s="211">
        <f>IF($G769="PAX",O294*'Insumos - OPEX'!K$48,O294*'Insumos - OPEX'!K$75)</f>
        <v>144.88905851118403</v>
      </c>
      <c r="P769" s="211">
        <f>IF($G769="PAX",P294*'Insumos - OPEX'!L$48,P294*'Insumos - OPEX'!L$75)</f>
        <v>157.78839260597235</v>
      </c>
      <c r="Q769" s="211">
        <f>IF($G769="PAX",Q294*'Insumos - OPEX'!M$48,Q294*'Insumos - OPEX'!M$75)</f>
        <v>169.2536164270422</v>
      </c>
      <c r="R769" s="211">
        <f>IF($G769="PAX",R294*'Insumos - OPEX'!N$48,R294*'Insumos - OPEX'!N$75)</f>
        <v>181.96067871683093</v>
      </c>
      <c r="S769" s="111"/>
    </row>
    <row r="770" spans="1:19" x14ac:dyDescent="0.2">
      <c r="A770" s="8"/>
      <c r="B770" s="8" t="s">
        <v>434</v>
      </c>
      <c r="C770" s="8" t="s">
        <v>174</v>
      </c>
      <c r="D770" s="8">
        <v>6530000001</v>
      </c>
      <c r="E770" s="8" t="s">
        <v>364</v>
      </c>
      <c r="F770" s="73" t="s">
        <v>23</v>
      </c>
      <c r="G770" s="73" t="s">
        <v>136</v>
      </c>
      <c r="H770" s="112" t="s">
        <v>61</v>
      </c>
      <c r="I770" s="13" t="s">
        <v>22</v>
      </c>
      <c r="K770" s="187"/>
      <c r="L770" s="187"/>
      <c r="M770" s="188">
        <f>IF($G770="PAX",M295*'Insumos - OPEX'!I$48,M295*'Insumos - OPEX'!I$75)</f>
        <v>74.205277672503783</v>
      </c>
      <c r="N770" s="211">
        <f>IF($G770="PAX",N295*'Insumos - OPEX'!J$48,N295*'Insumos - OPEX'!J$75)</f>
        <v>89.398444619281861</v>
      </c>
      <c r="O770" s="211">
        <f>IF($G770="PAX",O295*'Insumos - OPEX'!K$48,O295*'Insumos - OPEX'!K$75)</f>
        <v>103.48356202507901</v>
      </c>
      <c r="P770" s="211">
        <f>IF($G770="PAX",P295*'Insumos - OPEX'!L$48,P295*'Insumos - OPEX'!L$75)</f>
        <v>112.69660442867226</v>
      </c>
      <c r="Q770" s="211">
        <f>IF($G770="PAX",Q295*'Insumos - OPEX'!M$48,Q295*'Insumos - OPEX'!M$75)</f>
        <v>120.88536769769104</v>
      </c>
      <c r="R770" s="211">
        <f>IF($G770="PAX",R295*'Insumos - OPEX'!N$48,R295*'Insumos - OPEX'!N$75)</f>
        <v>129.96108454017704</v>
      </c>
      <c r="S770" s="111"/>
    </row>
    <row r="771" spans="1:19" x14ac:dyDescent="0.2">
      <c r="A771" s="8"/>
      <c r="B771" s="8" t="s">
        <v>434</v>
      </c>
      <c r="C771" s="8" t="s">
        <v>174</v>
      </c>
      <c r="D771" s="8">
        <v>6561000005</v>
      </c>
      <c r="E771" s="8" t="s">
        <v>365</v>
      </c>
      <c r="F771" s="73" t="s">
        <v>23</v>
      </c>
      <c r="G771" s="73" t="s">
        <v>136</v>
      </c>
      <c r="H771" s="112" t="s">
        <v>61</v>
      </c>
      <c r="I771" s="13" t="s">
        <v>22</v>
      </c>
      <c r="J771" s="1"/>
      <c r="K771" s="187"/>
      <c r="L771" s="187"/>
      <c r="M771" s="188">
        <f>IF($G771="PAX",M296*'Insumos - OPEX'!I$48,M296*'Insumos - OPEX'!I$75)</f>
        <v>61.678408024921026</v>
      </c>
      <c r="N771" s="211">
        <f>IF($G771="PAX",N296*'Insumos - OPEX'!J$48,N296*'Insumos - OPEX'!J$75)</f>
        <v>74.306759801594623</v>
      </c>
      <c r="O771" s="211">
        <f>IF($G771="PAX",O296*'Insumos - OPEX'!K$48,O296*'Insumos - OPEX'!K$75)</f>
        <v>86.014116012399342</v>
      </c>
      <c r="P771" s="211">
        <f>IF($G771="PAX",P296*'Insumos - OPEX'!L$48,P296*'Insumos - OPEX'!L$75)</f>
        <v>93.671870370891327</v>
      </c>
      <c r="Q771" s="211">
        <f>IF($G771="PAX",Q296*'Insumos - OPEX'!M$48,Q296*'Insumos - OPEX'!M$75)</f>
        <v>100.47825797522172</v>
      </c>
      <c r="R771" s="211">
        <f>IF($G771="PAX",R296*'Insumos - OPEX'!N$48,R296*'Insumos - OPEX'!N$75)</f>
        <v>108.02186921268661</v>
      </c>
      <c r="S771" s="111"/>
    </row>
    <row r="772" spans="1:19" x14ac:dyDescent="0.2">
      <c r="A772" s="8"/>
      <c r="B772" s="8" t="s">
        <v>434</v>
      </c>
      <c r="C772" s="8" t="s">
        <v>174</v>
      </c>
      <c r="D772" s="8">
        <v>6540000001</v>
      </c>
      <c r="E772" s="8" t="s">
        <v>276</v>
      </c>
      <c r="F772" s="73" t="s">
        <v>23</v>
      </c>
      <c r="G772" s="73" t="s">
        <v>136</v>
      </c>
      <c r="H772" s="112" t="s">
        <v>61</v>
      </c>
      <c r="I772" s="13" t="s">
        <v>22</v>
      </c>
      <c r="J772" s="1"/>
      <c r="K772" s="187"/>
      <c r="L772" s="187"/>
      <c r="M772" s="188">
        <f>IF($G772="PAX",M297*'Insumos - OPEX'!I$48,M297*'Insumos - OPEX'!I$75)</f>
        <v>38.841740232125552</v>
      </c>
      <c r="N772" s="211">
        <f>IF($G772="PAX",N297*'Insumos - OPEX'!J$48,N297*'Insumos - OPEX'!J$75)</f>
        <v>46.794396193532158</v>
      </c>
      <c r="O772" s="211">
        <f>IF($G772="PAX",O297*'Insumos - OPEX'!K$48,O297*'Insumos - OPEX'!K$75)</f>
        <v>54.167058739577513</v>
      </c>
      <c r="P772" s="211">
        <f>IF($G772="PAX",P297*'Insumos - OPEX'!L$48,P297*'Insumos - OPEX'!L$75)</f>
        <v>58.989500094318579</v>
      </c>
      <c r="Q772" s="211">
        <f>IF($G772="PAX",Q297*'Insumos - OPEX'!M$48,Q297*'Insumos - OPEX'!M$75)</f>
        <v>63.275796510071444</v>
      </c>
      <c r="R772" s="211">
        <f>IF($G772="PAX",R297*'Insumos - OPEX'!N$48,R297*'Insumos - OPEX'!N$75)</f>
        <v>68.026356673351984</v>
      </c>
      <c r="S772" s="111"/>
    </row>
    <row r="773" spans="1:19" x14ac:dyDescent="0.2">
      <c r="A773" s="8"/>
      <c r="B773" s="8" t="s">
        <v>434</v>
      </c>
      <c r="C773" s="8" t="s">
        <v>174</v>
      </c>
      <c r="D773" s="8">
        <v>6562000003</v>
      </c>
      <c r="E773" s="8" t="s">
        <v>366</v>
      </c>
      <c r="F773" s="73" t="s">
        <v>23</v>
      </c>
      <c r="G773" s="73" t="s">
        <v>136</v>
      </c>
      <c r="H773" s="112" t="s">
        <v>61</v>
      </c>
      <c r="I773" s="13" t="s">
        <v>22</v>
      </c>
      <c r="K773" s="187"/>
      <c r="L773" s="187"/>
      <c r="M773" s="188">
        <f>IF($G773="PAX",M298*'Insumos - OPEX'!I$48,M298*'Insumos - OPEX'!I$75)</f>
        <v>23.816010032482652</v>
      </c>
      <c r="N773" s="211">
        <f>IF($G773="PAX",N298*'Insumos - OPEX'!J$48,N298*'Insumos - OPEX'!J$75)</f>
        <v>28.692221371878091</v>
      </c>
      <c r="O773" s="211">
        <f>IF($G773="PAX",O298*'Insumos - OPEX'!K$48,O298*'Insumos - OPEX'!K$75)</f>
        <v>33.212806806860712</v>
      </c>
      <c r="P773" s="211">
        <f>IF($G773="PAX",P298*'Insumos - OPEX'!L$48,P298*'Insumos - OPEX'!L$75)</f>
        <v>36.169711183420553</v>
      </c>
      <c r="Q773" s="211">
        <f>IF($G773="PAX",Q298*'Insumos - OPEX'!M$48,Q298*'Insumos - OPEX'!M$75)</f>
        <v>38.797875571259524</v>
      </c>
      <c r="R773" s="211">
        <f>IF($G773="PAX",R298*'Insumos - OPEX'!N$48,R298*'Insumos - OPEX'!N$75)</f>
        <v>41.710705630686817</v>
      </c>
      <c r="S773" s="111"/>
    </row>
    <row r="774" spans="1:19" x14ac:dyDescent="0.2">
      <c r="A774" s="8"/>
      <c r="B774" s="8" t="s">
        <v>434</v>
      </c>
      <c r="C774" s="8" t="s">
        <v>174</v>
      </c>
      <c r="D774" s="8">
        <v>6590000004</v>
      </c>
      <c r="E774" s="8" t="s">
        <v>380</v>
      </c>
      <c r="F774" s="73" t="s">
        <v>23</v>
      </c>
      <c r="G774" s="73" t="s">
        <v>136</v>
      </c>
      <c r="H774" s="112" t="s">
        <v>61</v>
      </c>
      <c r="I774" s="13" t="s">
        <v>22</v>
      </c>
      <c r="K774" s="187"/>
      <c r="L774" s="187"/>
      <c r="M774" s="188">
        <f>IF($G774="PAX",M299*'Insumos - OPEX'!I$48,M299*'Insumos - OPEX'!I$75)</f>
        <v>7.1773520087318969</v>
      </c>
      <c r="N774" s="211">
        <f>IF($G774="PAX",N299*'Insumos - OPEX'!J$48,N299*'Insumos - OPEX'!J$75)</f>
        <v>8.6468796585807564</v>
      </c>
      <c r="O774" s="211">
        <f>IF($G774="PAX",O299*'Insumos - OPEX'!K$48,O299*'Insumos - OPEX'!K$75)</f>
        <v>10.009233508287901</v>
      </c>
      <c r="P774" s="211">
        <f>IF($G774="PAX",P299*'Insumos - OPEX'!L$48,P299*'Insumos - OPEX'!L$75)</f>
        <v>10.900345980015288</v>
      </c>
      <c r="Q774" s="211">
        <f>IF($G774="PAX",Q299*'Insumos - OPEX'!M$48,Q299*'Insumos - OPEX'!M$75)</f>
        <v>11.692387170903521</v>
      </c>
      <c r="R774" s="211">
        <f>IF($G774="PAX",R299*'Insumos - OPEX'!N$48,R299*'Insumos - OPEX'!N$75)</f>
        <v>12.570217111754696</v>
      </c>
      <c r="S774" s="111"/>
    </row>
    <row r="775" spans="1:19" x14ac:dyDescent="0.2">
      <c r="A775" s="8"/>
      <c r="B775" s="8" t="s">
        <v>434</v>
      </c>
      <c r="C775" s="8" t="s">
        <v>174</v>
      </c>
      <c r="D775" s="8">
        <v>6562000005</v>
      </c>
      <c r="E775" s="8" t="s">
        <v>367</v>
      </c>
      <c r="F775" s="73" t="s">
        <v>23</v>
      </c>
      <c r="G775" s="73" t="s">
        <v>136</v>
      </c>
      <c r="H775" s="112" t="s">
        <v>61</v>
      </c>
      <c r="I775" s="13" t="s">
        <v>22</v>
      </c>
      <c r="K775" s="187"/>
      <c r="L775" s="187"/>
      <c r="M775" s="188">
        <f>IF($G775="PAX",M300*'Insumos - OPEX'!I$48,M300*'Insumos - OPEX'!I$75)</f>
        <v>1.9392851706940759E-2</v>
      </c>
      <c r="N775" s="211">
        <f>IF($G775="PAX",N300*'Insumos - OPEX'!J$48,N300*'Insumos - OPEX'!J$75)</f>
        <v>2.3363443055685718E-2</v>
      </c>
      <c r="O775" s="211">
        <f>IF($G775="PAX",O300*'Insumos - OPEX'!K$48,O300*'Insumos - OPEX'!K$75)</f>
        <v>2.7044456073802736E-2</v>
      </c>
      <c r="P775" s="211">
        <f>IF($G775="PAX",P300*'Insumos - OPEX'!L$48,P300*'Insumos - OPEX'!L$75)</f>
        <v>2.9452198093058664E-2</v>
      </c>
      <c r="Q775" s="211">
        <f>IF($G775="PAX",Q300*'Insumos - OPEX'!M$48,Q300*'Insumos - OPEX'!M$75)</f>
        <v>3.1592254389865272E-2</v>
      </c>
      <c r="R775" s="211">
        <f>IF($G775="PAX",R300*'Insumos - OPEX'!N$48,R300*'Insumos - OPEX'!N$75)</f>
        <v>3.3964107664739986E-2</v>
      </c>
      <c r="S775" s="111"/>
    </row>
    <row r="776" spans="1:19" x14ac:dyDescent="0.2">
      <c r="A776" s="8"/>
      <c r="B776" s="8" t="s">
        <v>434</v>
      </c>
      <c r="C776" s="8" t="s">
        <v>174</v>
      </c>
      <c r="D776" s="8">
        <v>6380000005</v>
      </c>
      <c r="E776" s="8" t="s">
        <v>274</v>
      </c>
      <c r="F776" s="73" t="s">
        <v>23</v>
      </c>
      <c r="G776" s="73" t="s">
        <v>136</v>
      </c>
      <c r="H776" s="112" t="s">
        <v>61</v>
      </c>
      <c r="I776" s="13" t="s">
        <v>22</v>
      </c>
      <c r="K776" s="187"/>
      <c r="L776" s="187"/>
      <c r="M776" s="188">
        <f>IF($G776="PAX",M301*'Insumos - OPEX'!I$48,M301*'Insumos - OPEX'!I$75)</f>
        <v>0</v>
      </c>
      <c r="N776" s="211">
        <f>IF($G776="PAX",N301*'Insumos - OPEX'!J$48,N301*'Insumos - OPEX'!J$75)</f>
        <v>0</v>
      </c>
      <c r="O776" s="211">
        <f>IF($G776="PAX",O301*'Insumos - OPEX'!K$48,O301*'Insumos - OPEX'!K$75)</f>
        <v>0</v>
      </c>
      <c r="P776" s="211">
        <f>IF($G776="PAX",P301*'Insumos - OPEX'!L$48,P301*'Insumos - OPEX'!L$75)</f>
        <v>0</v>
      </c>
      <c r="Q776" s="211">
        <f>IF($G776="PAX",Q301*'Insumos - OPEX'!M$48,Q301*'Insumos - OPEX'!M$75)</f>
        <v>0</v>
      </c>
      <c r="R776" s="211">
        <f>IF($G776="PAX",R301*'Insumos - OPEX'!N$48,R301*'Insumos - OPEX'!N$75)</f>
        <v>0</v>
      </c>
      <c r="S776" s="111"/>
    </row>
    <row r="777" spans="1:19" x14ac:dyDescent="0.2">
      <c r="A777" s="8"/>
      <c r="B777" s="8" t="s">
        <v>434</v>
      </c>
      <c r="C777" s="8" t="s">
        <v>174</v>
      </c>
      <c r="D777" s="8">
        <v>6563000005</v>
      </c>
      <c r="E777" s="8" t="s">
        <v>376</v>
      </c>
      <c r="F777" s="73" t="s">
        <v>23</v>
      </c>
      <c r="G777" s="73" t="s">
        <v>136</v>
      </c>
      <c r="H777" s="112" t="s">
        <v>61</v>
      </c>
      <c r="I777" s="13" t="s">
        <v>22</v>
      </c>
      <c r="K777" s="187"/>
      <c r="L777" s="187"/>
      <c r="M777" s="188">
        <f>IF($G777="PAX",M302*'Insumos - OPEX'!I$48,M302*'Insumos - OPEX'!I$75)</f>
        <v>0</v>
      </c>
      <c r="N777" s="211">
        <f>IF($G777="PAX",N302*'Insumos - OPEX'!J$48,N302*'Insumos - OPEX'!J$75)</f>
        <v>0</v>
      </c>
      <c r="O777" s="211">
        <f>IF($G777="PAX",O302*'Insumos - OPEX'!K$48,O302*'Insumos - OPEX'!K$75)</f>
        <v>0</v>
      </c>
      <c r="P777" s="211">
        <f>IF($G777="PAX",P302*'Insumos - OPEX'!L$48,P302*'Insumos - OPEX'!L$75)</f>
        <v>0</v>
      </c>
      <c r="Q777" s="211">
        <f>IF($G777="PAX",Q302*'Insumos - OPEX'!M$48,Q302*'Insumos - OPEX'!M$75)</f>
        <v>0</v>
      </c>
      <c r="R777" s="211">
        <f>IF($G777="PAX",R302*'Insumos - OPEX'!N$48,R302*'Insumos - OPEX'!N$75)</f>
        <v>0</v>
      </c>
      <c r="S777" s="111"/>
    </row>
    <row r="778" spans="1:19" x14ac:dyDescent="0.2">
      <c r="A778" s="8"/>
      <c r="B778" s="8" t="s">
        <v>434</v>
      </c>
      <c r="C778" s="8" t="s">
        <v>174</v>
      </c>
      <c r="D778" s="8">
        <v>6563000003</v>
      </c>
      <c r="E778" s="8" t="s">
        <v>387</v>
      </c>
      <c r="F778" s="73" t="s">
        <v>23</v>
      </c>
      <c r="G778" s="73" t="s">
        <v>136</v>
      </c>
      <c r="H778" s="112" t="s">
        <v>61</v>
      </c>
      <c r="I778" s="13" t="s">
        <v>22</v>
      </c>
      <c r="K778" s="187"/>
      <c r="L778" s="187"/>
      <c r="M778" s="188">
        <f>IF($G778="PAX",M303*'Insumos - OPEX'!I$48,M303*'Insumos - OPEX'!I$75)</f>
        <v>0</v>
      </c>
      <c r="N778" s="211">
        <f>IF($G778="PAX",N303*'Insumos - OPEX'!J$48,N303*'Insumos - OPEX'!J$75)</f>
        <v>0</v>
      </c>
      <c r="O778" s="211">
        <f>IF($G778="PAX",O303*'Insumos - OPEX'!K$48,O303*'Insumos - OPEX'!K$75)</f>
        <v>0</v>
      </c>
      <c r="P778" s="211">
        <f>IF($G778="PAX",P303*'Insumos - OPEX'!L$48,P303*'Insumos - OPEX'!L$75)</f>
        <v>0</v>
      </c>
      <c r="Q778" s="211">
        <f>IF($G778="PAX",Q303*'Insumos - OPEX'!M$48,Q303*'Insumos - OPEX'!M$75)</f>
        <v>0</v>
      </c>
      <c r="R778" s="211">
        <f>IF($G778="PAX",R303*'Insumos - OPEX'!N$48,R303*'Insumos - OPEX'!N$75)</f>
        <v>0</v>
      </c>
      <c r="S778" s="111"/>
    </row>
    <row r="779" spans="1:19" x14ac:dyDescent="0.2">
      <c r="A779" s="8"/>
      <c r="B779" s="8" t="s">
        <v>434</v>
      </c>
      <c r="C779" s="8" t="s">
        <v>174</v>
      </c>
      <c r="D779" s="8">
        <v>6430000003</v>
      </c>
      <c r="E779" s="8" t="s">
        <v>386</v>
      </c>
      <c r="F779" s="73" t="s">
        <v>23</v>
      </c>
      <c r="G779" s="73" t="s">
        <v>136</v>
      </c>
      <c r="H779" s="112" t="s">
        <v>61</v>
      </c>
      <c r="I779" s="13" t="s">
        <v>22</v>
      </c>
      <c r="K779" s="187"/>
      <c r="L779" s="187"/>
      <c r="M779" s="188">
        <f>IF($G779="PAX",M304*'Insumos - OPEX'!I$48,M304*'Insumos - OPEX'!I$75)</f>
        <v>0</v>
      </c>
      <c r="N779" s="211">
        <f>IF($G779="PAX",N304*'Insumos - OPEX'!J$48,N304*'Insumos - OPEX'!J$75)</f>
        <v>0</v>
      </c>
      <c r="O779" s="211">
        <f>IF($G779="PAX",O304*'Insumos - OPEX'!K$48,O304*'Insumos - OPEX'!K$75)</f>
        <v>0</v>
      </c>
      <c r="P779" s="211">
        <f>IF($G779="PAX",P304*'Insumos - OPEX'!L$48,P304*'Insumos - OPEX'!L$75)</f>
        <v>0</v>
      </c>
      <c r="Q779" s="211">
        <f>IF($G779="PAX",Q304*'Insumos - OPEX'!M$48,Q304*'Insumos - OPEX'!M$75)</f>
        <v>0</v>
      </c>
      <c r="R779" s="211">
        <f>IF($G779="PAX",R304*'Insumos - OPEX'!N$48,R304*'Insumos - OPEX'!N$75)</f>
        <v>0</v>
      </c>
      <c r="S779" s="111"/>
    </row>
    <row r="780" spans="1:19" x14ac:dyDescent="0.2">
      <c r="A780" s="8"/>
      <c r="B780" s="8" t="s">
        <v>434</v>
      </c>
      <c r="C780" s="8" t="s">
        <v>174</v>
      </c>
      <c r="D780" s="8">
        <v>6391000003</v>
      </c>
      <c r="E780" s="8" t="s">
        <v>378</v>
      </c>
      <c r="F780" s="73" t="s">
        <v>23</v>
      </c>
      <c r="G780" s="73" t="s">
        <v>136</v>
      </c>
      <c r="H780" s="112" t="s">
        <v>61</v>
      </c>
      <c r="I780" s="13" t="s">
        <v>22</v>
      </c>
      <c r="K780" s="187"/>
      <c r="L780" s="187"/>
      <c r="M780" s="188">
        <f>IF($G780="PAX",M305*'Insumos - OPEX'!I$48,M305*'Insumos - OPEX'!I$75)</f>
        <v>0</v>
      </c>
      <c r="N780" s="211">
        <f>IF($G780="PAX",N305*'Insumos - OPEX'!J$48,N305*'Insumos - OPEX'!J$75)</f>
        <v>0</v>
      </c>
      <c r="O780" s="211">
        <f>IF($G780="PAX",O305*'Insumos - OPEX'!K$48,O305*'Insumos - OPEX'!K$75)</f>
        <v>0</v>
      </c>
      <c r="P780" s="211">
        <f>IF($G780="PAX",P305*'Insumos - OPEX'!L$48,P305*'Insumos - OPEX'!L$75)</f>
        <v>0</v>
      </c>
      <c r="Q780" s="211">
        <f>IF($G780="PAX",Q305*'Insumos - OPEX'!M$48,Q305*'Insumos - OPEX'!M$75)</f>
        <v>0</v>
      </c>
      <c r="R780" s="211">
        <f>IF($G780="PAX",R305*'Insumos - OPEX'!N$48,R305*'Insumos - OPEX'!N$75)</f>
        <v>0</v>
      </c>
      <c r="S780" s="111"/>
    </row>
    <row r="781" spans="1:19" x14ac:dyDescent="0.2">
      <c r="A781" s="8"/>
      <c r="B781" s="8" t="s">
        <v>434</v>
      </c>
      <c r="C781" s="8" t="s">
        <v>174</v>
      </c>
      <c r="D781" s="8">
        <v>6391000001</v>
      </c>
      <c r="E781" s="8" t="s">
        <v>363</v>
      </c>
      <c r="F781" s="73" t="s">
        <v>23</v>
      </c>
      <c r="G781" s="73" t="s">
        <v>136</v>
      </c>
      <c r="H781" s="112" t="s">
        <v>61</v>
      </c>
      <c r="I781" s="13" t="s">
        <v>22</v>
      </c>
      <c r="K781" s="187"/>
      <c r="L781" s="187"/>
      <c r="M781" s="188">
        <f>IF($G781="PAX",M306*'Insumos - OPEX'!I$48,M306*'Insumos - OPEX'!I$75)</f>
        <v>0</v>
      </c>
      <c r="N781" s="211">
        <f>IF($G781="PAX",N306*'Insumos - OPEX'!J$48,N306*'Insumos - OPEX'!J$75)</f>
        <v>0</v>
      </c>
      <c r="O781" s="211">
        <f>IF($G781="PAX",O306*'Insumos - OPEX'!K$48,O306*'Insumos - OPEX'!K$75)</f>
        <v>0</v>
      </c>
      <c r="P781" s="211">
        <f>IF($G781="PAX",P306*'Insumos - OPEX'!L$48,P306*'Insumos - OPEX'!L$75)</f>
        <v>0</v>
      </c>
      <c r="Q781" s="211">
        <f>IF($G781="PAX",Q306*'Insumos - OPEX'!M$48,Q306*'Insumos - OPEX'!M$75)</f>
        <v>0</v>
      </c>
      <c r="R781" s="211">
        <f>IF($G781="PAX",R306*'Insumos - OPEX'!N$48,R306*'Insumos - OPEX'!N$75)</f>
        <v>0</v>
      </c>
      <c r="S781" s="111"/>
    </row>
    <row r="782" spans="1:19" x14ac:dyDescent="0.2">
      <c r="A782" s="8"/>
      <c r="B782" s="8" t="s">
        <v>434</v>
      </c>
      <c r="C782" s="8" t="s">
        <v>174</v>
      </c>
      <c r="D782" s="8">
        <v>6590000006</v>
      </c>
      <c r="E782" s="8" t="s">
        <v>272</v>
      </c>
      <c r="F782" s="73" t="s">
        <v>23</v>
      </c>
      <c r="G782" s="73" t="s">
        <v>136</v>
      </c>
      <c r="H782" s="112" t="s">
        <v>61</v>
      </c>
      <c r="I782" s="13" t="s">
        <v>22</v>
      </c>
      <c r="K782" s="187"/>
      <c r="L782" s="187"/>
      <c r="M782" s="188">
        <f>IF($G782="PAX",M307*'Insumos - OPEX'!I$48,M307*'Insumos - OPEX'!I$75)</f>
        <v>0</v>
      </c>
      <c r="N782" s="211">
        <f>IF($G782="PAX",N307*'Insumos - OPEX'!J$48,N307*'Insumos - OPEX'!J$75)</f>
        <v>0</v>
      </c>
      <c r="O782" s="211">
        <f>IF($G782="PAX",O307*'Insumos - OPEX'!K$48,O307*'Insumos - OPEX'!K$75)</f>
        <v>0</v>
      </c>
      <c r="P782" s="211">
        <f>IF($G782="PAX",P307*'Insumos - OPEX'!L$48,P307*'Insumos - OPEX'!L$75)</f>
        <v>0</v>
      </c>
      <c r="Q782" s="211">
        <f>IF($G782="PAX",Q307*'Insumos - OPEX'!M$48,Q307*'Insumos - OPEX'!M$75)</f>
        <v>0</v>
      </c>
      <c r="R782" s="211">
        <f>IF($G782="PAX",R307*'Insumos - OPEX'!N$48,R307*'Insumos - OPEX'!N$75)</f>
        <v>0</v>
      </c>
      <c r="S782" s="111"/>
    </row>
    <row r="783" spans="1:19" s="3" customFormat="1" x14ac:dyDescent="0.2">
      <c r="A783" s="8"/>
      <c r="B783" s="8" t="s">
        <v>434</v>
      </c>
      <c r="C783" s="8" t="s">
        <v>174</v>
      </c>
      <c r="D783" s="8">
        <v>6562000001</v>
      </c>
      <c r="E783" s="8" t="s">
        <v>373</v>
      </c>
      <c r="F783" s="73" t="s">
        <v>23</v>
      </c>
      <c r="G783" s="73" t="s">
        <v>136</v>
      </c>
      <c r="H783" s="112" t="s">
        <v>61</v>
      </c>
      <c r="I783" s="13" t="s">
        <v>22</v>
      </c>
      <c r="J783" s="11"/>
      <c r="K783" s="187"/>
      <c r="L783" s="187"/>
      <c r="M783" s="188">
        <f>IF($G783="PAX",M308*'Insumos - OPEX'!I$48,M308*'Insumos - OPEX'!I$75)</f>
        <v>0</v>
      </c>
      <c r="N783" s="211">
        <f>IF($G783="PAX",N308*'Insumos - OPEX'!J$48,N308*'Insumos - OPEX'!J$75)</f>
        <v>0</v>
      </c>
      <c r="O783" s="211">
        <f>IF($G783="PAX",O308*'Insumos - OPEX'!K$48,O308*'Insumos - OPEX'!K$75)</f>
        <v>0</v>
      </c>
      <c r="P783" s="211">
        <f>IF($G783="PAX",P308*'Insumos - OPEX'!L$48,P308*'Insumos - OPEX'!L$75)</f>
        <v>0</v>
      </c>
      <c r="Q783" s="211">
        <f>IF($G783="PAX",Q308*'Insumos - OPEX'!M$48,Q308*'Insumos - OPEX'!M$75)</f>
        <v>0</v>
      </c>
      <c r="R783" s="211">
        <f>IF($G783="PAX",R308*'Insumos - OPEX'!N$48,R308*'Insumos - OPEX'!N$75)</f>
        <v>0</v>
      </c>
      <c r="S783" s="111"/>
    </row>
    <row r="784" spans="1:19" x14ac:dyDescent="0.2">
      <c r="A784" s="8"/>
      <c r="B784" s="8" t="s">
        <v>434</v>
      </c>
      <c r="C784" s="8" t="s">
        <v>174</v>
      </c>
      <c r="D784" s="8">
        <v>6563000004</v>
      </c>
      <c r="E784" s="8" t="s">
        <v>370</v>
      </c>
      <c r="F784" s="73" t="s">
        <v>23</v>
      </c>
      <c r="G784" s="73" t="s">
        <v>136</v>
      </c>
      <c r="H784" s="112" t="s">
        <v>61</v>
      </c>
      <c r="I784" s="13" t="s">
        <v>22</v>
      </c>
      <c r="K784" s="187"/>
      <c r="L784" s="187"/>
      <c r="M784" s="188">
        <f>IF($G784="PAX",M309*'Insumos - OPEX'!I$48,M309*'Insumos - OPEX'!I$75)</f>
        <v>0</v>
      </c>
      <c r="N784" s="211">
        <f>IF($G784="PAX",N309*'Insumos - OPEX'!J$48,N309*'Insumos - OPEX'!J$75)</f>
        <v>0</v>
      </c>
      <c r="O784" s="211">
        <f>IF($G784="PAX",O309*'Insumos - OPEX'!K$48,O309*'Insumos - OPEX'!K$75)</f>
        <v>0</v>
      </c>
      <c r="P784" s="211">
        <f>IF($G784="PAX",P309*'Insumos - OPEX'!L$48,P309*'Insumos - OPEX'!L$75)</f>
        <v>0</v>
      </c>
      <c r="Q784" s="211">
        <f>IF($G784="PAX",Q309*'Insumos - OPEX'!M$48,Q309*'Insumos - OPEX'!M$75)</f>
        <v>0</v>
      </c>
      <c r="R784" s="211">
        <f>IF($G784="PAX",R309*'Insumos - OPEX'!N$48,R309*'Insumos - OPEX'!N$75)</f>
        <v>0</v>
      </c>
      <c r="S784" s="111"/>
    </row>
    <row r="785" spans="1:19" x14ac:dyDescent="0.2">
      <c r="A785" s="8"/>
      <c r="B785" s="8" t="s">
        <v>434</v>
      </c>
      <c r="C785" s="8" t="s">
        <v>174</v>
      </c>
      <c r="D785" s="8">
        <v>6410000002</v>
      </c>
      <c r="E785" s="8" t="s">
        <v>357</v>
      </c>
      <c r="F785" s="73" t="s">
        <v>23</v>
      </c>
      <c r="G785" s="73" t="s">
        <v>136</v>
      </c>
      <c r="H785" s="112" t="s">
        <v>61</v>
      </c>
      <c r="I785" s="13" t="s">
        <v>22</v>
      </c>
      <c r="K785" s="187"/>
      <c r="L785" s="187"/>
      <c r="M785" s="188">
        <f>IF($G785="PAX",M310*'Insumos - OPEX'!I$48,M310*'Insumos - OPEX'!I$75)</f>
        <v>0</v>
      </c>
      <c r="N785" s="211">
        <f>IF($G785="PAX",N310*'Insumos - OPEX'!J$48,N310*'Insumos - OPEX'!J$75)</f>
        <v>0</v>
      </c>
      <c r="O785" s="211">
        <f>IF($G785="PAX",O310*'Insumos - OPEX'!K$48,O310*'Insumos - OPEX'!K$75)</f>
        <v>0</v>
      </c>
      <c r="P785" s="211">
        <f>IF($G785="PAX",P310*'Insumos - OPEX'!L$48,P310*'Insumos - OPEX'!L$75)</f>
        <v>0</v>
      </c>
      <c r="Q785" s="211">
        <f>IF($G785="PAX",Q310*'Insumos - OPEX'!M$48,Q310*'Insumos - OPEX'!M$75)</f>
        <v>0</v>
      </c>
      <c r="R785" s="211">
        <f>IF($G785="PAX",R310*'Insumos - OPEX'!N$48,R310*'Insumos - OPEX'!N$75)</f>
        <v>0</v>
      </c>
      <c r="S785" s="111"/>
    </row>
    <row r="786" spans="1:19" x14ac:dyDescent="0.2">
      <c r="A786" s="8"/>
      <c r="B786" s="8" t="s">
        <v>434</v>
      </c>
      <c r="C786" s="8" t="s">
        <v>174</v>
      </c>
      <c r="D786" s="8">
        <v>6590000001</v>
      </c>
      <c r="E786" s="8" t="s">
        <v>369</v>
      </c>
      <c r="F786" s="73" t="s">
        <v>23</v>
      </c>
      <c r="G786" s="73" t="s">
        <v>136</v>
      </c>
      <c r="H786" s="112" t="s">
        <v>61</v>
      </c>
      <c r="I786" s="13" t="s">
        <v>22</v>
      </c>
      <c r="K786" s="187"/>
      <c r="L786" s="187"/>
      <c r="M786" s="188">
        <f>IF($G786="PAX",M311*'Insumos - OPEX'!I$48,M311*'Insumos - OPEX'!I$75)</f>
        <v>0</v>
      </c>
      <c r="N786" s="211">
        <f>IF($G786="PAX",N311*'Insumos - OPEX'!J$48,N311*'Insumos - OPEX'!J$75)</f>
        <v>0</v>
      </c>
      <c r="O786" s="211">
        <f>IF($G786="PAX",O311*'Insumos - OPEX'!K$48,O311*'Insumos - OPEX'!K$75)</f>
        <v>0</v>
      </c>
      <c r="P786" s="211">
        <f>IF($G786="PAX",P311*'Insumos - OPEX'!L$48,P311*'Insumos - OPEX'!L$75)</f>
        <v>0</v>
      </c>
      <c r="Q786" s="211">
        <f>IF($G786="PAX",Q311*'Insumos - OPEX'!M$48,Q311*'Insumos - OPEX'!M$75)</f>
        <v>0</v>
      </c>
      <c r="R786" s="211">
        <f>IF($G786="PAX",R311*'Insumos - OPEX'!N$48,R311*'Insumos - OPEX'!N$75)</f>
        <v>0</v>
      </c>
      <c r="S786" s="111"/>
    </row>
    <row r="787" spans="1:19" x14ac:dyDescent="0.2">
      <c r="A787" s="8"/>
      <c r="B787" s="8" t="s">
        <v>434</v>
      </c>
      <c r="C787" s="8" t="s">
        <v>174</v>
      </c>
      <c r="D787" s="8">
        <v>6562000004</v>
      </c>
      <c r="E787" s="8" t="s">
        <v>377</v>
      </c>
      <c r="F787" s="73" t="s">
        <v>23</v>
      </c>
      <c r="G787" s="73" t="s">
        <v>136</v>
      </c>
      <c r="H787" s="112" t="s">
        <v>61</v>
      </c>
      <c r="I787" s="13" t="s">
        <v>22</v>
      </c>
      <c r="K787" s="187"/>
      <c r="L787" s="187"/>
      <c r="M787" s="188">
        <f>IF($G787="PAX",M312*'Insumos - OPEX'!I$48,M312*'Insumos - OPEX'!I$75)</f>
        <v>0</v>
      </c>
      <c r="N787" s="211">
        <f>IF($G787="PAX",N312*'Insumos - OPEX'!J$48,N312*'Insumos - OPEX'!J$75)</f>
        <v>0</v>
      </c>
      <c r="O787" s="211">
        <f>IF($G787="PAX",O312*'Insumos - OPEX'!K$48,O312*'Insumos - OPEX'!K$75)</f>
        <v>0</v>
      </c>
      <c r="P787" s="211">
        <f>IF($G787="PAX",P312*'Insumos - OPEX'!L$48,P312*'Insumos - OPEX'!L$75)</f>
        <v>0</v>
      </c>
      <c r="Q787" s="211">
        <f>IF($G787="PAX",Q312*'Insumos - OPEX'!M$48,Q312*'Insumos - OPEX'!M$75)</f>
        <v>0</v>
      </c>
      <c r="R787" s="211">
        <f>IF($G787="PAX",R312*'Insumos - OPEX'!N$48,R312*'Insumos - OPEX'!N$75)</f>
        <v>0</v>
      </c>
      <c r="S787" s="111"/>
    </row>
    <row r="788" spans="1:19" x14ac:dyDescent="0.2">
      <c r="A788" s="8"/>
      <c r="B788" s="8" t="s">
        <v>434</v>
      </c>
      <c r="C788" s="8" t="s">
        <v>174</v>
      </c>
      <c r="D788" s="8">
        <v>6590000003</v>
      </c>
      <c r="E788" s="8" t="s">
        <v>372</v>
      </c>
      <c r="F788" s="73" t="s">
        <v>23</v>
      </c>
      <c r="G788" s="73" t="s">
        <v>136</v>
      </c>
      <c r="H788" s="112" t="s">
        <v>61</v>
      </c>
      <c r="I788" s="13" t="s">
        <v>22</v>
      </c>
      <c r="K788" s="187"/>
      <c r="L788" s="187"/>
      <c r="M788" s="188">
        <f>IF($G788="PAX",M313*'Insumos - OPEX'!I$48,M313*'Insumos - OPEX'!I$75)</f>
        <v>0</v>
      </c>
      <c r="N788" s="211">
        <f>IF($G788="PAX",N313*'Insumos - OPEX'!J$48,N313*'Insumos - OPEX'!J$75)</f>
        <v>0</v>
      </c>
      <c r="O788" s="211">
        <f>IF($G788="PAX",O313*'Insumos - OPEX'!K$48,O313*'Insumos - OPEX'!K$75)</f>
        <v>0</v>
      </c>
      <c r="P788" s="211">
        <f>IF($G788="PAX",P313*'Insumos - OPEX'!L$48,P313*'Insumos - OPEX'!L$75)</f>
        <v>0</v>
      </c>
      <c r="Q788" s="211">
        <f>IF($G788="PAX",Q313*'Insumos - OPEX'!M$48,Q313*'Insumos - OPEX'!M$75)</f>
        <v>0</v>
      </c>
      <c r="R788" s="211">
        <f>IF($G788="PAX",R313*'Insumos - OPEX'!N$48,R313*'Insumos - OPEX'!N$75)</f>
        <v>0</v>
      </c>
      <c r="S788" s="111"/>
    </row>
    <row r="789" spans="1:19" x14ac:dyDescent="0.2">
      <c r="A789" s="8"/>
      <c r="B789" s="8" t="s">
        <v>434</v>
      </c>
      <c r="C789" s="8" t="s">
        <v>174</v>
      </c>
      <c r="D789" s="8">
        <v>6590000007</v>
      </c>
      <c r="E789" s="8" t="s">
        <v>382</v>
      </c>
      <c r="F789" s="73" t="s">
        <v>23</v>
      </c>
      <c r="G789" s="73" t="s">
        <v>136</v>
      </c>
      <c r="H789" s="112" t="s">
        <v>61</v>
      </c>
      <c r="I789" s="13" t="s">
        <v>22</v>
      </c>
      <c r="K789" s="187"/>
      <c r="L789" s="187"/>
      <c r="M789" s="188">
        <f>IF($G789="PAX",M314*'Insumos - OPEX'!I$48,M314*'Insumos - OPEX'!I$75)</f>
        <v>0</v>
      </c>
      <c r="N789" s="211">
        <f>IF($G789="PAX",N314*'Insumos - OPEX'!J$48,N314*'Insumos - OPEX'!J$75)</f>
        <v>0</v>
      </c>
      <c r="O789" s="211">
        <f>IF($G789="PAX",O314*'Insumos - OPEX'!K$48,O314*'Insumos - OPEX'!K$75)</f>
        <v>0</v>
      </c>
      <c r="P789" s="211">
        <f>IF($G789="PAX",P314*'Insumos - OPEX'!L$48,P314*'Insumos - OPEX'!L$75)</f>
        <v>0</v>
      </c>
      <c r="Q789" s="211">
        <f>IF($G789="PAX",Q314*'Insumos - OPEX'!M$48,Q314*'Insumos - OPEX'!M$75)</f>
        <v>0</v>
      </c>
      <c r="R789" s="211">
        <f>IF($G789="PAX",R314*'Insumos - OPEX'!N$48,R314*'Insumos - OPEX'!N$75)</f>
        <v>0</v>
      </c>
      <c r="S789" s="111"/>
    </row>
    <row r="790" spans="1:19" x14ac:dyDescent="0.2">
      <c r="A790" s="8"/>
      <c r="B790" s="8" t="s">
        <v>434</v>
      </c>
      <c r="C790" s="8" t="s">
        <v>174</v>
      </c>
      <c r="D790" s="8">
        <v>6590000005</v>
      </c>
      <c r="E790" s="8" t="s">
        <v>379</v>
      </c>
      <c r="F790" s="73" t="s">
        <v>23</v>
      </c>
      <c r="G790" s="73" t="s">
        <v>136</v>
      </c>
      <c r="H790" s="112" t="s">
        <v>61</v>
      </c>
      <c r="I790" s="13" t="s">
        <v>22</v>
      </c>
      <c r="K790" s="187"/>
      <c r="L790" s="187"/>
      <c r="M790" s="188">
        <f>IF($G790="PAX",M315*'Insumos - OPEX'!I$48,M315*'Insumos - OPEX'!I$75)</f>
        <v>0</v>
      </c>
      <c r="N790" s="211">
        <f>IF($G790="PAX",N315*'Insumos - OPEX'!J$48,N315*'Insumos - OPEX'!J$75)</f>
        <v>0</v>
      </c>
      <c r="O790" s="211">
        <f>IF($G790="PAX",O315*'Insumos - OPEX'!K$48,O315*'Insumos - OPEX'!K$75)</f>
        <v>0</v>
      </c>
      <c r="P790" s="211">
        <f>IF($G790="PAX",P315*'Insumos - OPEX'!L$48,P315*'Insumos - OPEX'!L$75)</f>
        <v>0</v>
      </c>
      <c r="Q790" s="211">
        <f>IF($G790="PAX",Q315*'Insumos - OPEX'!M$48,Q315*'Insumos - OPEX'!M$75)</f>
        <v>0</v>
      </c>
      <c r="R790" s="211">
        <f>IF($G790="PAX",R315*'Insumos - OPEX'!N$48,R315*'Insumos - OPEX'!N$75)</f>
        <v>0</v>
      </c>
      <c r="S790" s="111"/>
    </row>
    <row r="791" spans="1:19" x14ac:dyDescent="0.2">
      <c r="A791" s="8"/>
      <c r="B791" s="8" t="s">
        <v>434</v>
      </c>
      <c r="C791" s="8" t="s">
        <v>174</v>
      </c>
      <c r="D791" s="8">
        <v>6590000010</v>
      </c>
      <c r="E791" s="8" t="s">
        <v>381</v>
      </c>
      <c r="F791" s="73" t="s">
        <v>23</v>
      </c>
      <c r="G791" s="73" t="s">
        <v>136</v>
      </c>
      <c r="H791" s="112" t="s">
        <v>61</v>
      </c>
      <c r="I791" s="13" t="s">
        <v>22</v>
      </c>
      <c r="K791" s="187"/>
      <c r="L791" s="187"/>
      <c r="M791" s="188">
        <f>IF($G791="PAX",M316*'Insumos - OPEX'!I$48,M316*'Insumos - OPEX'!I$75)</f>
        <v>0</v>
      </c>
      <c r="N791" s="211">
        <f>IF($G791="PAX",N316*'Insumos - OPEX'!J$48,N316*'Insumos - OPEX'!J$75)</f>
        <v>0</v>
      </c>
      <c r="O791" s="211">
        <f>IF($G791="PAX",O316*'Insumos - OPEX'!K$48,O316*'Insumos - OPEX'!K$75)</f>
        <v>0</v>
      </c>
      <c r="P791" s="211">
        <f>IF($G791="PAX",P316*'Insumos - OPEX'!L$48,P316*'Insumos - OPEX'!L$75)</f>
        <v>0</v>
      </c>
      <c r="Q791" s="211">
        <f>IF($G791="PAX",Q316*'Insumos - OPEX'!M$48,Q316*'Insumos - OPEX'!M$75)</f>
        <v>0</v>
      </c>
      <c r="R791" s="211">
        <f>IF($G791="PAX",R316*'Insumos - OPEX'!N$48,R316*'Insumos - OPEX'!N$75)</f>
        <v>0</v>
      </c>
      <c r="S791" s="111"/>
    </row>
    <row r="792" spans="1:19" x14ac:dyDescent="0.2">
      <c r="A792" s="8"/>
      <c r="B792" s="8" t="s">
        <v>434</v>
      </c>
      <c r="C792" s="8" t="s">
        <v>174</v>
      </c>
      <c r="D792" s="8">
        <v>6390000001</v>
      </c>
      <c r="E792" s="8" t="s">
        <v>368</v>
      </c>
      <c r="F792" s="73" t="s">
        <v>23</v>
      </c>
      <c r="G792" s="73" t="s">
        <v>136</v>
      </c>
      <c r="H792" s="112" t="s">
        <v>61</v>
      </c>
      <c r="I792" s="13" t="s">
        <v>22</v>
      </c>
      <c r="K792" s="187"/>
      <c r="L792" s="187"/>
      <c r="M792" s="188">
        <f>IF($G792="PAX",M317*'Insumos - OPEX'!I$48,M317*'Insumos - OPEX'!I$75)</f>
        <v>0</v>
      </c>
      <c r="N792" s="211">
        <f>IF($G792="PAX",N317*'Insumos - OPEX'!J$48,N317*'Insumos - OPEX'!J$75)</f>
        <v>0</v>
      </c>
      <c r="O792" s="211">
        <f>IF($G792="PAX",O317*'Insumos - OPEX'!K$48,O317*'Insumos - OPEX'!K$75)</f>
        <v>0</v>
      </c>
      <c r="P792" s="211">
        <f>IF($G792="PAX",P317*'Insumos - OPEX'!L$48,P317*'Insumos - OPEX'!L$75)</f>
        <v>0</v>
      </c>
      <c r="Q792" s="211">
        <f>IF($G792="PAX",Q317*'Insumos - OPEX'!M$48,Q317*'Insumos - OPEX'!M$75)</f>
        <v>0</v>
      </c>
      <c r="R792" s="211">
        <f>IF($G792="PAX",R317*'Insumos - OPEX'!N$48,R317*'Insumos - OPEX'!N$75)</f>
        <v>0</v>
      </c>
      <c r="S792" s="111"/>
    </row>
    <row r="793" spans="1:19" s="3" customFormat="1" x14ac:dyDescent="0.2">
      <c r="A793" s="8"/>
      <c r="B793" s="8" t="s">
        <v>434</v>
      </c>
      <c r="C793" s="8" t="s">
        <v>174</v>
      </c>
      <c r="D793" s="8">
        <v>6840000001</v>
      </c>
      <c r="E793" s="8" t="s">
        <v>374</v>
      </c>
      <c r="F793" s="73" t="s">
        <v>23</v>
      </c>
      <c r="G793" s="73" t="s">
        <v>136</v>
      </c>
      <c r="H793" s="112" t="s">
        <v>61</v>
      </c>
      <c r="I793" s="13" t="s">
        <v>22</v>
      </c>
      <c r="J793" s="11"/>
      <c r="K793" s="187"/>
      <c r="L793" s="187"/>
      <c r="M793" s="188">
        <f>IF($G793="PAX",M318*'Insumos - OPEX'!I$48,M318*'Insumos - OPEX'!I$75)</f>
        <v>0</v>
      </c>
      <c r="N793" s="211">
        <f>IF($G793="PAX",N318*'Insumos - OPEX'!J$48,N318*'Insumos - OPEX'!J$75)</f>
        <v>0</v>
      </c>
      <c r="O793" s="211">
        <f>IF($G793="PAX",O318*'Insumos - OPEX'!K$48,O318*'Insumos - OPEX'!K$75)</f>
        <v>0</v>
      </c>
      <c r="P793" s="211">
        <f>IF($G793="PAX",P318*'Insumos - OPEX'!L$48,P318*'Insumos - OPEX'!L$75)</f>
        <v>0</v>
      </c>
      <c r="Q793" s="211">
        <f>IF($G793="PAX",Q318*'Insumos - OPEX'!M$48,Q318*'Insumos - OPEX'!M$75)</f>
        <v>0</v>
      </c>
      <c r="R793" s="211">
        <f>IF($G793="PAX",R318*'Insumos - OPEX'!N$48,R318*'Insumos - OPEX'!N$75)</f>
        <v>0</v>
      </c>
      <c r="S793" s="111"/>
    </row>
    <row r="794" spans="1:19" x14ac:dyDescent="0.2">
      <c r="A794" s="8"/>
      <c r="B794" s="8" t="s">
        <v>434</v>
      </c>
      <c r="C794" s="8" t="s">
        <v>174</v>
      </c>
      <c r="D794" s="8">
        <v>6590000011</v>
      </c>
      <c r="E794" s="8" t="s">
        <v>384</v>
      </c>
      <c r="F794" s="73" t="s">
        <v>23</v>
      </c>
      <c r="G794" s="73" t="s">
        <v>136</v>
      </c>
      <c r="H794" s="112" t="s">
        <v>61</v>
      </c>
      <c r="I794" s="13" t="s">
        <v>22</v>
      </c>
      <c r="K794" s="187"/>
      <c r="L794" s="187"/>
      <c r="M794" s="188">
        <f>IF($G794="PAX",M319*'Insumos - OPEX'!I$48,M319*'Insumos - OPEX'!I$75)</f>
        <v>0</v>
      </c>
      <c r="N794" s="211">
        <f>IF($G794="PAX",N319*'Insumos - OPEX'!J$48,N319*'Insumos - OPEX'!J$75)</f>
        <v>0</v>
      </c>
      <c r="O794" s="211">
        <f>IF($G794="PAX",O319*'Insumos - OPEX'!K$48,O319*'Insumos - OPEX'!K$75)</f>
        <v>0</v>
      </c>
      <c r="P794" s="211">
        <f>IF($G794="PAX",P319*'Insumos - OPEX'!L$48,P319*'Insumos - OPEX'!L$75)</f>
        <v>0</v>
      </c>
      <c r="Q794" s="211">
        <f>IF($G794="PAX",Q319*'Insumos - OPEX'!M$48,Q319*'Insumos - OPEX'!M$75)</f>
        <v>0</v>
      </c>
      <c r="R794" s="211">
        <f>IF($G794="PAX",R319*'Insumos - OPEX'!N$48,R319*'Insumos - OPEX'!N$75)</f>
        <v>0</v>
      </c>
      <c r="S794" s="111"/>
    </row>
    <row r="795" spans="1:19" s="3" customFormat="1" x14ac:dyDescent="0.2">
      <c r="A795" s="8"/>
      <c r="B795" s="8" t="s">
        <v>434</v>
      </c>
      <c r="C795" s="8" t="s">
        <v>174</v>
      </c>
      <c r="D795" s="8">
        <v>6563000001</v>
      </c>
      <c r="E795" s="8" t="s">
        <v>383</v>
      </c>
      <c r="F795" s="73" t="s">
        <v>23</v>
      </c>
      <c r="G795" s="73" t="s">
        <v>136</v>
      </c>
      <c r="H795" s="112" t="s">
        <v>61</v>
      </c>
      <c r="I795" s="13" t="s">
        <v>22</v>
      </c>
      <c r="J795" s="11"/>
      <c r="K795" s="187"/>
      <c r="L795" s="187"/>
      <c r="M795" s="188">
        <f>IF($G795="PAX",M320*'Insumos - OPEX'!I$48,M320*'Insumos - OPEX'!I$75)</f>
        <v>0</v>
      </c>
      <c r="N795" s="211">
        <f>IF($G795="PAX",N320*'Insumos - OPEX'!J$48,N320*'Insumos - OPEX'!J$75)</f>
        <v>0</v>
      </c>
      <c r="O795" s="211">
        <f>IF($G795="PAX",O320*'Insumos - OPEX'!K$48,O320*'Insumos - OPEX'!K$75)</f>
        <v>0</v>
      </c>
      <c r="P795" s="211">
        <f>IF($G795="PAX",P320*'Insumos - OPEX'!L$48,P320*'Insumos - OPEX'!L$75)</f>
        <v>0</v>
      </c>
      <c r="Q795" s="211">
        <f>IF($G795="PAX",Q320*'Insumos - OPEX'!M$48,Q320*'Insumos - OPEX'!M$75)</f>
        <v>0</v>
      </c>
      <c r="R795" s="211">
        <f>IF($G795="PAX",R320*'Insumos - OPEX'!N$48,R320*'Insumos - OPEX'!N$75)</f>
        <v>0</v>
      </c>
      <c r="S795" s="111"/>
    </row>
    <row r="796" spans="1:19" x14ac:dyDescent="0.2">
      <c r="A796" s="8"/>
      <c r="B796" s="8" t="s">
        <v>434</v>
      </c>
      <c r="C796" s="8" t="s">
        <v>174</v>
      </c>
      <c r="D796" s="8">
        <v>6380000003</v>
      </c>
      <c r="E796" s="8" t="s">
        <v>375</v>
      </c>
      <c r="F796" s="73" t="s">
        <v>23</v>
      </c>
      <c r="G796" s="73" t="s">
        <v>136</v>
      </c>
      <c r="H796" s="112" t="s">
        <v>61</v>
      </c>
      <c r="I796" s="13" t="s">
        <v>22</v>
      </c>
      <c r="K796" s="187"/>
      <c r="L796" s="187"/>
      <c r="M796" s="188">
        <f>IF($G796="PAX",M321*'Insumos - OPEX'!I$48,M321*'Insumos - OPEX'!I$75)</f>
        <v>0</v>
      </c>
      <c r="N796" s="211">
        <f>IF($G796="PAX",N321*'Insumos - OPEX'!J$48,N321*'Insumos - OPEX'!J$75)</f>
        <v>0</v>
      </c>
      <c r="O796" s="211">
        <f>IF($G796="PAX",O321*'Insumos - OPEX'!K$48,O321*'Insumos - OPEX'!K$75)</f>
        <v>0</v>
      </c>
      <c r="P796" s="211">
        <f>IF($G796="PAX",P321*'Insumos - OPEX'!L$48,P321*'Insumos - OPEX'!L$75)</f>
        <v>0</v>
      </c>
      <c r="Q796" s="211">
        <f>IF($G796="PAX",Q321*'Insumos - OPEX'!M$48,Q321*'Insumos - OPEX'!M$75)</f>
        <v>0</v>
      </c>
      <c r="R796" s="211">
        <f>IF($G796="PAX",R321*'Insumos - OPEX'!N$48,R321*'Insumos - OPEX'!N$75)</f>
        <v>0</v>
      </c>
      <c r="S796" s="111"/>
    </row>
    <row r="797" spans="1:19" x14ac:dyDescent="0.2">
      <c r="A797" s="8"/>
      <c r="B797" s="8" t="s">
        <v>434</v>
      </c>
      <c r="C797" s="8" t="s">
        <v>174</v>
      </c>
      <c r="D797" s="8">
        <v>6563000002</v>
      </c>
      <c r="E797" s="8" t="s">
        <v>385</v>
      </c>
      <c r="F797" s="73" t="s">
        <v>23</v>
      </c>
      <c r="G797" s="73" t="s">
        <v>136</v>
      </c>
      <c r="H797" s="112" t="s">
        <v>61</v>
      </c>
      <c r="I797" s="13" t="s">
        <v>22</v>
      </c>
      <c r="K797" s="187"/>
      <c r="L797" s="187"/>
      <c r="M797" s="188">
        <f>IF($G797="PAX",M322*'Insumos - OPEX'!I$48,M322*'Insumos - OPEX'!I$75)</f>
        <v>0</v>
      </c>
      <c r="N797" s="211">
        <f>IF($G797="PAX",N322*'Insumos - OPEX'!J$48,N322*'Insumos - OPEX'!J$75)</f>
        <v>0</v>
      </c>
      <c r="O797" s="211">
        <f>IF($G797="PAX",O322*'Insumos - OPEX'!K$48,O322*'Insumos - OPEX'!K$75)</f>
        <v>0</v>
      </c>
      <c r="P797" s="211">
        <f>IF($G797="PAX",P322*'Insumos - OPEX'!L$48,P322*'Insumos - OPEX'!L$75)</f>
        <v>0</v>
      </c>
      <c r="Q797" s="211">
        <f>IF($G797="PAX",Q322*'Insumos - OPEX'!M$48,Q322*'Insumos - OPEX'!M$75)</f>
        <v>0</v>
      </c>
      <c r="R797" s="211">
        <f>IF($G797="PAX",R322*'Insumos - OPEX'!N$48,R322*'Insumos - OPEX'!N$75)</f>
        <v>0</v>
      </c>
      <c r="S797" s="111"/>
    </row>
    <row r="798" spans="1:19" x14ac:dyDescent="0.2">
      <c r="A798" s="8"/>
      <c r="B798" s="8" t="s">
        <v>434</v>
      </c>
      <c r="C798" s="8" t="s">
        <v>174</v>
      </c>
      <c r="D798" s="8">
        <v>6562000002</v>
      </c>
      <c r="E798" s="8" t="s">
        <v>388</v>
      </c>
      <c r="F798" s="73" t="s">
        <v>23</v>
      </c>
      <c r="G798" s="73" t="s">
        <v>136</v>
      </c>
      <c r="H798" s="112" t="s">
        <v>61</v>
      </c>
      <c r="I798" s="13" t="s">
        <v>22</v>
      </c>
      <c r="K798" s="187"/>
      <c r="L798" s="187"/>
      <c r="M798" s="188">
        <f>IF($G798="PAX",M323*'Insumos - OPEX'!I$48,M323*'Insumos - OPEX'!I$75)</f>
        <v>0</v>
      </c>
      <c r="N798" s="211">
        <f>IF($G798="PAX",N323*'Insumos - OPEX'!J$48,N323*'Insumos - OPEX'!J$75)</f>
        <v>0</v>
      </c>
      <c r="O798" s="211">
        <f>IF($G798="PAX",O323*'Insumos - OPEX'!K$48,O323*'Insumos - OPEX'!K$75)</f>
        <v>0</v>
      </c>
      <c r="P798" s="211">
        <f>IF($G798="PAX",P323*'Insumos - OPEX'!L$48,P323*'Insumos - OPEX'!L$75)</f>
        <v>0</v>
      </c>
      <c r="Q798" s="211">
        <f>IF($G798="PAX",Q323*'Insumos - OPEX'!M$48,Q323*'Insumos - OPEX'!M$75)</f>
        <v>0</v>
      </c>
      <c r="R798" s="211">
        <f>IF($G798="PAX",R323*'Insumos - OPEX'!N$48,R323*'Insumos - OPEX'!N$75)</f>
        <v>0</v>
      </c>
      <c r="S798" s="111"/>
    </row>
    <row r="799" spans="1:19" x14ac:dyDescent="0.2">
      <c r="A799" s="8"/>
      <c r="B799" s="8" t="s">
        <v>435</v>
      </c>
      <c r="C799" s="8" t="s">
        <v>170</v>
      </c>
      <c r="D799" s="8">
        <v>6211000001</v>
      </c>
      <c r="E799" s="8" t="s">
        <v>253</v>
      </c>
      <c r="F799" s="73" t="s">
        <v>23</v>
      </c>
      <c r="G799" s="73" t="s">
        <v>136</v>
      </c>
      <c r="H799" s="112" t="s">
        <v>61</v>
      </c>
      <c r="I799" s="13" t="s">
        <v>22</v>
      </c>
      <c r="K799" s="187"/>
      <c r="L799" s="187"/>
      <c r="M799" s="188">
        <f>IF($G799="PAX",M324*'Insumos - OPEX'!I$48,M324*'Insumos - OPEX'!I$75)</f>
        <v>135444.80823450806</v>
      </c>
      <c r="N799" s="211">
        <f>IF($G799="PAX",N324*'Insumos - OPEX'!J$48,N324*'Insumos - OPEX'!J$75)</f>
        <v>157568.17392786796</v>
      </c>
      <c r="O799" s="211">
        <f>IF($G799="PAX",O324*'Insumos - OPEX'!K$48,O324*'Insumos - OPEX'!K$75)</f>
        <v>177598.91924724221</v>
      </c>
      <c r="P799" s="211">
        <f>IF($G799="PAX",P324*'Insumos - OPEX'!L$48,P324*'Insumos - OPEX'!L$75)</f>
        <v>188230.14960742724</v>
      </c>
      <c r="Q799" s="211">
        <f>IF($G799="PAX",Q324*'Insumos - OPEX'!M$48,Q324*'Insumos - OPEX'!M$75)</f>
        <v>196093.24223105566</v>
      </c>
      <c r="R799" s="211">
        <f>IF($G799="PAX",R324*'Insumos - OPEX'!N$48,R324*'Insumos - OPEX'!N$75)</f>
        <v>205050.76070049754</v>
      </c>
      <c r="S799" s="111"/>
    </row>
    <row r="800" spans="1:19" x14ac:dyDescent="0.2">
      <c r="A800" s="8"/>
      <c r="B800" s="8" t="s">
        <v>435</v>
      </c>
      <c r="C800" s="8" t="s">
        <v>170</v>
      </c>
      <c r="D800" s="8">
        <v>6212000001</v>
      </c>
      <c r="E800" s="8" t="s">
        <v>254</v>
      </c>
      <c r="F800" s="73" t="s">
        <v>23</v>
      </c>
      <c r="G800" s="73" t="s">
        <v>136</v>
      </c>
      <c r="H800" s="112" t="s">
        <v>61</v>
      </c>
      <c r="I800" s="13" t="s">
        <v>22</v>
      </c>
      <c r="K800" s="187"/>
      <c r="L800" s="187"/>
      <c r="M800" s="188">
        <f>IF($G800="PAX",M325*'Insumos - OPEX'!I$48,M325*'Insumos - OPEX'!I$75)</f>
        <v>32665.709916936583</v>
      </c>
      <c r="N800" s="211">
        <f>IF($G800="PAX",N325*'Insumos - OPEX'!J$48,N325*'Insumos - OPEX'!J$75)</f>
        <v>38001.281324549098</v>
      </c>
      <c r="O800" s="211">
        <f>IF($G800="PAX",O325*'Insumos - OPEX'!K$48,O325*'Insumos - OPEX'!K$75)</f>
        <v>42832.167975367272</v>
      </c>
      <c r="P800" s="211">
        <f>IF($G800="PAX",P325*'Insumos - OPEX'!L$48,P325*'Insumos - OPEX'!L$75)</f>
        <v>45396.139910006976</v>
      </c>
      <c r="Q800" s="211">
        <f>IF($G800="PAX",Q325*'Insumos - OPEX'!M$48,Q325*'Insumos - OPEX'!M$75)</f>
        <v>47292.510144063759</v>
      </c>
      <c r="R800" s="211">
        <f>IF($G800="PAX",R325*'Insumos - OPEX'!N$48,R325*'Insumos - OPEX'!N$75)</f>
        <v>49452.826982430706</v>
      </c>
      <c r="S800" s="111"/>
    </row>
    <row r="801" spans="1:19" x14ac:dyDescent="0.2">
      <c r="A801" s="8"/>
      <c r="B801" s="8" t="s">
        <v>435</v>
      </c>
      <c r="C801" s="8" t="s">
        <v>170</v>
      </c>
      <c r="D801" s="8">
        <v>6250000005</v>
      </c>
      <c r="E801" s="8" t="s">
        <v>266</v>
      </c>
      <c r="F801" s="73" t="s">
        <v>23</v>
      </c>
      <c r="G801" s="73" t="s">
        <v>136</v>
      </c>
      <c r="H801" s="112" t="s">
        <v>61</v>
      </c>
      <c r="I801" s="13" t="s">
        <v>22</v>
      </c>
      <c r="K801" s="187"/>
      <c r="L801" s="187"/>
      <c r="M801" s="188">
        <f>IF($G801="PAX",M326*'Insumos - OPEX'!I$48,M326*'Insumos - OPEX'!I$75)</f>
        <v>14176.224816028631</v>
      </c>
      <c r="N801" s="211">
        <f>IF($G801="PAX",N326*'Insumos - OPEX'!J$48,N326*'Insumos - OPEX'!J$75)</f>
        <v>16491.749566252176</v>
      </c>
      <c r="O801" s="211">
        <f>IF($G801="PAX",O326*'Insumos - OPEX'!K$48,O326*'Insumos - OPEX'!K$75)</f>
        <v>18588.251843315578</v>
      </c>
      <c r="P801" s="211">
        <f>IF($G801="PAX",P326*'Insumos - OPEX'!L$48,P326*'Insumos - OPEX'!L$75)</f>
        <v>19700.961245923565</v>
      </c>
      <c r="Q801" s="211">
        <f>IF($G801="PAX",Q326*'Insumos - OPEX'!M$48,Q326*'Insumos - OPEX'!M$75)</f>
        <v>20523.945679470966</v>
      </c>
      <c r="R801" s="211">
        <f>IF($G801="PAX",R326*'Insumos - OPEX'!N$48,R326*'Insumos - OPEX'!N$75)</f>
        <v>21461.477337359822</v>
      </c>
      <c r="S801" s="111"/>
    </row>
    <row r="802" spans="1:19" x14ac:dyDescent="0.2">
      <c r="A802" s="8"/>
      <c r="B802" s="8" t="s">
        <v>435</v>
      </c>
      <c r="C802" s="8" t="s">
        <v>170</v>
      </c>
      <c r="D802" s="8">
        <v>6290000001</v>
      </c>
      <c r="E802" s="8" t="s">
        <v>426</v>
      </c>
      <c r="F802" s="73" t="s">
        <v>23</v>
      </c>
      <c r="G802" s="73" t="s">
        <v>136</v>
      </c>
      <c r="H802" s="112" t="s">
        <v>61</v>
      </c>
      <c r="I802" s="13" t="s">
        <v>22</v>
      </c>
      <c r="K802" s="187"/>
      <c r="L802" s="187"/>
      <c r="M802" s="188">
        <f>IF($G802="PAX",M327*'Insumos - OPEX'!I$48,M327*'Insumos - OPEX'!I$75)</f>
        <v>14073.965292691615</v>
      </c>
      <c r="N802" s="211">
        <f>IF($G802="PAX",N327*'Insumos - OPEX'!J$48,N327*'Insumos - OPEX'!J$75)</f>
        <v>16372.787115280629</v>
      </c>
      <c r="O802" s="211">
        <f>IF($G802="PAX",O327*'Insumos - OPEX'!K$48,O327*'Insumos - OPEX'!K$75)</f>
        <v>18454.166372900589</v>
      </c>
      <c r="P802" s="211">
        <f>IF($G802="PAX",P327*'Insumos - OPEX'!L$48,P327*'Insumos - OPEX'!L$75)</f>
        <v>19558.849299165264</v>
      </c>
      <c r="Q802" s="211">
        <f>IF($G802="PAX",Q327*'Insumos - OPEX'!M$48,Q327*'Insumos - OPEX'!M$75)</f>
        <v>20375.897173651243</v>
      </c>
      <c r="R802" s="211">
        <f>IF($G802="PAX",R327*'Insumos - OPEX'!N$48,R327*'Insumos - OPEX'!N$75)</f>
        <v>21306.665991524987</v>
      </c>
      <c r="S802" s="111"/>
    </row>
    <row r="803" spans="1:19" x14ac:dyDescent="0.2">
      <c r="A803" s="8"/>
      <c r="B803" s="8" t="s">
        <v>435</v>
      </c>
      <c r="C803" s="8" t="s">
        <v>170</v>
      </c>
      <c r="D803" s="8">
        <v>6213000001</v>
      </c>
      <c r="E803" s="8" t="s">
        <v>255</v>
      </c>
      <c r="F803" s="73" t="s">
        <v>23</v>
      </c>
      <c r="G803" s="73" t="s">
        <v>136</v>
      </c>
      <c r="H803" s="112" t="s">
        <v>61</v>
      </c>
      <c r="I803" s="13" t="s">
        <v>22</v>
      </c>
      <c r="K803" s="187"/>
      <c r="L803" s="187"/>
      <c r="M803" s="188">
        <f>IF($G803="PAX",M328*'Insumos - OPEX'!I$48,M328*'Insumos - OPEX'!I$75)</f>
        <v>12197.324007110232</v>
      </c>
      <c r="N803" s="211">
        <f>IF($G803="PAX",N328*'Insumos - OPEX'!J$48,N328*'Insumos - OPEX'!J$75)</f>
        <v>14189.617864712278</v>
      </c>
      <c r="O803" s="211">
        <f>IF($G803="PAX",O328*'Insumos - OPEX'!K$48,O328*'Insumos - OPEX'!K$75)</f>
        <v>15993.463238698838</v>
      </c>
      <c r="P803" s="211">
        <f>IF($G803="PAX",P328*'Insumos - OPEX'!L$48,P328*'Insumos - OPEX'!L$75)</f>
        <v>16950.846271593611</v>
      </c>
      <c r="Q803" s="211">
        <f>IF($G803="PAX",Q328*'Insumos - OPEX'!M$48,Q328*'Insumos - OPEX'!M$75)</f>
        <v>17658.947893785426</v>
      </c>
      <c r="R803" s="211">
        <f>IF($G803="PAX",R328*'Insumos - OPEX'!N$48,R328*'Insumos - OPEX'!N$75)</f>
        <v>18465.606757241374</v>
      </c>
      <c r="S803" s="111"/>
    </row>
    <row r="804" spans="1:19" x14ac:dyDescent="0.2">
      <c r="A804" s="8"/>
      <c r="B804" s="8" t="s">
        <v>435</v>
      </c>
      <c r="C804" s="8" t="s">
        <v>170</v>
      </c>
      <c r="D804" s="8">
        <v>6270000002</v>
      </c>
      <c r="E804" s="8" t="s">
        <v>427</v>
      </c>
      <c r="F804" s="73" t="s">
        <v>23</v>
      </c>
      <c r="G804" s="73" t="s">
        <v>136</v>
      </c>
      <c r="H804" s="112" t="s">
        <v>61</v>
      </c>
      <c r="I804" s="13" t="s">
        <v>22</v>
      </c>
      <c r="K804" s="187"/>
      <c r="L804" s="187"/>
      <c r="M804" s="188">
        <f>IF($G804="PAX",M329*'Insumos - OPEX'!I$48,M329*'Insumos - OPEX'!I$75)</f>
        <v>11666.115611256344</v>
      </c>
      <c r="N804" s="211">
        <f>IF($G804="PAX",N329*'Insumos - OPEX'!J$48,N329*'Insumos - OPEX'!J$75)</f>
        <v>13571.642631841565</v>
      </c>
      <c r="O804" s="211">
        <f>IF($G804="PAX",O329*'Insumos - OPEX'!K$48,O329*'Insumos - OPEX'!K$75)</f>
        <v>15296.928331023615</v>
      </c>
      <c r="P804" s="211">
        <f>IF($G804="PAX",P329*'Insumos - OPEX'!L$48,P329*'Insumos - OPEX'!L$75)</f>
        <v>16212.616160542197</v>
      </c>
      <c r="Q804" s="211">
        <f>IF($G804="PAX",Q329*'Insumos - OPEX'!M$48,Q329*'Insumos - OPEX'!M$75)</f>
        <v>16889.879090033319</v>
      </c>
      <c r="R804" s="211">
        <f>IF($G804="PAX",R329*'Insumos - OPEX'!N$48,R329*'Insumos - OPEX'!N$75)</f>
        <v>17661.406972250432</v>
      </c>
      <c r="S804" s="111"/>
    </row>
    <row r="805" spans="1:19" s="3" customFormat="1" x14ac:dyDescent="0.2">
      <c r="A805" s="8"/>
      <c r="B805" s="8" t="s">
        <v>435</v>
      </c>
      <c r="C805" s="8" t="s">
        <v>170</v>
      </c>
      <c r="D805" s="8">
        <v>8710000001</v>
      </c>
      <c r="E805" s="8" t="s">
        <v>268</v>
      </c>
      <c r="F805" s="73" t="s">
        <v>23</v>
      </c>
      <c r="G805" s="73" t="s">
        <v>136</v>
      </c>
      <c r="H805" s="112" t="s">
        <v>61</v>
      </c>
      <c r="I805" s="13" t="s">
        <v>22</v>
      </c>
      <c r="J805" s="11"/>
      <c r="K805" s="187"/>
      <c r="L805" s="187"/>
      <c r="M805" s="188">
        <f>IF($G805="PAX",M330*'Insumos - OPEX'!I$48,M330*'Insumos - OPEX'!I$75)</f>
        <v>0</v>
      </c>
      <c r="N805" s="211">
        <f>IF($G805="PAX",N330*'Insumos - OPEX'!J$48,N330*'Insumos - OPEX'!J$75)</f>
        <v>0</v>
      </c>
      <c r="O805" s="211">
        <f>IF($G805="PAX",O330*'Insumos - OPEX'!K$48,O330*'Insumos - OPEX'!K$75)</f>
        <v>0</v>
      </c>
      <c r="P805" s="211">
        <f>IF($G805="PAX",P330*'Insumos - OPEX'!L$48,P330*'Insumos - OPEX'!L$75)</f>
        <v>0</v>
      </c>
      <c r="Q805" s="211">
        <f>IF($G805="PAX",Q330*'Insumos - OPEX'!M$48,Q330*'Insumos - OPEX'!M$75)</f>
        <v>0</v>
      </c>
      <c r="R805" s="211">
        <f>IF($G805="PAX",R330*'Insumos - OPEX'!N$48,R330*'Insumos - OPEX'!N$75)</f>
        <v>0</v>
      </c>
      <c r="S805" s="111"/>
    </row>
    <row r="806" spans="1:19" x14ac:dyDescent="0.2">
      <c r="A806" s="8"/>
      <c r="B806" s="8" t="s">
        <v>435</v>
      </c>
      <c r="C806" s="8" t="s">
        <v>170</v>
      </c>
      <c r="D806" s="8">
        <v>6250000009</v>
      </c>
      <c r="E806" s="8" t="s">
        <v>433</v>
      </c>
      <c r="F806" s="73" t="s">
        <v>23</v>
      </c>
      <c r="G806" s="73" t="s">
        <v>136</v>
      </c>
      <c r="H806" s="112" t="s">
        <v>61</v>
      </c>
      <c r="I806" s="13" t="s">
        <v>22</v>
      </c>
      <c r="K806" s="187"/>
      <c r="L806" s="187"/>
      <c r="M806" s="188">
        <f>IF($G806="PAX",M331*'Insumos - OPEX'!I$48,M331*'Insumos - OPEX'!I$75)</f>
        <v>5210.9504379322761</v>
      </c>
      <c r="N806" s="211">
        <f>IF($G806="PAX",N331*'Insumos - OPEX'!J$48,N331*'Insumos - OPEX'!J$75)</f>
        <v>6062.0998001783964</v>
      </c>
      <c r="O806" s="211">
        <f>IF($G806="PAX",O331*'Insumos - OPEX'!K$48,O331*'Insumos - OPEX'!K$75)</f>
        <v>6832.7400517661999</v>
      </c>
      <c r="P806" s="211">
        <f>IF($G806="PAX",P331*'Insumos - OPEX'!L$48,P331*'Insumos - OPEX'!L$75)</f>
        <v>7241.7539905304548</v>
      </c>
      <c r="Q806" s="211">
        <f>IF($G806="PAX",Q331*'Insumos - OPEX'!M$48,Q331*'Insumos - OPEX'!M$75)</f>
        <v>7544.2697272699252</v>
      </c>
      <c r="R806" s="211">
        <f>IF($G806="PAX",R331*'Insumos - OPEX'!N$48,R331*'Insumos - OPEX'!N$75)</f>
        <v>7888.8911668034962</v>
      </c>
      <c r="S806" s="111"/>
    </row>
    <row r="807" spans="1:19" x14ac:dyDescent="0.2">
      <c r="A807" s="8"/>
      <c r="B807" s="8" t="s">
        <v>435</v>
      </c>
      <c r="C807" s="8" t="s">
        <v>170</v>
      </c>
      <c r="D807" s="8">
        <v>6250000007</v>
      </c>
      <c r="E807" s="8" t="s">
        <v>260</v>
      </c>
      <c r="F807" s="73" t="s">
        <v>23</v>
      </c>
      <c r="G807" s="73" t="s">
        <v>136</v>
      </c>
      <c r="H807" s="112" t="s">
        <v>61</v>
      </c>
      <c r="I807" s="13" t="s">
        <v>22</v>
      </c>
      <c r="K807" s="187"/>
      <c r="L807" s="187"/>
      <c r="M807" s="188">
        <f>IF($G807="PAX",M332*'Insumos - OPEX'!I$48,M332*'Insumos - OPEX'!I$75)</f>
        <v>4121.8600598112289</v>
      </c>
      <c r="N807" s="211">
        <f>IF($G807="PAX",N332*'Insumos - OPEX'!J$48,N332*'Insumos - OPEX'!J$75)</f>
        <v>4795.1189216952034</v>
      </c>
      <c r="O807" s="211">
        <f>IF($G807="PAX",O332*'Insumos - OPEX'!K$48,O332*'Insumos - OPEX'!K$75)</f>
        <v>5404.6951038787893</v>
      </c>
      <c r="P807" s="211">
        <f>IF($G807="PAX",P332*'Insumos - OPEX'!L$48,P332*'Insumos - OPEX'!L$75)</f>
        <v>5728.2249931339684</v>
      </c>
      <c r="Q807" s="211">
        <f>IF($G807="PAX",Q332*'Insumos - OPEX'!M$48,Q332*'Insumos - OPEX'!M$75)</f>
        <v>5967.5148400789685</v>
      </c>
      <c r="R807" s="211">
        <f>IF($G807="PAX",R332*'Insumos - OPEX'!N$48,R332*'Insumos - OPEX'!N$75)</f>
        <v>6240.1102839020205</v>
      </c>
      <c r="S807" s="111"/>
    </row>
    <row r="808" spans="1:19" x14ac:dyDescent="0.2">
      <c r="A808" s="8"/>
      <c r="B808" s="8" t="s">
        <v>435</v>
      </c>
      <c r="C808" s="8" t="s">
        <v>170</v>
      </c>
      <c r="D808" s="8">
        <v>6270000006</v>
      </c>
      <c r="E808" s="8" t="s">
        <v>261</v>
      </c>
      <c r="F808" s="73" t="s">
        <v>23</v>
      </c>
      <c r="G808" s="73" t="s">
        <v>136</v>
      </c>
      <c r="H808" s="112" t="s">
        <v>61</v>
      </c>
      <c r="I808" s="13" t="s">
        <v>22</v>
      </c>
      <c r="K808" s="187"/>
      <c r="L808" s="187"/>
      <c r="M808" s="188">
        <f>IF($G808="PAX",M333*'Insumos - OPEX'!I$48,M333*'Insumos - OPEX'!I$75)</f>
        <v>3786.4018921956458</v>
      </c>
      <c r="N808" s="211">
        <f>IF($G808="PAX",N333*'Insumos - OPEX'!J$48,N333*'Insumos - OPEX'!J$75)</f>
        <v>4404.8674857829537</v>
      </c>
      <c r="O808" s="211">
        <f>IF($G808="PAX",O333*'Insumos - OPEX'!K$48,O333*'Insumos - OPEX'!K$75)</f>
        <v>4964.8332236209899</v>
      </c>
      <c r="P808" s="211">
        <f>IF($G808="PAX",P333*'Insumos - OPEX'!L$48,P333*'Insumos - OPEX'!L$75)</f>
        <v>5262.0325867924221</v>
      </c>
      <c r="Q808" s="211">
        <f>IF($G808="PAX",Q333*'Insumos - OPEX'!M$48,Q333*'Insumos - OPEX'!M$75)</f>
        <v>5481.8477954866357</v>
      </c>
      <c r="R808" s="211">
        <f>IF($G808="PAX",R333*'Insumos - OPEX'!N$48,R333*'Insumos - OPEX'!N$75)</f>
        <v>5732.2580203167317</v>
      </c>
      <c r="S808" s="111"/>
    </row>
    <row r="809" spans="1:19" x14ac:dyDescent="0.2">
      <c r="A809" s="8"/>
      <c r="B809" s="8" t="s">
        <v>435</v>
      </c>
      <c r="C809" s="8" t="s">
        <v>170</v>
      </c>
      <c r="D809" s="8">
        <v>6270000001</v>
      </c>
      <c r="E809" s="8" t="s">
        <v>259</v>
      </c>
      <c r="F809" s="73" t="s">
        <v>23</v>
      </c>
      <c r="G809" s="73" t="s">
        <v>136</v>
      </c>
      <c r="H809" s="112" t="s">
        <v>61</v>
      </c>
      <c r="I809" s="13" t="s">
        <v>22</v>
      </c>
      <c r="K809" s="187"/>
      <c r="L809" s="187"/>
      <c r="M809" s="188">
        <f>IF($G809="PAX",M334*'Insumos - OPEX'!I$48,M334*'Insumos - OPEX'!I$75)</f>
        <v>3490.4644421033868</v>
      </c>
      <c r="N809" s="211">
        <f>IF($G809="PAX",N334*'Insumos - OPEX'!J$48,N334*'Insumos - OPEX'!J$75)</f>
        <v>4060.5920261642173</v>
      </c>
      <c r="O809" s="211">
        <f>IF($G809="PAX",O334*'Insumos - OPEX'!K$48,O334*'Insumos - OPEX'!K$75)</f>
        <v>4576.7919838994121</v>
      </c>
      <c r="P809" s="211">
        <f>IF($G809="PAX",P334*'Insumos - OPEX'!L$48,P334*'Insumos - OPEX'!L$75)</f>
        <v>4850.7628509391261</v>
      </c>
      <c r="Q809" s="211">
        <f>IF($G809="PAX",Q334*'Insumos - OPEX'!M$48,Q334*'Insumos - OPEX'!M$75)</f>
        <v>5053.3977512021238</v>
      </c>
      <c r="R809" s="211">
        <f>IF($G809="PAX",R334*'Insumos - OPEX'!N$48,R334*'Insumos - OPEX'!N$75)</f>
        <v>5284.2364235337918</v>
      </c>
      <c r="S809" s="111"/>
    </row>
    <row r="810" spans="1:19" x14ac:dyDescent="0.2">
      <c r="A810" s="8"/>
      <c r="B810" s="8" t="s">
        <v>435</v>
      </c>
      <c r="C810" s="8" t="s">
        <v>170</v>
      </c>
      <c r="D810" s="8">
        <v>6221000001</v>
      </c>
      <c r="E810" s="8" t="s">
        <v>257</v>
      </c>
      <c r="F810" s="73" t="s">
        <v>23</v>
      </c>
      <c r="G810" s="73" t="s">
        <v>136</v>
      </c>
      <c r="H810" s="112" t="s">
        <v>61</v>
      </c>
      <c r="I810" s="13" t="s">
        <v>22</v>
      </c>
      <c r="K810" s="187"/>
      <c r="L810" s="187"/>
      <c r="M810" s="188">
        <f>IF($G810="PAX",M335*'Insumos - OPEX'!I$48,M335*'Insumos - OPEX'!I$75)</f>
        <v>3365.1014870621311</v>
      </c>
      <c r="N810" s="211">
        <f>IF($G810="PAX",N335*'Insumos - OPEX'!J$48,N335*'Insumos - OPEX'!J$75)</f>
        <v>3914.7524612408324</v>
      </c>
      <c r="O810" s="211">
        <f>IF($G810="PAX",O335*'Insumos - OPEX'!K$48,O335*'Insumos - OPEX'!K$75)</f>
        <v>4412.4126649784585</v>
      </c>
      <c r="P810" s="211">
        <f>IF($G810="PAX",P335*'Insumos - OPEX'!L$48,P335*'Insumos - OPEX'!L$75)</f>
        <v>4676.5436387727295</v>
      </c>
      <c r="Q810" s="211">
        <f>IF($G810="PAX",Q335*'Insumos - OPEX'!M$48,Q335*'Insumos - OPEX'!M$75)</f>
        <v>4871.9007368083103</v>
      </c>
      <c r="R810" s="211">
        <f>IF($G810="PAX",R335*'Insumos - OPEX'!N$48,R335*'Insumos - OPEX'!N$75)</f>
        <v>5094.4486448072357</v>
      </c>
      <c r="S810" s="111"/>
    </row>
    <row r="811" spans="1:19" x14ac:dyDescent="0.2">
      <c r="A811" s="8"/>
      <c r="B811" s="8" t="s">
        <v>435</v>
      </c>
      <c r="C811" s="8" t="s">
        <v>170</v>
      </c>
      <c r="D811" s="8">
        <v>6250000003</v>
      </c>
      <c r="E811" s="8" t="s">
        <v>428</v>
      </c>
      <c r="F811" s="73" t="s">
        <v>23</v>
      </c>
      <c r="G811" s="73" t="s">
        <v>136</v>
      </c>
      <c r="H811" s="112" t="s">
        <v>61</v>
      </c>
      <c r="I811" s="13" t="s">
        <v>22</v>
      </c>
      <c r="K811" s="187"/>
      <c r="L811" s="187"/>
      <c r="M811" s="188">
        <f>IF($G811="PAX",M336*'Insumos - OPEX'!I$48,M336*'Insumos - OPEX'!I$75)</f>
        <v>1970.9588265031578</v>
      </c>
      <c r="N811" s="211">
        <f>IF($G811="PAX",N336*'Insumos - OPEX'!J$48,N336*'Insumos - OPEX'!J$75)</f>
        <v>2292.8924868158424</v>
      </c>
      <c r="O811" s="211">
        <f>IF($G811="PAX",O336*'Insumos - OPEX'!K$48,O336*'Insumos - OPEX'!K$75)</f>
        <v>2584.3748611000042</v>
      </c>
      <c r="P811" s="211">
        <f>IF($G811="PAX",P336*'Insumos - OPEX'!L$48,P336*'Insumos - OPEX'!L$75)</f>
        <v>2739.0778547999621</v>
      </c>
      <c r="Q811" s="211">
        <f>IF($G811="PAX",Q336*'Insumos - OPEX'!M$48,Q336*'Insumos - OPEX'!M$75)</f>
        <v>2853.4996034971841</v>
      </c>
      <c r="R811" s="211">
        <f>IF($G811="PAX",R336*'Insumos - OPEX'!N$48,R336*'Insumos - OPEX'!N$75)</f>
        <v>2983.8471621894601</v>
      </c>
      <c r="S811" s="111"/>
    </row>
    <row r="812" spans="1:19" x14ac:dyDescent="0.2">
      <c r="A812" s="8"/>
      <c r="B812" s="8" t="s">
        <v>435</v>
      </c>
      <c r="C812" s="8" t="s">
        <v>170</v>
      </c>
      <c r="D812" s="8">
        <v>6240000001</v>
      </c>
      <c r="E812" s="8" t="s">
        <v>265</v>
      </c>
      <c r="F812" s="73" t="s">
        <v>23</v>
      </c>
      <c r="G812" s="73" t="s">
        <v>136</v>
      </c>
      <c r="H812" s="112" t="s">
        <v>61</v>
      </c>
      <c r="I812" s="13" t="s">
        <v>22</v>
      </c>
      <c r="K812" s="187"/>
      <c r="L812" s="187"/>
      <c r="M812" s="188">
        <f>IF($G812="PAX",M337*'Insumos - OPEX'!I$48,M337*'Insumos - OPEX'!I$75)</f>
        <v>1380.2496008887865</v>
      </c>
      <c r="N812" s="211">
        <f>IF($G812="PAX",N337*'Insumos - OPEX'!J$48,N337*'Insumos - OPEX'!J$75)</f>
        <v>1605.6976418037787</v>
      </c>
      <c r="O812" s="211">
        <f>IF($G812="PAX",O337*'Insumos - OPEX'!K$48,O337*'Insumos - OPEX'!K$75)</f>
        <v>1809.8208458818758</v>
      </c>
      <c r="P812" s="211">
        <f>IF($G812="PAX",P337*'Insumos - OPEX'!L$48,P337*'Insumos - OPEX'!L$75)</f>
        <v>1918.1583425557694</v>
      </c>
      <c r="Q812" s="211">
        <f>IF($G812="PAX",Q337*'Insumos - OPEX'!M$48,Q337*'Insumos - OPEX'!M$75)</f>
        <v>1998.287146287573</v>
      </c>
      <c r="R812" s="211">
        <f>IF($G812="PAX",R337*'Insumos - OPEX'!N$48,R337*'Insumos - OPEX'!N$75)</f>
        <v>2089.5686908041771</v>
      </c>
      <c r="S812" s="111"/>
    </row>
    <row r="813" spans="1:19" x14ac:dyDescent="0.2">
      <c r="A813" s="8"/>
      <c r="B813" s="8" t="s">
        <v>435</v>
      </c>
      <c r="C813" s="8" t="s">
        <v>170</v>
      </c>
      <c r="D813" s="8">
        <v>6250000008</v>
      </c>
      <c r="E813" s="8" t="s">
        <v>267</v>
      </c>
      <c r="F813" s="73" t="s">
        <v>23</v>
      </c>
      <c r="G813" s="73" t="s">
        <v>136</v>
      </c>
      <c r="H813" s="112" t="s">
        <v>61</v>
      </c>
      <c r="I813" s="13" t="s">
        <v>22</v>
      </c>
      <c r="K813" s="187"/>
      <c r="L813" s="187"/>
      <c r="M813" s="188">
        <f>IF($G813="PAX",M338*'Insumos - OPEX'!I$48,M338*'Insumos - OPEX'!I$75)</f>
        <v>925.31991526063234</v>
      </c>
      <c r="N813" s="211">
        <f>IF($G813="PAX",N338*'Insumos - OPEX'!J$48,N338*'Insumos - OPEX'!J$75)</f>
        <v>1076.4603770878298</v>
      </c>
      <c r="O813" s="211">
        <f>IF($G813="PAX",O338*'Insumos - OPEX'!K$48,O338*'Insumos - OPEX'!K$75)</f>
        <v>1213.3046592949379</v>
      </c>
      <c r="P813" s="211">
        <f>IF($G813="PAX",P338*'Insumos - OPEX'!L$48,P338*'Insumos - OPEX'!L$75)</f>
        <v>1285.9341628117543</v>
      </c>
      <c r="Q813" s="211">
        <f>IF($G813="PAX",Q338*'Insumos - OPEX'!M$48,Q338*'Insumos - OPEX'!M$75)</f>
        <v>1339.6525466687783</v>
      </c>
      <c r="R813" s="211">
        <f>IF($G813="PAX",R338*'Insumos - OPEX'!N$48,R338*'Insumos - OPEX'!N$75)</f>
        <v>1400.8477326572938</v>
      </c>
      <c r="S813" s="111"/>
    </row>
    <row r="814" spans="1:19" x14ac:dyDescent="0.2">
      <c r="A814" s="8"/>
      <c r="B814" s="8" t="s">
        <v>435</v>
      </c>
      <c r="C814" s="8" t="s">
        <v>170</v>
      </c>
      <c r="D814" s="8">
        <v>6270000005</v>
      </c>
      <c r="E814" s="8" t="s">
        <v>430</v>
      </c>
      <c r="F814" s="73" t="s">
        <v>23</v>
      </c>
      <c r="G814" s="73" t="s">
        <v>136</v>
      </c>
      <c r="H814" s="112" t="s">
        <v>61</v>
      </c>
      <c r="I814" s="13" t="s">
        <v>22</v>
      </c>
      <c r="K814" s="187"/>
      <c r="L814" s="187"/>
      <c r="M814" s="188">
        <f>IF($G814="PAX",M339*'Insumos - OPEX'!I$48,M339*'Insumos - OPEX'!I$75)</f>
        <v>697.01357318009025</v>
      </c>
      <c r="N814" s="211">
        <f>IF($G814="PAX",N339*'Insumos - OPEX'!J$48,N339*'Insumos - OPEX'!J$75)</f>
        <v>810.8627961491984</v>
      </c>
      <c r="O814" s="211">
        <f>IF($G814="PAX",O339*'Insumos - OPEX'!K$48,O339*'Insumos - OPEX'!K$75)</f>
        <v>913.9431692584003</v>
      </c>
      <c r="P814" s="211">
        <f>IF($G814="PAX",P339*'Insumos - OPEX'!L$48,P339*'Insumos - OPEX'!L$75)</f>
        <v>968.65262587945767</v>
      </c>
      <c r="Q814" s="211">
        <f>IF($G814="PAX",Q339*'Insumos - OPEX'!M$48,Q339*'Insumos - OPEX'!M$75)</f>
        <v>1009.1169475266339</v>
      </c>
      <c r="R814" s="211">
        <f>IF($G814="PAX",R339*'Insumos - OPEX'!N$48,R339*'Insumos - OPEX'!N$75)</f>
        <v>1055.2133024670343</v>
      </c>
      <c r="S814" s="111"/>
    </row>
    <row r="815" spans="1:19" x14ac:dyDescent="0.2">
      <c r="A815" s="8"/>
      <c r="B815" s="8" t="s">
        <v>435</v>
      </c>
      <c r="C815" s="8" t="s">
        <v>170</v>
      </c>
      <c r="D815" s="8">
        <v>6250000006</v>
      </c>
      <c r="E815" s="8" t="s">
        <v>429</v>
      </c>
      <c r="F815" s="73" t="s">
        <v>23</v>
      </c>
      <c r="G815" s="73" t="s">
        <v>136</v>
      </c>
      <c r="H815" s="112" t="s">
        <v>61</v>
      </c>
      <c r="I815" s="13" t="s">
        <v>22</v>
      </c>
      <c r="K815" s="187"/>
      <c r="L815" s="187"/>
      <c r="M815" s="188">
        <f>IF($G815="PAX",M340*'Insumos - OPEX'!I$48,M340*'Insumos - OPEX'!I$75)</f>
        <v>589.75114300824089</v>
      </c>
      <c r="N815" s="211">
        <f>IF($G815="PAX",N340*'Insumos - OPEX'!J$48,N340*'Insumos - OPEX'!J$75)</f>
        <v>686.08027053196508</v>
      </c>
      <c r="O815" s="211">
        <f>IF($G815="PAX",O340*'Insumos - OPEX'!K$48,O340*'Insumos - OPEX'!K$75)</f>
        <v>773.29775122679337</v>
      </c>
      <c r="P815" s="211">
        <f>IF($G815="PAX",P340*'Insumos - OPEX'!L$48,P340*'Insumos - OPEX'!L$75)</f>
        <v>819.58804716525128</v>
      </c>
      <c r="Q815" s="211">
        <f>IF($G815="PAX",Q340*'Insumos - OPEX'!M$48,Q340*'Insumos - OPEX'!M$75)</f>
        <v>853.82537174646063</v>
      </c>
      <c r="R815" s="211">
        <f>IF($G815="PAX",R340*'Insumos - OPEX'!N$48,R340*'Insumos - OPEX'!N$75)</f>
        <v>892.82802400555909</v>
      </c>
      <c r="S815" s="111"/>
    </row>
    <row r="816" spans="1:19" x14ac:dyDescent="0.2">
      <c r="A816" s="8"/>
      <c r="B816" s="8" t="s">
        <v>435</v>
      </c>
      <c r="C816" s="8" t="s">
        <v>170</v>
      </c>
      <c r="D816" s="8">
        <v>6250000001</v>
      </c>
      <c r="E816" s="8" t="s">
        <v>262</v>
      </c>
      <c r="F816" s="73" t="s">
        <v>23</v>
      </c>
      <c r="G816" s="73" t="s">
        <v>136</v>
      </c>
      <c r="H816" s="112" t="s">
        <v>61</v>
      </c>
      <c r="I816" s="13" t="s">
        <v>22</v>
      </c>
      <c r="K816" s="187"/>
      <c r="L816" s="187"/>
      <c r="M816" s="188">
        <f>IF($G816="PAX",M341*'Insumos - OPEX'!I$48,M341*'Insumos - OPEX'!I$75)</f>
        <v>510.74412200872274</v>
      </c>
      <c r="N816" s="211">
        <f>IF($G816="PAX",N341*'Insumos - OPEX'!J$48,N341*'Insumos - OPEX'!J$75)</f>
        <v>594.16835313443221</v>
      </c>
      <c r="O816" s="211">
        <f>IF($G816="PAX",O341*'Insumos - OPEX'!K$48,O341*'Insumos - OPEX'!K$75)</f>
        <v>669.70159478966764</v>
      </c>
      <c r="P816" s="211">
        <f>IF($G816="PAX",P341*'Insumos - OPEX'!L$48,P341*'Insumos - OPEX'!L$75)</f>
        <v>709.79053202515047</v>
      </c>
      <c r="Q816" s="211">
        <f>IF($G816="PAX",Q341*'Insumos - OPEX'!M$48,Q341*'Insumos - OPEX'!M$75)</f>
        <v>739.44119483516408</v>
      </c>
      <c r="R816" s="211">
        <f>IF($G816="PAX",R341*'Insumos - OPEX'!N$48,R341*'Insumos - OPEX'!N$75)</f>
        <v>773.21879004671985</v>
      </c>
      <c r="S816" s="111"/>
    </row>
    <row r="817" spans="1:19" x14ac:dyDescent="0.2">
      <c r="A817" s="8"/>
      <c r="B817" s="8" t="s">
        <v>435</v>
      </c>
      <c r="C817" s="8" t="s">
        <v>170</v>
      </c>
      <c r="D817" s="8">
        <v>6214000001</v>
      </c>
      <c r="E817" s="8" t="s">
        <v>256</v>
      </c>
      <c r="F817" s="73" t="s">
        <v>23</v>
      </c>
      <c r="G817" s="73" t="s">
        <v>136</v>
      </c>
      <c r="H817" s="112" t="s">
        <v>61</v>
      </c>
      <c r="I817" s="13" t="s">
        <v>22</v>
      </c>
      <c r="K817" s="187"/>
      <c r="L817" s="187"/>
      <c r="M817" s="188">
        <f>IF($G817="PAX",M342*'Insumos - OPEX'!I$48,M342*'Insumos - OPEX'!I$75)</f>
        <v>396.66784002698211</v>
      </c>
      <c r="N817" s="211">
        <f>IF($G817="PAX",N342*'Insumos - OPEX'!J$48,N342*'Insumos - OPEX'!J$75)</f>
        <v>461.45901067501495</v>
      </c>
      <c r="O817" s="211">
        <f>IF($G817="PAX",O342*'Insumos - OPEX'!K$48,O342*'Insumos - OPEX'!K$75)</f>
        <v>520.12166879779727</v>
      </c>
      <c r="P817" s="211">
        <f>IF($G817="PAX",P342*'Insumos - OPEX'!L$48,P342*'Insumos - OPEX'!L$75)</f>
        <v>551.2566177026124</v>
      </c>
      <c r="Q817" s="211">
        <f>IF($G817="PAX",Q342*'Insumos - OPEX'!M$48,Q342*'Insumos - OPEX'!M$75)</f>
        <v>574.28471311359704</v>
      </c>
      <c r="R817" s="211">
        <f>IF($G817="PAX",R342*'Insumos - OPEX'!N$48,R342*'Insumos - OPEX'!N$75)</f>
        <v>600.51797778863283</v>
      </c>
      <c r="S817" s="111"/>
    </row>
    <row r="818" spans="1:19" x14ac:dyDescent="0.2">
      <c r="A818" s="8"/>
      <c r="B818" s="8" t="s">
        <v>435</v>
      </c>
      <c r="C818" s="8" t="s">
        <v>170</v>
      </c>
      <c r="D818" s="8">
        <v>6270000004</v>
      </c>
      <c r="E818" s="8" t="s">
        <v>431</v>
      </c>
      <c r="F818" s="73" t="s">
        <v>23</v>
      </c>
      <c r="G818" s="73" t="s">
        <v>136</v>
      </c>
      <c r="H818" s="112" t="s">
        <v>61</v>
      </c>
      <c r="I818" s="13" t="s">
        <v>22</v>
      </c>
      <c r="K818" s="187"/>
      <c r="L818" s="187"/>
      <c r="M818" s="188">
        <f>IF($G818="PAX",M343*'Insumos - OPEX'!I$48,M343*'Insumos - OPEX'!I$75)</f>
        <v>378.03404825205359</v>
      </c>
      <c r="N818" s="211">
        <f>IF($G818="PAX",N343*'Insumos - OPEX'!J$48,N343*'Insumos - OPEX'!J$75)</f>
        <v>439.7816013922311</v>
      </c>
      <c r="O818" s="211">
        <f>IF($G818="PAX",O343*'Insumos - OPEX'!K$48,O343*'Insumos - OPEX'!K$75)</f>
        <v>495.68853382686746</v>
      </c>
      <c r="P818" s="211">
        <f>IF($G818="PAX",P343*'Insumos - OPEX'!L$48,P343*'Insumos - OPEX'!L$75)</f>
        <v>525.36089339049488</v>
      </c>
      <c r="Q818" s="211">
        <f>IF($G818="PAX",Q343*'Insumos - OPEX'!M$48,Q343*'Insumos - OPEX'!M$75)</f>
        <v>547.30722544291666</v>
      </c>
      <c r="R818" s="211">
        <f>IF($G818="PAX",R343*'Insumos - OPEX'!N$48,R343*'Insumos - OPEX'!N$75)</f>
        <v>572.30816134761926</v>
      </c>
      <c r="S818" s="111"/>
    </row>
    <row r="819" spans="1:19" x14ac:dyDescent="0.2">
      <c r="A819" s="8"/>
      <c r="B819" s="8" t="s">
        <v>435</v>
      </c>
      <c r="C819" s="8" t="s">
        <v>170</v>
      </c>
      <c r="D819" s="8">
        <v>6270000003</v>
      </c>
      <c r="E819" s="8" t="s">
        <v>432</v>
      </c>
      <c r="F819" s="73" t="s">
        <v>23</v>
      </c>
      <c r="G819" s="73" t="s">
        <v>136</v>
      </c>
      <c r="H819" s="112" t="s">
        <v>61</v>
      </c>
      <c r="I819" s="13" t="s">
        <v>22</v>
      </c>
      <c r="K819" s="187"/>
      <c r="L819" s="187"/>
      <c r="M819" s="188">
        <f>IF($G819="PAX",M344*'Insumos - OPEX'!I$48,M344*'Insumos - OPEX'!I$75)</f>
        <v>308.13919238175583</v>
      </c>
      <c r="N819" s="211">
        <f>IF($G819="PAX",N344*'Insumos - OPEX'!J$48,N344*'Insumos - OPEX'!J$75)</f>
        <v>358.47021744190533</v>
      </c>
      <c r="O819" s="211">
        <f>IF($G819="PAX",O344*'Insumos - OPEX'!K$48,O344*'Insumos - OPEX'!K$75)</f>
        <v>404.04049633240373</v>
      </c>
      <c r="P819" s="211">
        <f>IF($G819="PAX",P344*'Insumos - OPEX'!L$48,P344*'Insumos - OPEX'!L$75)</f>
        <v>428.22672229346057</v>
      </c>
      <c r="Q819" s="211">
        <f>IF($G819="PAX",Q344*'Insumos - OPEX'!M$48,Q344*'Insumos - OPEX'!M$75)</f>
        <v>446.11538884517341</v>
      </c>
      <c r="R819" s="211">
        <f>IF($G819="PAX",R344*'Insumos - OPEX'!N$48,R344*'Insumos - OPEX'!N$75)</f>
        <v>466.49389240611879</v>
      </c>
      <c r="S819" s="111"/>
    </row>
    <row r="820" spans="1:19" x14ac:dyDescent="0.2">
      <c r="A820" s="8"/>
      <c r="B820" s="8" t="s">
        <v>435</v>
      </c>
      <c r="C820" s="8" t="s">
        <v>170</v>
      </c>
      <c r="D820" s="8">
        <v>6250000004</v>
      </c>
      <c r="E820" s="8" t="s">
        <v>264</v>
      </c>
      <c r="F820" s="73" t="s">
        <v>23</v>
      </c>
      <c r="G820" s="73" t="s">
        <v>136</v>
      </c>
      <c r="H820" s="112" t="s">
        <v>61</v>
      </c>
      <c r="I820" s="13" t="s">
        <v>22</v>
      </c>
      <c r="K820" s="187"/>
      <c r="L820" s="187"/>
      <c r="M820" s="188">
        <f>IF($G820="PAX",M345*'Insumos - OPEX'!I$48,M345*'Insumos - OPEX'!I$75)</f>
        <v>304.34174897089048</v>
      </c>
      <c r="N820" s="211">
        <f>IF($G820="PAX",N345*'Insumos - OPEX'!J$48,N345*'Insumos - OPEX'!J$75)</f>
        <v>354.05250493122355</v>
      </c>
      <c r="O820" s="211">
        <f>IF($G820="PAX",O345*'Insumos - OPEX'!K$48,O345*'Insumos - OPEX'!K$75)</f>
        <v>399.06118516896237</v>
      </c>
      <c r="P820" s="211">
        <f>IF($G820="PAX",P345*'Insumos - OPEX'!L$48,P345*'Insumos - OPEX'!L$75)</f>
        <v>422.94934510440407</v>
      </c>
      <c r="Q820" s="211">
        <f>IF($G820="PAX",Q345*'Insumos - OPEX'!M$48,Q345*'Insumos - OPEX'!M$75)</f>
        <v>440.61755544475051</v>
      </c>
      <c r="R820" s="211">
        <f>IF($G820="PAX",R345*'Insumos - OPEX'!N$48,R345*'Insumos - OPEX'!N$75)</f>
        <v>460.74491856013083</v>
      </c>
      <c r="S820" s="111"/>
    </row>
    <row r="821" spans="1:19" x14ac:dyDescent="0.2">
      <c r="A821" s="8"/>
      <c r="B821" s="8" t="s">
        <v>435</v>
      </c>
      <c r="C821" s="8" t="s">
        <v>170</v>
      </c>
      <c r="D821" s="8">
        <v>6231000001</v>
      </c>
      <c r="E821" s="8" t="s">
        <v>258</v>
      </c>
      <c r="F821" s="73" t="s">
        <v>23</v>
      </c>
      <c r="G821" s="73" t="s">
        <v>136</v>
      </c>
      <c r="H821" s="112" t="s">
        <v>61</v>
      </c>
      <c r="I821" s="13" t="s">
        <v>22</v>
      </c>
      <c r="K821" s="187"/>
      <c r="L821" s="187"/>
      <c r="M821" s="188">
        <f>IF($G821="PAX",M346*'Insumos - OPEX'!I$48,M346*'Insumos - OPEX'!I$75)</f>
        <v>0</v>
      </c>
      <c r="N821" s="211">
        <f>IF($G821="PAX",N346*'Insumos - OPEX'!J$48,N346*'Insumos - OPEX'!J$75)</f>
        <v>0</v>
      </c>
      <c r="O821" s="211">
        <f>IF($G821="PAX",O346*'Insumos - OPEX'!K$48,O346*'Insumos - OPEX'!K$75)</f>
        <v>0</v>
      </c>
      <c r="P821" s="211">
        <f>IF($G821="PAX",P346*'Insumos - OPEX'!L$48,P346*'Insumos - OPEX'!L$75)</f>
        <v>0</v>
      </c>
      <c r="Q821" s="211">
        <f>IF($G821="PAX",Q346*'Insumos - OPEX'!M$48,Q346*'Insumos - OPEX'!M$75)</f>
        <v>0</v>
      </c>
      <c r="R821" s="211">
        <f>IF($G821="PAX",R346*'Insumos - OPEX'!N$48,R346*'Insumos - OPEX'!N$75)</f>
        <v>0</v>
      </c>
      <c r="S821" s="111"/>
    </row>
    <row r="822" spans="1:19" x14ac:dyDescent="0.2">
      <c r="A822" s="8"/>
      <c r="B822" s="8" t="s">
        <v>435</v>
      </c>
      <c r="C822" s="8" t="s">
        <v>170</v>
      </c>
      <c r="D822" s="8">
        <v>6270000007</v>
      </c>
      <c r="E822" s="8" t="s">
        <v>263</v>
      </c>
      <c r="F822" s="73" t="s">
        <v>23</v>
      </c>
      <c r="G822" s="73" t="s">
        <v>136</v>
      </c>
      <c r="H822" s="112" t="s">
        <v>61</v>
      </c>
      <c r="I822" s="13" t="s">
        <v>22</v>
      </c>
      <c r="K822" s="187"/>
      <c r="L822" s="187"/>
      <c r="M822" s="188">
        <f>IF($G822="PAX",M347*'Insumos - OPEX'!I$48,M347*'Insumos - OPEX'!I$75)</f>
        <v>0</v>
      </c>
      <c r="N822" s="211">
        <f>IF($G822="PAX",N347*'Insumos - OPEX'!J$48,N347*'Insumos - OPEX'!J$75)</f>
        <v>0</v>
      </c>
      <c r="O822" s="211">
        <f>IF($G822="PAX",O347*'Insumos - OPEX'!K$48,O347*'Insumos - OPEX'!K$75)</f>
        <v>0</v>
      </c>
      <c r="P822" s="211">
        <f>IF($G822="PAX",P347*'Insumos - OPEX'!L$48,P347*'Insumos - OPEX'!L$75)</f>
        <v>0</v>
      </c>
      <c r="Q822" s="211">
        <f>IF($G822="PAX",Q347*'Insumos - OPEX'!M$48,Q347*'Insumos - OPEX'!M$75)</f>
        <v>0</v>
      </c>
      <c r="R822" s="211">
        <f>IF($G822="PAX",R347*'Insumos - OPEX'!N$48,R347*'Insumos - OPEX'!N$75)</f>
        <v>0</v>
      </c>
      <c r="S822" s="111"/>
    </row>
    <row r="823" spans="1:19" x14ac:dyDescent="0.2">
      <c r="A823" s="8"/>
      <c r="B823" s="8" t="s">
        <v>435</v>
      </c>
      <c r="C823" s="8" t="s">
        <v>171</v>
      </c>
      <c r="D823" s="8">
        <v>6320000001</v>
      </c>
      <c r="E823" s="8" t="s">
        <v>324</v>
      </c>
      <c r="F823" s="73" t="s">
        <v>23</v>
      </c>
      <c r="G823" s="73" t="s">
        <v>136</v>
      </c>
      <c r="H823" s="112" t="s">
        <v>61</v>
      </c>
      <c r="I823" s="13" t="s">
        <v>22</v>
      </c>
      <c r="K823" s="187"/>
      <c r="L823" s="187"/>
      <c r="M823" s="188">
        <f>IF($G823="PAX",M348*'Insumos - OPEX'!I$48,M348*'Insumos - OPEX'!I$75)</f>
        <v>111483.89553987749</v>
      </c>
      <c r="N823" s="211">
        <f>IF($G823="PAX",N348*'Insumos - OPEX'!J$48,N348*'Insumos - OPEX'!J$75)</f>
        <v>129693.51923899143</v>
      </c>
      <c r="O823" s="211">
        <f>IF($G823="PAX",O348*'Insumos - OPEX'!K$48,O348*'Insumos - OPEX'!K$75)</f>
        <v>146180.71832678979</v>
      </c>
      <c r="P823" s="211">
        <f>IF($G823="PAX",P348*'Insumos - OPEX'!L$48,P348*'Insumos - OPEX'!L$75)</f>
        <v>154931.22704236332</v>
      </c>
      <c r="Q823" s="211">
        <f>IF($G823="PAX",Q348*'Insumos - OPEX'!M$48,Q348*'Insumos - OPEX'!M$75)</f>
        <v>161403.2964269293</v>
      </c>
      <c r="R823" s="211">
        <f>IF($G823="PAX",R348*'Insumos - OPEX'!N$48,R348*'Insumos - OPEX'!N$75)</f>
        <v>168776.1818579809</v>
      </c>
      <c r="S823" s="111"/>
    </row>
    <row r="824" spans="1:19" x14ac:dyDescent="0.2">
      <c r="A824" s="8"/>
      <c r="B824" s="8" t="s">
        <v>435</v>
      </c>
      <c r="C824" s="8" t="s">
        <v>171</v>
      </c>
      <c r="D824" s="8">
        <v>6320000004</v>
      </c>
      <c r="E824" s="8" t="s">
        <v>340</v>
      </c>
      <c r="F824" s="73" t="s">
        <v>23</v>
      </c>
      <c r="G824" s="73" t="s">
        <v>136</v>
      </c>
      <c r="H824" s="112" t="s">
        <v>61</v>
      </c>
      <c r="I824" s="13" t="s">
        <v>22</v>
      </c>
      <c r="K824" s="187"/>
      <c r="L824" s="187"/>
      <c r="M824" s="188">
        <f>IF($G824="PAX",M349*'Insumos - OPEX'!I$48,M349*'Insumos - OPEX'!I$75)</f>
        <v>45063.450231913506</v>
      </c>
      <c r="N824" s="211">
        <f>IF($G824="PAX",N349*'Insumos - OPEX'!J$48,N349*'Insumos - OPEX'!J$75)</f>
        <v>52424.051216773893</v>
      </c>
      <c r="O824" s="211">
        <f>IF($G824="PAX",O349*'Insumos - OPEX'!K$48,O349*'Insumos - OPEX'!K$75)</f>
        <v>59088.422532098921</v>
      </c>
      <c r="P824" s="211">
        <f>IF($G824="PAX",P349*'Insumos - OPEX'!L$48,P349*'Insumos - OPEX'!L$75)</f>
        <v>62625.508423281499</v>
      </c>
      <c r="Q824" s="211">
        <f>IF($G824="PAX",Q349*'Insumos - OPEX'!M$48,Q349*'Insumos - OPEX'!M$75)</f>
        <v>65241.615217868304</v>
      </c>
      <c r="R824" s="211">
        <f>IF($G824="PAX",R349*'Insumos - OPEX'!N$48,R349*'Insumos - OPEX'!N$75)</f>
        <v>68221.845268844147</v>
      </c>
      <c r="S824" s="111"/>
    </row>
    <row r="825" spans="1:19" x14ac:dyDescent="0.2">
      <c r="A825" s="8"/>
      <c r="B825" s="8" t="s">
        <v>435</v>
      </c>
      <c r="C825" s="8" t="s">
        <v>171</v>
      </c>
      <c r="D825" s="8">
        <v>6380000030</v>
      </c>
      <c r="E825" s="8" t="s">
        <v>326</v>
      </c>
      <c r="F825" s="73" t="s">
        <v>23</v>
      </c>
      <c r="G825" s="73" t="s">
        <v>136</v>
      </c>
      <c r="H825" s="112" t="s">
        <v>61</v>
      </c>
      <c r="I825" s="13" t="s">
        <v>22</v>
      </c>
      <c r="K825" s="187"/>
      <c r="L825" s="187"/>
      <c r="M825" s="188">
        <f>IF($G825="PAX",M350*'Insumos - OPEX'!I$48,M350*'Insumos - OPEX'!I$75)</f>
        <v>85623.659736840898</v>
      </c>
      <c r="N825" s="211">
        <f>IF($G825="PAX",N350*'Insumos - OPEX'!J$48,N350*'Insumos - OPEX'!J$75)</f>
        <v>99609.308659479546</v>
      </c>
      <c r="O825" s="211">
        <f>IF($G825="PAX",O350*'Insumos - OPEX'!K$48,O350*'Insumos - OPEX'!K$75)</f>
        <v>112272.07324866852</v>
      </c>
      <c r="P825" s="211">
        <f>IF($G825="PAX",P350*'Insumos - OPEX'!L$48,P350*'Insumos - OPEX'!L$75)</f>
        <v>118992.78010196035</v>
      </c>
      <c r="Q825" s="211">
        <f>IF($G825="PAX",Q350*'Insumos - OPEX'!M$48,Q350*'Insumos - OPEX'!M$75)</f>
        <v>123963.56322802255</v>
      </c>
      <c r="R825" s="211">
        <f>IF($G825="PAX",R350*'Insumos - OPEX'!N$48,R350*'Insumos - OPEX'!N$75)</f>
        <v>129626.20562466595</v>
      </c>
      <c r="S825" s="111"/>
    </row>
    <row r="826" spans="1:19" x14ac:dyDescent="0.2">
      <c r="A826" s="8"/>
      <c r="B826" s="8" t="s">
        <v>435</v>
      </c>
      <c r="C826" s="8" t="s">
        <v>171</v>
      </c>
      <c r="D826" s="8">
        <v>6356000001</v>
      </c>
      <c r="E826" s="8" t="s">
        <v>343</v>
      </c>
      <c r="F826" s="73" t="s">
        <v>23</v>
      </c>
      <c r="G826" s="73" t="s">
        <v>136</v>
      </c>
      <c r="H826" s="112" t="s">
        <v>61</v>
      </c>
      <c r="I826" s="13" t="s">
        <v>22</v>
      </c>
      <c r="K826" s="187"/>
      <c r="L826" s="187"/>
      <c r="M826" s="188">
        <f>IF($G826="PAX",M351*'Insumos - OPEX'!I$48,M351*'Insumos - OPEX'!I$75)</f>
        <v>16732.426177632671</v>
      </c>
      <c r="N826" s="211">
        <f>IF($G826="PAX",N351*'Insumos - OPEX'!J$48,N351*'Insumos - OPEX'!J$75)</f>
        <v>19465.477285977799</v>
      </c>
      <c r="O826" s="211">
        <f>IF($G826="PAX",O351*'Insumos - OPEX'!K$48,O351*'Insumos - OPEX'!K$75)</f>
        <v>21940.012646233852</v>
      </c>
      <c r="P826" s="211">
        <f>IF($G826="PAX",P351*'Insumos - OPEX'!L$48,P351*'Insumos - OPEX'!L$75)</f>
        <v>23253.361452274563</v>
      </c>
      <c r="Q826" s="211">
        <f>IF($G826="PAX",Q351*'Insumos - OPEX'!M$48,Q351*'Insumos - OPEX'!M$75)</f>
        <v>24224.743217051797</v>
      </c>
      <c r="R826" s="211">
        <f>IF($G826="PAX",R351*'Insumos - OPEX'!N$48,R351*'Insumos - OPEX'!N$75)</f>
        <v>25331.326913233155</v>
      </c>
      <c r="S826" s="111"/>
    </row>
    <row r="827" spans="1:19" x14ac:dyDescent="0.2">
      <c r="A827" s="8"/>
      <c r="B827" s="8" t="s">
        <v>435</v>
      </c>
      <c r="C827" s="8" t="s">
        <v>171</v>
      </c>
      <c r="D827" s="8">
        <v>6354000001</v>
      </c>
      <c r="E827" s="8" t="s">
        <v>336</v>
      </c>
      <c r="F827" s="73" t="s">
        <v>23</v>
      </c>
      <c r="G827" s="73" t="s">
        <v>136</v>
      </c>
      <c r="H827" s="112" t="s">
        <v>61</v>
      </c>
      <c r="I827" s="13" t="s">
        <v>22</v>
      </c>
      <c r="K827" s="187"/>
      <c r="L827" s="187"/>
      <c r="M827" s="188">
        <f>IF($G827="PAX",M352*'Insumos - OPEX'!I$48,M352*'Insumos - OPEX'!I$75)</f>
        <v>16715.981240931291</v>
      </c>
      <c r="N827" s="211">
        <f>IF($G827="PAX",N352*'Insumos - OPEX'!J$48,N352*'Insumos - OPEX'!J$75)</f>
        <v>19446.346256297358</v>
      </c>
      <c r="O827" s="211">
        <f>IF($G827="PAX",O352*'Insumos - OPEX'!K$48,O352*'Insumos - OPEX'!K$75)</f>
        <v>21918.449597614093</v>
      </c>
      <c r="P827" s="211">
        <f>IF($G827="PAX",P352*'Insumos - OPEX'!L$48,P352*'Insumos - OPEX'!L$75)</f>
        <v>23230.507620252989</v>
      </c>
      <c r="Q827" s="211">
        <f>IF($G827="PAX",Q352*'Insumos - OPEX'!M$48,Q352*'Insumos - OPEX'!M$75)</f>
        <v>24200.934693136463</v>
      </c>
      <c r="R827" s="211">
        <f>IF($G827="PAX",R352*'Insumos - OPEX'!N$48,R352*'Insumos - OPEX'!N$75)</f>
        <v>25306.430818475128</v>
      </c>
      <c r="S827" s="111"/>
    </row>
    <row r="828" spans="1:19" x14ac:dyDescent="0.2">
      <c r="A828" s="8"/>
      <c r="B828" s="8" t="s">
        <v>435</v>
      </c>
      <c r="C828" s="8" t="s">
        <v>171</v>
      </c>
      <c r="D828" s="8">
        <v>6370000001</v>
      </c>
      <c r="E828" s="8" t="s">
        <v>270</v>
      </c>
      <c r="F828" s="73" t="s">
        <v>23</v>
      </c>
      <c r="G828" s="73" t="s">
        <v>136</v>
      </c>
      <c r="H828" s="112" t="s">
        <v>61</v>
      </c>
      <c r="I828" s="13" t="s">
        <v>22</v>
      </c>
      <c r="K828" s="187"/>
      <c r="L828" s="187"/>
      <c r="M828" s="188">
        <f>IF($G828="PAX",M353*'Insumos - OPEX'!I$48,M353*'Insumos - OPEX'!I$75)</f>
        <v>10470.283984133554</v>
      </c>
      <c r="N828" s="211">
        <f>IF($G828="PAX",N353*'Insumos - OPEX'!J$48,N353*'Insumos - OPEX'!J$75)</f>
        <v>12180.485537915221</v>
      </c>
      <c r="O828" s="211">
        <f>IF($G828="PAX",O353*'Insumos - OPEX'!K$48,O353*'Insumos - OPEX'!K$75)</f>
        <v>13728.921352040938</v>
      </c>
      <c r="P828" s="211">
        <f>IF($G828="PAX",P353*'Insumos - OPEX'!L$48,P353*'Insumos - OPEX'!L$75)</f>
        <v>14550.746879521885</v>
      </c>
      <c r="Q828" s="211">
        <f>IF($G828="PAX",Q353*'Insumos - OPEX'!M$48,Q353*'Insumos - OPEX'!M$75)</f>
        <v>15158.587178726204</v>
      </c>
      <c r="R828" s="211">
        <f>IF($G828="PAX",R353*'Insumos - OPEX'!N$48,R353*'Insumos - OPEX'!N$75)</f>
        <v>15851.029830391335</v>
      </c>
      <c r="S828" s="111"/>
    </row>
    <row r="829" spans="1:19" x14ac:dyDescent="0.2">
      <c r="A829" s="8"/>
      <c r="B829" s="8" t="s">
        <v>435</v>
      </c>
      <c r="C829" s="8" t="s">
        <v>171</v>
      </c>
      <c r="D829" s="8">
        <v>6382000001</v>
      </c>
      <c r="E829" s="8" t="s">
        <v>349</v>
      </c>
      <c r="F829" s="73" t="s">
        <v>23</v>
      </c>
      <c r="G829" s="73" t="s">
        <v>136</v>
      </c>
      <c r="H829" s="112" t="s">
        <v>61</v>
      </c>
      <c r="I829" s="13" t="s">
        <v>22</v>
      </c>
      <c r="K829" s="187"/>
      <c r="L829" s="187"/>
      <c r="M829" s="188">
        <f>IF($G829="PAX",M354*'Insumos - OPEX'!I$48,M354*'Insumos - OPEX'!I$75)</f>
        <v>10555.934651499958</v>
      </c>
      <c r="N829" s="211">
        <f>IF($G829="PAX",N354*'Insumos - OPEX'!J$48,N354*'Insumos - OPEX'!J$75)</f>
        <v>12280.126265592735</v>
      </c>
      <c r="O829" s="211">
        <f>IF($G829="PAX",O354*'Insumos - OPEX'!K$48,O354*'Insumos - OPEX'!K$75)</f>
        <v>13841.228838428617</v>
      </c>
      <c r="P829" s="211">
        <f>IF($G829="PAX",P354*'Insumos - OPEX'!L$48,P354*'Insumos - OPEX'!L$75)</f>
        <v>14669.77719262507</v>
      </c>
      <c r="Q829" s="211">
        <f>IF($G829="PAX",Q354*'Insumos - OPEX'!M$48,Q354*'Insumos - OPEX'!M$75)</f>
        <v>15282.589842852336</v>
      </c>
      <c r="R829" s="211">
        <f>IF($G829="PAX",R354*'Insumos - OPEX'!N$48,R354*'Insumos - OPEX'!N$75)</f>
        <v>15980.696923038982</v>
      </c>
      <c r="S829" s="111"/>
    </row>
    <row r="830" spans="1:19" x14ac:dyDescent="0.2">
      <c r="A830" s="8"/>
      <c r="B830" s="8" t="s">
        <v>435</v>
      </c>
      <c r="C830" s="8" t="s">
        <v>171</v>
      </c>
      <c r="D830" s="8">
        <v>6380000021</v>
      </c>
      <c r="E830" s="8" t="s">
        <v>330</v>
      </c>
      <c r="F830" s="73" t="s">
        <v>23</v>
      </c>
      <c r="G830" s="73" t="s">
        <v>136</v>
      </c>
      <c r="H830" s="112" t="s">
        <v>61</v>
      </c>
      <c r="I830" s="13" t="s">
        <v>22</v>
      </c>
      <c r="K830" s="187"/>
      <c r="L830" s="187"/>
      <c r="M830" s="188">
        <f>IF($G830="PAX",M355*'Insumos - OPEX'!I$48,M355*'Insumos - OPEX'!I$75)</f>
        <v>4558.2663657608109</v>
      </c>
      <c r="N830" s="211">
        <f>IF($G830="PAX",N355*'Insumos - OPEX'!J$48,N355*'Insumos - OPEX'!J$75)</f>
        <v>5302.8072237822435</v>
      </c>
      <c r="O830" s="211">
        <f>IF($G830="PAX",O355*'Insumos - OPEX'!K$48,O355*'Insumos - OPEX'!K$75)</f>
        <v>5976.9229308408621</v>
      </c>
      <c r="P830" s="211">
        <f>IF($G830="PAX",P355*'Insumos - OPEX'!L$48,P355*'Insumos - OPEX'!L$75)</f>
        <v>6334.7068902938036</v>
      </c>
      <c r="Q830" s="211">
        <f>IF($G830="PAX",Q355*'Insumos - OPEX'!M$48,Q355*'Insumos - OPEX'!M$75)</f>
        <v>6599.3318036023347</v>
      </c>
      <c r="R830" s="211">
        <f>IF($G830="PAX",R355*'Insumos - OPEX'!N$48,R355*'Insumos - OPEX'!N$75)</f>
        <v>6900.7885791861154</v>
      </c>
      <c r="S830" s="111"/>
    </row>
    <row r="831" spans="1:19" x14ac:dyDescent="0.2">
      <c r="A831" s="8"/>
      <c r="B831" s="8" t="s">
        <v>435</v>
      </c>
      <c r="C831" s="8" t="s">
        <v>171</v>
      </c>
      <c r="D831" s="8">
        <v>6380000007</v>
      </c>
      <c r="E831" s="8" t="s">
        <v>329</v>
      </c>
      <c r="F831" s="73" t="s">
        <v>23</v>
      </c>
      <c r="G831" s="73" t="s">
        <v>471</v>
      </c>
      <c r="H831" s="112" t="s">
        <v>61</v>
      </c>
      <c r="I831" s="13" t="s">
        <v>22</v>
      </c>
      <c r="J831" s="11"/>
      <c r="K831" s="187"/>
      <c r="L831" s="187"/>
      <c r="M831" s="188">
        <f>IF($G831="PAX",M356*'Insumos - OPEX'!I$48,M356*'Insumos - OPEX'!I$75)</f>
        <v>1832.5400475204985</v>
      </c>
      <c r="N831" s="211">
        <f>IF($G831="PAX",N356*'Insumos - OPEX'!J$48,N356*'Insumos - OPEX'!J$75)</f>
        <v>1966.335422294017</v>
      </c>
      <c r="O831" s="211">
        <f>IF($G831="PAX",O356*'Insumos - OPEX'!K$48,O356*'Insumos - OPEX'!K$75)</f>
        <v>2105.2999995661007</v>
      </c>
      <c r="P831" s="211">
        <f>IF($G831="PAX",P356*'Insumos - OPEX'!L$48,P356*'Insumos - OPEX'!L$75)</f>
        <v>2158.26610815411</v>
      </c>
      <c r="Q831" s="211">
        <f>IF($G831="PAX",Q356*'Insumos - OPEX'!M$48,Q356*'Insumos - OPEX'!M$75)</f>
        <v>2209.2389433811704</v>
      </c>
      <c r="R831" s="211">
        <f>IF($G831="PAX",R356*'Insumos - OPEX'!N$48,R356*'Insumos - OPEX'!N$75)</f>
        <v>2262.4445096080772</v>
      </c>
      <c r="S831" s="111"/>
    </row>
    <row r="832" spans="1:19" x14ac:dyDescent="0.2">
      <c r="A832" s="8"/>
      <c r="B832" s="8" t="s">
        <v>435</v>
      </c>
      <c r="C832" s="8" t="s">
        <v>171</v>
      </c>
      <c r="D832" s="8">
        <v>6320000002</v>
      </c>
      <c r="E832" s="8" t="s">
        <v>346</v>
      </c>
      <c r="F832" s="73" t="s">
        <v>23</v>
      </c>
      <c r="G832" s="73" t="s">
        <v>136</v>
      </c>
      <c r="H832" s="112" t="s">
        <v>61</v>
      </c>
      <c r="I832" s="13" t="s">
        <v>22</v>
      </c>
      <c r="K832" s="187"/>
      <c r="L832" s="187"/>
      <c r="M832" s="188">
        <f>IF($G832="PAX",M357*'Insumos - OPEX'!I$48,M357*'Insumos - OPEX'!I$75)</f>
        <v>2333.0765459042236</v>
      </c>
      <c r="N832" s="211">
        <f>IF($G832="PAX",N357*'Insumos - OPEX'!J$48,N357*'Insumos - OPEX'!J$75)</f>
        <v>2714.1580084455818</v>
      </c>
      <c r="O832" s="211">
        <f>IF($G832="PAX",O357*'Insumos - OPEX'!K$48,O357*'Insumos - OPEX'!K$75)</f>
        <v>3059.1934713087962</v>
      </c>
      <c r="P832" s="211">
        <f>IF($G832="PAX",P357*'Insumos - OPEX'!L$48,P357*'Insumos - OPEX'!L$75)</f>
        <v>3242.3195322539168</v>
      </c>
      <c r="Q832" s="211">
        <f>IF($G832="PAX",Q357*'Insumos - OPEX'!M$48,Q357*'Insumos - OPEX'!M$75)</f>
        <v>3377.7636088308295</v>
      </c>
      <c r="R832" s="211">
        <f>IF($G832="PAX",R357*'Insumos - OPEX'!N$48,R357*'Insumos - OPEX'!N$75)</f>
        <v>3532.0594915816478</v>
      </c>
      <c r="S832" s="111"/>
    </row>
    <row r="833" spans="1:19" x14ac:dyDescent="0.2">
      <c r="A833" s="8"/>
      <c r="B833" s="8" t="s">
        <v>435</v>
      </c>
      <c r="C833" s="8" t="s">
        <v>171</v>
      </c>
      <c r="D833" s="8">
        <v>6360000001</v>
      </c>
      <c r="E833" s="8" t="s">
        <v>331</v>
      </c>
      <c r="F833" s="73" t="s">
        <v>23</v>
      </c>
      <c r="G833" s="73" t="s">
        <v>136</v>
      </c>
      <c r="H833" s="112" t="s">
        <v>61</v>
      </c>
      <c r="I833" s="13" t="s">
        <v>22</v>
      </c>
      <c r="K833" s="187"/>
      <c r="L833" s="187"/>
      <c r="M833" s="188">
        <f>IF($G833="PAX",M358*'Insumos - OPEX'!I$48,M358*'Insumos - OPEX'!I$75)</f>
        <v>1677.5372047907015</v>
      </c>
      <c r="N833" s="211">
        <f>IF($G833="PAX",N358*'Insumos - OPEX'!J$48,N358*'Insumos - OPEX'!J$75)</f>
        <v>1951.5437874686045</v>
      </c>
      <c r="O833" s="211">
        <f>IF($G833="PAX",O358*'Insumos - OPEX'!K$48,O358*'Insumos - OPEX'!K$75)</f>
        <v>2199.6324440286899</v>
      </c>
      <c r="P833" s="211">
        <f>IF($G833="PAX",P358*'Insumos - OPEX'!L$48,P358*'Insumos - OPEX'!L$75)</f>
        <v>2331.3044120751338</v>
      </c>
      <c r="Q833" s="211">
        <f>IF($G833="PAX",Q358*'Insumos - OPEX'!M$48,Q358*'Insumos - OPEX'!M$75)</f>
        <v>2428.6919058653266</v>
      </c>
      <c r="R833" s="211">
        <f>IF($G833="PAX",R358*'Insumos - OPEX'!N$48,R358*'Insumos - OPEX'!N$75)</f>
        <v>2539.6342940672557</v>
      </c>
      <c r="S833" s="111"/>
    </row>
    <row r="834" spans="1:19" x14ac:dyDescent="0.2">
      <c r="A834" s="8"/>
      <c r="B834" s="8" t="s">
        <v>435</v>
      </c>
      <c r="C834" s="8" t="s">
        <v>171</v>
      </c>
      <c r="D834" s="8">
        <v>6360000002</v>
      </c>
      <c r="E834" s="8" t="s">
        <v>320</v>
      </c>
      <c r="F834" s="73" t="s">
        <v>23</v>
      </c>
      <c r="G834" s="73" t="s">
        <v>471</v>
      </c>
      <c r="H834" s="112" t="s">
        <v>61</v>
      </c>
      <c r="I834" s="13" t="s">
        <v>22</v>
      </c>
      <c r="K834" s="187"/>
      <c r="L834" s="187"/>
      <c r="M834" s="188">
        <f>IF($G834="PAX",M359*'Insumos - OPEX'!I$48,M359*'Insumos - OPEX'!I$75)</f>
        <v>1951.2782037120194</v>
      </c>
      <c r="N834" s="211">
        <f>IF($G834="PAX",N359*'Insumos - OPEX'!J$48,N359*'Insumos - OPEX'!J$75)</f>
        <v>2093.742756618401</v>
      </c>
      <c r="O834" s="211">
        <f>IF($G834="PAX",O359*'Insumos - OPEX'!K$48,O359*'Insumos - OPEX'!K$75)</f>
        <v>2241.7114468993914</v>
      </c>
      <c r="P834" s="211">
        <f>IF($G834="PAX",P359*'Insumos - OPEX'!L$48,P359*'Insumos - OPEX'!L$75)</f>
        <v>2298.1094576075698</v>
      </c>
      <c r="Q834" s="211">
        <f>IF($G834="PAX",Q359*'Insumos - OPEX'!M$48,Q359*'Insumos - OPEX'!M$75)</f>
        <v>2352.385042195499</v>
      </c>
      <c r="R834" s="211">
        <f>IF($G834="PAX",R359*'Insumos - OPEX'!N$48,R359*'Insumos - OPEX'!N$75)</f>
        <v>2409.0380260335278</v>
      </c>
      <c r="S834" s="111"/>
    </row>
    <row r="835" spans="1:19" x14ac:dyDescent="0.2">
      <c r="A835" s="8"/>
      <c r="B835" s="8" t="s">
        <v>435</v>
      </c>
      <c r="C835" s="8" t="s">
        <v>171</v>
      </c>
      <c r="D835" s="8">
        <v>6382000002</v>
      </c>
      <c r="E835" s="8" t="s">
        <v>351</v>
      </c>
      <c r="F835" s="73" t="s">
        <v>23</v>
      </c>
      <c r="G835" s="73" t="s">
        <v>136</v>
      </c>
      <c r="H835" s="112" t="s">
        <v>61</v>
      </c>
      <c r="I835" s="13" t="s">
        <v>22</v>
      </c>
      <c r="K835" s="187"/>
      <c r="L835" s="187"/>
      <c r="M835" s="188">
        <f>IF($G835="PAX",M360*'Insumos - OPEX'!I$48,M360*'Insumos - OPEX'!I$75)</f>
        <v>1084.4530090660651</v>
      </c>
      <c r="N835" s="211">
        <f>IF($G835="PAX",N360*'Insumos - OPEX'!J$48,N360*'Insumos - OPEX'!J$75)</f>
        <v>1261.586048047478</v>
      </c>
      <c r="O835" s="211">
        <f>IF($G835="PAX",O360*'Insumos - OPEX'!K$48,O360*'Insumos - OPEX'!K$75)</f>
        <v>1421.9643033573559</v>
      </c>
      <c r="P835" s="211">
        <f>IF($G835="PAX",P360*'Insumos - OPEX'!L$48,P360*'Insumos - OPEX'!L$75)</f>
        <v>1507.0843600391581</v>
      </c>
      <c r="Q835" s="211">
        <f>IF($G835="PAX",Q360*'Insumos - OPEX'!M$48,Q360*'Insumos - OPEX'!M$75)</f>
        <v>1570.0410327046411</v>
      </c>
      <c r="R835" s="211">
        <f>IF($G835="PAX",R360*'Insumos - OPEX'!N$48,R360*'Insumos - OPEX'!N$75)</f>
        <v>1641.7603402555985</v>
      </c>
      <c r="S835" s="111"/>
    </row>
    <row r="836" spans="1:19" x14ac:dyDescent="0.2">
      <c r="A836" s="8"/>
      <c r="B836" s="8" t="s">
        <v>435</v>
      </c>
      <c r="C836" s="8" t="s">
        <v>171</v>
      </c>
      <c r="D836" s="8">
        <v>6370000003</v>
      </c>
      <c r="E836" s="8" t="s">
        <v>339</v>
      </c>
      <c r="F836" s="73" t="s">
        <v>23</v>
      </c>
      <c r="G836" s="73" t="s">
        <v>136</v>
      </c>
      <c r="H836" s="112" t="s">
        <v>61</v>
      </c>
      <c r="I836" s="13" t="s">
        <v>22</v>
      </c>
      <c r="K836" s="187"/>
      <c r="L836" s="187"/>
      <c r="M836" s="188">
        <f>IF($G836="PAX",M361*'Insumos - OPEX'!I$48,M361*'Insumos - OPEX'!I$75)</f>
        <v>865.57268114539056</v>
      </c>
      <c r="N836" s="211">
        <f>IF($G836="PAX",N361*'Insumos - OPEX'!J$48,N361*'Insumos - OPEX'!J$75)</f>
        <v>1006.9541132487635</v>
      </c>
      <c r="O836" s="211">
        <f>IF($G836="PAX",O361*'Insumos - OPEX'!K$48,O361*'Insumos - OPEX'!K$75)</f>
        <v>1134.962459655163</v>
      </c>
      <c r="P836" s="211">
        <f>IF($G836="PAX",P361*'Insumos - OPEX'!L$48,P361*'Insumos - OPEX'!L$75)</f>
        <v>1202.9023289398328</v>
      </c>
      <c r="Q836" s="211">
        <f>IF($G836="PAX",Q361*'Insumos - OPEX'!M$48,Q361*'Insumos - OPEX'!M$75)</f>
        <v>1253.1521558106022</v>
      </c>
      <c r="R836" s="211">
        <f>IF($G836="PAX",R361*'Insumos - OPEX'!N$48,R361*'Insumos - OPEX'!N$75)</f>
        <v>1310.3960131357203</v>
      </c>
      <c r="S836" s="111"/>
    </row>
    <row r="837" spans="1:19" x14ac:dyDescent="0.2">
      <c r="A837" s="8"/>
      <c r="B837" s="8" t="s">
        <v>435</v>
      </c>
      <c r="C837" s="8" t="s">
        <v>171</v>
      </c>
      <c r="D837" s="8">
        <v>6380000012</v>
      </c>
      <c r="E837" s="8" t="s">
        <v>345</v>
      </c>
      <c r="F837" s="73" t="s">
        <v>23</v>
      </c>
      <c r="G837" s="73" t="s">
        <v>136</v>
      </c>
      <c r="H837" s="112" t="s">
        <v>61</v>
      </c>
      <c r="I837" s="13" t="s">
        <v>22</v>
      </c>
      <c r="K837" s="187"/>
      <c r="L837" s="187"/>
      <c r="M837" s="188">
        <f>IF($G837="PAX",M362*'Insumos - OPEX'!I$48,M362*'Insumos - OPEX'!I$75)</f>
        <v>327.46246432156863</v>
      </c>
      <c r="N837" s="211">
        <f>IF($G837="PAX",N362*'Insumos - OPEX'!J$48,N362*'Insumos - OPEX'!J$75)</f>
        <v>380.94972561615947</v>
      </c>
      <c r="O837" s="211">
        <f>IF($G837="PAX",O362*'Insumos - OPEX'!K$48,O362*'Insumos - OPEX'!K$75)</f>
        <v>429.3776964625817</v>
      </c>
      <c r="P837" s="211">
        <f>IF($G837="PAX",P362*'Insumos - OPEX'!L$48,P362*'Insumos - OPEX'!L$75)</f>
        <v>455.08062991492147</v>
      </c>
      <c r="Q837" s="211">
        <f>IF($G837="PAX",Q362*'Insumos - OPEX'!M$48,Q362*'Insumos - OPEX'!M$75)</f>
        <v>474.09108680348675</v>
      </c>
      <c r="R837" s="211">
        <f>IF($G837="PAX",R362*'Insumos - OPEX'!N$48,R362*'Insumos - OPEX'!N$75)</f>
        <v>495.74751727464076</v>
      </c>
      <c r="S837" s="111"/>
    </row>
    <row r="838" spans="1:19" x14ac:dyDescent="0.2">
      <c r="A838" s="8"/>
      <c r="B838" s="8" t="s">
        <v>435</v>
      </c>
      <c r="C838" s="8" t="s">
        <v>171</v>
      </c>
      <c r="D838" s="8">
        <v>6360000003</v>
      </c>
      <c r="E838" s="8" t="s">
        <v>322</v>
      </c>
      <c r="F838" s="73" t="s">
        <v>23</v>
      </c>
      <c r="G838" s="73" t="s">
        <v>471</v>
      </c>
      <c r="H838" s="112" t="s">
        <v>61</v>
      </c>
      <c r="I838" s="13" t="s">
        <v>22</v>
      </c>
      <c r="K838" s="187"/>
      <c r="L838" s="187"/>
      <c r="M838" s="188">
        <f>IF($G838="PAX",M363*'Insumos - OPEX'!I$48,M363*'Insumos - OPEX'!I$75)</f>
        <v>235.78997029796955</v>
      </c>
      <c r="N838" s="211">
        <f>IF($G838="PAX",N363*'Insumos - OPEX'!J$48,N363*'Insumos - OPEX'!J$75)</f>
        <v>253.00520523187387</v>
      </c>
      <c r="O838" s="211">
        <f>IF($G838="PAX",O363*'Insumos - OPEX'!K$48,O363*'Insumos - OPEX'!K$75)</f>
        <v>270.88555310846675</v>
      </c>
      <c r="P838" s="211">
        <f>IF($G838="PAX",P363*'Insumos - OPEX'!L$48,P363*'Insumos - OPEX'!L$75)</f>
        <v>277.70061681616778</v>
      </c>
      <c r="Q838" s="211">
        <f>IF($G838="PAX",Q363*'Insumos - OPEX'!M$48,Q363*'Insumos - OPEX'!M$75)</f>
        <v>284.25920925754662</v>
      </c>
      <c r="R838" s="211">
        <f>IF($G838="PAX",R363*'Insumos - OPEX'!N$48,R363*'Insumos - OPEX'!N$75)</f>
        <v>291.10508359317345</v>
      </c>
      <c r="S838" s="111"/>
    </row>
    <row r="839" spans="1:19" x14ac:dyDescent="0.2">
      <c r="A839" s="8"/>
      <c r="B839" s="8" t="s">
        <v>435</v>
      </c>
      <c r="C839" s="8" t="s">
        <v>171</v>
      </c>
      <c r="D839" s="8">
        <v>6380000010</v>
      </c>
      <c r="E839" s="8" t="s">
        <v>332</v>
      </c>
      <c r="F839" s="73" t="s">
        <v>23</v>
      </c>
      <c r="G839" s="73" t="s">
        <v>136</v>
      </c>
      <c r="H839" s="112" t="s">
        <v>61</v>
      </c>
      <c r="I839" s="13" t="s">
        <v>22</v>
      </c>
      <c r="K839" s="187"/>
      <c r="L839" s="187"/>
      <c r="M839" s="188">
        <f>IF($G839="PAX",M364*'Insumos - OPEX'!I$48,M364*'Insumos - OPEX'!I$75)</f>
        <v>168.94860024540904</v>
      </c>
      <c r="N839" s="211">
        <f>IF($G839="PAX",N364*'Insumos - OPEX'!J$48,N364*'Insumos - OPEX'!J$75)</f>
        <v>196.54442850439267</v>
      </c>
      <c r="O839" s="211">
        <f>IF($G839="PAX",O364*'Insumos - OPEX'!K$48,O364*'Insumos - OPEX'!K$75)</f>
        <v>221.53000327608294</v>
      </c>
      <c r="P839" s="211">
        <f>IF($G839="PAX",P364*'Insumos - OPEX'!L$48,P364*'Insumos - OPEX'!L$75)</f>
        <v>234.79098767003592</v>
      </c>
      <c r="Q839" s="211">
        <f>IF($G839="PAX",Q364*'Insumos - OPEX'!M$48,Q364*'Insumos - OPEX'!M$75)</f>
        <v>244.59910442015851</v>
      </c>
      <c r="R839" s="211">
        <f>IF($G839="PAX",R364*'Insumos - OPEX'!N$48,R364*'Insumos - OPEX'!N$75)</f>
        <v>255.77236552046136</v>
      </c>
      <c r="S839" s="111"/>
    </row>
    <row r="840" spans="1:19" x14ac:dyDescent="0.2">
      <c r="A840" s="8"/>
      <c r="B840" s="8" t="s">
        <v>435</v>
      </c>
      <c r="C840" s="8" t="s">
        <v>171</v>
      </c>
      <c r="D840" s="8">
        <v>6357000001</v>
      </c>
      <c r="E840" s="8" t="s">
        <v>334</v>
      </c>
      <c r="F840" s="73" t="s">
        <v>23</v>
      </c>
      <c r="G840" s="73" t="s">
        <v>136</v>
      </c>
      <c r="H840" s="112" t="s">
        <v>61</v>
      </c>
      <c r="I840" s="13" t="s">
        <v>22</v>
      </c>
      <c r="K840" s="187"/>
      <c r="L840" s="187"/>
      <c r="M840" s="188">
        <f>IF($G840="PAX",M365*'Insumos - OPEX'!I$48,M365*'Insumos - OPEX'!I$75)</f>
        <v>144.76714315037236</v>
      </c>
      <c r="N840" s="211">
        <f>IF($G840="PAX",N365*'Insumos - OPEX'!J$48,N365*'Insumos - OPEX'!J$75)</f>
        <v>168.41320600095779</v>
      </c>
      <c r="O840" s="211">
        <f>IF($G840="PAX",O365*'Insumos - OPEX'!K$48,O365*'Insumos - OPEX'!K$75)</f>
        <v>189.82261853479091</v>
      </c>
      <c r="P840" s="211">
        <f>IF($G840="PAX",P365*'Insumos - OPEX'!L$48,P365*'Insumos - OPEX'!L$75)</f>
        <v>201.18557048162961</v>
      </c>
      <c r="Q840" s="211">
        <f>IF($G840="PAX",Q365*'Insumos - OPEX'!M$48,Q365*'Insumos - OPEX'!M$75)</f>
        <v>209.58986054108007</v>
      </c>
      <c r="R840" s="211">
        <f>IF($G840="PAX",R365*'Insumos - OPEX'!N$48,R365*'Insumos - OPEX'!N$75)</f>
        <v>219.16390310085549</v>
      </c>
      <c r="S840" s="111"/>
    </row>
    <row r="841" spans="1:19" x14ac:dyDescent="0.2">
      <c r="A841" s="8"/>
      <c r="B841" s="8" t="s">
        <v>435</v>
      </c>
      <c r="C841" s="8" t="s">
        <v>171</v>
      </c>
      <c r="D841" s="8">
        <v>6311300001</v>
      </c>
      <c r="E841" s="8" t="s">
        <v>352</v>
      </c>
      <c r="F841" s="73" t="s">
        <v>23</v>
      </c>
      <c r="G841" s="73" t="s">
        <v>136</v>
      </c>
      <c r="H841" s="112" t="s">
        <v>61</v>
      </c>
      <c r="I841" s="13" t="s">
        <v>22</v>
      </c>
      <c r="K841" s="187"/>
      <c r="L841" s="187"/>
      <c r="M841" s="188">
        <f>IF($G841="PAX",M366*'Insumos - OPEX'!I$48,M366*'Insumos - OPEX'!I$75)</f>
        <v>37.771963888017559</v>
      </c>
      <c r="N841" s="211">
        <f>IF($G841="PAX",N366*'Insumos - OPEX'!J$48,N366*'Insumos - OPEX'!J$75)</f>
        <v>43.941583683293658</v>
      </c>
      <c r="O841" s="211">
        <f>IF($G841="PAX",O366*'Insumos - OPEX'!K$48,O366*'Insumos - OPEX'!K$75)</f>
        <v>49.527627170051069</v>
      </c>
      <c r="P841" s="211">
        <f>IF($G841="PAX",P366*'Insumos - OPEX'!L$48,P366*'Insumos - OPEX'!L$75)</f>
        <v>52.492395288404069</v>
      </c>
      <c r="Q841" s="211">
        <f>IF($G841="PAX",Q366*'Insumos - OPEX'!M$48,Q366*'Insumos - OPEX'!M$75)</f>
        <v>54.685203226184889</v>
      </c>
      <c r="R841" s="211">
        <f>IF($G841="PAX",R366*'Insumos - OPEX'!N$48,R366*'Insumos - OPEX'!N$75)</f>
        <v>57.183217499040623</v>
      </c>
      <c r="S841" s="111"/>
    </row>
    <row r="842" spans="1:19" x14ac:dyDescent="0.2">
      <c r="A842" s="8"/>
      <c r="B842" s="8" t="s">
        <v>435</v>
      </c>
      <c r="C842" s="8" t="s">
        <v>171</v>
      </c>
      <c r="D842" s="8">
        <v>6380000022</v>
      </c>
      <c r="E842" s="8" t="s">
        <v>328</v>
      </c>
      <c r="F842" s="73" t="s">
        <v>23</v>
      </c>
      <c r="G842" s="73" t="s">
        <v>136</v>
      </c>
      <c r="H842" s="112" t="s">
        <v>61</v>
      </c>
      <c r="I842" s="13" t="s">
        <v>22</v>
      </c>
      <c r="K842" s="187"/>
      <c r="L842" s="187"/>
      <c r="M842" s="188">
        <f>IF($G842="PAX",M367*'Insumos - OPEX'!I$48,M367*'Insumos - OPEX'!I$75)</f>
        <v>21.485329338488476</v>
      </c>
      <c r="N842" s="211">
        <f>IF($G842="PAX",N367*'Insumos - OPEX'!J$48,N367*'Insumos - OPEX'!J$75)</f>
        <v>24.994713006961586</v>
      </c>
      <c r="O842" s="211">
        <f>IF($G842="PAX",O367*'Insumos - OPEX'!K$48,O367*'Insumos - OPEX'!K$75)</f>
        <v>28.172148640647951</v>
      </c>
      <c r="P842" s="211">
        <f>IF($G842="PAX",P367*'Insumos - OPEX'!L$48,P367*'Insumos - OPEX'!L$75)</f>
        <v>29.858558688690813</v>
      </c>
      <c r="Q842" s="211">
        <f>IF($G842="PAX",Q367*'Insumos - OPEX'!M$48,Q367*'Insumos - OPEX'!M$75)</f>
        <v>31.105864782145446</v>
      </c>
      <c r="R842" s="211">
        <f>IF($G842="PAX",R367*'Insumos - OPEX'!N$48,R367*'Insumos - OPEX'!N$75)</f>
        <v>32.526777380274247</v>
      </c>
      <c r="S842" s="111"/>
    </row>
    <row r="843" spans="1:19" x14ac:dyDescent="0.2">
      <c r="A843" s="8"/>
      <c r="B843" s="8" t="s">
        <v>435</v>
      </c>
      <c r="C843" s="8" t="s">
        <v>171</v>
      </c>
      <c r="D843" s="8">
        <v>6311300002</v>
      </c>
      <c r="E843" s="8" t="s">
        <v>347</v>
      </c>
      <c r="F843" s="73" t="s">
        <v>23</v>
      </c>
      <c r="G843" s="73" t="s">
        <v>136</v>
      </c>
      <c r="H843" s="112" t="s">
        <v>61</v>
      </c>
      <c r="I843" s="13" t="s">
        <v>22</v>
      </c>
      <c r="K843" s="187"/>
      <c r="L843" s="187"/>
      <c r="M843" s="188">
        <f>IF($G843="PAX",M368*'Insumos - OPEX'!I$48,M368*'Insumos - OPEX'!I$75)</f>
        <v>20.690600229218088</v>
      </c>
      <c r="N843" s="211">
        <f>IF($G843="PAX",N368*'Insumos - OPEX'!J$48,N368*'Insumos - OPEX'!J$75)</f>
        <v>24.07017395561423</v>
      </c>
      <c r="O843" s="211">
        <f>IF($G843="PAX",O368*'Insumos - OPEX'!K$48,O368*'Insumos - OPEX'!K$75)</f>
        <v>27.130078200735841</v>
      </c>
      <c r="P843" s="211">
        <f>IF($G843="PAX",P368*'Insumos - OPEX'!L$48,P368*'Insumos - OPEX'!L$75)</f>
        <v>28.754108978988093</v>
      </c>
      <c r="Q843" s="211">
        <f>IF($G843="PAX",Q368*'Insumos - OPEX'!M$48,Q368*'Insumos - OPEX'!M$75)</f>
        <v>29.955277987689598</v>
      </c>
      <c r="R843" s="211">
        <f>IF($G843="PAX",R368*'Insumos - OPEX'!N$48,R368*'Insumos - OPEX'!N$75)</f>
        <v>31.323631903301997</v>
      </c>
      <c r="S843" s="111"/>
    </row>
    <row r="844" spans="1:19" x14ac:dyDescent="0.2">
      <c r="A844" s="8"/>
      <c r="B844" s="8" t="s">
        <v>435</v>
      </c>
      <c r="C844" s="8" t="s">
        <v>171</v>
      </c>
      <c r="D844" s="8">
        <v>6380000015</v>
      </c>
      <c r="E844" s="8" t="s">
        <v>327</v>
      </c>
      <c r="F844" s="73" t="s">
        <v>23</v>
      </c>
      <c r="G844" s="73" t="s">
        <v>136</v>
      </c>
      <c r="H844" s="112" t="s">
        <v>61</v>
      </c>
      <c r="I844" s="13" t="s">
        <v>22</v>
      </c>
      <c r="K844" s="187"/>
      <c r="L844" s="187"/>
      <c r="M844" s="188">
        <f>IF($G844="PAX",M369*'Insumos - OPEX'!I$48,M369*'Insumos - OPEX'!I$75)</f>
        <v>0</v>
      </c>
      <c r="N844" s="211">
        <f>IF($G844="PAX",N369*'Insumos - OPEX'!J$48,N369*'Insumos - OPEX'!J$75)</f>
        <v>0</v>
      </c>
      <c r="O844" s="211">
        <f>IF($G844="PAX",O369*'Insumos - OPEX'!K$48,O369*'Insumos - OPEX'!K$75)</f>
        <v>0</v>
      </c>
      <c r="P844" s="211">
        <f>IF($G844="PAX",P369*'Insumos - OPEX'!L$48,P369*'Insumos - OPEX'!L$75)</f>
        <v>0</v>
      </c>
      <c r="Q844" s="211">
        <f>IF($G844="PAX",Q369*'Insumos - OPEX'!M$48,Q369*'Insumos - OPEX'!M$75)</f>
        <v>0</v>
      </c>
      <c r="R844" s="211">
        <f>IF($G844="PAX",R369*'Insumos - OPEX'!N$48,R369*'Insumos - OPEX'!N$75)</f>
        <v>0</v>
      </c>
      <c r="S844" s="111"/>
    </row>
    <row r="845" spans="1:19" x14ac:dyDescent="0.2">
      <c r="A845" s="8"/>
      <c r="B845" s="8" t="s">
        <v>435</v>
      </c>
      <c r="C845" s="8" t="s">
        <v>171</v>
      </c>
      <c r="D845" s="8">
        <v>6320000003</v>
      </c>
      <c r="E845" s="8" t="s">
        <v>325</v>
      </c>
      <c r="F845" s="73" t="s">
        <v>23</v>
      </c>
      <c r="G845" s="73" t="s">
        <v>136</v>
      </c>
      <c r="H845" s="112" t="s">
        <v>61</v>
      </c>
      <c r="I845" s="13" t="s">
        <v>22</v>
      </c>
      <c r="K845" s="187"/>
      <c r="L845" s="187"/>
      <c r="M845" s="188">
        <f>IF($G845="PAX",M370*'Insumos - OPEX'!I$48,M370*'Insumos - OPEX'!I$75)</f>
        <v>0</v>
      </c>
      <c r="N845" s="211">
        <f>IF($G845="PAX",N370*'Insumos - OPEX'!J$48,N370*'Insumos - OPEX'!J$75)</f>
        <v>0</v>
      </c>
      <c r="O845" s="211">
        <f>IF($G845="PAX",O370*'Insumos - OPEX'!K$48,O370*'Insumos - OPEX'!K$75)</f>
        <v>0</v>
      </c>
      <c r="P845" s="211">
        <f>IF($G845="PAX",P370*'Insumos - OPEX'!L$48,P370*'Insumos - OPEX'!L$75)</f>
        <v>0</v>
      </c>
      <c r="Q845" s="211">
        <f>IF($G845="PAX",Q370*'Insumos - OPEX'!M$48,Q370*'Insumos - OPEX'!M$75)</f>
        <v>0</v>
      </c>
      <c r="R845" s="211">
        <f>IF($G845="PAX",R370*'Insumos - OPEX'!N$48,R370*'Insumos - OPEX'!N$75)</f>
        <v>0</v>
      </c>
      <c r="S845" s="111"/>
    </row>
    <row r="846" spans="1:19" x14ac:dyDescent="0.2">
      <c r="A846" s="8"/>
      <c r="B846" s="8" t="s">
        <v>435</v>
      </c>
      <c r="C846" s="8" t="s">
        <v>171</v>
      </c>
      <c r="D846" s="8">
        <v>6356000002</v>
      </c>
      <c r="E846" s="8" t="s">
        <v>337</v>
      </c>
      <c r="F846" s="73" t="s">
        <v>23</v>
      </c>
      <c r="G846" s="73" t="s">
        <v>136</v>
      </c>
      <c r="H846" s="112" t="s">
        <v>61</v>
      </c>
      <c r="I846" s="13" t="s">
        <v>22</v>
      </c>
      <c r="K846" s="187"/>
      <c r="L846" s="187"/>
      <c r="M846" s="188">
        <f>IF($G846="PAX",M371*'Insumos - OPEX'!I$48,M371*'Insumos - OPEX'!I$75)</f>
        <v>0</v>
      </c>
      <c r="N846" s="211">
        <f>IF($G846="PAX",N371*'Insumos - OPEX'!J$48,N371*'Insumos - OPEX'!J$75)</f>
        <v>0</v>
      </c>
      <c r="O846" s="211">
        <f>IF($G846="PAX",O371*'Insumos - OPEX'!K$48,O371*'Insumos - OPEX'!K$75)</f>
        <v>0</v>
      </c>
      <c r="P846" s="211">
        <f>IF($G846="PAX",P371*'Insumos - OPEX'!L$48,P371*'Insumos - OPEX'!L$75)</f>
        <v>0</v>
      </c>
      <c r="Q846" s="211">
        <f>IF($G846="PAX",Q371*'Insumos - OPEX'!M$48,Q371*'Insumos - OPEX'!M$75)</f>
        <v>0</v>
      </c>
      <c r="R846" s="211">
        <f>IF($G846="PAX",R371*'Insumos - OPEX'!N$48,R371*'Insumos - OPEX'!N$75)</f>
        <v>0</v>
      </c>
      <c r="S846" s="111"/>
    </row>
    <row r="847" spans="1:19" x14ac:dyDescent="0.2">
      <c r="A847" s="8"/>
      <c r="B847" s="8" t="s">
        <v>435</v>
      </c>
      <c r="C847" s="8" t="s">
        <v>171</v>
      </c>
      <c r="D847" s="8">
        <v>6380000002</v>
      </c>
      <c r="E847" s="8" t="s">
        <v>333</v>
      </c>
      <c r="F847" s="73" t="s">
        <v>23</v>
      </c>
      <c r="G847" s="73" t="s">
        <v>136</v>
      </c>
      <c r="H847" s="112" t="s">
        <v>61</v>
      </c>
      <c r="I847" s="13" t="s">
        <v>22</v>
      </c>
      <c r="K847" s="187"/>
      <c r="L847" s="187"/>
      <c r="M847" s="188">
        <f>IF($G847="PAX",M372*'Insumos - OPEX'!I$48,M372*'Insumos - OPEX'!I$75)</f>
        <v>0</v>
      </c>
      <c r="N847" s="211">
        <f>IF($G847="PAX",N372*'Insumos - OPEX'!J$48,N372*'Insumos - OPEX'!J$75)</f>
        <v>0</v>
      </c>
      <c r="O847" s="211">
        <f>IF($G847="PAX",O372*'Insumos - OPEX'!K$48,O372*'Insumos - OPEX'!K$75)</f>
        <v>0</v>
      </c>
      <c r="P847" s="211">
        <f>IF($G847="PAX",P372*'Insumos - OPEX'!L$48,P372*'Insumos - OPEX'!L$75)</f>
        <v>0</v>
      </c>
      <c r="Q847" s="211">
        <f>IF($G847="PAX",Q372*'Insumos - OPEX'!M$48,Q372*'Insumos - OPEX'!M$75)</f>
        <v>0</v>
      </c>
      <c r="R847" s="211">
        <f>IF($G847="PAX",R372*'Insumos - OPEX'!N$48,R372*'Insumos - OPEX'!N$75)</f>
        <v>0</v>
      </c>
      <c r="S847" s="111"/>
    </row>
    <row r="848" spans="1:19" x14ac:dyDescent="0.2">
      <c r="A848" s="8"/>
      <c r="B848" s="8" t="s">
        <v>435</v>
      </c>
      <c r="C848" s="8" t="s">
        <v>171</v>
      </c>
      <c r="D848" s="8">
        <v>6358000001</v>
      </c>
      <c r="E848" s="8" t="s">
        <v>335</v>
      </c>
      <c r="F848" s="73" t="s">
        <v>23</v>
      </c>
      <c r="G848" s="73" t="s">
        <v>136</v>
      </c>
      <c r="H848" s="112" t="s">
        <v>61</v>
      </c>
      <c r="I848" s="13" t="s">
        <v>22</v>
      </c>
      <c r="K848" s="187"/>
      <c r="L848" s="187"/>
      <c r="M848" s="188">
        <f>IF($G848="PAX",M373*'Insumos - OPEX'!I$48,M373*'Insumos - OPEX'!I$75)</f>
        <v>0</v>
      </c>
      <c r="N848" s="211">
        <f>IF($G848="PAX",N373*'Insumos - OPEX'!J$48,N373*'Insumos - OPEX'!J$75)</f>
        <v>0</v>
      </c>
      <c r="O848" s="211">
        <f>IF($G848="PAX",O373*'Insumos - OPEX'!K$48,O373*'Insumos - OPEX'!K$75)</f>
        <v>0</v>
      </c>
      <c r="P848" s="211">
        <f>IF($G848="PAX",P373*'Insumos - OPEX'!L$48,P373*'Insumos - OPEX'!L$75)</f>
        <v>0</v>
      </c>
      <c r="Q848" s="211">
        <f>IF($G848="PAX",Q373*'Insumos - OPEX'!M$48,Q373*'Insumos - OPEX'!M$75)</f>
        <v>0</v>
      </c>
      <c r="R848" s="211">
        <f>IF($G848="PAX",R373*'Insumos - OPEX'!N$48,R373*'Insumos - OPEX'!N$75)</f>
        <v>0</v>
      </c>
      <c r="S848" s="111"/>
    </row>
    <row r="849" spans="1:19" x14ac:dyDescent="0.2">
      <c r="A849" s="8"/>
      <c r="B849" s="8" t="s">
        <v>435</v>
      </c>
      <c r="C849" s="8" t="s">
        <v>171</v>
      </c>
      <c r="D849" s="8">
        <v>6320000006</v>
      </c>
      <c r="E849" s="8" t="s">
        <v>344</v>
      </c>
      <c r="F849" s="73" t="s">
        <v>23</v>
      </c>
      <c r="G849" s="73" t="s">
        <v>136</v>
      </c>
      <c r="H849" s="112" t="s">
        <v>61</v>
      </c>
      <c r="I849" s="13" t="s">
        <v>22</v>
      </c>
      <c r="K849" s="187"/>
      <c r="L849" s="187"/>
      <c r="M849" s="188">
        <f>IF($G849="PAX",M374*'Insumos - OPEX'!I$48,M374*'Insumos - OPEX'!I$75)</f>
        <v>0</v>
      </c>
      <c r="N849" s="211">
        <f>IF($G849="PAX",N374*'Insumos - OPEX'!J$48,N374*'Insumos - OPEX'!J$75)</f>
        <v>0</v>
      </c>
      <c r="O849" s="211">
        <f>IF($G849="PAX",O374*'Insumos - OPEX'!K$48,O374*'Insumos - OPEX'!K$75)</f>
        <v>0</v>
      </c>
      <c r="P849" s="211">
        <f>IF($G849="PAX",P374*'Insumos - OPEX'!L$48,P374*'Insumos - OPEX'!L$75)</f>
        <v>0</v>
      </c>
      <c r="Q849" s="211">
        <f>IF($G849="PAX",Q374*'Insumos - OPEX'!M$48,Q374*'Insumos - OPEX'!M$75)</f>
        <v>0</v>
      </c>
      <c r="R849" s="211">
        <f>IF($G849="PAX",R374*'Insumos - OPEX'!N$48,R374*'Insumos - OPEX'!N$75)</f>
        <v>0</v>
      </c>
      <c r="S849" s="111"/>
    </row>
    <row r="850" spans="1:19" x14ac:dyDescent="0.2">
      <c r="A850" s="8"/>
      <c r="B850" s="8" t="s">
        <v>435</v>
      </c>
      <c r="C850" s="8" t="s">
        <v>171</v>
      </c>
      <c r="D850" s="8">
        <v>6320000005</v>
      </c>
      <c r="E850" s="8" t="s">
        <v>342</v>
      </c>
      <c r="F850" s="73" t="s">
        <v>23</v>
      </c>
      <c r="G850" s="73" t="s">
        <v>136</v>
      </c>
      <c r="H850" s="112" t="s">
        <v>61</v>
      </c>
      <c r="I850" s="13" t="s">
        <v>22</v>
      </c>
      <c r="K850" s="187"/>
      <c r="L850" s="187"/>
      <c r="M850" s="188">
        <f>IF($G850="PAX",M375*'Insumos - OPEX'!I$48,M375*'Insumos - OPEX'!I$75)</f>
        <v>0</v>
      </c>
      <c r="N850" s="211">
        <f>IF($G850="PAX",N375*'Insumos - OPEX'!J$48,N375*'Insumos - OPEX'!J$75)</f>
        <v>0</v>
      </c>
      <c r="O850" s="211">
        <f>IF($G850="PAX",O375*'Insumos - OPEX'!K$48,O375*'Insumos - OPEX'!K$75)</f>
        <v>0</v>
      </c>
      <c r="P850" s="211">
        <f>IF($G850="PAX",P375*'Insumos - OPEX'!L$48,P375*'Insumos - OPEX'!L$75)</f>
        <v>0</v>
      </c>
      <c r="Q850" s="211">
        <f>IF($G850="PAX",Q375*'Insumos - OPEX'!M$48,Q375*'Insumos - OPEX'!M$75)</f>
        <v>0</v>
      </c>
      <c r="R850" s="211">
        <f>IF($G850="PAX",R375*'Insumos - OPEX'!N$48,R375*'Insumos - OPEX'!N$75)</f>
        <v>0</v>
      </c>
      <c r="S850" s="111"/>
    </row>
    <row r="851" spans="1:19" x14ac:dyDescent="0.2">
      <c r="A851" s="8"/>
      <c r="B851" s="8" t="s">
        <v>435</v>
      </c>
      <c r="C851" s="8" t="s">
        <v>171</v>
      </c>
      <c r="D851" s="8">
        <v>6370000002</v>
      </c>
      <c r="E851" s="8" t="s">
        <v>338</v>
      </c>
      <c r="F851" s="73" t="s">
        <v>23</v>
      </c>
      <c r="G851" s="73" t="s">
        <v>136</v>
      </c>
      <c r="H851" s="112" t="s">
        <v>61</v>
      </c>
      <c r="I851" s="13" t="s">
        <v>22</v>
      </c>
      <c r="K851" s="187"/>
      <c r="L851" s="187"/>
      <c r="M851" s="188">
        <f>IF($G851="PAX",M376*'Insumos - OPEX'!I$48,M376*'Insumos - OPEX'!I$75)</f>
        <v>0</v>
      </c>
      <c r="N851" s="211">
        <f>IF($G851="PAX",N376*'Insumos - OPEX'!J$48,N376*'Insumos - OPEX'!J$75)</f>
        <v>0</v>
      </c>
      <c r="O851" s="211">
        <f>IF($G851="PAX",O376*'Insumos - OPEX'!K$48,O376*'Insumos - OPEX'!K$75)</f>
        <v>0</v>
      </c>
      <c r="P851" s="211">
        <f>IF($G851="PAX",P376*'Insumos - OPEX'!L$48,P376*'Insumos - OPEX'!L$75)</f>
        <v>0</v>
      </c>
      <c r="Q851" s="211">
        <f>IF($G851="PAX",Q376*'Insumos - OPEX'!M$48,Q376*'Insumos - OPEX'!M$75)</f>
        <v>0</v>
      </c>
      <c r="R851" s="211">
        <f>IF($G851="PAX",R376*'Insumos - OPEX'!N$48,R376*'Insumos - OPEX'!N$75)</f>
        <v>0</v>
      </c>
      <c r="S851" s="111"/>
    </row>
    <row r="852" spans="1:19" x14ac:dyDescent="0.2">
      <c r="A852" s="8"/>
      <c r="B852" s="8" t="s">
        <v>435</v>
      </c>
      <c r="C852" s="8" t="s">
        <v>171</v>
      </c>
      <c r="D852" s="8">
        <v>6380000009</v>
      </c>
      <c r="E852" s="8" t="s">
        <v>321</v>
      </c>
      <c r="F852" s="73" t="s">
        <v>23</v>
      </c>
      <c r="G852" s="73" t="s">
        <v>136</v>
      </c>
      <c r="H852" s="112" t="s">
        <v>61</v>
      </c>
      <c r="I852" s="13" t="s">
        <v>22</v>
      </c>
      <c r="K852" s="187"/>
      <c r="L852" s="187"/>
      <c r="M852" s="188">
        <f>IF($G852="PAX",M377*'Insumos - OPEX'!I$48,M377*'Insumos - OPEX'!I$75)</f>
        <v>0</v>
      </c>
      <c r="N852" s="211">
        <f>IF($G852="PAX",N377*'Insumos - OPEX'!J$48,N377*'Insumos - OPEX'!J$75)</f>
        <v>0</v>
      </c>
      <c r="O852" s="211">
        <f>IF($G852="PAX",O377*'Insumos - OPEX'!K$48,O377*'Insumos - OPEX'!K$75)</f>
        <v>0</v>
      </c>
      <c r="P852" s="211">
        <f>IF($G852="PAX",P377*'Insumos - OPEX'!L$48,P377*'Insumos - OPEX'!L$75)</f>
        <v>0</v>
      </c>
      <c r="Q852" s="211">
        <f>IF($G852="PAX",Q377*'Insumos - OPEX'!M$48,Q377*'Insumos - OPEX'!M$75)</f>
        <v>0</v>
      </c>
      <c r="R852" s="211">
        <f>IF($G852="PAX",R377*'Insumos - OPEX'!N$48,R377*'Insumos - OPEX'!N$75)</f>
        <v>0</v>
      </c>
      <c r="S852" s="111"/>
    </row>
    <row r="853" spans="1:19" x14ac:dyDescent="0.2">
      <c r="A853" s="8"/>
      <c r="B853" s="8" t="s">
        <v>435</v>
      </c>
      <c r="C853" s="8" t="s">
        <v>171</v>
      </c>
      <c r="D853" s="8">
        <v>6380000029</v>
      </c>
      <c r="E853" s="8" t="s">
        <v>348</v>
      </c>
      <c r="F853" s="73" t="s">
        <v>23</v>
      </c>
      <c r="G853" s="73" t="s">
        <v>136</v>
      </c>
      <c r="H853" s="112" t="s">
        <v>61</v>
      </c>
      <c r="I853" s="13" t="s">
        <v>22</v>
      </c>
      <c r="K853" s="187"/>
      <c r="L853" s="187"/>
      <c r="M853" s="188">
        <f>IF($G853="PAX",M378*'Insumos - OPEX'!I$48,M378*'Insumos - OPEX'!I$75)</f>
        <v>0</v>
      </c>
      <c r="N853" s="211">
        <f>IF($G853="PAX",N378*'Insumos - OPEX'!J$48,N378*'Insumos - OPEX'!J$75)</f>
        <v>0</v>
      </c>
      <c r="O853" s="211">
        <f>IF($G853="PAX",O378*'Insumos - OPEX'!K$48,O378*'Insumos - OPEX'!K$75)</f>
        <v>0</v>
      </c>
      <c r="P853" s="211">
        <f>IF($G853="PAX",P378*'Insumos - OPEX'!L$48,P378*'Insumos - OPEX'!L$75)</f>
        <v>0</v>
      </c>
      <c r="Q853" s="211">
        <f>IF($G853="PAX",Q378*'Insumos - OPEX'!M$48,Q378*'Insumos - OPEX'!M$75)</f>
        <v>0</v>
      </c>
      <c r="R853" s="211">
        <f>IF($G853="PAX",R378*'Insumos - OPEX'!N$48,R378*'Insumos - OPEX'!N$75)</f>
        <v>0</v>
      </c>
      <c r="S853" s="111"/>
    </row>
    <row r="854" spans="1:19" x14ac:dyDescent="0.2">
      <c r="A854" s="8"/>
      <c r="B854" s="8" t="s">
        <v>435</v>
      </c>
      <c r="C854" s="8" t="s">
        <v>171</v>
      </c>
      <c r="D854" s="8">
        <v>6381000004</v>
      </c>
      <c r="E854" s="8" t="s">
        <v>350</v>
      </c>
      <c r="F854" s="73" t="s">
        <v>23</v>
      </c>
      <c r="G854" s="73" t="s">
        <v>136</v>
      </c>
      <c r="H854" s="112" t="s">
        <v>61</v>
      </c>
      <c r="I854" s="13" t="s">
        <v>22</v>
      </c>
      <c r="K854" s="187"/>
      <c r="L854" s="187"/>
      <c r="M854" s="188">
        <f>IF($G854="PAX",M379*'Insumos - OPEX'!I$48,M379*'Insumos - OPEX'!I$75)</f>
        <v>0</v>
      </c>
      <c r="N854" s="211">
        <f>IF($G854="PAX",N379*'Insumos - OPEX'!J$48,N379*'Insumos - OPEX'!J$75)</f>
        <v>0</v>
      </c>
      <c r="O854" s="211">
        <f>IF($G854="PAX",O379*'Insumos - OPEX'!K$48,O379*'Insumos - OPEX'!K$75)</f>
        <v>0</v>
      </c>
      <c r="P854" s="211">
        <f>IF($G854="PAX",P379*'Insumos - OPEX'!L$48,P379*'Insumos - OPEX'!L$75)</f>
        <v>0</v>
      </c>
      <c r="Q854" s="211">
        <f>IF($G854="PAX",Q379*'Insumos - OPEX'!M$48,Q379*'Insumos - OPEX'!M$75)</f>
        <v>0</v>
      </c>
      <c r="R854" s="211">
        <f>IF($G854="PAX",R379*'Insumos - OPEX'!N$48,R379*'Insumos - OPEX'!N$75)</f>
        <v>0</v>
      </c>
      <c r="S854" s="111"/>
    </row>
    <row r="855" spans="1:19" x14ac:dyDescent="0.2">
      <c r="A855" s="8"/>
      <c r="B855" s="8" t="s">
        <v>435</v>
      </c>
      <c r="C855" s="8" t="s">
        <v>171</v>
      </c>
      <c r="D855" s="8">
        <v>6329000003</v>
      </c>
      <c r="E855" s="8" t="s">
        <v>341</v>
      </c>
      <c r="F855" s="73" t="s">
        <v>23</v>
      </c>
      <c r="G855" s="73" t="s">
        <v>136</v>
      </c>
      <c r="H855" s="112" t="s">
        <v>61</v>
      </c>
      <c r="I855" s="13" t="s">
        <v>22</v>
      </c>
      <c r="K855" s="187"/>
      <c r="L855" s="187"/>
      <c r="M855" s="188">
        <f>IF($G855="PAX",M380*'Insumos - OPEX'!I$48,M380*'Insumos - OPEX'!I$75)</f>
        <v>0</v>
      </c>
      <c r="N855" s="211">
        <f>IF($G855="PAX",N380*'Insumos - OPEX'!J$48,N380*'Insumos - OPEX'!J$75)</f>
        <v>0</v>
      </c>
      <c r="O855" s="211">
        <f>IF($G855="PAX",O380*'Insumos - OPEX'!K$48,O380*'Insumos - OPEX'!K$75)</f>
        <v>0</v>
      </c>
      <c r="P855" s="211">
        <f>IF($G855="PAX",P380*'Insumos - OPEX'!L$48,P380*'Insumos - OPEX'!L$75)</f>
        <v>0</v>
      </c>
      <c r="Q855" s="211">
        <f>IF($G855="PAX",Q380*'Insumos - OPEX'!M$48,Q380*'Insumos - OPEX'!M$75)</f>
        <v>0</v>
      </c>
      <c r="R855" s="211">
        <f>IF($G855="PAX",R380*'Insumos - OPEX'!N$48,R380*'Insumos - OPEX'!N$75)</f>
        <v>0</v>
      </c>
      <c r="S855" s="111"/>
    </row>
    <row r="856" spans="1:19" x14ac:dyDescent="0.2">
      <c r="A856" s="8"/>
      <c r="B856" s="8" t="s">
        <v>435</v>
      </c>
      <c r="C856" s="8" t="s">
        <v>171</v>
      </c>
      <c r="D856" s="8">
        <v>6380000008</v>
      </c>
      <c r="E856" s="8" t="s">
        <v>323</v>
      </c>
      <c r="F856" s="73" t="s">
        <v>23</v>
      </c>
      <c r="G856" s="73" t="s">
        <v>136</v>
      </c>
      <c r="H856" s="112" t="s">
        <v>61</v>
      </c>
      <c r="I856" s="13" t="s">
        <v>22</v>
      </c>
      <c r="K856" s="187"/>
      <c r="L856" s="187"/>
      <c r="M856" s="188">
        <f>IF($G856="PAX",M381*'Insumos - OPEX'!I$48,M381*'Insumos - OPEX'!I$75)</f>
        <v>0</v>
      </c>
      <c r="N856" s="211">
        <f>IF($G856="PAX",N381*'Insumos - OPEX'!J$48,N381*'Insumos - OPEX'!J$75)</f>
        <v>0</v>
      </c>
      <c r="O856" s="211">
        <f>IF($G856="PAX",O381*'Insumos - OPEX'!K$48,O381*'Insumos - OPEX'!K$75)</f>
        <v>0</v>
      </c>
      <c r="P856" s="211">
        <f>IF($G856="PAX",P381*'Insumos - OPEX'!L$48,P381*'Insumos - OPEX'!L$75)</f>
        <v>0</v>
      </c>
      <c r="Q856" s="211">
        <f>IF($G856="PAX",Q381*'Insumos - OPEX'!M$48,Q381*'Insumos - OPEX'!M$75)</f>
        <v>0</v>
      </c>
      <c r="R856" s="211">
        <f>IF($G856="PAX",R381*'Insumos - OPEX'!N$48,R381*'Insumos - OPEX'!N$75)</f>
        <v>0</v>
      </c>
      <c r="S856" s="111"/>
    </row>
    <row r="857" spans="1:19" x14ac:dyDescent="0.2">
      <c r="A857" s="8"/>
      <c r="B857" s="8" t="s">
        <v>435</v>
      </c>
      <c r="C857" s="8" t="s">
        <v>171</v>
      </c>
      <c r="D857" s="8">
        <v>6360000004</v>
      </c>
      <c r="E857" s="8" t="s">
        <v>353</v>
      </c>
      <c r="F857" s="73" t="s">
        <v>23</v>
      </c>
      <c r="G857" s="73" t="s">
        <v>136</v>
      </c>
      <c r="H857" s="112" t="s">
        <v>61</v>
      </c>
      <c r="I857" s="13" t="s">
        <v>22</v>
      </c>
      <c r="K857" s="187"/>
      <c r="L857" s="187"/>
      <c r="M857" s="188">
        <f>IF($G857="PAX",M382*'Insumos - OPEX'!I$48,M382*'Insumos - OPEX'!I$75)</f>
        <v>0</v>
      </c>
      <c r="N857" s="211">
        <f>IF($G857="PAX",N382*'Insumos - OPEX'!J$48,N382*'Insumos - OPEX'!J$75)</f>
        <v>0</v>
      </c>
      <c r="O857" s="211">
        <f>IF($G857="PAX",O382*'Insumos - OPEX'!K$48,O382*'Insumos - OPEX'!K$75)</f>
        <v>0</v>
      </c>
      <c r="P857" s="211">
        <f>IF($G857="PAX",P382*'Insumos - OPEX'!L$48,P382*'Insumos - OPEX'!L$75)</f>
        <v>0</v>
      </c>
      <c r="Q857" s="211">
        <f>IF($G857="PAX",Q382*'Insumos - OPEX'!M$48,Q382*'Insumos - OPEX'!M$75)</f>
        <v>0</v>
      </c>
      <c r="R857" s="211">
        <f>IF($G857="PAX",R382*'Insumos - OPEX'!N$48,R382*'Insumos - OPEX'!N$75)</f>
        <v>0</v>
      </c>
      <c r="S857" s="111"/>
    </row>
    <row r="858" spans="1:19" x14ac:dyDescent="0.2">
      <c r="A858" s="8"/>
      <c r="B858" s="8" t="s">
        <v>435</v>
      </c>
      <c r="C858" s="8" t="s">
        <v>171</v>
      </c>
      <c r="D858" s="8">
        <v>6360000005</v>
      </c>
      <c r="E858" s="8" t="s">
        <v>354</v>
      </c>
      <c r="F858" s="73" t="s">
        <v>23</v>
      </c>
      <c r="G858" s="73" t="s">
        <v>136</v>
      </c>
      <c r="H858" s="112" t="s">
        <v>61</v>
      </c>
      <c r="I858" s="13" t="s">
        <v>22</v>
      </c>
      <c r="J858" s="11"/>
      <c r="K858" s="187"/>
      <c r="L858" s="187"/>
      <c r="M858" s="188">
        <f>IF($G858="PAX",M383*'Insumos - OPEX'!I$48,M383*'Insumos - OPEX'!I$75)</f>
        <v>0</v>
      </c>
      <c r="N858" s="211">
        <f>IF($G858="PAX",N383*'Insumos - OPEX'!J$48,N383*'Insumos - OPEX'!J$75)</f>
        <v>0</v>
      </c>
      <c r="O858" s="211">
        <f>IF($G858="PAX",O383*'Insumos - OPEX'!K$48,O383*'Insumos - OPEX'!K$75)</f>
        <v>0</v>
      </c>
      <c r="P858" s="211">
        <f>IF($G858="PAX",P383*'Insumos - OPEX'!L$48,P383*'Insumos - OPEX'!L$75)</f>
        <v>0</v>
      </c>
      <c r="Q858" s="211">
        <f>IF($G858="PAX",Q383*'Insumos - OPEX'!M$48,Q383*'Insumos - OPEX'!M$75)</f>
        <v>0</v>
      </c>
      <c r="R858" s="211">
        <f>IF($G858="PAX",R383*'Insumos - OPEX'!N$48,R383*'Insumos - OPEX'!N$75)</f>
        <v>0</v>
      </c>
      <c r="S858" s="111"/>
    </row>
    <row r="859" spans="1:19" x14ac:dyDescent="0.2">
      <c r="A859" s="8"/>
      <c r="B859" s="8" t="s">
        <v>435</v>
      </c>
      <c r="C859" s="8" t="s">
        <v>171</v>
      </c>
      <c r="D859" s="8">
        <v>6380000019</v>
      </c>
      <c r="E859" s="8" t="s">
        <v>355</v>
      </c>
      <c r="F859" s="73" t="s">
        <v>23</v>
      </c>
      <c r="G859" s="73" t="s">
        <v>136</v>
      </c>
      <c r="H859" s="112" t="s">
        <v>61</v>
      </c>
      <c r="I859" s="13" t="s">
        <v>22</v>
      </c>
      <c r="K859" s="187"/>
      <c r="L859" s="187"/>
      <c r="M859" s="188">
        <f>IF($G859="PAX",M384*'Insumos - OPEX'!I$48,M384*'Insumos - OPEX'!I$75)</f>
        <v>0</v>
      </c>
      <c r="N859" s="211">
        <f>IF($G859="PAX",N384*'Insumos - OPEX'!J$48,N384*'Insumos - OPEX'!J$75)</f>
        <v>0</v>
      </c>
      <c r="O859" s="211">
        <f>IF($G859="PAX",O384*'Insumos - OPEX'!K$48,O384*'Insumos - OPEX'!K$75)</f>
        <v>0</v>
      </c>
      <c r="P859" s="211">
        <f>IF($G859="PAX",P384*'Insumos - OPEX'!L$48,P384*'Insumos - OPEX'!L$75)</f>
        <v>0</v>
      </c>
      <c r="Q859" s="211">
        <f>IF($G859="PAX",Q384*'Insumos - OPEX'!M$48,Q384*'Insumos - OPEX'!M$75)</f>
        <v>0</v>
      </c>
      <c r="R859" s="211">
        <f>IF($G859="PAX",R384*'Insumos - OPEX'!N$48,R384*'Insumos - OPEX'!N$75)</f>
        <v>0</v>
      </c>
      <c r="S859" s="111"/>
    </row>
    <row r="860" spans="1:19" x14ac:dyDescent="0.2">
      <c r="A860" s="8"/>
      <c r="B860" s="8" t="s">
        <v>435</v>
      </c>
      <c r="C860" s="8" t="s">
        <v>174</v>
      </c>
      <c r="D860" s="8">
        <v>6540000001</v>
      </c>
      <c r="E860" s="8" t="s">
        <v>276</v>
      </c>
      <c r="F860" s="73" t="s">
        <v>23</v>
      </c>
      <c r="G860" s="73" t="s">
        <v>136</v>
      </c>
      <c r="H860" s="112" t="s">
        <v>61</v>
      </c>
      <c r="I860" s="13" t="s">
        <v>22</v>
      </c>
      <c r="J860" s="40"/>
      <c r="K860" s="187"/>
      <c r="L860" s="187"/>
      <c r="M860" s="188">
        <f>IF($G860="PAX",M385*'Insumos - OPEX'!I$48,M385*'Insumos - OPEX'!I$75)</f>
        <v>19936.990797756538</v>
      </c>
      <c r="N860" s="211">
        <f>IF($G860="PAX",N385*'Insumos - OPEX'!J$48,N385*'Insumos - OPEX'!J$75)</f>
        <v>23193.471012784401</v>
      </c>
      <c r="O860" s="211">
        <f>IF($G860="PAX",O385*'Insumos - OPEX'!K$48,O385*'Insumos - OPEX'!K$75)</f>
        <v>26141.925001608637</v>
      </c>
      <c r="P860" s="211">
        <f>IF($G860="PAX",P385*'Insumos - OPEX'!L$48,P385*'Insumos - OPEX'!L$75)</f>
        <v>27706.804044390865</v>
      </c>
      <c r="Q860" s="211">
        <f>IF($G860="PAX",Q385*'Insumos - OPEX'!M$48,Q385*'Insumos - OPEX'!M$75)</f>
        <v>28864.223123959884</v>
      </c>
      <c r="R860" s="211">
        <f>IF($G860="PAX",R385*'Insumos - OPEX'!N$48,R385*'Insumos - OPEX'!N$75)</f>
        <v>30182.737769325951</v>
      </c>
      <c r="S860" s="111"/>
    </row>
    <row r="861" spans="1:19" x14ac:dyDescent="0.2">
      <c r="A861" s="8"/>
      <c r="B861" s="8" t="s">
        <v>435</v>
      </c>
      <c r="C861" s="8" t="s">
        <v>174</v>
      </c>
      <c r="D861" s="8">
        <v>6590000006</v>
      </c>
      <c r="E861" s="8" t="s">
        <v>272</v>
      </c>
      <c r="F861" s="73" t="s">
        <v>23</v>
      </c>
      <c r="G861" s="73" t="s">
        <v>136</v>
      </c>
      <c r="H861" s="112" t="s">
        <v>61</v>
      </c>
      <c r="I861" s="13" t="s">
        <v>22</v>
      </c>
      <c r="K861" s="187"/>
      <c r="L861" s="187"/>
      <c r="M861" s="188">
        <f>IF($G861="PAX",M386*'Insumos - OPEX'!I$48,M386*'Insumos - OPEX'!I$75)</f>
        <v>39336.551746553698</v>
      </c>
      <c r="N861" s="211">
        <f>IF($G861="PAX",N386*'Insumos - OPEX'!J$48,N386*'Insumos - OPEX'!J$75)</f>
        <v>45761.729136136804</v>
      </c>
      <c r="O861" s="211">
        <f>IF($G861="PAX",O386*'Insumos - OPEX'!K$48,O386*'Insumos - OPEX'!K$75)</f>
        <v>51579.157356887576</v>
      </c>
      <c r="P861" s="211">
        <f>IF($G861="PAX",P386*'Insumos - OPEX'!L$48,P386*'Insumos - OPEX'!L$75)</f>
        <v>54666.731909534079</v>
      </c>
      <c r="Q861" s="211">
        <f>IF($G861="PAX",Q386*'Insumos - OPEX'!M$48,Q386*'Insumos - OPEX'!M$75)</f>
        <v>56950.37019666408</v>
      </c>
      <c r="R861" s="211">
        <f>IF($G861="PAX",R386*'Insumos - OPEX'!N$48,R386*'Insumos - OPEX'!N$75)</f>
        <v>59551.857056048473</v>
      </c>
      <c r="S861" s="111"/>
    </row>
    <row r="862" spans="1:19" x14ac:dyDescent="0.2">
      <c r="A862" s="8"/>
      <c r="B862" s="8" t="s">
        <v>435</v>
      </c>
      <c r="C862" s="8" t="s">
        <v>174</v>
      </c>
      <c r="D862" s="8">
        <v>6561000003</v>
      </c>
      <c r="E862" s="8" t="s">
        <v>269</v>
      </c>
      <c r="F862" s="73" t="s">
        <v>23</v>
      </c>
      <c r="G862" s="73" t="s">
        <v>136</v>
      </c>
      <c r="H862" s="112" t="s">
        <v>61</v>
      </c>
      <c r="I862" s="13" t="s">
        <v>22</v>
      </c>
      <c r="J862" s="40"/>
      <c r="K862" s="187"/>
      <c r="L862" s="187"/>
      <c r="M862" s="188">
        <f>IF($G862="PAX",M387*'Insumos - OPEX'!I$48,M387*'Insumos - OPEX'!I$75)</f>
        <v>7912.599828451378</v>
      </c>
      <c r="N862" s="211">
        <f>IF($G862="PAX",N387*'Insumos - OPEX'!J$48,N387*'Insumos - OPEX'!J$75)</f>
        <v>9205.0328265989374</v>
      </c>
      <c r="O862" s="211">
        <f>IF($G862="PAX",O387*'Insumos - OPEX'!K$48,O387*'Insumos - OPEX'!K$75)</f>
        <v>10375.216269167046</v>
      </c>
      <c r="P862" s="211">
        <f>IF($G862="PAX",P387*'Insumos - OPEX'!L$48,P387*'Insumos - OPEX'!L$75)</f>
        <v>10996.286006875865</v>
      </c>
      <c r="Q862" s="211">
        <f>IF($G862="PAX",Q387*'Insumos - OPEX'!M$48,Q387*'Insumos - OPEX'!M$75)</f>
        <v>11455.642892944887</v>
      </c>
      <c r="R862" s="211">
        <f>IF($G862="PAX",R387*'Insumos - OPEX'!N$48,R387*'Insumos - OPEX'!N$75)</f>
        <v>11978.935443087817</v>
      </c>
      <c r="S862" s="111"/>
    </row>
    <row r="863" spans="1:19" x14ac:dyDescent="0.2">
      <c r="A863" s="8"/>
      <c r="B863" s="8" t="s">
        <v>435</v>
      </c>
      <c r="C863" s="8" t="s">
        <v>174</v>
      </c>
      <c r="D863" s="8">
        <v>6530000002</v>
      </c>
      <c r="E863" s="8" t="s">
        <v>271</v>
      </c>
      <c r="F863" s="73" t="s">
        <v>23</v>
      </c>
      <c r="G863" s="73" t="s">
        <v>136</v>
      </c>
      <c r="H863" s="112" t="s">
        <v>61</v>
      </c>
      <c r="I863" s="13" t="s">
        <v>22</v>
      </c>
      <c r="K863" s="187"/>
      <c r="L863" s="187"/>
      <c r="M863" s="188">
        <f>IF($G863="PAX",M388*'Insumos - OPEX'!I$48,M388*'Insumos - OPEX'!I$75)</f>
        <v>11559.654280944096</v>
      </c>
      <c r="N863" s="211">
        <f>IF($G863="PAX",N388*'Insumos - OPEX'!J$48,N388*'Insumos - OPEX'!J$75)</f>
        <v>13447.792056615466</v>
      </c>
      <c r="O863" s="211">
        <f>IF($G863="PAX",O388*'Insumos - OPEX'!K$48,O388*'Insumos - OPEX'!K$75)</f>
        <v>15157.333336933158</v>
      </c>
      <c r="P863" s="211">
        <f>IF($G863="PAX",P388*'Insumos - OPEX'!L$48,P388*'Insumos - OPEX'!L$75)</f>
        <v>16064.664885086997</v>
      </c>
      <c r="Q863" s="211">
        <f>IF($G863="PAX",Q388*'Insumos - OPEX'!M$48,Q388*'Insumos - OPEX'!M$75)</f>
        <v>16735.747324443491</v>
      </c>
      <c r="R863" s="211">
        <f>IF($G863="PAX",R388*'Insumos - OPEX'!N$48,R388*'Insumos - OPEX'!N$75)</f>
        <v>17500.234483985561</v>
      </c>
      <c r="S863" s="111"/>
    </row>
    <row r="864" spans="1:19" x14ac:dyDescent="0.2">
      <c r="A864" s="8"/>
      <c r="B864" s="8" t="s">
        <v>435</v>
      </c>
      <c r="C864" s="8" t="s">
        <v>174</v>
      </c>
      <c r="D864" s="8">
        <v>6561000002</v>
      </c>
      <c r="E864" s="8" t="s">
        <v>356</v>
      </c>
      <c r="F864" s="73" t="s">
        <v>23</v>
      </c>
      <c r="G864" s="73" t="s">
        <v>136</v>
      </c>
      <c r="H864" s="112" t="s">
        <v>61</v>
      </c>
      <c r="I864" s="13" t="s">
        <v>22</v>
      </c>
      <c r="K864" s="187"/>
      <c r="L864" s="187"/>
      <c r="M864" s="188">
        <f>IF($G864="PAX",M389*'Insumos - OPEX'!I$48,M389*'Insumos - OPEX'!I$75)</f>
        <v>4278.0801412861247</v>
      </c>
      <c r="N864" s="211">
        <f>IF($G864="PAX",N389*'Insumos - OPEX'!J$48,N389*'Insumos - OPEX'!J$75)</f>
        <v>4976.8557729611703</v>
      </c>
      <c r="O864" s="211">
        <f>IF($G864="PAX",O389*'Insumos - OPEX'!K$48,O389*'Insumos - OPEX'!K$75)</f>
        <v>5609.5351268837394</v>
      </c>
      <c r="P864" s="211">
        <f>IF($G864="PAX",P389*'Insumos - OPEX'!L$48,P389*'Insumos - OPEX'!L$75)</f>
        <v>5945.3269233666279</v>
      </c>
      <c r="Q864" s="211">
        <f>IF($G864="PAX",Q389*'Insumos - OPEX'!M$48,Q389*'Insumos - OPEX'!M$75)</f>
        <v>6193.6859475382735</v>
      </c>
      <c r="R864" s="211">
        <f>IF($G864="PAX",R389*'Insumos - OPEX'!N$48,R389*'Insumos - OPEX'!N$75)</f>
        <v>6476.6128635185041</v>
      </c>
      <c r="S864" s="111"/>
    </row>
    <row r="865" spans="1:19" x14ac:dyDescent="0.2">
      <c r="A865" s="8"/>
      <c r="B865" s="8" t="s">
        <v>435</v>
      </c>
      <c r="C865" s="8" t="s">
        <v>174</v>
      </c>
      <c r="D865" s="8">
        <v>6391000001</v>
      </c>
      <c r="E865" s="8" t="s">
        <v>363</v>
      </c>
      <c r="F865" s="73" t="s">
        <v>23</v>
      </c>
      <c r="G865" s="73" t="s">
        <v>136</v>
      </c>
      <c r="H865" s="112" t="s">
        <v>61</v>
      </c>
      <c r="I865" s="13" t="s">
        <v>22</v>
      </c>
      <c r="K865" s="187"/>
      <c r="L865" s="187"/>
      <c r="M865" s="188">
        <f>IF($G865="PAX",M390*'Insumos - OPEX'!I$48,M390*'Insumos - OPEX'!I$75)</f>
        <v>4067.046449320088</v>
      </c>
      <c r="N865" s="211">
        <f>IF($G865="PAX",N390*'Insumos - OPEX'!J$48,N390*'Insumos - OPEX'!J$75)</f>
        <v>4731.3521326682767</v>
      </c>
      <c r="O865" s="211">
        <f>IF($G865="PAX",O390*'Insumos - OPEX'!K$48,O390*'Insumos - OPEX'!K$75)</f>
        <v>5332.8220058238894</v>
      </c>
      <c r="P865" s="211">
        <f>IF($G865="PAX",P390*'Insumos - OPEX'!L$48,P390*'Insumos - OPEX'!L$75)</f>
        <v>5652.0495070613915</v>
      </c>
      <c r="Q865" s="211">
        <f>IF($G865="PAX",Q390*'Insumos - OPEX'!M$48,Q390*'Insumos - OPEX'!M$75)</f>
        <v>5888.1572128675361</v>
      </c>
      <c r="R865" s="211">
        <f>IF($G865="PAX",R390*'Insumos - OPEX'!N$48,R390*'Insumos - OPEX'!N$75)</f>
        <v>6157.1276087116285</v>
      </c>
      <c r="S865" s="111"/>
    </row>
    <row r="866" spans="1:19" x14ac:dyDescent="0.2">
      <c r="A866" s="8"/>
      <c r="B866" s="8" t="s">
        <v>435</v>
      </c>
      <c r="C866" s="8" t="s">
        <v>174</v>
      </c>
      <c r="D866" s="8">
        <v>6310000001</v>
      </c>
      <c r="E866" s="8" t="s">
        <v>371</v>
      </c>
      <c r="F866" s="73" t="s">
        <v>23</v>
      </c>
      <c r="G866" s="73" t="s">
        <v>136</v>
      </c>
      <c r="H866" s="112" t="s">
        <v>61</v>
      </c>
      <c r="I866" s="13" t="s">
        <v>22</v>
      </c>
      <c r="K866" s="187"/>
      <c r="L866" s="187"/>
      <c r="M866" s="188">
        <f>IF($G866="PAX",M391*'Insumos - OPEX'!I$48,M391*'Insumos - OPEX'!I$75)</f>
        <v>3105.3937116189304</v>
      </c>
      <c r="N866" s="211">
        <f>IF($G866="PAX",N391*'Insumos - OPEX'!J$48,N391*'Insumos - OPEX'!J$75)</f>
        <v>3612.624380697483</v>
      </c>
      <c r="O866" s="211">
        <f>IF($G866="PAX",O391*'Insumos - OPEX'!K$48,O391*'Insumos - OPEX'!K$75)</f>
        <v>4071.876760797034</v>
      </c>
      <c r="P866" s="211">
        <f>IF($G866="PAX",P391*'Insumos - OPEX'!L$48,P391*'Insumos - OPEX'!L$75)</f>
        <v>4315.6229503898494</v>
      </c>
      <c r="Q866" s="211">
        <f>IF($G866="PAX",Q391*'Insumos - OPEX'!M$48,Q391*'Insumos - OPEX'!M$75)</f>
        <v>4495.9030121033684</v>
      </c>
      <c r="R866" s="211">
        <f>IF($G866="PAX",R391*'Insumos - OPEX'!N$48,R391*'Insumos - OPEX'!N$75)</f>
        <v>4701.2753839889992</v>
      </c>
      <c r="S866" s="111"/>
    </row>
    <row r="867" spans="1:19" x14ac:dyDescent="0.2">
      <c r="A867" s="8"/>
      <c r="B867" s="8" t="s">
        <v>435</v>
      </c>
      <c r="C867" s="8" t="s">
        <v>174</v>
      </c>
      <c r="D867" s="8">
        <v>6590000005</v>
      </c>
      <c r="E867" s="8" t="s">
        <v>379</v>
      </c>
      <c r="F867" s="73" t="s">
        <v>23</v>
      </c>
      <c r="G867" s="73" t="s">
        <v>136</v>
      </c>
      <c r="H867" s="112" t="s">
        <v>61</v>
      </c>
      <c r="I867" s="13" t="s">
        <v>22</v>
      </c>
      <c r="K867" s="187"/>
      <c r="L867" s="187"/>
      <c r="M867" s="188">
        <f>IF($G867="PAX",M392*'Insumos - OPEX'!I$48,M392*'Insumos - OPEX'!I$75)</f>
        <v>2443.8146604013095</v>
      </c>
      <c r="N867" s="211">
        <f>IF($G867="PAX",N392*'Insumos - OPEX'!J$48,N392*'Insumos - OPEX'!J$75)</f>
        <v>2842.9839318084782</v>
      </c>
      <c r="O867" s="211">
        <f>IF($G867="PAX",O392*'Insumos - OPEX'!K$48,O392*'Insumos - OPEX'!K$75)</f>
        <v>3204.396301232764</v>
      </c>
      <c r="P867" s="211">
        <f>IF($G867="PAX",P392*'Insumos - OPEX'!L$48,P392*'Insumos - OPEX'!L$75)</f>
        <v>3396.2143336178883</v>
      </c>
      <c r="Q867" s="211">
        <f>IF($G867="PAX",Q392*'Insumos - OPEX'!M$48,Q392*'Insumos - OPEX'!M$75)</f>
        <v>3538.087184118338</v>
      </c>
      <c r="R867" s="211">
        <f>IF($G867="PAX",R392*'Insumos - OPEX'!N$48,R392*'Insumos - OPEX'!N$75)</f>
        <v>3699.7066307532846</v>
      </c>
      <c r="S867" s="111"/>
    </row>
    <row r="868" spans="1:19" x14ac:dyDescent="0.2">
      <c r="A868" s="8"/>
      <c r="B868" s="8" t="s">
        <v>435</v>
      </c>
      <c r="C868" s="8" t="s">
        <v>174</v>
      </c>
      <c r="D868" s="8">
        <v>6391000003</v>
      </c>
      <c r="E868" s="8" t="s">
        <v>378</v>
      </c>
      <c r="F868" s="73" t="s">
        <v>23</v>
      </c>
      <c r="G868" s="73" t="s">
        <v>136</v>
      </c>
      <c r="H868" s="112" t="s">
        <v>61</v>
      </c>
      <c r="I868" s="13" t="s">
        <v>22</v>
      </c>
      <c r="K868" s="187"/>
      <c r="L868" s="187"/>
      <c r="M868" s="188">
        <f>IF($G868="PAX",M393*'Insumos - OPEX'!I$48,M393*'Insumos - OPEX'!I$75)</f>
        <v>2205.1628931417258</v>
      </c>
      <c r="N868" s="211">
        <f>IF($G868="PAX",N393*'Insumos - OPEX'!J$48,N393*'Insumos - OPEX'!J$75)</f>
        <v>2565.3511183997575</v>
      </c>
      <c r="O868" s="211">
        <f>IF($G868="PAX",O393*'Insumos - OPEX'!K$48,O393*'Insumos - OPEX'!K$75)</f>
        <v>2891.4696081079705</v>
      </c>
      <c r="P868" s="211">
        <f>IF($G868="PAX",P393*'Insumos - OPEX'!L$48,P393*'Insumos - OPEX'!L$75)</f>
        <v>3064.5555683917482</v>
      </c>
      <c r="Q868" s="211">
        <f>IF($G868="PAX",Q393*'Insumos - OPEX'!M$48,Q393*'Insumos - OPEX'!M$75)</f>
        <v>3192.5737649175271</v>
      </c>
      <c r="R868" s="211">
        <f>IF($G868="PAX",R393*'Insumos - OPEX'!N$48,R393*'Insumos - OPEX'!N$75)</f>
        <v>3338.4101952755304</v>
      </c>
      <c r="S868" s="111"/>
    </row>
    <row r="869" spans="1:19" x14ac:dyDescent="0.2">
      <c r="A869" s="8"/>
      <c r="B869" s="8" t="s">
        <v>435</v>
      </c>
      <c r="C869" s="8" t="s">
        <v>174</v>
      </c>
      <c r="D869" s="8">
        <v>6410000001</v>
      </c>
      <c r="E869" s="8" t="s">
        <v>361</v>
      </c>
      <c r="F869" s="73" t="s">
        <v>23</v>
      </c>
      <c r="G869" s="73" t="s">
        <v>136</v>
      </c>
      <c r="H869" s="112" t="s">
        <v>61</v>
      </c>
      <c r="I869" s="13" t="s">
        <v>22</v>
      </c>
      <c r="K869" s="187"/>
      <c r="L869" s="187"/>
      <c r="M869" s="188">
        <f>IF($G869="PAX",M394*'Insumos - OPEX'!I$48,M394*'Insumos - OPEX'!I$75)</f>
        <v>1909.2129351577898</v>
      </c>
      <c r="N869" s="211">
        <f>IF($G869="PAX",N394*'Insumos - OPEX'!J$48,N394*'Insumos - OPEX'!J$75)</f>
        <v>2221.0611078677975</v>
      </c>
      <c r="O869" s="211">
        <f>IF($G869="PAX",O394*'Insumos - OPEX'!K$48,O394*'Insumos - OPEX'!K$75)</f>
        <v>2503.4119676983723</v>
      </c>
      <c r="P869" s="211">
        <f>IF($G869="PAX",P394*'Insumos - OPEX'!L$48,P394*'Insumos - OPEX'!L$75)</f>
        <v>2653.2684500905584</v>
      </c>
      <c r="Q869" s="211">
        <f>IF($G869="PAX",Q394*'Insumos - OPEX'!M$48,Q394*'Insumos - OPEX'!M$75)</f>
        <v>2764.1056120538497</v>
      </c>
      <c r="R869" s="211">
        <f>IF($G869="PAX",R394*'Insumos - OPEX'!N$48,R394*'Insumos - OPEX'!N$75)</f>
        <v>2890.369662715455</v>
      </c>
      <c r="S869" s="111"/>
    </row>
    <row r="870" spans="1:19" x14ac:dyDescent="0.2">
      <c r="A870" s="8"/>
      <c r="B870" s="8" t="s">
        <v>435</v>
      </c>
      <c r="C870" s="8" t="s">
        <v>174</v>
      </c>
      <c r="D870" s="8">
        <v>6510000001</v>
      </c>
      <c r="E870" s="8" t="s">
        <v>182</v>
      </c>
      <c r="F870" s="73" t="s">
        <v>23</v>
      </c>
      <c r="G870" s="73" t="s">
        <v>480</v>
      </c>
      <c r="H870" s="112" t="s">
        <v>61</v>
      </c>
      <c r="I870" s="13" t="s">
        <v>22</v>
      </c>
      <c r="K870" s="187"/>
      <c r="L870" s="187"/>
      <c r="M870" s="188">
        <f>IF($G870="PAX",M395*'Insumos - OPEX'!I$48,M395*'Insumos - OPEX'!I$75)</f>
        <v>1584.2773861236544</v>
      </c>
      <c r="N870" s="211">
        <f>IF($G870="PAX",N395*'Insumos - OPEX'!J$48,N395*'Insumos - OPEX'!J$75)</f>
        <v>1699.9468837198608</v>
      </c>
      <c r="O870" s="211">
        <f>IF($G870="PAX",O395*'Insumos - OPEX'!K$48,O395*'Insumos - OPEX'!K$75)</f>
        <v>1820.0852880850364</v>
      </c>
      <c r="P870" s="211">
        <f>IF($G870="PAX",P395*'Insumos - OPEX'!L$48,P395*'Insumos - OPEX'!L$75)</f>
        <v>1865.8758333888024</v>
      </c>
      <c r="Q870" s="211">
        <f>IF($G870="PAX",Q395*'Insumos - OPEX'!M$48,Q395*'Insumos - OPEX'!M$75)</f>
        <v>1909.9431432771205</v>
      </c>
      <c r="R870" s="211">
        <f>IF($G870="PAX",R395*'Insumos - OPEX'!N$48,R395*'Insumos - OPEX'!N$75)</f>
        <v>1955.9407057878243</v>
      </c>
      <c r="S870" s="111"/>
    </row>
    <row r="871" spans="1:19" x14ac:dyDescent="0.2">
      <c r="A871" s="8"/>
      <c r="B871" s="8" t="s">
        <v>435</v>
      </c>
      <c r="C871" s="8" t="s">
        <v>174</v>
      </c>
      <c r="D871" s="8">
        <v>6561000004</v>
      </c>
      <c r="E871" s="8" t="s">
        <v>359</v>
      </c>
      <c r="F871" s="73" t="s">
        <v>23</v>
      </c>
      <c r="G871" s="73" t="s">
        <v>136</v>
      </c>
      <c r="H871" s="112" t="s">
        <v>61</v>
      </c>
      <c r="I871" s="13" t="s">
        <v>22</v>
      </c>
      <c r="K871" s="187"/>
      <c r="L871" s="187"/>
      <c r="M871" s="188">
        <f>IF($G871="PAX",M396*'Insumos - OPEX'!I$48,M396*'Insumos - OPEX'!I$75)</f>
        <v>1476.5677760729925</v>
      </c>
      <c r="N871" s="211">
        <f>IF($G871="PAX",N396*'Insumos - OPEX'!J$48,N396*'Insumos - OPEX'!J$75)</f>
        <v>1717.7482931182467</v>
      </c>
      <c r="O871" s="211">
        <f>IF($G871="PAX",O396*'Insumos - OPEX'!K$48,O396*'Insumos - OPEX'!K$75)</f>
        <v>1936.1158588805606</v>
      </c>
      <c r="P871" s="211">
        <f>IF($G871="PAX",P396*'Insumos - OPEX'!L$48,P396*'Insumos - OPEX'!L$75)</f>
        <v>2052.0134881398467</v>
      </c>
      <c r="Q871" s="211">
        <f>IF($G871="PAX",Q396*'Insumos - OPEX'!M$48,Q396*'Insumos - OPEX'!M$75)</f>
        <v>2137.7339327967202</v>
      </c>
      <c r="R871" s="211">
        <f>IF($G871="PAX",R396*'Insumos - OPEX'!N$48,R396*'Insumos - OPEX'!N$75)</f>
        <v>2235.3853917042957</v>
      </c>
      <c r="S871" s="111"/>
    </row>
    <row r="872" spans="1:19" x14ac:dyDescent="0.2">
      <c r="A872" s="8"/>
      <c r="B872" s="8" t="s">
        <v>435</v>
      </c>
      <c r="C872" s="8" t="s">
        <v>174</v>
      </c>
      <c r="D872" s="8">
        <v>6590000002</v>
      </c>
      <c r="E872" s="8" t="s">
        <v>360</v>
      </c>
      <c r="F872" s="73" t="s">
        <v>23</v>
      </c>
      <c r="G872" s="73" t="s">
        <v>136</v>
      </c>
      <c r="H872" s="112" t="s">
        <v>61</v>
      </c>
      <c r="I872" s="13" t="s">
        <v>22</v>
      </c>
      <c r="K872" s="187"/>
      <c r="L872" s="187"/>
      <c r="M872" s="188">
        <f>IF($G872="PAX",M397*'Insumos - OPEX'!I$48,M397*'Insumos - OPEX'!I$75)</f>
        <v>1014.7198845522912</v>
      </c>
      <c r="N872" s="211">
        <f>IF($G872="PAX",N397*'Insumos - OPEX'!J$48,N397*'Insumos - OPEX'!J$75)</f>
        <v>1180.4628124274316</v>
      </c>
      <c r="O872" s="211">
        <f>IF($G872="PAX",O397*'Insumos - OPEX'!K$48,O397*'Insumos - OPEX'!K$75)</f>
        <v>1330.5283324197533</v>
      </c>
      <c r="P872" s="211">
        <f>IF($G872="PAX",P397*'Insumos - OPEX'!L$48,P397*'Insumos - OPEX'!L$75)</f>
        <v>1410.1749499930015</v>
      </c>
      <c r="Q872" s="211">
        <f>IF($G872="PAX",Q397*'Insumos - OPEX'!M$48,Q397*'Insumos - OPEX'!M$75)</f>
        <v>1469.0833462857386</v>
      </c>
      <c r="R872" s="211">
        <f>IF($G872="PAX",R397*'Insumos - OPEX'!N$48,R397*'Insumos - OPEX'!N$75)</f>
        <v>1536.1909174482287</v>
      </c>
      <c r="S872" s="111"/>
    </row>
    <row r="873" spans="1:19" x14ac:dyDescent="0.2">
      <c r="A873" s="8"/>
      <c r="B873" s="8" t="s">
        <v>435</v>
      </c>
      <c r="C873" s="8" t="s">
        <v>174</v>
      </c>
      <c r="D873" s="8">
        <v>6430000001</v>
      </c>
      <c r="E873" s="8" t="s">
        <v>275</v>
      </c>
      <c r="F873" s="73" t="s">
        <v>23</v>
      </c>
      <c r="G873" s="73" t="s">
        <v>480</v>
      </c>
      <c r="H873" s="112" t="s">
        <v>61</v>
      </c>
      <c r="I873" s="13" t="s">
        <v>22</v>
      </c>
      <c r="K873" s="187"/>
      <c r="L873" s="187"/>
      <c r="M873" s="188">
        <f>IF($G873="PAX",M398*'Insumos - OPEX'!I$48,M398*'Insumos - OPEX'!I$75)</f>
        <v>681.89994538467488</v>
      </c>
      <c r="N873" s="211">
        <f>IF($G873="PAX",N398*'Insumos - OPEX'!J$48,N398*'Insumos - OPEX'!J$75)</f>
        <v>731.6860654065697</v>
      </c>
      <c r="O873" s="211">
        <f>IF($G873="PAX",O398*'Insumos - OPEX'!K$48,O398*'Insumos - OPEX'!K$75)</f>
        <v>783.39567894568563</v>
      </c>
      <c r="P873" s="211">
        <f>IF($G873="PAX",P398*'Insumos - OPEX'!L$48,P398*'Insumos - OPEX'!L$75)</f>
        <v>803.10470882597167</v>
      </c>
      <c r="Q873" s="211">
        <f>IF($G873="PAX",Q398*'Insumos - OPEX'!M$48,Q398*'Insumos - OPEX'!M$75)</f>
        <v>822.07202886051277</v>
      </c>
      <c r="R873" s="211">
        <f>IF($G873="PAX",R398*'Insumos - OPEX'!N$48,R398*'Insumos - OPEX'!N$75)</f>
        <v>841.8701624693133</v>
      </c>
      <c r="S873" s="111"/>
    </row>
    <row r="874" spans="1:19" x14ac:dyDescent="0.2">
      <c r="A874" s="8"/>
      <c r="B874" s="8" t="s">
        <v>435</v>
      </c>
      <c r="C874" s="8" t="s">
        <v>174</v>
      </c>
      <c r="D874" s="8">
        <v>6530000001</v>
      </c>
      <c r="E874" s="8" t="s">
        <v>364</v>
      </c>
      <c r="F874" s="73" t="s">
        <v>23</v>
      </c>
      <c r="G874" s="73" t="s">
        <v>136</v>
      </c>
      <c r="H874" s="112" t="s">
        <v>61</v>
      </c>
      <c r="I874" s="13" t="s">
        <v>22</v>
      </c>
      <c r="K874" s="187"/>
      <c r="L874" s="187"/>
      <c r="M874" s="188">
        <f>IF($G874="PAX",M399*'Insumos - OPEX'!I$48,M399*'Insumos - OPEX'!I$75)</f>
        <v>868.2870149773147</v>
      </c>
      <c r="N874" s="211">
        <f>IF($G874="PAX",N399*'Insumos - OPEX'!J$48,N399*'Insumos - OPEX'!J$75)</f>
        <v>1010.1118025755217</v>
      </c>
      <c r="O874" s="211">
        <f>IF($G874="PAX",O399*'Insumos - OPEX'!K$48,O399*'Insumos - OPEX'!K$75)</f>
        <v>1138.5215680573933</v>
      </c>
      <c r="P874" s="211">
        <f>IF($G874="PAX",P399*'Insumos - OPEX'!L$48,P399*'Insumos - OPEX'!L$75)</f>
        <v>1206.6744887584873</v>
      </c>
      <c r="Q874" s="211">
        <f>IF($G874="PAX",Q399*'Insumos - OPEX'!M$48,Q399*'Insumos - OPEX'!M$75)</f>
        <v>1257.0818931592489</v>
      </c>
      <c r="R874" s="211">
        <f>IF($G874="PAX",R399*'Insumos - OPEX'!N$48,R399*'Insumos - OPEX'!N$75)</f>
        <v>1314.5052604689033</v>
      </c>
      <c r="S874" s="111"/>
    </row>
    <row r="875" spans="1:19" x14ac:dyDescent="0.2">
      <c r="A875" s="8"/>
      <c r="B875" s="8" t="s">
        <v>435</v>
      </c>
      <c r="C875" s="8" t="s">
        <v>174</v>
      </c>
      <c r="D875" s="8">
        <v>6561000001</v>
      </c>
      <c r="E875" s="8" t="s">
        <v>358</v>
      </c>
      <c r="F875" s="73" t="s">
        <v>23</v>
      </c>
      <c r="G875" s="73" t="s">
        <v>136</v>
      </c>
      <c r="H875" s="112" t="s">
        <v>61</v>
      </c>
      <c r="I875" s="13" t="s">
        <v>22</v>
      </c>
      <c r="K875" s="187"/>
      <c r="L875" s="187"/>
      <c r="M875" s="188">
        <f>IF($G875="PAX",M400*'Insumos - OPEX'!I$48,M400*'Insumos - OPEX'!I$75)</f>
        <v>202.73990860839979</v>
      </c>
      <c r="N875" s="211">
        <f>IF($G875="PAX",N400*'Insumos - OPEX'!J$48,N400*'Insumos - OPEX'!J$75)</f>
        <v>235.85516195215439</v>
      </c>
      <c r="O875" s="211">
        <f>IF($G875="PAX",O400*'Insumos - OPEX'!K$48,O400*'Insumos - OPEX'!K$75)</f>
        <v>265.83808657172949</v>
      </c>
      <c r="P875" s="211">
        <f>IF($G875="PAX",P400*'Insumos - OPEX'!L$48,P400*'Insumos - OPEX'!L$75)</f>
        <v>281.75139251319439</v>
      </c>
      <c r="Q875" s="211">
        <f>IF($G875="PAX",Q400*'Insumos - OPEX'!M$48,Q400*'Insumos - OPEX'!M$75)</f>
        <v>293.52122482107939</v>
      </c>
      <c r="R875" s="211">
        <f>IF($G875="PAX",R400*'Insumos - OPEX'!N$48,R400*'Insumos - OPEX'!N$75)</f>
        <v>306.92924318312993</v>
      </c>
      <c r="S875" s="111"/>
    </row>
    <row r="876" spans="1:19" x14ac:dyDescent="0.2">
      <c r="A876" s="8"/>
      <c r="B876" s="8" t="s">
        <v>435</v>
      </c>
      <c r="C876" s="8" t="s">
        <v>174</v>
      </c>
      <c r="D876" s="8">
        <v>6590000011</v>
      </c>
      <c r="E876" s="8" t="s">
        <v>384</v>
      </c>
      <c r="F876" s="73" t="s">
        <v>23</v>
      </c>
      <c r="G876" s="73" t="s">
        <v>136</v>
      </c>
      <c r="H876" s="112" t="s">
        <v>61</v>
      </c>
      <c r="I876" s="13" t="s">
        <v>22</v>
      </c>
      <c r="K876" s="187"/>
      <c r="L876" s="187"/>
      <c r="M876" s="188">
        <f>IF($G876="PAX",M401*'Insumos - OPEX'!I$48,M401*'Insumos - OPEX'!I$75)</f>
        <v>112.30234704513138</v>
      </c>
      <c r="N876" s="211">
        <f>IF($G876="PAX",N401*'Insumos - OPEX'!J$48,N401*'Insumos - OPEX'!J$75)</f>
        <v>130.64565546933028</v>
      </c>
      <c r="O876" s="211">
        <f>IF($G876="PAX",O401*'Insumos - OPEX'!K$48,O401*'Insumos - OPEX'!K$75)</f>
        <v>147.25389421801853</v>
      </c>
      <c r="P876" s="211">
        <f>IF($G876="PAX",P401*'Insumos - OPEX'!L$48,P401*'Insumos - OPEX'!L$75)</f>
        <v>156.06864420355586</v>
      </c>
      <c r="Q876" s="211">
        <f>IF($G876="PAX",Q401*'Insumos - OPEX'!M$48,Q401*'Insumos - OPEX'!M$75)</f>
        <v>162.58822784930061</v>
      </c>
      <c r="R876" s="211">
        <f>IF($G876="PAX",R401*'Insumos - OPEX'!N$48,R401*'Insumos - OPEX'!N$75)</f>
        <v>170.01524082182257</v>
      </c>
      <c r="S876" s="111"/>
    </row>
    <row r="877" spans="1:19" x14ac:dyDescent="0.2">
      <c r="A877" s="8"/>
      <c r="B877" s="8" t="s">
        <v>435</v>
      </c>
      <c r="C877" s="8" t="s">
        <v>174</v>
      </c>
      <c r="D877" s="8">
        <v>6430000002</v>
      </c>
      <c r="E877" s="8" t="s">
        <v>362</v>
      </c>
      <c r="F877" s="73" t="s">
        <v>23</v>
      </c>
      <c r="G877" s="73" t="s">
        <v>480</v>
      </c>
      <c r="H877" s="112" t="s">
        <v>61</v>
      </c>
      <c r="I877" s="13" t="s">
        <v>22</v>
      </c>
      <c r="K877" s="187"/>
      <c r="L877" s="187"/>
      <c r="M877" s="188">
        <f>IF($G877="PAX",M402*'Insumos - OPEX'!I$48,M402*'Insumos - OPEX'!I$75)</f>
        <v>79.736439245180222</v>
      </c>
      <c r="N877" s="211">
        <f>IF($G877="PAX",N402*'Insumos - OPEX'!J$48,N402*'Insumos - OPEX'!J$75)</f>
        <v>85.55806741988205</v>
      </c>
      <c r="O877" s="211">
        <f>IF($G877="PAX",O402*'Insumos - OPEX'!K$48,O402*'Insumos - OPEX'!K$75)</f>
        <v>91.604614990768738</v>
      </c>
      <c r="P877" s="211">
        <f>IF($G877="PAX",P402*'Insumos - OPEX'!L$48,P402*'Insumos - OPEX'!L$75)</f>
        <v>93.909246152961217</v>
      </c>
      <c r="Q877" s="211">
        <f>IF($G877="PAX",Q402*'Insumos - OPEX'!M$48,Q402*'Insumos - OPEX'!M$75)</f>
        <v>96.12714713948337</v>
      </c>
      <c r="R877" s="211">
        <f>IF($G877="PAX",R402*'Insumos - OPEX'!N$48,R402*'Insumos - OPEX'!N$75)</f>
        <v>98.442197446131431</v>
      </c>
      <c r="S877" s="111"/>
    </row>
    <row r="878" spans="1:19" x14ac:dyDescent="0.2">
      <c r="A878" s="8"/>
      <c r="B878" s="8" t="s">
        <v>435</v>
      </c>
      <c r="C878" s="8" t="s">
        <v>174</v>
      </c>
      <c r="D878" s="8">
        <v>6590000004</v>
      </c>
      <c r="E878" s="8" t="s">
        <v>380</v>
      </c>
      <c r="F878" s="73" t="s">
        <v>23</v>
      </c>
      <c r="G878" s="73" t="s">
        <v>136</v>
      </c>
      <c r="H878" s="112" t="s">
        <v>61</v>
      </c>
      <c r="I878" s="13" t="s">
        <v>22</v>
      </c>
      <c r="K878" s="187"/>
      <c r="L878" s="187"/>
      <c r="M878" s="188">
        <f>IF($G878="PAX",M403*'Insumos - OPEX'!I$48,M403*'Insumos - OPEX'!I$75)</f>
        <v>83.851647699215107</v>
      </c>
      <c r="N878" s="211">
        <f>IF($G878="PAX",N403*'Insumos - OPEX'!J$48,N403*'Insumos - OPEX'!J$75)</f>
        <v>97.547858652008827</v>
      </c>
      <c r="O878" s="211">
        <f>IF($G878="PAX",O403*'Insumos - OPEX'!K$48,O403*'Insumos - OPEX'!K$75)</f>
        <v>109.94856283230347</v>
      </c>
      <c r="P878" s="211">
        <f>IF($G878="PAX",P403*'Insumos - OPEX'!L$48,P403*'Insumos - OPEX'!L$75)</f>
        <v>116.53018227118218</v>
      </c>
      <c r="Q878" s="211">
        <f>IF($G878="PAX",Q403*'Insumos - OPEX'!M$48,Q403*'Insumos - OPEX'!M$75)</f>
        <v>121.39809327564993</v>
      </c>
      <c r="R878" s="211">
        <f>IF($G878="PAX",R403*'Insumos - OPEX'!N$48,R403*'Insumos - OPEX'!N$75)</f>
        <v>126.94354527746015</v>
      </c>
      <c r="S878" s="111"/>
    </row>
    <row r="879" spans="1:19" x14ac:dyDescent="0.2">
      <c r="A879" s="8"/>
      <c r="B879" s="8" t="s">
        <v>435</v>
      </c>
      <c r="C879" s="8" t="s">
        <v>174</v>
      </c>
      <c r="D879" s="8">
        <v>6590000001</v>
      </c>
      <c r="E879" s="8" t="s">
        <v>369</v>
      </c>
      <c r="F879" s="73" t="s">
        <v>23</v>
      </c>
      <c r="G879" s="73" t="s">
        <v>136</v>
      </c>
      <c r="H879" s="112" t="s">
        <v>61</v>
      </c>
      <c r="I879" s="13" t="s">
        <v>22</v>
      </c>
      <c r="K879" s="187"/>
      <c r="L879" s="187"/>
      <c r="M879" s="188">
        <f>IF($G879="PAX",M404*'Insumos - OPEX'!I$48,M404*'Insumos - OPEX'!I$75)</f>
        <v>45.177322388093309</v>
      </c>
      <c r="N879" s="211">
        <f>IF($G879="PAX",N404*'Insumos - OPEX'!J$48,N404*'Insumos - OPEX'!J$75)</f>
        <v>52.556523091808145</v>
      </c>
      <c r="O879" s="211">
        <f>IF($G879="PAX",O404*'Insumos - OPEX'!K$48,O404*'Insumos - OPEX'!K$75)</f>
        <v>59.237734802783166</v>
      </c>
      <c r="P879" s="211">
        <f>IF($G879="PAX",P404*'Insumos - OPEX'!L$48,P404*'Insumos - OPEX'!L$75)</f>
        <v>62.783758660209976</v>
      </c>
      <c r="Q879" s="211">
        <f>IF($G879="PAX",Q404*'Insumos - OPEX'!M$48,Q404*'Insumos - OPEX'!M$75)</f>
        <v>65.406476171907073</v>
      </c>
      <c r="R879" s="211">
        <f>IF($G879="PAX",R404*'Insumos - OPEX'!N$48,R404*'Insumos - OPEX'!N$75)</f>
        <v>68.394237053746281</v>
      </c>
      <c r="S879" s="111"/>
    </row>
    <row r="880" spans="1:19" x14ac:dyDescent="0.2">
      <c r="A880" s="8"/>
      <c r="B880" s="8" t="s">
        <v>435</v>
      </c>
      <c r="C880" s="8" t="s">
        <v>174</v>
      </c>
      <c r="D880" s="8">
        <v>6430000003</v>
      </c>
      <c r="E880" s="8" t="s">
        <v>386</v>
      </c>
      <c r="F880" s="73" t="s">
        <v>23</v>
      </c>
      <c r="G880" s="73" t="s">
        <v>136</v>
      </c>
      <c r="H880" s="112" t="s">
        <v>61</v>
      </c>
      <c r="I880" s="13" t="s">
        <v>22</v>
      </c>
      <c r="K880" s="187"/>
      <c r="L880" s="187"/>
      <c r="M880" s="188">
        <f>IF($G880="PAX",M405*'Insumos - OPEX'!I$48,M405*'Insumos - OPEX'!I$75)</f>
        <v>30.392048564414043</v>
      </c>
      <c r="N880" s="211">
        <f>IF($G880="PAX",N405*'Insumos - OPEX'!J$48,N405*'Insumos - OPEX'!J$75)</f>
        <v>35.356243304139625</v>
      </c>
      <c r="O880" s="211">
        <f>IF($G880="PAX",O405*'Insumos - OPEX'!K$48,O405*'Insumos - OPEX'!K$75)</f>
        <v>39.850881322850547</v>
      </c>
      <c r="P880" s="211">
        <f>IF($G880="PAX",P405*'Insumos - OPEX'!L$48,P405*'Insumos - OPEX'!L$75)</f>
        <v>42.236390768489812</v>
      </c>
      <c r="Q880" s="211">
        <f>IF($G880="PAX",Q405*'Insumos - OPEX'!M$48,Q405*'Insumos - OPEX'!M$75)</f>
        <v>44.000766206712889</v>
      </c>
      <c r="R880" s="211">
        <f>IF($G880="PAX",R405*'Insumos - OPEX'!N$48,R405*'Insumos - OPEX'!N$75)</f>
        <v>46.0107165317823</v>
      </c>
      <c r="S880" s="111"/>
    </row>
    <row r="881" spans="1:19" x14ac:dyDescent="0.2">
      <c r="A881" s="8"/>
      <c r="B881" s="8" t="s">
        <v>435</v>
      </c>
      <c r="C881" s="8" t="s">
        <v>174</v>
      </c>
      <c r="D881" s="8">
        <v>6561000005</v>
      </c>
      <c r="E881" s="8" t="s">
        <v>365</v>
      </c>
      <c r="F881" s="73" t="s">
        <v>23</v>
      </c>
      <c r="G881" s="73" t="s">
        <v>136</v>
      </c>
      <c r="H881" s="112" t="s">
        <v>61</v>
      </c>
      <c r="I881" s="13" t="s">
        <v>22</v>
      </c>
      <c r="K881" s="187"/>
      <c r="L881" s="187"/>
      <c r="M881" s="188">
        <f>IF($G881="PAX",M406*'Insumos - OPEX'!I$48,M406*'Insumos - OPEX'!I$75)</f>
        <v>19.576594769293063</v>
      </c>
      <c r="N881" s="211">
        <f>IF($G881="PAX",N406*'Insumos - OPEX'!J$48,N406*'Insumos - OPEX'!J$75)</f>
        <v>22.774208400683946</v>
      </c>
      <c r="O881" s="211">
        <f>IF($G881="PAX",O406*'Insumos - OPEX'!K$48,O406*'Insumos - OPEX'!K$75)</f>
        <v>25.66936391942015</v>
      </c>
      <c r="P881" s="211">
        <f>IF($G881="PAX",P406*'Insumos - OPEX'!L$48,P406*'Insumos - OPEX'!L$75)</f>
        <v>27.205955032606312</v>
      </c>
      <c r="Q881" s="211">
        <f>IF($G881="PAX",Q406*'Insumos - OPEX'!M$48,Q406*'Insumos - OPEX'!M$75)</f>
        <v>28.342451735083625</v>
      </c>
      <c r="R881" s="211">
        <f>IF($G881="PAX",R406*'Insumos - OPEX'!N$48,R406*'Insumos - OPEX'!N$75)</f>
        <v>29.63713191884607</v>
      </c>
      <c r="S881" s="111"/>
    </row>
    <row r="882" spans="1:19" x14ac:dyDescent="0.2">
      <c r="A882" s="8"/>
      <c r="B882" s="8" t="s">
        <v>435</v>
      </c>
      <c r="C882" s="8" t="s">
        <v>174</v>
      </c>
      <c r="D882" s="8">
        <v>6562000003</v>
      </c>
      <c r="E882" s="8" t="s">
        <v>366</v>
      </c>
      <c r="F882" s="73" t="s">
        <v>23</v>
      </c>
      <c r="G882" s="73" t="s">
        <v>136</v>
      </c>
      <c r="H882" s="112" t="s">
        <v>61</v>
      </c>
      <c r="I882" s="13" t="s">
        <v>22</v>
      </c>
      <c r="K882" s="187"/>
      <c r="L882" s="187"/>
      <c r="M882" s="188">
        <f>IF($G882="PAX",M407*'Insumos - OPEX'!I$48,M407*'Insumos - OPEX'!I$75)</f>
        <v>4.2472609751289152</v>
      </c>
      <c r="N882" s="211">
        <f>IF($G882="PAX",N407*'Insumos - OPEX'!J$48,N407*'Insumos - OPEX'!J$75)</f>
        <v>4.9410026472735229</v>
      </c>
      <c r="O882" s="211">
        <f>IF($G882="PAX",O407*'Insumos - OPEX'!K$48,O407*'Insumos - OPEX'!K$75)</f>
        <v>5.5691241973474446</v>
      </c>
      <c r="P882" s="211">
        <f>IF($G882="PAX",P407*'Insumos - OPEX'!L$48,P407*'Insumos - OPEX'!L$75)</f>
        <v>5.9024969593970695</v>
      </c>
      <c r="Q882" s="211">
        <f>IF($G882="PAX",Q407*'Insumos - OPEX'!M$48,Q407*'Insumos - OPEX'!M$75)</f>
        <v>6.149066812309691</v>
      </c>
      <c r="R882" s="211">
        <f>IF($G882="PAX",R407*'Insumos - OPEX'!N$48,R407*'Insumos - OPEX'!N$75)</f>
        <v>6.4299555309336371</v>
      </c>
      <c r="S882" s="111"/>
    </row>
    <row r="883" spans="1:19" x14ac:dyDescent="0.2">
      <c r="A883" s="8"/>
      <c r="B883" s="8" t="s">
        <v>435</v>
      </c>
      <c r="C883" s="8" t="s">
        <v>174</v>
      </c>
      <c r="D883" s="8">
        <v>6562000005</v>
      </c>
      <c r="E883" s="8" t="s">
        <v>367</v>
      </c>
      <c r="F883" s="73" t="s">
        <v>23</v>
      </c>
      <c r="G883" s="73" t="s">
        <v>136</v>
      </c>
      <c r="H883" s="112" t="s">
        <v>61</v>
      </c>
      <c r="I883" s="13" t="s">
        <v>22</v>
      </c>
      <c r="K883" s="187"/>
      <c r="L883" s="187"/>
      <c r="M883" s="188">
        <f>IF($G883="PAX",M408*'Insumos - OPEX'!I$48,M408*'Insumos - OPEX'!I$75)</f>
        <v>3.5662236940548733E-3</v>
      </c>
      <c r="N883" s="211">
        <f>IF($G883="PAX",N408*'Insumos - OPEX'!J$48,N408*'Insumos - OPEX'!J$75)</f>
        <v>4.1487256884561599E-3</v>
      </c>
      <c r="O883" s="211">
        <f>IF($G883="PAX",O408*'Insumos - OPEX'!K$48,O408*'Insumos - OPEX'!K$75)</f>
        <v>4.6761295771593041E-3</v>
      </c>
      <c r="P883" s="211">
        <f>IF($G883="PAX",P408*'Insumos - OPEX'!L$48,P408*'Insumos - OPEX'!L$75)</f>
        <v>4.9560468814963191E-3</v>
      </c>
      <c r="Q883" s="211">
        <f>IF($G883="PAX",Q408*'Insumos - OPEX'!M$48,Q408*'Insumos - OPEX'!M$75)</f>
        <v>5.16307989803233E-3</v>
      </c>
      <c r="R883" s="211">
        <f>IF($G883="PAX",R408*'Insumos - OPEX'!N$48,R408*'Insumos - OPEX'!N$75)</f>
        <v>5.3989288391770463E-3</v>
      </c>
      <c r="S883" s="111"/>
    </row>
    <row r="884" spans="1:19" x14ac:dyDescent="0.2">
      <c r="A884" s="8"/>
      <c r="B884" s="8" t="s">
        <v>435</v>
      </c>
      <c r="C884" s="8" t="s">
        <v>174</v>
      </c>
      <c r="D884" s="8">
        <v>6390000001</v>
      </c>
      <c r="E884" s="8" t="s">
        <v>368</v>
      </c>
      <c r="F884" s="73" t="s">
        <v>23</v>
      </c>
      <c r="G884" s="73" t="s">
        <v>136</v>
      </c>
      <c r="H884" s="112" t="s">
        <v>61</v>
      </c>
      <c r="I884" s="13" t="s">
        <v>22</v>
      </c>
      <c r="K884" s="187"/>
      <c r="L884" s="187"/>
      <c r="M884" s="188">
        <f>IF($G884="PAX",M409*'Insumos - OPEX'!I$48,M409*'Insumos - OPEX'!I$75)</f>
        <v>0</v>
      </c>
      <c r="N884" s="211">
        <f>IF($G884="PAX",N409*'Insumos - OPEX'!J$48,N409*'Insumos - OPEX'!J$75)</f>
        <v>0</v>
      </c>
      <c r="O884" s="211">
        <f>IF($G884="PAX",O409*'Insumos - OPEX'!K$48,O409*'Insumos - OPEX'!K$75)</f>
        <v>0</v>
      </c>
      <c r="P884" s="211">
        <f>IF($G884="PAX",P409*'Insumos - OPEX'!L$48,P409*'Insumos - OPEX'!L$75)</f>
        <v>0</v>
      </c>
      <c r="Q884" s="211">
        <f>IF($G884="PAX",Q409*'Insumos - OPEX'!M$48,Q409*'Insumos - OPEX'!M$75)</f>
        <v>0</v>
      </c>
      <c r="R884" s="211">
        <f>IF($G884="PAX",R409*'Insumos - OPEX'!N$48,R409*'Insumos - OPEX'!N$75)</f>
        <v>0</v>
      </c>
      <c r="S884" s="111"/>
    </row>
    <row r="885" spans="1:19" x14ac:dyDescent="0.2">
      <c r="A885" s="8"/>
      <c r="B885" s="8" t="s">
        <v>435</v>
      </c>
      <c r="C885" s="8" t="s">
        <v>174</v>
      </c>
      <c r="D885" s="8">
        <v>6380000005</v>
      </c>
      <c r="E885" s="8" t="s">
        <v>274</v>
      </c>
      <c r="F885" s="73" t="s">
        <v>23</v>
      </c>
      <c r="G885" s="73" t="s">
        <v>136</v>
      </c>
      <c r="H885" s="112" t="s">
        <v>61</v>
      </c>
      <c r="I885" s="13" t="s">
        <v>22</v>
      </c>
      <c r="K885" s="187"/>
      <c r="L885" s="187"/>
      <c r="M885" s="188">
        <f>IF($G885="PAX",M410*'Insumos - OPEX'!I$48,M410*'Insumos - OPEX'!I$75)</f>
        <v>0</v>
      </c>
      <c r="N885" s="211">
        <f>IF($G885="PAX",N410*'Insumos - OPEX'!J$48,N410*'Insumos - OPEX'!J$75)</f>
        <v>0</v>
      </c>
      <c r="O885" s="211">
        <f>IF($G885="PAX",O410*'Insumos - OPEX'!K$48,O410*'Insumos - OPEX'!K$75)</f>
        <v>0</v>
      </c>
      <c r="P885" s="211">
        <f>IF($G885="PAX",P410*'Insumos - OPEX'!L$48,P410*'Insumos - OPEX'!L$75)</f>
        <v>0</v>
      </c>
      <c r="Q885" s="211">
        <f>IF($G885="PAX",Q410*'Insumos - OPEX'!M$48,Q410*'Insumos - OPEX'!M$75)</f>
        <v>0</v>
      </c>
      <c r="R885" s="211">
        <f>IF($G885="PAX",R410*'Insumos - OPEX'!N$48,R410*'Insumos - OPEX'!N$75)</f>
        <v>0</v>
      </c>
      <c r="S885" s="111"/>
    </row>
    <row r="886" spans="1:19" x14ac:dyDescent="0.2">
      <c r="A886" s="8"/>
      <c r="B886" s="8" t="s">
        <v>435</v>
      </c>
      <c r="C886" s="8" t="s">
        <v>174</v>
      </c>
      <c r="D886" s="8">
        <v>6562000001</v>
      </c>
      <c r="E886" s="8" t="s">
        <v>373</v>
      </c>
      <c r="F886" s="73" t="s">
        <v>23</v>
      </c>
      <c r="G886" s="73" t="s">
        <v>136</v>
      </c>
      <c r="H886" s="112" t="s">
        <v>61</v>
      </c>
      <c r="I886" s="13" t="s">
        <v>22</v>
      </c>
      <c r="K886" s="187"/>
      <c r="L886" s="187"/>
      <c r="M886" s="188">
        <f>IF($G886="PAX",M411*'Insumos - OPEX'!I$48,M411*'Insumos - OPEX'!I$75)</f>
        <v>0</v>
      </c>
      <c r="N886" s="211">
        <f>IF($G886="PAX",N411*'Insumos - OPEX'!J$48,N411*'Insumos - OPEX'!J$75)</f>
        <v>0</v>
      </c>
      <c r="O886" s="211">
        <f>IF($G886="PAX",O411*'Insumos - OPEX'!K$48,O411*'Insumos - OPEX'!K$75)</f>
        <v>0</v>
      </c>
      <c r="P886" s="211">
        <f>IF($G886="PAX",P411*'Insumos - OPEX'!L$48,P411*'Insumos - OPEX'!L$75)</f>
        <v>0</v>
      </c>
      <c r="Q886" s="211">
        <f>IF($G886="PAX",Q411*'Insumos - OPEX'!M$48,Q411*'Insumos - OPEX'!M$75)</f>
        <v>0</v>
      </c>
      <c r="R886" s="211">
        <f>IF($G886="PAX",R411*'Insumos - OPEX'!N$48,R411*'Insumos - OPEX'!N$75)</f>
        <v>0</v>
      </c>
      <c r="S886" s="111"/>
    </row>
    <row r="887" spans="1:19" x14ac:dyDescent="0.2">
      <c r="A887" s="8"/>
      <c r="B887" s="8" t="s">
        <v>435</v>
      </c>
      <c r="C887" s="8" t="s">
        <v>174</v>
      </c>
      <c r="D887" s="8">
        <v>6562000004</v>
      </c>
      <c r="E887" s="8" t="s">
        <v>377</v>
      </c>
      <c r="F887" s="73" t="s">
        <v>23</v>
      </c>
      <c r="G887" s="73" t="s">
        <v>136</v>
      </c>
      <c r="H887" s="112" t="s">
        <v>61</v>
      </c>
      <c r="I887" s="13" t="s">
        <v>22</v>
      </c>
      <c r="J887" s="11"/>
      <c r="K887" s="187"/>
      <c r="L887" s="187"/>
      <c r="M887" s="188">
        <f>IF($G887="PAX",M412*'Insumos - OPEX'!I$48,M412*'Insumos - OPEX'!I$75)</f>
        <v>0</v>
      </c>
      <c r="N887" s="211">
        <f>IF($G887="PAX",N412*'Insumos - OPEX'!J$48,N412*'Insumos - OPEX'!J$75)</f>
        <v>0</v>
      </c>
      <c r="O887" s="211">
        <f>IF($G887="PAX",O412*'Insumos - OPEX'!K$48,O412*'Insumos - OPEX'!K$75)</f>
        <v>0</v>
      </c>
      <c r="P887" s="211">
        <f>IF($G887="PAX",P412*'Insumos - OPEX'!L$48,P412*'Insumos - OPEX'!L$75)</f>
        <v>0</v>
      </c>
      <c r="Q887" s="211">
        <f>IF($G887="PAX",Q412*'Insumos - OPEX'!M$48,Q412*'Insumos - OPEX'!M$75)</f>
        <v>0</v>
      </c>
      <c r="R887" s="211">
        <f>IF($G887="PAX",R412*'Insumos - OPEX'!N$48,R412*'Insumos - OPEX'!N$75)</f>
        <v>0</v>
      </c>
      <c r="S887" s="111"/>
    </row>
    <row r="888" spans="1:19" x14ac:dyDescent="0.2">
      <c r="A888" s="8"/>
      <c r="B888" s="8" t="s">
        <v>435</v>
      </c>
      <c r="C888" s="8" t="s">
        <v>174</v>
      </c>
      <c r="D888" s="8">
        <v>6590000010</v>
      </c>
      <c r="E888" s="8" t="s">
        <v>381</v>
      </c>
      <c r="F888" s="73" t="s">
        <v>23</v>
      </c>
      <c r="G888" s="73" t="s">
        <v>136</v>
      </c>
      <c r="H888" s="112" t="s">
        <v>61</v>
      </c>
      <c r="I888" s="13" t="s">
        <v>22</v>
      </c>
      <c r="K888" s="187"/>
      <c r="L888" s="187"/>
      <c r="M888" s="188">
        <f>IF($G888="PAX",M413*'Insumos - OPEX'!I$48,M413*'Insumos - OPEX'!I$75)</f>
        <v>0</v>
      </c>
      <c r="N888" s="211">
        <f>IF($G888="PAX",N413*'Insumos - OPEX'!J$48,N413*'Insumos - OPEX'!J$75)</f>
        <v>0</v>
      </c>
      <c r="O888" s="211">
        <f>IF($G888="PAX",O413*'Insumos - OPEX'!K$48,O413*'Insumos - OPEX'!K$75)</f>
        <v>0</v>
      </c>
      <c r="P888" s="211">
        <f>IF($G888="PAX",P413*'Insumos - OPEX'!L$48,P413*'Insumos - OPEX'!L$75)</f>
        <v>0</v>
      </c>
      <c r="Q888" s="211">
        <f>IF($G888="PAX",Q413*'Insumos - OPEX'!M$48,Q413*'Insumos - OPEX'!M$75)</f>
        <v>0</v>
      </c>
      <c r="R888" s="211">
        <f>IF($G888="PAX",R413*'Insumos - OPEX'!N$48,R413*'Insumos - OPEX'!N$75)</f>
        <v>0</v>
      </c>
      <c r="S888" s="111"/>
    </row>
    <row r="889" spans="1:19" x14ac:dyDescent="0.2">
      <c r="A889" s="8"/>
      <c r="B889" s="8" t="s">
        <v>435</v>
      </c>
      <c r="C889" s="8" t="s">
        <v>174</v>
      </c>
      <c r="D889" s="8">
        <v>6563000001</v>
      </c>
      <c r="E889" s="8" t="s">
        <v>383</v>
      </c>
      <c r="F889" s="73" t="s">
        <v>23</v>
      </c>
      <c r="G889" s="73" t="s">
        <v>136</v>
      </c>
      <c r="H889" s="112" t="s">
        <v>61</v>
      </c>
      <c r="I889" s="13" t="s">
        <v>22</v>
      </c>
      <c r="K889" s="187"/>
      <c r="L889" s="187"/>
      <c r="M889" s="188">
        <f>IF($G889="PAX",M414*'Insumos - OPEX'!I$48,M414*'Insumos - OPEX'!I$75)</f>
        <v>0</v>
      </c>
      <c r="N889" s="211">
        <f>IF($G889="PAX",N414*'Insumos - OPEX'!J$48,N414*'Insumos - OPEX'!J$75)</f>
        <v>0</v>
      </c>
      <c r="O889" s="211">
        <f>IF($G889="PAX",O414*'Insumos - OPEX'!K$48,O414*'Insumos - OPEX'!K$75)</f>
        <v>0</v>
      </c>
      <c r="P889" s="211">
        <f>IF($G889="PAX",P414*'Insumos - OPEX'!L$48,P414*'Insumos - OPEX'!L$75)</f>
        <v>0</v>
      </c>
      <c r="Q889" s="211">
        <f>IF($G889="PAX",Q414*'Insumos - OPEX'!M$48,Q414*'Insumos - OPEX'!M$75)</f>
        <v>0</v>
      </c>
      <c r="R889" s="211">
        <f>IF($G889="PAX",R414*'Insumos - OPEX'!N$48,R414*'Insumos - OPEX'!N$75)</f>
        <v>0</v>
      </c>
      <c r="S889" s="111"/>
    </row>
    <row r="890" spans="1:19" x14ac:dyDescent="0.2">
      <c r="A890" s="8"/>
      <c r="B890" s="8" t="s">
        <v>435</v>
      </c>
      <c r="C890" s="8" t="s">
        <v>174</v>
      </c>
      <c r="D890" s="8">
        <v>6590000003</v>
      </c>
      <c r="E890" s="8" t="s">
        <v>372</v>
      </c>
      <c r="F890" s="73" t="s">
        <v>23</v>
      </c>
      <c r="G890" s="73" t="s">
        <v>136</v>
      </c>
      <c r="H890" s="112" t="s">
        <v>61</v>
      </c>
      <c r="I890" s="13" t="s">
        <v>22</v>
      </c>
      <c r="K890" s="187"/>
      <c r="L890" s="187"/>
      <c r="M890" s="188">
        <f>IF($G890="PAX",M415*'Insumos - OPEX'!I$48,M415*'Insumos - OPEX'!I$75)</f>
        <v>0</v>
      </c>
      <c r="N890" s="211">
        <f>IF($G890="PAX",N415*'Insumos - OPEX'!J$48,N415*'Insumos - OPEX'!J$75)</f>
        <v>0</v>
      </c>
      <c r="O890" s="211">
        <f>IF($G890="PAX",O415*'Insumos - OPEX'!K$48,O415*'Insumos - OPEX'!K$75)</f>
        <v>0</v>
      </c>
      <c r="P890" s="211">
        <f>IF($G890="PAX",P415*'Insumos - OPEX'!L$48,P415*'Insumos - OPEX'!L$75)</f>
        <v>0</v>
      </c>
      <c r="Q890" s="211">
        <f>IF($G890="PAX",Q415*'Insumos - OPEX'!M$48,Q415*'Insumos - OPEX'!M$75)</f>
        <v>0</v>
      </c>
      <c r="R890" s="211">
        <f>IF($G890="PAX",R415*'Insumos - OPEX'!N$48,R415*'Insumos - OPEX'!N$75)</f>
        <v>0</v>
      </c>
      <c r="S890" s="111"/>
    </row>
    <row r="891" spans="1:19" x14ac:dyDescent="0.2">
      <c r="A891" s="8"/>
      <c r="B891" s="8" t="s">
        <v>435</v>
      </c>
      <c r="C891" s="8" t="s">
        <v>174</v>
      </c>
      <c r="D891" s="8">
        <v>6563000002</v>
      </c>
      <c r="E891" s="8" t="s">
        <v>385</v>
      </c>
      <c r="F891" s="73" t="s">
        <v>23</v>
      </c>
      <c r="G891" s="73" t="s">
        <v>136</v>
      </c>
      <c r="H891" s="112" t="s">
        <v>61</v>
      </c>
      <c r="I891" s="13" t="s">
        <v>22</v>
      </c>
      <c r="K891" s="187"/>
      <c r="L891" s="187"/>
      <c r="M891" s="188">
        <f>IF($G891="PAX",M416*'Insumos - OPEX'!I$48,M416*'Insumos - OPEX'!I$75)</f>
        <v>0</v>
      </c>
      <c r="N891" s="211">
        <f>IF($G891="PAX",N416*'Insumos - OPEX'!J$48,N416*'Insumos - OPEX'!J$75)</f>
        <v>0</v>
      </c>
      <c r="O891" s="211">
        <f>IF($G891="PAX",O416*'Insumos - OPEX'!K$48,O416*'Insumos - OPEX'!K$75)</f>
        <v>0</v>
      </c>
      <c r="P891" s="211">
        <f>IF($G891="PAX",P416*'Insumos - OPEX'!L$48,P416*'Insumos - OPEX'!L$75)</f>
        <v>0</v>
      </c>
      <c r="Q891" s="211">
        <f>IF($G891="PAX",Q416*'Insumos - OPEX'!M$48,Q416*'Insumos - OPEX'!M$75)</f>
        <v>0</v>
      </c>
      <c r="R891" s="211">
        <f>IF($G891="PAX",R416*'Insumos - OPEX'!N$48,R416*'Insumos - OPEX'!N$75)</f>
        <v>0</v>
      </c>
      <c r="S891" s="111"/>
    </row>
    <row r="892" spans="1:19" x14ac:dyDescent="0.2">
      <c r="A892" s="8"/>
      <c r="B892" s="8" t="s">
        <v>435</v>
      </c>
      <c r="C892" s="8" t="s">
        <v>174</v>
      </c>
      <c r="D892" s="8">
        <v>6410000002</v>
      </c>
      <c r="E892" s="8" t="s">
        <v>357</v>
      </c>
      <c r="F892" s="73" t="s">
        <v>23</v>
      </c>
      <c r="G892" s="73" t="s">
        <v>136</v>
      </c>
      <c r="H892" s="112" t="s">
        <v>61</v>
      </c>
      <c r="I892" s="13" t="s">
        <v>22</v>
      </c>
      <c r="K892" s="187"/>
      <c r="L892" s="187"/>
      <c r="M892" s="188">
        <f>IF($G892="PAX",M417*'Insumos - OPEX'!I$48,M417*'Insumos - OPEX'!I$75)</f>
        <v>0</v>
      </c>
      <c r="N892" s="211">
        <f>IF($G892="PAX",N417*'Insumos - OPEX'!J$48,N417*'Insumos - OPEX'!J$75)</f>
        <v>0</v>
      </c>
      <c r="O892" s="211">
        <f>IF($G892="PAX",O417*'Insumos - OPEX'!K$48,O417*'Insumos - OPEX'!K$75)</f>
        <v>0</v>
      </c>
      <c r="P892" s="211">
        <f>IF($G892="PAX",P417*'Insumos - OPEX'!L$48,P417*'Insumos - OPEX'!L$75)</f>
        <v>0</v>
      </c>
      <c r="Q892" s="211">
        <f>IF($G892="PAX",Q417*'Insumos - OPEX'!M$48,Q417*'Insumos - OPEX'!M$75)</f>
        <v>0</v>
      </c>
      <c r="R892" s="211">
        <f>IF($G892="PAX",R417*'Insumos - OPEX'!N$48,R417*'Insumos - OPEX'!N$75)</f>
        <v>0</v>
      </c>
      <c r="S892" s="111"/>
    </row>
    <row r="893" spans="1:19" x14ac:dyDescent="0.2">
      <c r="A893" s="8"/>
      <c r="B893" s="8" t="s">
        <v>435</v>
      </c>
      <c r="C893" s="8" t="s">
        <v>174</v>
      </c>
      <c r="D893" s="8">
        <v>6563000003</v>
      </c>
      <c r="E893" s="8" t="s">
        <v>387</v>
      </c>
      <c r="F893" s="73" t="s">
        <v>23</v>
      </c>
      <c r="G893" s="73" t="s">
        <v>136</v>
      </c>
      <c r="H893" s="112" t="s">
        <v>61</v>
      </c>
      <c r="I893" s="13" t="s">
        <v>22</v>
      </c>
      <c r="K893" s="187"/>
      <c r="L893" s="187"/>
      <c r="M893" s="188">
        <f>IF($G893="PAX",M418*'Insumos - OPEX'!I$48,M418*'Insumos - OPEX'!I$75)</f>
        <v>0</v>
      </c>
      <c r="N893" s="211">
        <f>IF($G893="PAX",N418*'Insumos - OPEX'!J$48,N418*'Insumos - OPEX'!J$75)</f>
        <v>0</v>
      </c>
      <c r="O893" s="211">
        <f>IF($G893="PAX",O418*'Insumos - OPEX'!K$48,O418*'Insumos - OPEX'!K$75)</f>
        <v>0</v>
      </c>
      <c r="P893" s="211">
        <f>IF($G893="PAX",P418*'Insumos - OPEX'!L$48,P418*'Insumos - OPEX'!L$75)</f>
        <v>0</v>
      </c>
      <c r="Q893" s="211">
        <f>IF($G893="PAX",Q418*'Insumos - OPEX'!M$48,Q418*'Insumos - OPEX'!M$75)</f>
        <v>0</v>
      </c>
      <c r="R893" s="211">
        <f>IF($G893="PAX",R418*'Insumos - OPEX'!N$48,R418*'Insumos - OPEX'!N$75)</f>
        <v>0</v>
      </c>
      <c r="S893" s="111"/>
    </row>
    <row r="894" spans="1:19" x14ac:dyDescent="0.2">
      <c r="A894" s="8"/>
      <c r="B894" s="8" t="s">
        <v>435</v>
      </c>
      <c r="C894" s="8" t="s">
        <v>174</v>
      </c>
      <c r="D894" s="8">
        <v>6590000007</v>
      </c>
      <c r="E894" s="8" t="s">
        <v>382</v>
      </c>
      <c r="F894" s="73" t="s">
        <v>23</v>
      </c>
      <c r="G894" s="73" t="s">
        <v>136</v>
      </c>
      <c r="H894" s="112" t="s">
        <v>61</v>
      </c>
      <c r="I894" s="13" t="s">
        <v>22</v>
      </c>
      <c r="K894" s="187"/>
      <c r="L894" s="187"/>
      <c r="M894" s="188">
        <f>IF($G894="PAX",M419*'Insumos - OPEX'!I$48,M419*'Insumos - OPEX'!I$75)</f>
        <v>0</v>
      </c>
      <c r="N894" s="211">
        <f>IF($G894="PAX",N419*'Insumos - OPEX'!J$48,N419*'Insumos - OPEX'!J$75)</f>
        <v>0</v>
      </c>
      <c r="O894" s="211">
        <f>IF($G894="PAX",O419*'Insumos - OPEX'!K$48,O419*'Insumos - OPEX'!K$75)</f>
        <v>0</v>
      </c>
      <c r="P894" s="211">
        <f>IF($G894="PAX",P419*'Insumos - OPEX'!L$48,P419*'Insumos - OPEX'!L$75)</f>
        <v>0</v>
      </c>
      <c r="Q894" s="211">
        <f>IF($G894="PAX",Q419*'Insumos - OPEX'!M$48,Q419*'Insumos - OPEX'!M$75)</f>
        <v>0</v>
      </c>
      <c r="R894" s="211">
        <f>IF($G894="PAX",R419*'Insumos - OPEX'!N$48,R419*'Insumos - OPEX'!N$75)</f>
        <v>0</v>
      </c>
      <c r="S894" s="111"/>
    </row>
    <row r="895" spans="1:19" x14ac:dyDescent="0.2">
      <c r="A895" s="8"/>
      <c r="B895" s="8" t="s">
        <v>435</v>
      </c>
      <c r="C895" s="8" t="s">
        <v>174</v>
      </c>
      <c r="D895" s="8">
        <v>6563000004</v>
      </c>
      <c r="E895" s="8" t="s">
        <v>370</v>
      </c>
      <c r="F895" s="73" t="s">
        <v>23</v>
      </c>
      <c r="G895" s="73" t="s">
        <v>136</v>
      </c>
      <c r="H895" s="112" t="s">
        <v>61</v>
      </c>
      <c r="I895" s="13" t="s">
        <v>22</v>
      </c>
      <c r="K895" s="187"/>
      <c r="L895" s="187"/>
      <c r="M895" s="188">
        <f>IF($G895="PAX",M420*'Insumos - OPEX'!I$48,M420*'Insumos - OPEX'!I$75)</f>
        <v>0</v>
      </c>
      <c r="N895" s="211">
        <f>IF($G895="PAX",N420*'Insumos - OPEX'!J$48,N420*'Insumos - OPEX'!J$75)</f>
        <v>0</v>
      </c>
      <c r="O895" s="211">
        <f>IF($G895="PAX",O420*'Insumos - OPEX'!K$48,O420*'Insumos - OPEX'!K$75)</f>
        <v>0</v>
      </c>
      <c r="P895" s="211">
        <f>IF($G895="PAX",P420*'Insumos - OPEX'!L$48,P420*'Insumos - OPEX'!L$75)</f>
        <v>0</v>
      </c>
      <c r="Q895" s="211">
        <f>IF($G895="PAX",Q420*'Insumos - OPEX'!M$48,Q420*'Insumos - OPEX'!M$75)</f>
        <v>0</v>
      </c>
      <c r="R895" s="211">
        <f>IF($G895="PAX",R420*'Insumos - OPEX'!N$48,R420*'Insumos - OPEX'!N$75)</f>
        <v>0</v>
      </c>
      <c r="S895" s="111"/>
    </row>
    <row r="896" spans="1:19" x14ac:dyDescent="0.2">
      <c r="A896" s="8"/>
      <c r="B896" s="8" t="s">
        <v>435</v>
      </c>
      <c r="C896" s="8" t="s">
        <v>174</v>
      </c>
      <c r="D896" s="8">
        <v>6840000001</v>
      </c>
      <c r="E896" s="8" t="s">
        <v>374</v>
      </c>
      <c r="F896" s="73" t="s">
        <v>23</v>
      </c>
      <c r="G896" s="73" t="s">
        <v>136</v>
      </c>
      <c r="H896" s="112" t="s">
        <v>61</v>
      </c>
      <c r="I896" s="13" t="s">
        <v>22</v>
      </c>
      <c r="K896" s="187"/>
      <c r="L896" s="187"/>
      <c r="M896" s="188">
        <f>IF($G896="PAX",M421*'Insumos - OPEX'!I$48,M421*'Insumos - OPEX'!I$75)</f>
        <v>0</v>
      </c>
      <c r="N896" s="211">
        <f>IF($G896="PAX",N421*'Insumos - OPEX'!J$48,N421*'Insumos - OPEX'!J$75)</f>
        <v>0</v>
      </c>
      <c r="O896" s="211">
        <f>IF($G896="PAX",O421*'Insumos - OPEX'!K$48,O421*'Insumos - OPEX'!K$75)</f>
        <v>0</v>
      </c>
      <c r="P896" s="211">
        <f>IF($G896="PAX",P421*'Insumos - OPEX'!L$48,P421*'Insumos - OPEX'!L$75)</f>
        <v>0</v>
      </c>
      <c r="Q896" s="211">
        <f>IF($G896="PAX",Q421*'Insumos - OPEX'!M$48,Q421*'Insumos - OPEX'!M$75)</f>
        <v>0</v>
      </c>
      <c r="R896" s="211">
        <f>IF($G896="PAX",R421*'Insumos - OPEX'!N$48,R421*'Insumos - OPEX'!N$75)</f>
        <v>0</v>
      </c>
      <c r="S896" s="111"/>
    </row>
    <row r="897" spans="1:19" x14ac:dyDescent="0.2">
      <c r="A897" s="8"/>
      <c r="B897" s="8" t="s">
        <v>435</v>
      </c>
      <c r="C897" s="8" t="s">
        <v>174</v>
      </c>
      <c r="D897" s="8">
        <v>6563000005</v>
      </c>
      <c r="E897" s="8" t="s">
        <v>376</v>
      </c>
      <c r="F897" s="73" t="s">
        <v>23</v>
      </c>
      <c r="G897" s="73" t="s">
        <v>136</v>
      </c>
      <c r="H897" s="112" t="s">
        <v>61</v>
      </c>
      <c r="I897" s="13" t="s">
        <v>22</v>
      </c>
      <c r="K897" s="187"/>
      <c r="L897" s="187"/>
      <c r="M897" s="188">
        <f>IF($G897="PAX",M422*'Insumos - OPEX'!I$48,M422*'Insumos - OPEX'!I$75)</f>
        <v>0</v>
      </c>
      <c r="N897" s="211">
        <f>IF($G897="PAX",N422*'Insumos - OPEX'!J$48,N422*'Insumos - OPEX'!J$75)</f>
        <v>0</v>
      </c>
      <c r="O897" s="211">
        <f>IF($G897="PAX",O422*'Insumos - OPEX'!K$48,O422*'Insumos - OPEX'!K$75)</f>
        <v>0</v>
      </c>
      <c r="P897" s="211">
        <f>IF($G897="PAX",P422*'Insumos - OPEX'!L$48,P422*'Insumos - OPEX'!L$75)</f>
        <v>0</v>
      </c>
      <c r="Q897" s="211">
        <f>IF($G897="PAX",Q422*'Insumos - OPEX'!M$48,Q422*'Insumos - OPEX'!M$75)</f>
        <v>0</v>
      </c>
      <c r="R897" s="211">
        <f>IF($G897="PAX",R422*'Insumos - OPEX'!N$48,R422*'Insumos - OPEX'!N$75)</f>
        <v>0</v>
      </c>
      <c r="S897" s="111"/>
    </row>
    <row r="898" spans="1:19" x14ac:dyDescent="0.2">
      <c r="A898" s="8"/>
      <c r="B898" s="8" t="s">
        <v>435</v>
      </c>
      <c r="C898" s="8" t="s">
        <v>174</v>
      </c>
      <c r="D898" s="8">
        <v>6380000003</v>
      </c>
      <c r="E898" s="8" t="s">
        <v>375</v>
      </c>
      <c r="F898" s="73" t="s">
        <v>23</v>
      </c>
      <c r="G898" s="73" t="s">
        <v>136</v>
      </c>
      <c r="H898" s="112" t="s">
        <v>61</v>
      </c>
      <c r="I898" s="13" t="s">
        <v>22</v>
      </c>
      <c r="K898" s="187"/>
      <c r="L898" s="187"/>
      <c r="M898" s="188">
        <f>IF($G898="PAX",M423*'Insumos - OPEX'!I$48,M423*'Insumos - OPEX'!I$75)</f>
        <v>0</v>
      </c>
      <c r="N898" s="211">
        <f>IF($G898="PAX",N423*'Insumos - OPEX'!J$48,N423*'Insumos - OPEX'!J$75)</f>
        <v>0</v>
      </c>
      <c r="O898" s="211">
        <f>IF($G898="PAX",O423*'Insumos - OPEX'!K$48,O423*'Insumos - OPEX'!K$75)</f>
        <v>0</v>
      </c>
      <c r="P898" s="211">
        <f>IF($G898="PAX",P423*'Insumos - OPEX'!L$48,P423*'Insumos - OPEX'!L$75)</f>
        <v>0</v>
      </c>
      <c r="Q898" s="211">
        <f>IF($G898="PAX",Q423*'Insumos - OPEX'!M$48,Q423*'Insumos - OPEX'!M$75)</f>
        <v>0</v>
      </c>
      <c r="R898" s="211">
        <f>IF($G898="PAX",R423*'Insumos - OPEX'!N$48,R423*'Insumos - OPEX'!N$75)</f>
        <v>0</v>
      </c>
      <c r="S898" s="111"/>
    </row>
    <row r="899" spans="1:19" x14ac:dyDescent="0.2">
      <c r="A899" s="8"/>
      <c r="B899" s="8" t="s">
        <v>435</v>
      </c>
      <c r="C899" s="8" t="s">
        <v>174</v>
      </c>
      <c r="D899" s="8">
        <v>6562000002</v>
      </c>
      <c r="E899" s="8" t="s">
        <v>388</v>
      </c>
      <c r="F899" s="73" t="s">
        <v>23</v>
      </c>
      <c r="G899" s="73" t="s">
        <v>136</v>
      </c>
      <c r="H899" s="112" t="s">
        <v>61</v>
      </c>
      <c r="I899" s="13" t="s">
        <v>22</v>
      </c>
      <c r="K899" s="187"/>
      <c r="L899" s="187"/>
      <c r="M899" s="188">
        <f>IF($G899="PAX",M424*'Insumos - OPEX'!I$48,M424*'Insumos - OPEX'!I$75)</f>
        <v>0</v>
      </c>
      <c r="N899" s="211">
        <f>IF($G899="PAX",N424*'Insumos - OPEX'!J$48,N424*'Insumos - OPEX'!J$75)</f>
        <v>0</v>
      </c>
      <c r="O899" s="211">
        <f>IF($G899="PAX",O424*'Insumos - OPEX'!K$48,O424*'Insumos - OPEX'!K$75)</f>
        <v>0</v>
      </c>
      <c r="P899" s="211">
        <f>IF($G899="PAX",P424*'Insumos - OPEX'!L$48,P424*'Insumos - OPEX'!L$75)</f>
        <v>0</v>
      </c>
      <c r="Q899" s="211">
        <f>IF($G899="PAX",Q424*'Insumos - OPEX'!M$48,Q424*'Insumos - OPEX'!M$75)</f>
        <v>0</v>
      </c>
      <c r="R899" s="211">
        <f>IF($G899="PAX",R424*'Insumos - OPEX'!N$48,R424*'Insumos - OPEX'!N$75)</f>
        <v>0</v>
      </c>
      <c r="S899" s="111"/>
    </row>
    <row r="900" spans="1:19" x14ac:dyDescent="0.2">
      <c r="A900" s="8"/>
      <c r="B900" s="8" t="s">
        <v>435</v>
      </c>
      <c r="C900" s="8" t="s">
        <v>173</v>
      </c>
      <c r="D900" s="8">
        <v>6347000001</v>
      </c>
      <c r="E900" s="8" t="s">
        <v>394</v>
      </c>
      <c r="F900" s="73" t="s">
        <v>23</v>
      </c>
      <c r="G900" s="73" t="s">
        <v>136</v>
      </c>
      <c r="H900" s="112" t="s">
        <v>61</v>
      </c>
      <c r="I900" s="13" t="s">
        <v>22</v>
      </c>
      <c r="K900" s="187"/>
      <c r="L900" s="187"/>
      <c r="M900" s="188">
        <f>IF($G900="PAX",M425*'Insumos - OPEX'!I$48,M425*'Insumos - OPEX'!I$75)</f>
        <v>80649.266143682355</v>
      </c>
      <c r="N900" s="211">
        <f>IF($G900="PAX",N425*'Insumos - OPEX'!J$48,N425*'Insumos - OPEX'!J$75)</f>
        <v>93822.404568512837</v>
      </c>
      <c r="O900" s="211">
        <f>IF($G900="PAX",O425*'Insumos - OPEX'!K$48,O425*'Insumos - OPEX'!K$75)</f>
        <v>105749.51297064168</v>
      </c>
      <c r="P900" s="211">
        <f>IF($G900="PAX",P425*'Insumos - OPEX'!L$48,P425*'Insumos - OPEX'!L$75)</f>
        <v>112079.77352421611</v>
      </c>
      <c r="Q900" s="211">
        <f>IF($G900="PAX",Q425*'Insumos - OPEX'!M$48,Q425*'Insumos - OPEX'!M$75)</f>
        <v>116761.77394919709</v>
      </c>
      <c r="R900" s="211">
        <f>IF($G900="PAX",R425*'Insumos - OPEX'!N$48,R425*'Insumos - OPEX'!N$75)</f>
        <v>122095.43937680198</v>
      </c>
      <c r="S900" s="111"/>
    </row>
    <row r="901" spans="1:19" x14ac:dyDescent="0.2">
      <c r="A901" s="8"/>
      <c r="B901" s="8" t="s">
        <v>435</v>
      </c>
      <c r="C901" s="8" t="s">
        <v>173</v>
      </c>
      <c r="D901" s="8">
        <v>6343000001</v>
      </c>
      <c r="E901" s="8" t="s">
        <v>389</v>
      </c>
      <c r="F901" s="73" t="s">
        <v>23</v>
      </c>
      <c r="G901" s="73" t="s">
        <v>136</v>
      </c>
      <c r="H901" s="112" t="s">
        <v>61</v>
      </c>
      <c r="I901" s="13" t="s">
        <v>22</v>
      </c>
      <c r="K901" s="187"/>
      <c r="L901" s="187"/>
      <c r="M901" s="188">
        <f>IF($G901="PAX",M426*'Insumos - OPEX'!I$48,M426*'Insumos - OPEX'!I$75)</f>
        <v>12961.54939082531</v>
      </c>
      <c r="N901" s="211">
        <f>IF($G901="PAX",N426*'Insumos - OPEX'!J$48,N426*'Insumos - OPEX'!J$75)</f>
        <v>15078.670754600969</v>
      </c>
      <c r="O901" s="211">
        <f>IF($G901="PAX",O426*'Insumos - OPEX'!K$48,O426*'Insumos - OPEX'!K$75)</f>
        <v>16995.53636337788</v>
      </c>
      <c r="P901" s="211">
        <f>IF($G901="PAX",P426*'Insumos - OPEX'!L$48,P426*'Insumos - OPEX'!L$75)</f>
        <v>18012.904390952619</v>
      </c>
      <c r="Q901" s="211">
        <f>IF($G901="PAX",Q426*'Insumos - OPEX'!M$48,Q426*'Insumos - OPEX'!M$75)</f>
        <v>18765.372239180022</v>
      </c>
      <c r="R901" s="211">
        <f>IF($G901="PAX",R426*'Insumos - OPEX'!N$48,R426*'Insumos - OPEX'!N$75)</f>
        <v>19622.572449171686</v>
      </c>
      <c r="S901" s="111"/>
    </row>
    <row r="902" spans="1:19" x14ac:dyDescent="0.2">
      <c r="A902" s="8"/>
      <c r="B902" s="8" t="s">
        <v>435</v>
      </c>
      <c r="C902" s="8" t="s">
        <v>173</v>
      </c>
      <c r="D902" s="8">
        <v>6343000002</v>
      </c>
      <c r="E902" s="8" t="s">
        <v>391</v>
      </c>
      <c r="F902" s="73" t="s">
        <v>23</v>
      </c>
      <c r="G902" s="73" t="s">
        <v>136</v>
      </c>
      <c r="H902" s="112" t="s">
        <v>61</v>
      </c>
      <c r="I902" s="13" t="s">
        <v>22</v>
      </c>
      <c r="K902" s="187"/>
      <c r="L902" s="187"/>
      <c r="M902" s="188">
        <f>IF($G902="PAX",M427*'Insumos - OPEX'!I$48,M427*'Insumos - OPEX'!I$75)</f>
        <v>3115.161451627619</v>
      </c>
      <c r="N902" s="211">
        <f>IF($G902="PAX",N427*'Insumos - OPEX'!J$48,N427*'Insumos - OPEX'!J$75)</f>
        <v>3623.9875697088069</v>
      </c>
      <c r="O902" s="211">
        <f>IF($G902="PAX",O427*'Insumos - OPEX'!K$48,O427*'Insumos - OPEX'!K$75)</f>
        <v>4084.6844873658342</v>
      </c>
      <c r="P902" s="211">
        <f>IF($G902="PAX",P427*'Insumos - OPEX'!L$48,P427*'Insumos - OPEX'!L$75)</f>
        <v>4329.1973589414019</v>
      </c>
      <c r="Q902" s="211">
        <f>IF($G902="PAX",Q427*'Insumos - OPEX'!M$48,Q427*'Insumos - OPEX'!M$75)</f>
        <v>4510.0444755713324</v>
      </c>
      <c r="R902" s="211">
        <f>IF($G902="PAX",R427*'Insumos - OPEX'!N$48,R427*'Insumos - OPEX'!N$75)</f>
        <v>4716.0628280055944</v>
      </c>
      <c r="S902" s="111"/>
    </row>
    <row r="903" spans="1:19" x14ac:dyDescent="0.2">
      <c r="A903" s="8"/>
      <c r="B903" s="8" t="s">
        <v>435</v>
      </c>
      <c r="C903" s="8" t="s">
        <v>173</v>
      </c>
      <c r="D903" s="8">
        <v>6341100002</v>
      </c>
      <c r="E903" s="8" t="s">
        <v>398</v>
      </c>
      <c r="F903" s="73" t="s">
        <v>23</v>
      </c>
      <c r="G903" s="73" t="s">
        <v>136</v>
      </c>
      <c r="H903" s="112" t="s">
        <v>61</v>
      </c>
      <c r="I903" s="13" t="s">
        <v>22</v>
      </c>
      <c r="K903" s="187"/>
      <c r="L903" s="187"/>
      <c r="M903" s="188">
        <f>IF($G903="PAX",M428*'Insumos - OPEX'!I$48,M428*'Insumos - OPEX'!I$75)</f>
        <v>1721.759717284664</v>
      </c>
      <c r="N903" s="211">
        <f>IF($G903="PAX",N428*'Insumos - OPEX'!J$48,N428*'Insumos - OPEX'!J$75)</f>
        <v>2002.989543352518</v>
      </c>
      <c r="O903" s="211">
        <f>IF($G903="PAX",O428*'Insumos - OPEX'!K$48,O428*'Insumos - OPEX'!K$75)</f>
        <v>2257.6182061091918</v>
      </c>
      <c r="P903" s="211">
        <f>IF($G903="PAX",P428*'Insumos - OPEX'!L$48,P428*'Insumos - OPEX'!L$75)</f>
        <v>2392.7612538046651</v>
      </c>
      <c r="Q903" s="211">
        <f>IF($G903="PAX",Q428*'Insumos - OPEX'!M$48,Q428*'Insumos - OPEX'!M$75)</f>
        <v>2492.7160347158783</v>
      </c>
      <c r="R903" s="211">
        <f>IF($G903="PAX",R428*'Insumos - OPEX'!N$48,R428*'Insumos - OPEX'!N$75)</f>
        <v>2606.5830383208872</v>
      </c>
      <c r="S903" s="111"/>
    </row>
    <row r="904" spans="1:19" x14ac:dyDescent="0.2">
      <c r="A904" s="8"/>
      <c r="B904" s="8" t="s">
        <v>435</v>
      </c>
      <c r="C904" s="8" t="s">
        <v>173</v>
      </c>
      <c r="D904" s="8">
        <v>6341100010</v>
      </c>
      <c r="E904" s="8" t="s">
        <v>393</v>
      </c>
      <c r="F904" s="73" t="s">
        <v>23</v>
      </c>
      <c r="G904" s="73" t="s">
        <v>136</v>
      </c>
      <c r="H904" s="112" t="s">
        <v>61</v>
      </c>
      <c r="I904" s="13" t="s">
        <v>22</v>
      </c>
      <c r="K904" s="187"/>
      <c r="L904" s="187"/>
      <c r="M904" s="188">
        <f>IF($G904="PAX",M429*'Insumos - OPEX'!I$48,M429*'Insumos - OPEX'!I$75)</f>
        <v>1672.0477362592667</v>
      </c>
      <c r="N904" s="211">
        <f>IF($G904="PAX",N429*'Insumos - OPEX'!J$48,N429*'Insumos - OPEX'!J$75)</f>
        <v>1945.1576768187588</v>
      </c>
      <c r="O904" s="211">
        <f>IF($G904="PAX",O429*'Insumos - OPEX'!K$48,O429*'Insumos - OPEX'!K$75)</f>
        <v>2192.4345034717021</v>
      </c>
      <c r="P904" s="211">
        <f>IF($G904="PAX",P429*'Insumos - OPEX'!L$48,P429*'Insumos - OPEX'!L$75)</f>
        <v>2323.6755963500732</v>
      </c>
      <c r="Q904" s="211">
        <f>IF($G904="PAX",Q429*'Insumos - OPEX'!M$48,Q429*'Insumos - OPEX'!M$75)</f>
        <v>2420.7444053558152</v>
      </c>
      <c r="R904" s="211">
        <f>IF($G904="PAX",R429*'Insumos - OPEX'!N$48,R429*'Insumos - OPEX'!N$75)</f>
        <v>2531.3237525789227</v>
      </c>
      <c r="S904" s="111"/>
    </row>
    <row r="905" spans="1:19" x14ac:dyDescent="0.2">
      <c r="A905" s="8"/>
      <c r="B905" s="8" t="s">
        <v>435</v>
      </c>
      <c r="C905" s="8" t="s">
        <v>173</v>
      </c>
      <c r="D905" s="8">
        <v>6341100001</v>
      </c>
      <c r="E905" s="8" t="s">
        <v>399</v>
      </c>
      <c r="F905" s="73" t="s">
        <v>23</v>
      </c>
      <c r="G905" s="73" t="s">
        <v>136</v>
      </c>
      <c r="H905" s="112" t="s">
        <v>61</v>
      </c>
      <c r="I905" s="13" t="s">
        <v>22</v>
      </c>
      <c r="K905" s="187"/>
      <c r="L905" s="187"/>
      <c r="M905" s="188">
        <f>IF($G905="PAX",M430*'Insumos - OPEX'!I$48,M430*'Insumos - OPEX'!I$75)</f>
        <v>754.36091133117816</v>
      </c>
      <c r="N905" s="211">
        <f>IF($G905="PAX",N430*'Insumos - OPEX'!J$48,N430*'Insumos - OPEX'!J$75)</f>
        <v>877.57716837117255</v>
      </c>
      <c r="O905" s="211">
        <f>IF($G905="PAX",O430*'Insumos - OPEX'!K$48,O430*'Insumos - OPEX'!K$75)</f>
        <v>989.13855998689121</v>
      </c>
      <c r="P905" s="211">
        <f>IF($G905="PAX",P430*'Insumos - OPEX'!L$48,P430*'Insumos - OPEX'!L$75)</f>
        <v>1048.349280040446</v>
      </c>
      <c r="Q905" s="211">
        <f>IF($G905="PAX",Q430*'Insumos - OPEX'!M$48,Q430*'Insumos - OPEX'!M$75)</f>
        <v>1092.142835472795</v>
      </c>
      <c r="R905" s="211">
        <f>IF($G905="PAX",R430*'Insumos - OPEX'!N$48,R430*'Insumos - OPEX'!N$75)</f>
        <v>1142.0318041527512</v>
      </c>
      <c r="S905" s="111"/>
    </row>
    <row r="906" spans="1:19" x14ac:dyDescent="0.2">
      <c r="A906" s="8"/>
      <c r="B906" s="8" t="s">
        <v>435</v>
      </c>
      <c r="C906" s="8" t="s">
        <v>173</v>
      </c>
      <c r="D906" s="8">
        <v>6348000001</v>
      </c>
      <c r="E906" s="8" t="s">
        <v>402</v>
      </c>
      <c r="F906" s="73" t="s">
        <v>23</v>
      </c>
      <c r="G906" s="73" t="s">
        <v>136</v>
      </c>
      <c r="H906" s="112" t="s">
        <v>61</v>
      </c>
      <c r="I906" s="13" t="s">
        <v>22</v>
      </c>
      <c r="K906" s="187"/>
      <c r="L906" s="187"/>
      <c r="M906" s="188">
        <f>IF($G906="PAX",M431*'Insumos - OPEX'!I$48,M431*'Insumos - OPEX'!I$75)</f>
        <v>697.23035501488255</v>
      </c>
      <c r="N906" s="211">
        <f>IF($G906="PAX",N431*'Insumos - OPEX'!J$48,N431*'Insumos - OPEX'!J$75)</f>
        <v>811.1149868259339</v>
      </c>
      <c r="O906" s="211">
        <f>IF($G906="PAX",O431*'Insumos - OPEX'!K$48,O431*'Insumos - OPEX'!K$75)</f>
        <v>914.22741950079353</v>
      </c>
      <c r="P906" s="211">
        <f>IF($G906="PAX",P431*'Insumos - OPEX'!L$48,P431*'Insumos - OPEX'!L$75)</f>
        <v>968.95389159592935</v>
      </c>
      <c r="Q906" s="211">
        <f>IF($G906="PAX",Q431*'Insumos - OPEX'!M$48,Q431*'Insumos - OPEX'!M$75)</f>
        <v>1009.4307982632944</v>
      </c>
      <c r="R906" s="211">
        <f>IF($G906="PAX",R431*'Insumos - OPEX'!N$48,R431*'Insumos - OPEX'!N$75)</f>
        <v>1055.5414898719976</v>
      </c>
      <c r="S906" s="111"/>
    </row>
    <row r="907" spans="1:19" x14ac:dyDescent="0.2">
      <c r="A907" s="8"/>
      <c r="B907" s="8" t="s">
        <v>435</v>
      </c>
      <c r="C907" s="8" t="s">
        <v>173</v>
      </c>
      <c r="D907" s="8">
        <v>6341100004</v>
      </c>
      <c r="E907" s="8" t="s">
        <v>400</v>
      </c>
      <c r="F907" s="73" t="s">
        <v>23</v>
      </c>
      <c r="G907" s="73" t="s">
        <v>136</v>
      </c>
      <c r="H907" s="112" t="s">
        <v>61</v>
      </c>
      <c r="I907" s="13" t="s">
        <v>22</v>
      </c>
      <c r="K907" s="187"/>
      <c r="L907" s="187"/>
      <c r="M907" s="188">
        <f>IF($G907="PAX",M432*'Insumos - OPEX'!I$48,M432*'Insumos - OPEX'!I$75)</f>
        <v>481.07831345232523</v>
      </c>
      <c r="N907" s="211">
        <f>IF($G907="PAX",N432*'Insumos - OPEX'!J$48,N432*'Insumos - OPEX'!J$75)</f>
        <v>559.65697286630052</v>
      </c>
      <c r="O907" s="211">
        <f>IF($G907="PAX",O432*'Insumos - OPEX'!K$48,O432*'Insumos - OPEX'!K$75)</f>
        <v>630.80297913295124</v>
      </c>
      <c r="P907" s="211">
        <f>IF($G907="PAX",P432*'Insumos - OPEX'!L$48,P432*'Insumos - OPEX'!L$75)</f>
        <v>668.5634103983997</v>
      </c>
      <c r="Q907" s="211">
        <f>IF($G907="PAX",Q432*'Insumos - OPEX'!M$48,Q432*'Insumos - OPEX'!M$75)</f>
        <v>696.4918587989107</v>
      </c>
      <c r="R907" s="211">
        <f>IF($G907="PAX",R432*'Insumos - OPEX'!N$48,R432*'Insumos - OPEX'!N$75)</f>
        <v>728.30753290386531</v>
      </c>
      <c r="S907" s="111"/>
    </row>
    <row r="908" spans="1:19" x14ac:dyDescent="0.2">
      <c r="A908" s="8"/>
      <c r="B908" s="8" t="s">
        <v>435</v>
      </c>
      <c r="C908" s="8" t="s">
        <v>173</v>
      </c>
      <c r="D908" s="8">
        <v>6341100003</v>
      </c>
      <c r="E908" s="8" t="s">
        <v>392</v>
      </c>
      <c r="F908" s="73" t="s">
        <v>23</v>
      </c>
      <c r="G908" s="73" t="s">
        <v>136</v>
      </c>
      <c r="H908" s="112" t="s">
        <v>61</v>
      </c>
      <c r="I908" s="13" t="s">
        <v>22</v>
      </c>
      <c r="K908" s="187"/>
      <c r="L908" s="187"/>
      <c r="M908" s="188">
        <f>IF($G908="PAX",M433*'Insumos - OPEX'!I$48,M433*'Insumos - OPEX'!I$75)</f>
        <v>944.87078616722431</v>
      </c>
      <c r="N908" s="211">
        <f>IF($G908="PAX",N433*'Insumos - OPEX'!J$48,N433*'Insumos - OPEX'!J$75)</f>
        <v>1099.2046599260282</v>
      </c>
      <c r="O908" s="211">
        <f>IF($G908="PAX",O433*'Insumos - OPEX'!K$48,O433*'Insumos - OPEX'!K$75)</f>
        <v>1238.9402933854033</v>
      </c>
      <c r="P908" s="211">
        <f>IF($G908="PAX",P433*'Insumos - OPEX'!L$48,P433*'Insumos - OPEX'!L$75)</f>
        <v>1313.1043689176367</v>
      </c>
      <c r="Q908" s="211">
        <f>IF($G908="PAX",Q433*'Insumos - OPEX'!M$48,Q433*'Insumos - OPEX'!M$75)</f>
        <v>1367.9577561078634</v>
      </c>
      <c r="R908" s="211">
        <f>IF($G908="PAX",R433*'Insumos - OPEX'!N$48,R433*'Insumos - OPEX'!N$75)</f>
        <v>1430.4459210560171</v>
      </c>
      <c r="S908" s="111"/>
    </row>
    <row r="909" spans="1:19" x14ac:dyDescent="0.2">
      <c r="A909" s="8"/>
      <c r="B909" s="8" t="s">
        <v>435</v>
      </c>
      <c r="C909" s="8" t="s">
        <v>173</v>
      </c>
      <c r="D909" s="8">
        <v>6342000002</v>
      </c>
      <c r="E909" s="8" t="s">
        <v>412</v>
      </c>
      <c r="F909" s="73" t="s">
        <v>23</v>
      </c>
      <c r="G909" s="73" t="s">
        <v>136</v>
      </c>
      <c r="H909" s="112" t="s">
        <v>61</v>
      </c>
      <c r="I909" s="13" t="s">
        <v>22</v>
      </c>
      <c r="K909" s="187"/>
      <c r="L909" s="187"/>
      <c r="M909" s="188">
        <f>IF($G909="PAX",M434*'Insumos - OPEX'!I$48,M434*'Insumos - OPEX'!I$75)</f>
        <v>371.92059837617381</v>
      </c>
      <c r="N909" s="211">
        <f>IF($G909="PAX",N434*'Insumos - OPEX'!J$48,N434*'Insumos - OPEX'!J$75)</f>
        <v>432.66958915715077</v>
      </c>
      <c r="O909" s="211">
        <f>IF($G909="PAX",O434*'Insumos - OPEX'!K$48,O434*'Insumos - OPEX'!K$75)</f>
        <v>487.67241194681287</v>
      </c>
      <c r="P909" s="211">
        <f>IF($G909="PAX",P434*'Insumos - OPEX'!L$48,P434*'Insumos - OPEX'!L$75)</f>
        <v>516.86491927562167</v>
      </c>
      <c r="Q909" s="211">
        <f>IF($G909="PAX",Q434*'Insumos - OPEX'!M$48,Q434*'Insumos - OPEX'!M$75)</f>
        <v>538.45634202402107</v>
      </c>
      <c r="R909" s="211">
        <f>IF($G909="PAX",R434*'Insumos - OPEX'!N$48,R434*'Insumos - OPEX'!N$75)</f>
        <v>563.05297051458933</v>
      </c>
      <c r="S909" s="111"/>
    </row>
    <row r="910" spans="1:19" x14ac:dyDescent="0.2">
      <c r="A910" s="8"/>
      <c r="B910" s="8" t="s">
        <v>435</v>
      </c>
      <c r="C910" s="8" t="s">
        <v>173</v>
      </c>
      <c r="D910" s="8">
        <v>6343100002</v>
      </c>
      <c r="E910" s="8" t="s">
        <v>396</v>
      </c>
      <c r="F910" s="73" t="s">
        <v>23</v>
      </c>
      <c r="G910" s="73" t="s">
        <v>136</v>
      </c>
      <c r="H910" s="112" t="s">
        <v>61</v>
      </c>
      <c r="I910" s="13" t="s">
        <v>22</v>
      </c>
      <c r="K910" s="187"/>
      <c r="L910" s="187"/>
      <c r="M910" s="188">
        <f>IF($G910="PAX",M435*'Insumos - OPEX'!I$48,M435*'Insumos - OPEX'!I$75)</f>
        <v>123.59256016308187</v>
      </c>
      <c r="N910" s="211">
        <f>IF($G910="PAX",N435*'Insumos - OPEX'!J$48,N435*'Insumos - OPEX'!J$75)</f>
        <v>143.77999621993189</v>
      </c>
      <c r="O910" s="211">
        <f>IF($G910="PAX",O435*'Insumos - OPEX'!K$48,O435*'Insumos - OPEX'!K$75)</f>
        <v>162.05792896807981</v>
      </c>
      <c r="P910" s="211">
        <f>IF($G910="PAX",P435*'Insumos - OPEX'!L$48,P435*'Insumos - OPEX'!L$75)</f>
        <v>171.75886173195369</v>
      </c>
      <c r="Q910" s="211">
        <f>IF($G910="PAX",Q435*'Insumos - OPEX'!M$48,Q435*'Insumos - OPEX'!M$75)</f>
        <v>178.93388572010892</v>
      </c>
      <c r="R910" s="211">
        <f>IF($G910="PAX",R435*'Insumos - OPEX'!N$48,R435*'Insumos - OPEX'!N$75)</f>
        <v>187.1075666073794</v>
      </c>
      <c r="S910" s="111"/>
    </row>
    <row r="911" spans="1:19" x14ac:dyDescent="0.2">
      <c r="A911" s="8"/>
      <c r="B911" s="8" t="s">
        <v>435</v>
      </c>
      <c r="C911" s="8" t="s">
        <v>173</v>
      </c>
      <c r="D911" s="8">
        <v>6343100001</v>
      </c>
      <c r="E911" s="8" t="s">
        <v>397</v>
      </c>
      <c r="F911" s="73" t="s">
        <v>23</v>
      </c>
      <c r="G911" s="73" t="s">
        <v>136</v>
      </c>
      <c r="H911" s="112" t="s">
        <v>61</v>
      </c>
      <c r="I911" s="13" t="s">
        <v>22</v>
      </c>
      <c r="K911" s="187"/>
      <c r="L911" s="187"/>
      <c r="M911" s="188">
        <f>IF($G911="PAX",M436*'Insumos - OPEX'!I$48,M436*'Insumos - OPEX'!I$75)</f>
        <v>73.336957604940139</v>
      </c>
      <c r="N911" s="211">
        <f>IF($G911="PAX",N436*'Insumos - OPEX'!J$48,N436*'Insumos - OPEX'!J$75)</f>
        <v>85.315713771979077</v>
      </c>
      <c r="O911" s="211">
        <f>IF($G911="PAX",O436*'Insumos - OPEX'!K$48,O436*'Insumos - OPEX'!K$75)</f>
        <v>96.161414979949328</v>
      </c>
      <c r="P911" s="211">
        <f>IF($G911="PAX",P436*'Insumos - OPEX'!L$48,P436*'Insumos - OPEX'!L$75)</f>
        <v>101.91772340089184</v>
      </c>
      <c r="Q911" s="211">
        <f>IF($G911="PAX",Q436*'Insumos - OPEX'!M$48,Q436*'Insumos - OPEX'!M$75)</f>
        <v>106.17521616048391</v>
      </c>
      <c r="R911" s="211">
        <f>IF($G911="PAX",R436*'Insumos - OPEX'!N$48,R436*'Insumos - OPEX'!N$75)</f>
        <v>111.02528875316349</v>
      </c>
      <c r="S911" s="111"/>
    </row>
    <row r="912" spans="1:19" x14ac:dyDescent="0.2">
      <c r="A912" s="8"/>
      <c r="B912" s="8" t="s">
        <v>435</v>
      </c>
      <c r="C912" s="8" t="s">
        <v>173</v>
      </c>
      <c r="D912" s="8">
        <v>6343100015</v>
      </c>
      <c r="E912" s="8" t="s">
        <v>401</v>
      </c>
      <c r="F912" s="73" t="s">
        <v>23</v>
      </c>
      <c r="G912" s="73" t="s">
        <v>136</v>
      </c>
      <c r="H912" s="112" t="s">
        <v>61</v>
      </c>
      <c r="I912" s="13" t="s">
        <v>22</v>
      </c>
      <c r="J912" s="11"/>
      <c r="K912" s="187"/>
      <c r="L912" s="187"/>
      <c r="M912" s="188">
        <f>IF($G912="PAX",M437*'Insumos - OPEX'!I$48,M437*'Insumos - OPEX'!I$75)</f>
        <v>60.518894448622774</v>
      </c>
      <c r="N912" s="211">
        <f>IF($G912="PAX",N437*'Insumos - OPEX'!J$48,N437*'Insumos - OPEX'!J$75)</f>
        <v>70.403966092909059</v>
      </c>
      <c r="O912" s="211">
        <f>IF($G912="PAX",O437*'Insumos - OPEX'!K$48,O437*'Insumos - OPEX'!K$75)</f>
        <v>79.354021672829063</v>
      </c>
      <c r="P912" s="211">
        <f>IF($G912="PAX",P437*'Insumos - OPEX'!L$48,P437*'Insumos - OPEX'!L$75)</f>
        <v>84.104224478041601</v>
      </c>
      <c r="Q912" s="211">
        <f>IF($G912="PAX",Q437*'Insumos - OPEX'!M$48,Q437*'Insumos - OPEX'!M$75)</f>
        <v>87.617579317787118</v>
      </c>
      <c r="R912" s="211">
        <f>IF($G912="PAX",R437*'Insumos - OPEX'!N$48,R437*'Insumos - OPEX'!N$75)</f>
        <v>91.619941031313672</v>
      </c>
      <c r="S912" s="111"/>
    </row>
    <row r="913" spans="1:19" x14ac:dyDescent="0.2">
      <c r="A913" s="8"/>
      <c r="B913" s="8" t="s">
        <v>435</v>
      </c>
      <c r="C913" s="8" t="s">
        <v>173</v>
      </c>
      <c r="D913" s="8">
        <v>6342000001</v>
      </c>
      <c r="E913" s="8" t="s">
        <v>410</v>
      </c>
      <c r="F913" s="73" t="s">
        <v>23</v>
      </c>
      <c r="G913" s="73" t="s">
        <v>136</v>
      </c>
      <c r="H913" s="112" t="s">
        <v>61</v>
      </c>
      <c r="I913" s="13" t="s">
        <v>22</v>
      </c>
      <c r="K913" s="187"/>
      <c r="L913" s="187"/>
      <c r="M913" s="188">
        <f>IF($G913="PAX",M438*'Insumos - OPEX'!I$48,M438*'Insumos - OPEX'!I$75)</f>
        <v>52.690729456705078</v>
      </c>
      <c r="N913" s="211">
        <f>IF($G913="PAX",N438*'Insumos - OPEX'!J$48,N438*'Insumos - OPEX'!J$75)</f>
        <v>61.29715957104581</v>
      </c>
      <c r="O913" s="211">
        <f>IF($G913="PAX",O438*'Insumos - OPEX'!K$48,O438*'Insumos - OPEX'!K$75)</f>
        <v>69.089518659567972</v>
      </c>
      <c r="P913" s="211">
        <f>IF($G913="PAX",P438*'Insumos - OPEX'!L$48,P438*'Insumos - OPEX'!L$75)</f>
        <v>73.225279121722792</v>
      </c>
      <c r="Q913" s="211">
        <f>IF($G913="PAX",Q438*'Insumos - OPEX'!M$48,Q438*'Insumos - OPEX'!M$75)</f>
        <v>76.284178842761065</v>
      </c>
      <c r="R913" s="211">
        <f>IF($G913="PAX",R438*'Insumos - OPEX'!N$48,R438*'Insumos - OPEX'!N$75)</f>
        <v>79.768832026806493</v>
      </c>
      <c r="S913" s="111"/>
    </row>
    <row r="914" spans="1:19" x14ac:dyDescent="0.2">
      <c r="A914" s="8"/>
      <c r="B914" s="8" t="s">
        <v>435</v>
      </c>
      <c r="C914" s="8" t="s">
        <v>173</v>
      </c>
      <c r="D914" s="8">
        <v>6343100010</v>
      </c>
      <c r="E914" s="8" t="s">
        <v>420</v>
      </c>
      <c r="F914" s="73" t="s">
        <v>23</v>
      </c>
      <c r="G914" s="73" t="s">
        <v>136</v>
      </c>
      <c r="H914" s="112" t="s">
        <v>61</v>
      </c>
      <c r="I914" s="13" t="s">
        <v>22</v>
      </c>
      <c r="J914" s="40"/>
      <c r="K914" s="187"/>
      <c r="L914" s="187"/>
      <c r="M914" s="188">
        <f>IF($G914="PAX",M439*'Insumos - OPEX'!I$48,M439*'Insumos - OPEX'!I$75)</f>
        <v>0</v>
      </c>
      <c r="N914" s="211">
        <f>IF($G914="PAX",N439*'Insumos - OPEX'!J$48,N439*'Insumos - OPEX'!J$75)</f>
        <v>0</v>
      </c>
      <c r="O914" s="211">
        <f>IF($G914="PAX",O439*'Insumos - OPEX'!K$48,O439*'Insumos - OPEX'!K$75)</f>
        <v>0</v>
      </c>
      <c r="P914" s="211">
        <f>IF($G914="PAX",P439*'Insumos - OPEX'!L$48,P439*'Insumos - OPEX'!L$75)</f>
        <v>0</v>
      </c>
      <c r="Q914" s="211">
        <f>IF($G914="PAX",Q439*'Insumos - OPEX'!M$48,Q439*'Insumos - OPEX'!M$75)</f>
        <v>0</v>
      </c>
      <c r="R914" s="211">
        <f>IF($G914="PAX",R439*'Insumos - OPEX'!N$48,R439*'Insumos - OPEX'!N$75)</f>
        <v>0</v>
      </c>
      <c r="S914" s="111"/>
    </row>
    <row r="915" spans="1:19" x14ac:dyDescent="0.2">
      <c r="A915" s="8"/>
      <c r="B915" s="8" t="s">
        <v>435</v>
      </c>
      <c r="C915" s="8" t="s">
        <v>173</v>
      </c>
      <c r="D915" s="8">
        <v>6346000001</v>
      </c>
      <c r="E915" s="8" t="s">
        <v>421</v>
      </c>
      <c r="F915" s="73" t="s">
        <v>23</v>
      </c>
      <c r="G915" s="73" t="s">
        <v>136</v>
      </c>
      <c r="H915" s="112" t="s">
        <v>61</v>
      </c>
      <c r="I915" s="13" t="s">
        <v>22</v>
      </c>
      <c r="K915" s="187"/>
      <c r="L915" s="187"/>
      <c r="M915" s="188">
        <f>IF($G915="PAX",M440*'Insumos - OPEX'!I$48,M440*'Insumos - OPEX'!I$75)</f>
        <v>0</v>
      </c>
      <c r="N915" s="211">
        <f>IF($G915="PAX",N440*'Insumos - OPEX'!J$48,N440*'Insumos - OPEX'!J$75)</f>
        <v>0</v>
      </c>
      <c r="O915" s="211">
        <f>IF($G915="PAX",O440*'Insumos - OPEX'!K$48,O440*'Insumos - OPEX'!K$75)</f>
        <v>0</v>
      </c>
      <c r="P915" s="211">
        <f>IF($G915="PAX",P440*'Insumos - OPEX'!L$48,P440*'Insumos - OPEX'!L$75)</f>
        <v>0</v>
      </c>
      <c r="Q915" s="211">
        <f>IF($G915="PAX",Q440*'Insumos - OPEX'!M$48,Q440*'Insumos - OPEX'!M$75)</f>
        <v>0</v>
      </c>
      <c r="R915" s="211">
        <f>IF($G915="PAX",R440*'Insumos - OPEX'!N$48,R440*'Insumos - OPEX'!N$75)</f>
        <v>0</v>
      </c>
      <c r="S915" s="111"/>
    </row>
    <row r="916" spans="1:19" x14ac:dyDescent="0.2">
      <c r="A916" s="8"/>
      <c r="B916" s="8" t="s">
        <v>435</v>
      </c>
      <c r="C916" s="8" t="s">
        <v>173</v>
      </c>
      <c r="D916" s="8">
        <v>6341100005</v>
      </c>
      <c r="E916" s="8" t="s">
        <v>411</v>
      </c>
      <c r="F916" s="73" t="s">
        <v>23</v>
      </c>
      <c r="G916" s="73" t="s">
        <v>136</v>
      </c>
      <c r="H916" s="112" t="s">
        <v>61</v>
      </c>
      <c r="I916" s="13" t="s">
        <v>22</v>
      </c>
      <c r="K916" s="187"/>
      <c r="L916" s="187"/>
      <c r="M916" s="188">
        <f>IF($G916="PAX",M441*'Insumos - OPEX'!I$48,M441*'Insumos - OPEX'!I$75)</f>
        <v>0</v>
      </c>
      <c r="N916" s="211">
        <f>IF($G916="PAX",N441*'Insumos - OPEX'!J$48,N441*'Insumos - OPEX'!J$75)</f>
        <v>0</v>
      </c>
      <c r="O916" s="211">
        <f>IF($G916="PAX",O441*'Insumos - OPEX'!K$48,O441*'Insumos - OPEX'!K$75)</f>
        <v>0</v>
      </c>
      <c r="P916" s="211">
        <f>IF($G916="PAX",P441*'Insumos - OPEX'!L$48,P441*'Insumos - OPEX'!L$75)</f>
        <v>0</v>
      </c>
      <c r="Q916" s="211">
        <f>IF($G916="PAX",Q441*'Insumos - OPEX'!M$48,Q441*'Insumos - OPEX'!M$75)</f>
        <v>0</v>
      </c>
      <c r="R916" s="211">
        <f>IF($G916="PAX",R441*'Insumos - OPEX'!N$48,R441*'Insumos - OPEX'!N$75)</f>
        <v>0</v>
      </c>
      <c r="S916" s="111"/>
    </row>
    <row r="917" spans="1:19" x14ac:dyDescent="0.2">
      <c r="A917" s="8"/>
      <c r="B917" s="8" t="s">
        <v>435</v>
      </c>
      <c r="C917" s="8" t="s">
        <v>173</v>
      </c>
      <c r="D917" s="8">
        <v>6343100012</v>
      </c>
      <c r="E917" s="8" t="s">
        <v>423</v>
      </c>
      <c r="F917" s="73" t="s">
        <v>23</v>
      </c>
      <c r="G917" s="73" t="s">
        <v>136</v>
      </c>
      <c r="H917" s="112" t="s">
        <v>61</v>
      </c>
      <c r="I917" s="13" t="s">
        <v>22</v>
      </c>
      <c r="K917" s="187"/>
      <c r="L917" s="187"/>
      <c r="M917" s="188">
        <f>IF($G917="PAX",M442*'Insumos - OPEX'!I$48,M442*'Insumos - OPEX'!I$75)</f>
        <v>0</v>
      </c>
      <c r="N917" s="211">
        <f>IF($G917="PAX",N442*'Insumos - OPEX'!J$48,N442*'Insumos - OPEX'!J$75)</f>
        <v>0</v>
      </c>
      <c r="O917" s="211">
        <f>IF($G917="PAX",O442*'Insumos - OPEX'!K$48,O442*'Insumos - OPEX'!K$75)</f>
        <v>0</v>
      </c>
      <c r="P917" s="211">
        <f>IF($G917="PAX",P442*'Insumos - OPEX'!L$48,P442*'Insumos - OPEX'!L$75)</f>
        <v>0</v>
      </c>
      <c r="Q917" s="211">
        <f>IF($G917="PAX",Q442*'Insumos - OPEX'!M$48,Q442*'Insumos - OPEX'!M$75)</f>
        <v>0</v>
      </c>
      <c r="R917" s="211">
        <f>IF($G917="PAX",R442*'Insumos - OPEX'!N$48,R442*'Insumos - OPEX'!N$75)</f>
        <v>0</v>
      </c>
      <c r="S917" s="111"/>
    </row>
    <row r="918" spans="1:19" x14ac:dyDescent="0.2">
      <c r="A918" s="8"/>
      <c r="B918" s="8" t="s">
        <v>435</v>
      </c>
      <c r="C918" s="8" t="s">
        <v>173</v>
      </c>
      <c r="D918" s="8">
        <v>6343100003</v>
      </c>
      <c r="E918" s="8" t="s">
        <v>406</v>
      </c>
      <c r="F918" s="73" t="s">
        <v>23</v>
      </c>
      <c r="G918" s="73" t="s">
        <v>136</v>
      </c>
      <c r="H918" s="112" t="s">
        <v>61</v>
      </c>
      <c r="I918" s="13" t="s">
        <v>22</v>
      </c>
      <c r="K918" s="187"/>
      <c r="L918" s="187"/>
      <c r="M918" s="188">
        <f>IF($G918="PAX",M443*'Insumos - OPEX'!I$48,M443*'Insumos - OPEX'!I$75)</f>
        <v>0</v>
      </c>
      <c r="N918" s="211">
        <f>IF($G918="PAX",N443*'Insumos - OPEX'!J$48,N443*'Insumos - OPEX'!J$75)</f>
        <v>0</v>
      </c>
      <c r="O918" s="211">
        <f>IF($G918="PAX",O443*'Insumos - OPEX'!K$48,O443*'Insumos - OPEX'!K$75)</f>
        <v>0</v>
      </c>
      <c r="P918" s="211">
        <f>IF($G918="PAX",P443*'Insumos - OPEX'!L$48,P443*'Insumos - OPEX'!L$75)</f>
        <v>0</v>
      </c>
      <c r="Q918" s="211">
        <f>IF($G918="PAX",Q443*'Insumos - OPEX'!M$48,Q443*'Insumos - OPEX'!M$75)</f>
        <v>0</v>
      </c>
      <c r="R918" s="211">
        <f>IF($G918="PAX",R443*'Insumos - OPEX'!N$48,R443*'Insumos - OPEX'!N$75)</f>
        <v>0</v>
      </c>
      <c r="S918" s="111"/>
    </row>
    <row r="919" spans="1:19" x14ac:dyDescent="0.2">
      <c r="A919" s="8"/>
      <c r="B919" s="8" t="s">
        <v>435</v>
      </c>
      <c r="C919" s="8" t="s">
        <v>173</v>
      </c>
      <c r="D919" s="8">
        <v>6343100009</v>
      </c>
      <c r="E919" s="8" t="s">
        <v>418</v>
      </c>
      <c r="F919" s="73" t="s">
        <v>23</v>
      </c>
      <c r="G919" s="73" t="s">
        <v>136</v>
      </c>
      <c r="H919" s="112" t="s">
        <v>61</v>
      </c>
      <c r="I919" s="13" t="s">
        <v>22</v>
      </c>
      <c r="K919" s="187"/>
      <c r="L919" s="187"/>
      <c r="M919" s="188">
        <f>IF($G919="PAX",M444*'Insumos - OPEX'!I$48,M444*'Insumos - OPEX'!I$75)</f>
        <v>0</v>
      </c>
      <c r="N919" s="211">
        <f>IF($G919="PAX",N444*'Insumos - OPEX'!J$48,N444*'Insumos - OPEX'!J$75)</f>
        <v>0</v>
      </c>
      <c r="O919" s="211">
        <f>IF($G919="PAX",O444*'Insumos - OPEX'!K$48,O444*'Insumos - OPEX'!K$75)</f>
        <v>0</v>
      </c>
      <c r="P919" s="211">
        <f>IF($G919="PAX",P444*'Insumos - OPEX'!L$48,P444*'Insumos - OPEX'!L$75)</f>
        <v>0</v>
      </c>
      <c r="Q919" s="211">
        <f>IF($G919="PAX",Q444*'Insumos - OPEX'!M$48,Q444*'Insumos - OPEX'!M$75)</f>
        <v>0</v>
      </c>
      <c r="R919" s="211">
        <f>IF($G919="PAX",R444*'Insumos - OPEX'!N$48,R444*'Insumos - OPEX'!N$75)</f>
        <v>0</v>
      </c>
      <c r="S919" s="111"/>
    </row>
    <row r="920" spans="1:19" x14ac:dyDescent="0.2">
      <c r="A920" s="8"/>
      <c r="B920" s="8" t="s">
        <v>435</v>
      </c>
      <c r="C920" s="8" t="s">
        <v>173</v>
      </c>
      <c r="D920" s="8">
        <v>6343100014</v>
      </c>
      <c r="E920" s="8" t="s">
        <v>413</v>
      </c>
      <c r="F920" s="73" t="s">
        <v>23</v>
      </c>
      <c r="G920" s="73" t="s">
        <v>136</v>
      </c>
      <c r="H920" s="112" t="s">
        <v>61</v>
      </c>
      <c r="I920" s="13" t="s">
        <v>22</v>
      </c>
      <c r="K920" s="187"/>
      <c r="L920" s="187"/>
      <c r="M920" s="188">
        <f>IF($G920="PAX",M445*'Insumos - OPEX'!I$48,M445*'Insumos - OPEX'!I$75)</f>
        <v>0</v>
      </c>
      <c r="N920" s="211">
        <f>IF($G920="PAX",N445*'Insumos - OPEX'!J$48,N445*'Insumos - OPEX'!J$75)</f>
        <v>0</v>
      </c>
      <c r="O920" s="211">
        <f>IF($G920="PAX",O445*'Insumos - OPEX'!K$48,O445*'Insumos - OPEX'!K$75)</f>
        <v>0</v>
      </c>
      <c r="P920" s="211">
        <f>IF($G920="PAX",P445*'Insumos - OPEX'!L$48,P445*'Insumos - OPEX'!L$75)</f>
        <v>0</v>
      </c>
      <c r="Q920" s="211">
        <f>IF($G920="PAX",Q445*'Insumos - OPEX'!M$48,Q445*'Insumos - OPEX'!M$75)</f>
        <v>0</v>
      </c>
      <c r="R920" s="211">
        <f>IF($G920="PAX",R445*'Insumos - OPEX'!N$48,R445*'Insumos - OPEX'!N$75)</f>
        <v>0</v>
      </c>
      <c r="S920" s="111"/>
    </row>
    <row r="921" spans="1:19" x14ac:dyDescent="0.2">
      <c r="A921" s="8"/>
      <c r="B921" s="8" t="s">
        <v>435</v>
      </c>
      <c r="C921" s="8" t="s">
        <v>173</v>
      </c>
      <c r="D921" s="8">
        <v>6343100011</v>
      </c>
      <c r="E921" s="8" t="s">
        <v>422</v>
      </c>
      <c r="F921" s="73" t="s">
        <v>23</v>
      </c>
      <c r="G921" s="73" t="s">
        <v>136</v>
      </c>
      <c r="H921" s="112" t="s">
        <v>61</v>
      </c>
      <c r="I921" s="13" t="s">
        <v>22</v>
      </c>
      <c r="K921" s="187"/>
      <c r="L921" s="187"/>
      <c r="M921" s="188">
        <f>IF($G921="PAX",M446*'Insumos - OPEX'!I$48,M446*'Insumos - OPEX'!I$75)</f>
        <v>0</v>
      </c>
      <c r="N921" s="211">
        <f>IF($G921="PAX",N446*'Insumos - OPEX'!J$48,N446*'Insumos - OPEX'!J$75)</f>
        <v>0</v>
      </c>
      <c r="O921" s="211">
        <f>IF($G921="PAX",O446*'Insumos - OPEX'!K$48,O446*'Insumos - OPEX'!K$75)</f>
        <v>0</v>
      </c>
      <c r="P921" s="211">
        <f>IF($G921="PAX",P446*'Insumos - OPEX'!L$48,P446*'Insumos - OPEX'!L$75)</f>
        <v>0</v>
      </c>
      <c r="Q921" s="211">
        <f>IF($G921="PAX",Q446*'Insumos - OPEX'!M$48,Q446*'Insumos - OPEX'!M$75)</f>
        <v>0</v>
      </c>
      <c r="R921" s="211">
        <f>IF($G921="PAX",R446*'Insumos - OPEX'!N$48,R446*'Insumos - OPEX'!N$75)</f>
        <v>0</v>
      </c>
      <c r="S921" s="111"/>
    </row>
    <row r="922" spans="1:19" x14ac:dyDescent="0.2">
      <c r="A922" s="8"/>
      <c r="B922" s="8" t="s">
        <v>435</v>
      </c>
      <c r="C922" s="8" t="s">
        <v>173</v>
      </c>
      <c r="D922" s="8">
        <v>6343100016</v>
      </c>
      <c r="E922" s="8" t="s">
        <v>415</v>
      </c>
      <c r="F922" s="73" t="s">
        <v>23</v>
      </c>
      <c r="G922" s="73" t="s">
        <v>136</v>
      </c>
      <c r="H922" s="112" t="s">
        <v>61</v>
      </c>
      <c r="I922" s="13" t="s">
        <v>22</v>
      </c>
      <c r="K922" s="187"/>
      <c r="L922" s="187"/>
      <c r="M922" s="188">
        <f>IF($G922="PAX",M447*'Insumos - OPEX'!I$48,M447*'Insumos - OPEX'!I$75)</f>
        <v>0</v>
      </c>
      <c r="N922" s="211">
        <f>IF($G922="PAX",N447*'Insumos - OPEX'!J$48,N447*'Insumos - OPEX'!J$75)</f>
        <v>0</v>
      </c>
      <c r="O922" s="211">
        <f>IF($G922="PAX",O447*'Insumos - OPEX'!K$48,O447*'Insumos - OPEX'!K$75)</f>
        <v>0</v>
      </c>
      <c r="P922" s="211">
        <f>IF($G922="PAX",P447*'Insumos - OPEX'!L$48,P447*'Insumos - OPEX'!L$75)</f>
        <v>0</v>
      </c>
      <c r="Q922" s="211">
        <f>IF($G922="PAX",Q447*'Insumos - OPEX'!M$48,Q447*'Insumos - OPEX'!M$75)</f>
        <v>0</v>
      </c>
      <c r="R922" s="211">
        <f>IF($G922="PAX",R447*'Insumos - OPEX'!N$48,R447*'Insumos - OPEX'!N$75)</f>
        <v>0</v>
      </c>
      <c r="S922" s="111"/>
    </row>
    <row r="923" spans="1:19" x14ac:dyDescent="0.2">
      <c r="A923" s="8"/>
      <c r="B923" s="8" t="s">
        <v>435</v>
      </c>
      <c r="C923" s="8" t="s">
        <v>173</v>
      </c>
      <c r="D923" s="8">
        <v>6343100013</v>
      </c>
      <c r="E923" s="8" t="s">
        <v>404</v>
      </c>
      <c r="F923" s="73" t="s">
        <v>23</v>
      </c>
      <c r="G923" s="73" t="s">
        <v>136</v>
      </c>
      <c r="H923" s="112" t="s">
        <v>61</v>
      </c>
      <c r="I923" s="13" t="s">
        <v>22</v>
      </c>
      <c r="K923" s="187"/>
      <c r="L923" s="187"/>
      <c r="M923" s="188">
        <f>IF($G923="PAX",M448*'Insumos - OPEX'!I$48,M448*'Insumos - OPEX'!I$75)</f>
        <v>0</v>
      </c>
      <c r="N923" s="211">
        <f>IF($G923="PAX",N448*'Insumos - OPEX'!J$48,N448*'Insumos - OPEX'!J$75)</f>
        <v>0</v>
      </c>
      <c r="O923" s="211">
        <f>IF($G923="PAX",O448*'Insumos - OPEX'!K$48,O448*'Insumos - OPEX'!K$75)</f>
        <v>0</v>
      </c>
      <c r="P923" s="211">
        <f>IF($G923="PAX",P448*'Insumos - OPEX'!L$48,P448*'Insumos - OPEX'!L$75)</f>
        <v>0</v>
      </c>
      <c r="Q923" s="211">
        <f>IF($G923="PAX",Q448*'Insumos - OPEX'!M$48,Q448*'Insumos - OPEX'!M$75)</f>
        <v>0</v>
      </c>
      <c r="R923" s="211">
        <f>IF($G923="PAX",R448*'Insumos - OPEX'!N$48,R448*'Insumos - OPEX'!N$75)</f>
        <v>0</v>
      </c>
      <c r="S923" s="111"/>
    </row>
    <row r="924" spans="1:19" x14ac:dyDescent="0.2">
      <c r="A924" s="8"/>
      <c r="B924" s="8" t="s">
        <v>435</v>
      </c>
      <c r="C924" s="8" t="s">
        <v>173</v>
      </c>
      <c r="D924" s="8">
        <v>6344000001</v>
      </c>
      <c r="E924" s="8" t="s">
        <v>417</v>
      </c>
      <c r="F924" s="73" t="s">
        <v>23</v>
      </c>
      <c r="G924" s="73" t="s">
        <v>136</v>
      </c>
      <c r="H924" s="112" t="s">
        <v>61</v>
      </c>
      <c r="I924" s="13" t="s">
        <v>22</v>
      </c>
      <c r="K924" s="187"/>
      <c r="L924" s="187"/>
      <c r="M924" s="188">
        <f>IF($G924="PAX",M449*'Insumos - OPEX'!I$48,M449*'Insumos - OPEX'!I$75)</f>
        <v>0</v>
      </c>
      <c r="N924" s="211">
        <f>IF($G924="PAX",N449*'Insumos - OPEX'!J$48,N449*'Insumos - OPEX'!J$75)</f>
        <v>0</v>
      </c>
      <c r="O924" s="211">
        <f>IF($G924="PAX",O449*'Insumos - OPEX'!K$48,O449*'Insumos - OPEX'!K$75)</f>
        <v>0</v>
      </c>
      <c r="P924" s="211">
        <f>IF($G924="PAX",P449*'Insumos - OPEX'!L$48,P449*'Insumos - OPEX'!L$75)</f>
        <v>0</v>
      </c>
      <c r="Q924" s="211">
        <f>IF($G924="PAX",Q449*'Insumos - OPEX'!M$48,Q449*'Insumos - OPEX'!M$75)</f>
        <v>0</v>
      </c>
      <c r="R924" s="211">
        <f>IF($G924="PAX",R449*'Insumos - OPEX'!N$48,R449*'Insumos - OPEX'!N$75)</f>
        <v>0</v>
      </c>
      <c r="S924" s="111"/>
    </row>
    <row r="925" spans="1:19" x14ac:dyDescent="0.2">
      <c r="A925" s="8"/>
      <c r="B925" s="8" t="s">
        <v>435</v>
      </c>
      <c r="C925" s="8" t="s">
        <v>173</v>
      </c>
      <c r="D925" s="8">
        <v>6344000003</v>
      </c>
      <c r="E925" s="8" t="s">
        <v>419</v>
      </c>
      <c r="F925" s="73" t="s">
        <v>23</v>
      </c>
      <c r="G925" s="73" t="s">
        <v>136</v>
      </c>
      <c r="H925" s="112" t="s">
        <v>61</v>
      </c>
      <c r="I925" s="13" t="s">
        <v>22</v>
      </c>
      <c r="K925" s="187"/>
      <c r="L925" s="187"/>
      <c r="M925" s="188">
        <f>IF($G925="PAX",M450*'Insumos - OPEX'!I$48,M450*'Insumos - OPEX'!I$75)</f>
        <v>0</v>
      </c>
      <c r="N925" s="211">
        <f>IF($G925="PAX",N450*'Insumos - OPEX'!J$48,N450*'Insumos - OPEX'!J$75)</f>
        <v>0</v>
      </c>
      <c r="O925" s="211">
        <f>IF($G925="PAX",O450*'Insumos - OPEX'!K$48,O450*'Insumos - OPEX'!K$75)</f>
        <v>0</v>
      </c>
      <c r="P925" s="211">
        <f>IF($G925="PAX",P450*'Insumos - OPEX'!L$48,P450*'Insumos - OPEX'!L$75)</f>
        <v>0</v>
      </c>
      <c r="Q925" s="211">
        <f>IF($G925="PAX",Q450*'Insumos - OPEX'!M$48,Q450*'Insumos - OPEX'!M$75)</f>
        <v>0</v>
      </c>
      <c r="R925" s="211">
        <f>IF($G925="PAX",R450*'Insumos - OPEX'!N$48,R450*'Insumos - OPEX'!N$75)</f>
        <v>0</v>
      </c>
      <c r="S925" s="111"/>
    </row>
    <row r="926" spans="1:19" x14ac:dyDescent="0.2">
      <c r="A926" s="8"/>
      <c r="B926" s="8" t="s">
        <v>435</v>
      </c>
      <c r="C926" s="8" t="s">
        <v>173</v>
      </c>
      <c r="D926" s="8">
        <v>6343100004</v>
      </c>
      <c r="E926" s="8" t="s">
        <v>408</v>
      </c>
      <c r="F926" s="73" t="s">
        <v>23</v>
      </c>
      <c r="G926" s="73" t="s">
        <v>136</v>
      </c>
      <c r="H926" s="112" t="s">
        <v>61</v>
      </c>
      <c r="I926" s="13" t="s">
        <v>22</v>
      </c>
      <c r="K926" s="187"/>
      <c r="L926" s="187"/>
      <c r="M926" s="188">
        <f>IF($G926="PAX",M451*'Insumos - OPEX'!I$48,M451*'Insumos - OPEX'!I$75)</f>
        <v>0</v>
      </c>
      <c r="N926" s="211">
        <f>IF($G926="PAX",N451*'Insumos - OPEX'!J$48,N451*'Insumos - OPEX'!J$75)</f>
        <v>0</v>
      </c>
      <c r="O926" s="211">
        <f>IF($G926="PAX",O451*'Insumos - OPEX'!K$48,O451*'Insumos - OPEX'!K$75)</f>
        <v>0</v>
      </c>
      <c r="P926" s="211">
        <f>IF($G926="PAX",P451*'Insumos - OPEX'!L$48,P451*'Insumos - OPEX'!L$75)</f>
        <v>0</v>
      </c>
      <c r="Q926" s="211">
        <f>IF($G926="PAX",Q451*'Insumos - OPEX'!M$48,Q451*'Insumos - OPEX'!M$75)</f>
        <v>0</v>
      </c>
      <c r="R926" s="211">
        <f>IF($G926="PAX",R451*'Insumos - OPEX'!N$48,R451*'Insumos - OPEX'!N$75)</f>
        <v>0</v>
      </c>
      <c r="S926" s="111"/>
    </row>
    <row r="927" spans="1:19" x14ac:dyDescent="0.2">
      <c r="A927" s="8"/>
      <c r="B927" s="8" t="s">
        <v>435</v>
      </c>
      <c r="C927" s="8" t="s">
        <v>173</v>
      </c>
      <c r="D927" s="8">
        <v>6343100017</v>
      </c>
      <c r="E927" s="8" t="s">
        <v>403</v>
      </c>
      <c r="F927" s="73" t="s">
        <v>23</v>
      </c>
      <c r="G927" s="73" t="s">
        <v>136</v>
      </c>
      <c r="H927" s="112" t="s">
        <v>61</v>
      </c>
      <c r="I927" s="13" t="s">
        <v>22</v>
      </c>
      <c r="K927" s="187"/>
      <c r="L927" s="187"/>
      <c r="M927" s="188">
        <f>IF($G927="PAX",M452*'Insumos - OPEX'!I$48,M452*'Insumos - OPEX'!I$75)</f>
        <v>0</v>
      </c>
      <c r="N927" s="211">
        <f>IF($G927="PAX",N452*'Insumos - OPEX'!J$48,N452*'Insumos - OPEX'!J$75)</f>
        <v>0</v>
      </c>
      <c r="O927" s="211">
        <f>IF($G927="PAX",O452*'Insumos - OPEX'!K$48,O452*'Insumos - OPEX'!K$75)</f>
        <v>0</v>
      </c>
      <c r="P927" s="211">
        <f>IF($G927="PAX",P452*'Insumos - OPEX'!L$48,P452*'Insumos - OPEX'!L$75)</f>
        <v>0</v>
      </c>
      <c r="Q927" s="211">
        <f>IF($G927="PAX",Q452*'Insumos - OPEX'!M$48,Q452*'Insumos - OPEX'!M$75)</f>
        <v>0</v>
      </c>
      <c r="R927" s="211">
        <f>IF($G927="PAX",R452*'Insumos - OPEX'!N$48,R452*'Insumos - OPEX'!N$75)</f>
        <v>0</v>
      </c>
      <c r="S927" s="111"/>
    </row>
    <row r="928" spans="1:19" x14ac:dyDescent="0.2">
      <c r="A928" s="8"/>
      <c r="B928" s="8" t="s">
        <v>435</v>
      </c>
      <c r="C928" s="8" t="s">
        <v>173</v>
      </c>
      <c r="D928" s="8">
        <v>6341100007</v>
      </c>
      <c r="E928" s="8" t="s">
        <v>414</v>
      </c>
      <c r="F928" s="73" t="s">
        <v>23</v>
      </c>
      <c r="G928" s="73" t="s">
        <v>136</v>
      </c>
      <c r="H928" s="112" t="s">
        <v>61</v>
      </c>
      <c r="I928" s="13" t="s">
        <v>22</v>
      </c>
      <c r="K928" s="187"/>
      <c r="L928" s="187"/>
      <c r="M928" s="188">
        <f>IF($G928="PAX",M453*'Insumos - OPEX'!I$48,M453*'Insumos - OPEX'!I$75)</f>
        <v>0</v>
      </c>
      <c r="N928" s="211">
        <f>IF($G928="PAX",N453*'Insumos - OPEX'!J$48,N453*'Insumos - OPEX'!J$75)</f>
        <v>0</v>
      </c>
      <c r="O928" s="211">
        <f>IF($G928="PAX",O453*'Insumos - OPEX'!K$48,O453*'Insumos - OPEX'!K$75)</f>
        <v>0</v>
      </c>
      <c r="P928" s="211">
        <f>IF($G928="PAX",P453*'Insumos - OPEX'!L$48,P453*'Insumos - OPEX'!L$75)</f>
        <v>0</v>
      </c>
      <c r="Q928" s="211">
        <f>IF($G928="PAX",Q453*'Insumos - OPEX'!M$48,Q453*'Insumos - OPEX'!M$75)</f>
        <v>0</v>
      </c>
      <c r="R928" s="211">
        <f>IF($G928="PAX",R453*'Insumos - OPEX'!N$48,R453*'Insumos - OPEX'!N$75)</f>
        <v>0</v>
      </c>
      <c r="S928" s="111"/>
    </row>
    <row r="929" spans="1:19" x14ac:dyDescent="0.2">
      <c r="A929" s="8"/>
      <c r="B929" s="8" t="s">
        <v>435</v>
      </c>
      <c r="C929" s="8" t="s">
        <v>173</v>
      </c>
      <c r="D929" s="8">
        <v>6344000002</v>
      </c>
      <c r="E929" s="8" t="s">
        <v>409</v>
      </c>
      <c r="F929" s="73" t="s">
        <v>23</v>
      </c>
      <c r="G929" s="73" t="s">
        <v>136</v>
      </c>
      <c r="H929" s="112" t="s">
        <v>61</v>
      </c>
      <c r="I929" s="13" t="s">
        <v>22</v>
      </c>
      <c r="K929" s="187"/>
      <c r="L929" s="187"/>
      <c r="M929" s="188">
        <f>IF($G929="PAX",M454*'Insumos - OPEX'!I$48,M454*'Insumos - OPEX'!I$75)</f>
        <v>0</v>
      </c>
      <c r="N929" s="211">
        <f>IF($G929="PAX",N454*'Insumos - OPEX'!J$48,N454*'Insumos - OPEX'!J$75)</f>
        <v>0</v>
      </c>
      <c r="O929" s="211">
        <f>IF($G929="PAX",O454*'Insumos - OPEX'!K$48,O454*'Insumos - OPEX'!K$75)</f>
        <v>0</v>
      </c>
      <c r="P929" s="211">
        <f>IF($G929="PAX",P454*'Insumos - OPEX'!L$48,P454*'Insumos - OPEX'!L$75)</f>
        <v>0</v>
      </c>
      <c r="Q929" s="211">
        <f>IF($G929="PAX",Q454*'Insumos - OPEX'!M$48,Q454*'Insumos - OPEX'!M$75)</f>
        <v>0</v>
      </c>
      <c r="R929" s="211">
        <f>IF($G929="PAX",R454*'Insumos - OPEX'!N$48,R454*'Insumos - OPEX'!N$75)</f>
        <v>0</v>
      </c>
      <c r="S929" s="111"/>
    </row>
    <row r="930" spans="1:19" x14ac:dyDescent="0.2">
      <c r="A930" s="8"/>
      <c r="B930" s="8" t="s">
        <v>435</v>
      </c>
      <c r="C930" s="8" t="s">
        <v>173</v>
      </c>
      <c r="D930" s="8">
        <v>6341100008</v>
      </c>
      <c r="E930" s="8" t="s">
        <v>416</v>
      </c>
      <c r="F930" s="73" t="s">
        <v>23</v>
      </c>
      <c r="G930" s="73" t="s">
        <v>136</v>
      </c>
      <c r="H930" s="112" t="s">
        <v>61</v>
      </c>
      <c r="I930" s="13" t="s">
        <v>22</v>
      </c>
      <c r="K930" s="187"/>
      <c r="L930" s="187"/>
      <c r="M930" s="188">
        <f>IF($G930="PAX",M455*'Insumos - OPEX'!I$48,M455*'Insumos - OPEX'!I$75)</f>
        <v>0</v>
      </c>
      <c r="N930" s="211">
        <f>IF($G930="PAX",N455*'Insumos - OPEX'!J$48,N455*'Insumos - OPEX'!J$75)</f>
        <v>0</v>
      </c>
      <c r="O930" s="211">
        <f>IF($G930="PAX",O455*'Insumos - OPEX'!K$48,O455*'Insumos - OPEX'!K$75)</f>
        <v>0</v>
      </c>
      <c r="P930" s="211">
        <f>IF($G930="PAX",P455*'Insumos - OPEX'!L$48,P455*'Insumos - OPEX'!L$75)</f>
        <v>0</v>
      </c>
      <c r="Q930" s="211">
        <f>IF($G930="PAX",Q455*'Insumos - OPEX'!M$48,Q455*'Insumos - OPEX'!M$75)</f>
        <v>0</v>
      </c>
      <c r="R930" s="211">
        <f>IF($G930="PAX",R455*'Insumos - OPEX'!N$48,R455*'Insumos - OPEX'!N$75)</f>
        <v>0</v>
      </c>
      <c r="S930" s="111"/>
    </row>
    <row r="931" spans="1:19" x14ac:dyDescent="0.2">
      <c r="A931" s="8"/>
      <c r="B931" s="8" t="s">
        <v>435</v>
      </c>
      <c r="C931" s="8" t="s">
        <v>173</v>
      </c>
      <c r="D931" s="8">
        <v>6345000001</v>
      </c>
      <c r="E931" s="8" t="s">
        <v>405</v>
      </c>
      <c r="F931" s="73" t="s">
        <v>23</v>
      </c>
      <c r="G931" s="73" t="s">
        <v>136</v>
      </c>
      <c r="H931" s="112" t="s">
        <v>61</v>
      </c>
      <c r="I931" s="13" t="s">
        <v>22</v>
      </c>
      <c r="K931" s="187"/>
      <c r="L931" s="187"/>
      <c r="M931" s="188">
        <f>IF($G931="PAX",M456*'Insumos - OPEX'!I$48,M456*'Insumos - OPEX'!I$75)</f>
        <v>0</v>
      </c>
      <c r="N931" s="211">
        <f>IF($G931="PAX",N456*'Insumos - OPEX'!J$48,N456*'Insumos - OPEX'!J$75)</f>
        <v>0</v>
      </c>
      <c r="O931" s="211">
        <f>IF($G931="PAX",O456*'Insumos - OPEX'!K$48,O456*'Insumos - OPEX'!K$75)</f>
        <v>0</v>
      </c>
      <c r="P931" s="211">
        <f>IF($G931="PAX",P456*'Insumos - OPEX'!L$48,P456*'Insumos - OPEX'!L$75)</f>
        <v>0</v>
      </c>
      <c r="Q931" s="211">
        <f>IF($G931="PAX",Q456*'Insumos - OPEX'!M$48,Q456*'Insumos - OPEX'!M$75)</f>
        <v>0</v>
      </c>
      <c r="R931" s="211">
        <f>IF($G931="PAX",R456*'Insumos - OPEX'!N$48,R456*'Insumos - OPEX'!N$75)</f>
        <v>0</v>
      </c>
      <c r="S931" s="111"/>
    </row>
    <row r="932" spans="1:19" x14ac:dyDescent="0.2">
      <c r="A932" s="8"/>
      <c r="B932" s="8" t="s">
        <v>435</v>
      </c>
      <c r="C932" s="8" t="s">
        <v>173</v>
      </c>
      <c r="D932" s="8">
        <v>6343100007</v>
      </c>
      <c r="E932" s="8" t="s">
        <v>390</v>
      </c>
      <c r="F932" s="73" t="s">
        <v>23</v>
      </c>
      <c r="G932" s="73" t="s">
        <v>136</v>
      </c>
      <c r="H932" s="112" t="s">
        <v>61</v>
      </c>
      <c r="I932" s="13" t="s">
        <v>22</v>
      </c>
      <c r="K932" s="187"/>
      <c r="L932" s="187"/>
      <c r="M932" s="188">
        <f>IF($G932="PAX",M457*'Insumos - OPEX'!I$48,M457*'Insumos - OPEX'!I$75)</f>
        <v>0</v>
      </c>
      <c r="N932" s="211">
        <f>IF($G932="PAX",N457*'Insumos - OPEX'!J$48,N457*'Insumos - OPEX'!J$75)</f>
        <v>0</v>
      </c>
      <c r="O932" s="211">
        <f>IF($G932="PAX",O457*'Insumos - OPEX'!K$48,O457*'Insumos - OPEX'!K$75)</f>
        <v>0</v>
      </c>
      <c r="P932" s="211">
        <f>IF($G932="PAX",P457*'Insumos - OPEX'!L$48,P457*'Insumos - OPEX'!L$75)</f>
        <v>0</v>
      </c>
      <c r="Q932" s="211">
        <f>IF($G932="PAX",Q457*'Insumos - OPEX'!M$48,Q457*'Insumos - OPEX'!M$75)</f>
        <v>0</v>
      </c>
      <c r="R932" s="211">
        <f>IF($G932="PAX",R457*'Insumos - OPEX'!N$48,R457*'Insumos - OPEX'!N$75)</f>
        <v>0</v>
      </c>
      <c r="S932" s="111"/>
    </row>
    <row r="933" spans="1:19" x14ac:dyDescent="0.2">
      <c r="A933" s="8"/>
      <c r="B933" s="8" t="s">
        <v>435</v>
      </c>
      <c r="C933" s="8" t="s">
        <v>173</v>
      </c>
      <c r="D933" s="8">
        <v>6341100009</v>
      </c>
      <c r="E933" s="8" t="s">
        <v>407</v>
      </c>
      <c r="F933" s="73" t="s">
        <v>23</v>
      </c>
      <c r="G933" s="73" t="s">
        <v>136</v>
      </c>
      <c r="H933" s="112" t="s">
        <v>61</v>
      </c>
      <c r="I933" s="13" t="s">
        <v>22</v>
      </c>
      <c r="K933" s="187"/>
      <c r="L933" s="187"/>
      <c r="M933" s="188">
        <f>IF($G933="PAX",M458*'Insumos - OPEX'!I$48,M458*'Insumos - OPEX'!I$75)</f>
        <v>0</v>
      </c>
      <c r="N933" s="211">
        <f>IF($G933="PAX",N458*'Insumos - OPEX'!J$48,N458*'Insumos - OPEX'!J$75)</f>
        <v>0</v>
      </c>
      <c r="O933" s="211">
        <f>IF($G933="PAX",O458*'Insumos - OPEX'!K$48,O458*'Insumos - OPEX'!K$75)</f>
        <v>0</v>
      </c>
      <c r="P933" s="211">
        <f>IF($G933="PAX",P458*'Insumos - OPEX'!L$48,P458*'Insumos - OPEX'!L$75)</f>
        <v>0</v>
      </c>
      <c r="Q933" s="211">
        <f>IF($G933="PAX",Q458*'Insumos - OPEX'!M$48,Q458*'Insumos - OPEX'!M$75)</f>
        <v>0</v>
      </c>
      <c r="R933" s="211">
        <f>IF($G933="PAX",R458*'Insumos - OPEX'!N$48,R458*'Insumos - OPEX'!N$75)</f>
        <v>0</v>
      </c>
      <c r="S933" s="111"/>
    </row>
    <row r="934" spans="1:19" x14ac:dyDescent="0.2">
      <c r="A934" s="8"/>
      <c r="B934" s="8" t="s">
        <v>435</v>
      </c>
      <c r="C934" s="8" t="s">
        <v>173</v>
      </c>
      <c r="D934" s="8">
        <v>6343100008</v>
      </c>
      <c r="E934" s="8" t="s">
        <v>395</v>
      </c>
      <c r="F934" s="73" t="s">
        <v>23</v>
      </c>
      <c r="G934" s="73" t="s">
        <v>136</v>
      </c>
      <c r="H934" s="112" t="s">
        <v>61</v>
      </c>
      <c r="I934" s="13" t="s">
        <v>22</v>
      </c>
      <c r="K934" s="187"/>
      <c r="L934" s="187"/>
      <c r="M934" s="188">
        <f>IF($G934="PAX",M459*'Insumos - OPEX'!I$48,M459*'Insumos - OPEX'!I$75)</f>
        <v>0</v>
      </c>
      <c r="N934" s="211">
        <f>IF($G934="PAX",N459*'Insumos - OPEX'!J$48,N459*'Insumos - OPEX'!J$75)</f>
        <v>0</v>
      </c>
      <c r="O934" s="211">
        <f>IF($G934="PAX",O459*'Insumos - OPEX'!K$48,O459*'Insumos - OPEX'!K$75)</f>
        <v>0</v>
      </c>
      <c r="P934" s="211">
        <f>IF($G934="PAX",P459*'Insumos - OPEX'!L$48,P459*'Insumos - OPEX'!L$75)</f>
        <v>0</v>
      </c>
      <c r="Q934" s="211">
        <f>IF($G934="PAX",Q459*'Insumos - OPEX'!M$48,Q459*'Insumos - OPEX'!M$75)</f>
        <v>0</v>
      </c>
      <c r="R934" s="211">
        <f>IF($G934="PAX",R459*'Insumos - OPEX'!N$48,R459*'Insumos - OPEX'!N$75)</f>
        <v>0</v>
      </c>
      <c r="S934" s="111"/>
    </row>
    <row r="935" spans="1:19" x14ac:dyDescent="0.2">
      <c r="A935" s="8"/>
      <c r="B935" s="8" t="s">
        <v>435</v>
      </c>
      <c r="C935" s="8" t="s">
        <v>173</v>
      </c>
      <c r="D935" s="8">
        <v>6343100005</v>
      </c>
      <c r="E935" s="8" t="s">
        <v>424</v>
      </c>
      <c r="F935" s="73" t="s">
        <v>23</v>
      </c>
      <c r="G935" s="73" t="s">
        <v>136</v>
      </c>
      <c r="H935" s="112" t="s">
        <v>61</v>
      </c>
      <c r="I935" s="13" t="s">
        <v>22</v>
      </c>
      <c r="K935" s="187"/>
      <c r="L935" s="187"/>
      <c r="M935" s="188">
        <f>IF($G935="PAX",M460*'Insumos - OPEX'!I$48,M460*'Insumos - OPEX'!I$75)</f>
        <v>0</v>
      </c>
      <c r="N935" s="211">
        <f>IF($G935="PAX",N460*'Insumos - OPEX'!J$48,N460*'Insumos - OPEX'!J$75)</f>
        <v>0</v>
      </c>
      <c r="O935" s="211">
        <f>IF($G935="PAX",O460*'Insumos - OPEX'!K$48,O460*'Insumos - OPEX'!K$75)</f>
        <v>0</v>
      </c>
      <c r="P935" s="211">
        <f>IF($G935="PAX",P460*'Insumos - OPEX'!L$48,P460*'Insumos - OPEX'!L$75)</f>
        <v>0</v>
      </c>
      <c r="Q935" s="211">
        <f>IF($G935="PAX",Q460*'Insumos - OPEX'!M$48,Q460*'Insumos - OPEX'!M$75)</f>
        <v>0</v>
      </c>
      <c r="R935" s="211">
        <f>IF($G935="PAX",R460*'Insumos - OPEX'!N$48,R460*'Insumos - OPEX'!N$75)</f>
        <v>0</v>
      </c>
      <c r="S935" s="111"/>
    </row>
    <row r="936" spans="1:19" x14ac:dyDescent="0.2">
      <c r="A936" s="8"/>
      <c r="B936" s="8" t="s">
        <v>435</v>
      </c>
      <c r="C936" s="8" t="s">
        <v>173</v>
      </c>
      <c r="D936" s="8">
        <v>6343100006</v>
      </c>
      <c r="E936" s="8" t="s">
        <v>425</v>
      </c>
      <c r="F936" s="73" t="s">
        <v>23</v>
      </c>
      <c r="G936" s="73" t="s">
        <v>136</v>
      </c>
      <c r="H936" s="112" t="s">
        <v>61</v>
      </c>
      <c r="I936" s="13" t="s">
        <v>22</v>
      </c>
      <c r="J936" s="11"/>
      <c r="K936" s="187"/>
      <c r="L936" s="187"/>
      <c r="M936" s="188">
        <f>IF($G936="PAX",M461*'Insumos - OPEX'!I$48,M461*'Insumos - OPEX'!I$75)</f>
        <v>0</v>
      </c>
      <c r="N936" s="211">
        <f>IF($G936="PAX",N461*'Insumos - OPEX'!J$48,N461*'Insumos - OPEX'!J$75)</f>
        <v>0</v>
      </c>
      <c r="O936" s="211">
        <f>IF($G936="PAX",O461*'Insumos - OPEX'!K$48,O461*'Insumos - OPEX'!K$75)</f>
        <v>0</v>
      </c>
      <c r="P936" s="211">
        <f>IF($G936="PAX",P461*'Insumos - OPEX'!L$48,P461*'Insumos - OPEX'!L$75)</f>
        <v>0</v>
      </c>
      <c r="Q936" s="211">
        <f>IF($G936="PAX",Q461*'Insumos - OPEX'!M$48,Q461*'Insumos - OPEX'!M$75)</f>
        <v>0</v>
      </c>
      <c r="R936" s="211">
        <f>IF($G936="PAX",R461*'Insumos - OPEX'!N$48,R461*'Insumos - OPEX'!N$75)</f>
        <v>0</v>
      </c>
      <c r="S936" s="111"/>
    </row>
    <row r="937" spans="1:19" x14ac:dyDescent="0.2">
      <c r="A937" s="8"/>
      <c r="B937" s="8" t="s">
        <v>435</v>
      </c>
      <c r="C937" s="8" t="s">
        <v>172</v>
      </c>
      <c r="D937" s="8">
        <v>6381000002</v>
      </c>
      <c r="E937" s="8" t="s">
        <v>302</v>
      </c>
      <c r="F937" s="73" t="s">
        <v>23</v>
      </c>
      <c r="G937" s="73" t="s">
        <v>136</v>
      </c>
      <c r="H937" s="112" t="s">
        <v>61</v>
      </c>
      <c r="I937" s="13" t="s">
        <v>22</v>
      </c>
      <c r="K937" s="187"/>
      <c r="L937" s="187"/>
      <c r="M937" s="188">
        <f>IF($G937="PAX",M462*'Insumos - OPEX'!I$48,M462*'Insumos - OPEX'!I$75)</f>
        <v>1560.1272428400612</v>
      </c>
      <c r="N937" s="211">
        <f>IF($G937="PAX",N462*'Insumos - OPEX'!J$48,N462*'Insumos - OPEX'!J$75)</f>
        <v>1814.9562464129742</v>
      </c>
      <c r="O937" s="211">
        <f>IF($G937="PAX",O462*'Insumos - OPEX'!K$48,O462*'Insumos - OPEX'!K$75)</f>
        <v>2045.6813061217219</v>
      </c>
      <c r="P937" s="211">
        <f>IF($G937="PAX",P462*'Insumos - OPEX'!L$48,P462*'Insumos - OPEX'!L$75)</f>
        <v>2168.1376211774905</v>
      </c>
      <c r="Q937" s="211">
        <f>IF($G937="PAX",Q462*'Insumos - OPEX'!M$48,Q462*'Insumos - OPEX'!M$75)</f>
        <v>2258.7090146107307</v>
      </c>
      <c r="R937" s="211">
        <f>IF($G937="PAX",R462*'Insumos - OPEX'!N$48,R462*'Insumos - OPEX'!N$75)</f>
        <v>2361.886602401496</v>
      </c>
      <c r="S937" s="111"/>
    </row>
    <row r="938" spans="1:19" x14ac:dyDescent="0.2">
      <c r="A938" s="8"/>
      <c r="B938" s="8" t="s">
        <v>435</v>
      </c>
      <c r="C938" s="8" t="s">
        <v>172</v>
      </c>
      <c r="D938" s="8">
        <v>6380000004</v>
      </c>
      <c r="E938" s="8" t="s">
        <v>273</v>
      </c>
      <c r="F938" s="73" t="s">
        <v>23</v>
      </c>
      <c r="G938" s="73" t="s">
        <v>471</v>
      </c>
      <c r="H938" s="112" t="s">
        <v>61</v>
      </c>
      <c r="I938" s="13" t="s">
        <v>22</v>
      </c>
      <c r="K938" s="187"/>
      <c r="L938" s="187"/>
      <c r="M938" s="188">
        <f>IF($G938="PAX",M463*'Insumos - OPEX'!I$48,M463*'Insumos - OPEX'!I$75)</f>
        <v>1363.6591823198571</v>
      </c>
      <c r="N938" s="211">
        <f>IF($G938="PAX",N463*'Insumos - OPEX'!J$48,N463*'Insumos - OPEX'!J$75)</f>
        <v>1463.2211491149067</v>
      </c>
      <c r="O938" s="211">
        <f>IF($G938="PAX",O463*'Insumos - OPEX'!K$48,O463*'Insumos - OPEX'!K$75)</f>
        <v>1566.6297060360373</v>
      </c>
      <c r="P938" s="211">
        <f>IF($G938="PAX",P463*'Insumos - OPEX'!L$48,P463*'Insumos - OPEX'!L$75)</f>
        <v>1606.0436988846609</v>
      </c>
      <c r="Q938" s="211">
        <f>IF($G938="PAX",Q463*'Insumos - OPEX'!M$48,Q463*'Insumos - OPEX'!M$75)</f>
        <v>1643.9744250918764</v>
      </c>
      <c r="R938" s="211">
        <f>IF($G938="PAX",R463*'Insumos - OPEX'!N$48,R463*'Insumos - OPEX'!N$75)</f>
        <v>1683.5666070111843</v>
      </c>
      <c r="S938" s="111"/>
    </row>
    <row r="939" spans="1:19" x14ac:dyDescent="0.2">
      <c r="A939" s="8"/>
      <c r="B939" s="8" t="s">
        <v>435</v>
      </c>
      <c r="C939" s="8" t="s">
        <v>172</v>
      </c>
      <c r="D939" s="8">
        <v>6320000007</v>
      </c>
      <c r="E939" s="8" t="s">
        <v>303</v>
      </c>
      <c r="F939" s="73" t="s">
        <v>23</v>
      </c>
      <c r="G939" s="73" t="s">
        <v>136</v>
      </c>
      <c r="H939" s="112" t="s">
        <v>61</v>
      </c>
      <c r="I939" s="13" t="s">
        <v>22</v>
      </c>
      <c r="K939" s="187"/>
      <c r="L939" s="187"/>
      <c r="M939" s="188">
        <f>IF($G939="PAX",M464*'Insumos - OPEX'!I$48,M464*'Insumos - OPEX'!I$75)</f>
        <v>0</v>
      </c>
      <c r="N939" s="211">
        <f>IF($G939="PAX",N464*'Insumos - OPEX'!J$48,N464*'Insumos - OPEX'!J$75)</f>
        <v>0</v>
      </c>
      <c r="O939" s="211">
        <f>IF($G939="PAX",O464*'Insumos - OPEX'!K$48,O464*'Insumos - OPEX'!K$75)</f>
        <v>0</v>
      </c>
      <c r="P939" s="211">
        <f>IF($G939="PAX",P464*'Insumos - OPEX'!L$48,P464*'Insumos - OPEX'!L$75)</f>
        <v>0</v>
      </c>
      <c r="Q939" s="211">
        <f>IF($G939="PAX",Q464*'Insumos - OPEX'!M$48,Q464*'Insumos - OPEX'!M$75)</f>
        <v>0</v>
      </c>
      <c r="R939" s="211">
        <f>IF($G939="PAX",R464*'Insumos - OPEX'!N$48,R464*'Insumos - OPEX'!N$75)</f>
        <v>0</v>
      </c>
      <c r="S939" s="111"/>
    </row>
    <row r="940" spans="1:19" x14ac:dyDescent="0.2">
      <c r="A940" s="8"/>
      <c r="B940" s="8" t="s">
        <v>435</v>
      </c>
      <c r="C940" s="8" t="s">
        <v>172</v>
      </c>
      <c r="D940" s="8">
        <v>6380000027</v>
      </c>
      <c r="E940" s="8" t="s">
        <v>318</v>
      </c>
      <c r="F940" s="73" t="s">
        <v>23</v>
      </c>
      <c r="G940" s="73" t="s">
        <v>136</v>
      </c>
      <c r="H940" s="112" t="s">
        <v>61</v>
      </c>
      <c r="I940" s="13" t="s">
        <v>22</v>
      </c>
      <c r="K940" s="187"/>
      <c r="L940" s="187"/>
      <c r="M940" s="188">
        <f>IF($G940="PAX",M465*'Insumos - OPEX'!I$48,M465*'Insumos - OPEX'!I$75)</f>
        <v>0</v>
      </c>
      <c r="N940" s="211">
        <f>IF($G940="PAX",N465*'Insumos - OPEX'!J$48,N465*'Insumos - OPEX'!J$75)</f>
        <v>0</v>
      </c>
      <c r="O940" s="211">
        <f>IF($G940="PAX",O465*'Insumos - OPEX'!K$48,O465*'Insumos - OPEX'!K$75)</f>
        <v>0</v>
      </c>
      <c r="P940" s="211">
        <f>IF($G940="PAX",P465*'Insumos - OPEX'!L$48,P465*'Insumos - OPEX'!L$75)</f>
        <v>0</v>
      </c>
      <c r="Q940" s="211">
        <f>IF($G940="PAX",Q465*'Insumos - OPEX'!M$48,Q465*'Insumos - OPEX'!M$75)</f>
        <v>0</v>
      </c>
      <c r="R940" s="211">
        <f>IF($G940="PAX",R465*'Insumos - OPEX'!N$48,R465*'Insumos - OPEX'!N$75)</f>
        <v>0</v>
      </c>
      <c r="S940" s="111"/>
    </row>
    <row r="941" spans="1:19" x14ac:dyDescent="0.2">
      <c r="A941" s="8"/>
      <c r="B941" s="8" t="s">
        <v>435</v>
      </c>
      <c r="C941" s="8" t="s">
        <v>172</v>
      </c>
      <c r="D941" s="8">
        <v>6380000031</v>
      </c>
      <c r="E941" s="8" t="s">
        <v>310</v>
      </c>
      <c r="F941" s="73" t="s">
        <v>23</v>
      </c>
      <c r="G941" s="73" t="s">
        <v>136</v>
      </c>
      <c r="H941" s="112" t="s">
        <v>61</v>
      </c>
      <c r="I941" s="13" t="s">
        <v>22</v>
      </c>
      <c r="K941" s="187"/>
      <c r="L941" s="187"/>
      <c r="M941" s="188">
        <f>IF($G941="PAX",M466*'Insumos - OPEX'!I$48,M466*'Insumos - OPEX'!I$75)</f>
        <v>0</v>
      </c>
      <c r="N941" s="211">
        <f>IF($G941="PAX",N466*'Insumos - OPEX'!J$48,N466*'Insumos - OPEX'!J$75)</f>
        <v>0</v>
      </c>
      <c r="O941" s="211">
        <f>IF($G941="PAX",O466*'Insumos - OPEX'!K$48,O466*'Insumos - OPEX'!K$75)</f>
        <v>0</v>
      </c>
      <c r="P941" s="211">
        <f>IF($G941="PAX",P466*'Insumos - OPEX'!L$48,P466*'Insumos - OPEX'!L$75)</f>
        <v>0</v>
      </c>
      <c r="Q941" s="211">
        <f>IF($G941="PAX",Q466*'Insumos - OPEX'!M$48,Q466*'Insumos - OPEX'!M$75)</f>
        <v>0</v>
      </c>
      <c r="R941" s="211">
        <f>IF($G941="PAX",R466*'Insumos - OPEX'!N$48,R466*'Insumos - OPEX'!N$75)</f>
        <v>0</v>
      </c>
      <c r="S941" s="111"/>
    </row>
    <row r="942" spans="1:19" x14ac:dyDescent="0.2">
      <c r="A942" s="8"/>
      <c r="B942" s="8" t="s">
        <v>435</v>
      </c>
      <c r="C942" s="8" t="s">
        <v>172</v>
      </c>
      <c r="D942" s="8">
        <v>6380000014</v>
      </c>
      <c r="E942" s="8" t="s">
        <v>312</v>
      </c>
      <c r="F942" s="73" t="s">
        <v>23</v>
      </c>
      <c r="G942" s="73" t="s">
        <v>136</v>
      </c>
      <c r="H942" s="112" t="s">
        <v>61</v>
      </c>
      <c r="I942" s="13" t="s">
        <v>22</v>
      </c>
      <c r="K942" s="187"/>
      <c r="L942" s="187"/>
      <c r="M942" s="188">
        <f>IF($G942="PAX",M467*'Insumos - OPEX'!I$48,M467*'Insumos - OPEX'!I$75)</f>
        <v>0</v>
      </c>
      <c r="N942" s="211">
        <f>IF($G942="PAX",N467*'Insumos - OPEX'!J$48,N467*'Insumos - OPEX'!J$75)</f>
        <v>0</v>
      </c>
      <c r="O942" s="211">
        <f>IF($G942="PAX",O467*'Insumos - OPEX'!K$48,O467*'Insumos - OPEX'!K$75)</f>
        <v>0</v>
      </c>
      <c r="P942" s="211">
        <f>IF($G942="PAX",P467*'Insumos - OPEX'!L$48,P467*'Insumos - OPEX'!L$75)</f>
        <v>0</v>
      </c>
      <c r="Q942" s="211">
        <f>IF($G942="PAX",Q467*'Insumos - OPEX'!M$48,Q467*'Insumos - OPEX'!M$75)</f>
        <v>0</v>
      </c>
      <c r="R942" s="211">
        <f>IF($G942="PAX",R467*'Insumos - OPEX'!N$48,R467*'Insumos - OPEX'!N$75)</f>
        <v>0</v>
      </c>
      <c r="S942" s="111"/>
    </row>
    <row r="943" spans="1:19" x14ac:dyDescent="0.2">
      <c r="A943" s="8"/>
      <c r="B943" s="8" t="s">
        <v>435</v>
      </c>
      <c r="C943" s="8" t="s">
        <v>172</v>
      </c>
      <c r="D943" s="8">
        <v>6381000005</v>
      </c>
      <c r="E943" s="8" t="s">
        <v>316</v>
      </c>
      <c r="F943" s="73" t="s">
        <v>23</v>
      </c>
      <c r="G943" s="73" t="s">
        <v>136</v>
      </c>
      <c r="H943" s="112" t="s">
        <v>61</v>
      </c>
      <c r="I943" s="13" t="s">
        <v>22</v>
      </c>
      <c r="K943" s="187"/>
      <c r="L943" s="187"/>
      <c r="M943" s="188">
        <f>IF($G943="PAX",M468*'Insumos - OPEX'!I$48,M468*'Insumos - OPEX'!I$75)</f>
        <v>0</v>
      </c>
      <c r="N943" s="211">
        <f>IF($G943="PAX",N468*'Insumos - OPEX'!J$48,N468*'Insumos - OPEX'!J$75)</f>
        <v>0</v>
      </c>
      <c r="O943" s="211">
        <f>IF($G943="PAX",O468*'Insumos - OPEX'!K$48,O468*'Insumos - OPEX'!K$75)</f>
        <v>0</v>
      </c>
      <c r="P943" s="211">
        <f>IF($G943="PAX",P468*'Insumos - OPEX'!L$48,P468*'Insumos - OPEX'!L$75)</f>
        <v>0</v>
      </c>
      <c r="Q943" s="211">
        <f>IF($G943="PAX",Q468*'Insumos - OPEX'!M$48,Q468*'Insumos - OPEX'!M$75)</f>
        <v>0</v>
      </c>
      <c r="R943" s="211">
        <f>IF($G943="PAX",R468*'Insumos - OPEX'!N$48,R468*'Insumos - OPEX'!N$75)</f>
        <v>0</v>
      </c>
      <c r="S943" s="111"/>
    </row>
    <row r="944" spans="1:19" x14ac:dyDescent="0.2">
      <c r="A944" s="8"/>
      <c r="B944" s="8" t="s">
        <v>435</v>
      </c>
      <c r="C944" s="8" t="s">
        <v>172</v>
      </c>
      <c r="D944" s="8">
        <v>6380000016</v>
      </c>
      <c r="E944" s="8" t="s">
        <v>304</v>
      </c>
      <c r="F944" s="73" t="s">
        <v>23</v>
      </c>
      <c r="G944" s="73" t="s">
        <v>136</v>
      </c>
      <c r="H944" s="112" t="s">
        <v>61</v>
      </c>
      <c r="I944" s="13" t="s">
        <v>22</v>
      </c>
      <c r="K944" s="187"/>
      <c r="L944" s="187"/>
      <c r="M944" s="188">
        <f>IF($G944="PAX",M469*'Insumos - OPEX'!I$48,M469*'Insumos - OPEX'!I$75)</f>
        <v>0</v>
      </c>
      <c r="N944" s="211">
        <f>IF($G944="PAX",N469*'Insumos - OPEX'!J$48,N469*'Insumos - OPEX'!J$75)</f>
        <v>0</v>
      </c>
      <c r="O944" s="211">
        <f>IF($G944="PAX",O469*'Insumos - OPEX'!K$48,O469*'Insumos - OPEX'!K$75)</f>
        <v>0</v>
      </c>
      <c r="P944" s="211">
        <f>IF($G944="PAX",P469*'Insumos - OPEX'!L$48,P469*'Insumos - OPEX'!L$75)</f>
        <v>0</v>
      </c>
      <c r="Q944" s="211">
        <f>IF($G944="PAX",Q469*'Insumos - OPEX'!M$48,Q469*'Insumos - OPEX'!M$75)</f>
        <v>0</v>
      </c>
      <c r="R944" s="211">
        <f>IF($G944="PAX",R469*'Insumos - OPEX'!N$48,R469*'Insumos - OPEX'!N$75)</f>
        <v>0</v>
      </c>
      <c r="S944" s="111"/>
    </row>
    <row r="945" spans="1:21" x14ac:dyDescent="0.2">
      <c r="A945" s="8"/>
      <c r="B945" s="8" t="s">
        <v>435</v>
      </c>
      <c r="C945" s="8" t="s">
        <v>172</v>
      </c>
      <c r="D945" s="8">
        <v>6380000026</v>
      </c>
      <c r="E945" s="8" t="s">
        <v>314</v>
      </c>
      <c r="F945" s="73" t="s">
        <v>23</v>
      </c>
      <c r="G945" s="73" t="s">
        <v>136</v>
      </c>
      <c r="H945" s="112" t="s">
        <v>61</v>
      </c>
      <c r="I945" s="13" t="s">
        <v>22</v>
      </c>
      <c r="K945" s="187"/>
      <c r="L945" s="187"/>
      <c r="M945" s="188">
        <f>IF($G945="PAX",M470*'Insumos - OPEX'!I$48,M470*'Insumos - OPEX'!I$75)</f>
        <v>0</v>
      </c>
      <c r="N945" s="211">
        <f>IF($G945="PAX",N470*'Insumos - OPEX'!J$48,N470*'Insumos - OPEX'!J$75)</f>
        <v>0</v>
      </c>
      <c r="O945" s="211">
        <f>IF($G945="PAX",O470*'Insumos - OPEX'!K$48,O470*'Insumos - OPEX'!K$75)</f>
        <v>0</v>
      </c>
      <c r="P945" s="211">
        <f>IF($G945="PAX",P470*'Insumos - OPEX'!L$48,P470*'Insumos - OPEX'!L$75)</f>
        <v>0</v>
      </c>
      <c r="Q945" s="211">
        <f>IF($G945="PAX",Q470*'Insumos - OPEX'!M$48,Q470*'Insumos - OPEX'!M$75)</f>
        <v>0</v>
      </c>
      <c r="R945" s="211">
        <f>IF($G945="PAX",R470*'Insumos - OPEX'!N$48,R470*'Insumos - OPEX'!N$75)</f>
        <v>0</v>
      </c>
      <c r="S945" s="111"/>
    </row>
    <row r="946" spans="1:21" x14ac:dyDescent="0.2">
      <c r="A946" s="8"/>
      <c r="B946" s="8" t="s">
        <v>435</v>
      </c>
      <c r="C946" s="8" t="s">
        <v>172</v>
      </c>
      <c r="D946" s="8">
        <v>6380000017</v>
      </c>
      <c r="E946" s="8" t="s">
        <v>317</v>
      </c>
      <c r="F946" s="73" t="s">
        <v>23</v>
      </c>
      <c r="G946" s="73" t="s">
        <v>136</v>
      </c>
      <c r="H946" s="112" t="s">
        <v>61</v>
      </c>
      <c r="I946" s="13" t="s">
        <v>22</v>
      </c>
      <c r="K946" s="187"/>
      <c r="L946" s="187"/>
      <c r="M946" s="188">
        <f>IF($G946="PAX",M471*'Insumos - OPEX'!I$48,M471*'Insumos - OPEX'!I$75)</f>
        <v>0</v>
      </c>
      <c r="N946" s="211">
        <f>IF($G946="PAX",N471*'Insumos - OPEX'!J$48,N471*'Insumos - OPEX'!J$75)</f>
        <v>0</v>
      </c>
      <c r="O946" s="211">
        <f>IF($G946="PAX",O471*'Insumos - OPEX'!K$48,O471*'Insumos - OPEX'!K$75)</f>
        <v>0</v>
      </c>
      <c r="P946" s="211">
        <f>IF($G946="PAX",P471*'Insumos - OPEX'!L$48,P471*'Insumos - OPEX'!L$75)</f>
        <v>0</v>
      </c>
      <c r="Q946" s="211">
        <f>IF($G946="PAX",Q471*'Insumos - OPEX'!M$48,Q471*'Insumos - OPEX'!M$75)</f>
        <v>0</v>
      </c>
      <c r="R946" s="211">
        <f>IF($G946="PAX",R471*'Insumos - OPEX'!N$48,R471*'Insumos - OPEX'!N$75)</f>
        <v>0</v>
      </c>
      <c r="S946" s="111"/>
    </row>
    <row r="947" spans="1:21" x14ac:dyDescent="0.2">
      <c r="A947" s="8"/>
      <c r="B947" s="8" t="s">
        <v>435</v>
      </c>
      <c r="C947" s="8" t="s">
        <v>172</v>
      </c>
      <c r="D947" s="8">
        <v>6380000028</v>
      </c>
      <c r="E947" s="8" t="s">
        <v>305</v>
      </c>
      <c r="F947" s="73" t="s">
        <v>23</v>
      </c>
      <c r="G947" s="73" t="s">
        <v>136</v>
      </c>
      <c r="H947" s="112" t="s">
        <v>61</v>
      </c>
      <c r="I947" s="13" t="s">
        <v>22</v>
      </c>
      <c r="K947" s="187"/>
      <c r="L947" s="187"/>
      <c r="M947" s="188">
        <f>IF($G947="PAX",M472*'Insumos - OPEX'!I$48,M472*'Insumos - OPEX'!I$75)</f>
        <v>0</v>
      </c>
      <c r="N947" s="211">
        <f>IF($G947="PAX",N472*'Insumos - OPEX'!J$48,N472*'Insumos - OPEX'!J$75)</f>
        <v>0</v>
      </c>
      <c r="O947" s="211">
        <f>IF($G947="PAX",O472*'Insumos - OPEX'!K$48,O472*'Insumos - OPEX'!K$75)</f>
        <v>0</v>
      </c>
      <c r="P947" s="211">
        <f>IF($G947="PAX",P472*'Insumos - OPEX'!L$48,P472*'Insumos - OPEX'!L$75)</f>
        <v>0</v>
      </c>
      <c r="Q947" s="211">
        <f>IF($G947="PAX",Q472*'Insumos - OPEX'!M$48,Q472*'Insumos - OPEX'!M$75)</f>
        <v>0</v>
      </c>
      <c r="R947" s="211">
        <f>IF($G947="PAX",R472*'Insumos - OPEX'!N$48,R472*'Insumos - OPEX'!N$75)</f>
        <v>0</v>
      </c>
      <c r="S947" s="111"/>
    </row>
    <row r="948" spans="1:21" x14ac:dyDescent="0.2">
      <c r="A948" s="8"/>
      <c r="B948" s="8" t="s">
        <v>435</v>
      </c>
      <c r="C948" s="8" t="s">
        <v>172</v>
      </c>
      <c r="D948" s="8">
        <v>6380000018</v>
      </c>
      <c r="E948" s="8" t="s">
        <v>309</v>
      </c>
      <c r="F948" s="73" t="s">
        <v>23</v>
      </c>
      <c r="G948" s="73" t="s">
        <v>136</v>
      </c>
      <c r="H948" s="112" t="s">
        <v>61</v>
      </c>
      <c r="I948" s="13" t="s">
        <v>22</v>
      </c>
      <c r="K948" s="187"/>
      <c r="L948" s="187"/>
      <c r="M948" s="188">
        <f>IF($G948="PAX",M473*'Insumos - OPEX'!I$48,M473*'Insumos - OPEX'!I$75)</f>
        <v>0</v>
      </c>
      <c r="N948" s="211">
        <f>IF($G948="PAX",N473*'Insumos - OPEX'!J$48,N473*'Insumos - OPEX'!J$75)</f>
        <v>0</v>
      </c>
      <c r="O948" s="211">
        <f>IF($G948="PAX",O473*'Insumos - OPEX'!K$48,O473*'Insumos - OPEX'!K$75)</f>
        <v>0</v>
      </c>
      <c r="P948" s="211">
        <f>IF($G948="PAX",P473*'Insumos - OPEX'!L$48,P473*'Insumos - OPEX'!L$75)</f>
        <v>0</v>
      </c>
      <c r="Q948" s="211">
        <f>IF($G948="PAX",Q473*'Insumos - OPEX'!M$48,Q473*'Insumos - OPEX'!M$75)</f>
        <v>0</v>
      </c>
      <c r="R948" s="211">
        <f>IF($G948="PAX",R473*'Insumos - OPEX'!N$48,R473*'Insumos - OPEX'!N$75)</f>
        <v>0</v>
      </c>
      <c r="S948" s="111"/>
    </row>
    <row r="949" spans="1:21" x14ac:dyDescent="0.2">
      <c r="A949" s="8"/>
      <c r="B949" s="8" t="s">
        <v>435</v>
      </c>
      <c r="C949" s="8" t="s">
        <v>172</v>
      </c>
      <c r="D949" s="8">
        <v>6381000001</v>
      </c>
      <c r="E949" s="8" t="s">
        <v>313</v>
      </c>
      <c r="F949" s="73" t="s">
        <v>23</v>
      </c>
      <c r="G949" s="73" t="s">
        <v>136</v>
      </c>
      <c r="H949" s="112" t="s">
        <v>61</v>
      </c>
      <c r="I949" s="13" t="s">
        <v>22</v>
      </c>
      <c r="K949" s="187"/>
      <c r="L949" s="187"/>
      <c r="M949" s="188">
        <f>IF($G949="PAX",M474*'Insumos - OPEX'!I$48,M474*'Insumos - OPEX'!I$75)</f>
        <v>0</v>
      </c>
      <c r="N949" s="211">
        <f>IF($G949="PAX",N474*'Insumos - OPEX'!J$48,N474*'Insumos - OPEX'!J$75)</f>
        <v>0</v>
      </c>
      <c r="O949" s="211">
        <f>IF($G949="PAX",O474*'Insumos - OPEX'!K$48,O474*'Insumos - OPEX'!K$75)</f>
        <v>0</v>
      </c>
      <c r="P949" s="211">
        <f>IF($G949="PAX",P474*'Insumos - OPEX'!L$48,P474*'Insumos - OPEX'!L$75)</f>
        <v>0</v>
      </c>
      <c r="Q949" s="211">
        <f>IF($G949="PAX",Q474*'Insumos - OPEX'!M$48,Q474*'Insumos - OPEX'!M$75)</f>
        <v>0</v>
      </c>
      <c r="R949" s="211">
        <f>IF($G949="PAX",R474*'Insumos - OPEX'!N$48,R474*'Insumos - OPEX'!N$75)</f>
        <v>0</v>
      </c>
      <c r="S949" s="111"/>
    </row>
    <row r="950" spans="1:21" x14ac:dyDescent="0.2">
      <c r="A950" s="8"/>
      <c r="B950" s="8" t="s">
        <v>435</v>
      </c>
      <c r="C950" s="8" t="s">
        <v>172</v>
      </c>
      <c r="D950" s="8">
        <v>6380000020</v>
      </c>
      <c r="E950" s="8" t="s">
        <v>308</v>
      </c>
      <c r="F950" s="73" t="s">
        <v>23</v>
      </c>
      <c r="G950" s="73" t="s">
        <v>136</v>
      </c>
      <c r="H950" s="112" t="s">
        <v>61</v>
      </c>
      <c r="I950" s="13" t="s">
        <v>22</v>
      </c>
      <c r="K950" s="187"/>
      <c r="L950" s="187"/>
      <c r="M950" s="188">
        <f>IF($G950="PAX",M475*'Insumos - OPEX'!I$48,M475*'Insumos - OPEX'!I$75)</f>
        <v>0</v>
      </c>
      <c r="N950" s="211">
        <f>IF($G950="PAX",N475*'Insumos - OPEX'!J$48,N475*'Insumos - OPEX'!J$75)</f>
        <v>0</v>
      </c>
      <c r="O950" s="211">
        <f>IF($G950="PAX",O475*'Insumos - OPEX'!K$48,O475*'Insumos - OPEX'!K$75)</f>
        <v>0</v>
      </c>
      <c r="P950" s="211">
        <f>IF($G950="PAX",P475*'Insumos - OPEX'!L$48,P475*'Insumos - OPEX'!L$75)</f>
        <v>0</v>
      </c>
      <c r="Q950" s="211">
        <f>IF($G950="PAX",Q475*'Insumos - OPEX'!M$48,Q475*'Insumos - OPEX'!M$75)</f>
        <v>0</v>
      </c>
      <c r="R950" s="211">
        <f>IF($G950="PAX",R475*'Insumos - OPEX'!N$48,R475*'Insumos - OPEX'!N$75)</f>
        <v>0</v>
      </c>
      <c r="S950" s="111"/>
    </row>
    <row r="951" spans="1:21" x14ac:dyDescent="0.2">
      <c r="A951" s="8"/>
      <c r="B951" s="8" t="s">
        <v>435</v>
      </c>
      <c r="C951" s="8" t="s">
        <v>172</v>
      </c>
      <c r="D951" s="8">
        <v>6381000003</v>
      </c>
      <c r="E951" s="8" t="s">
        <v>315</v>
      </c>
      <c r="F951" s="73" t="s">
        <v>23</v>
      </c>
      <c r="G951" s="73" t="s">
        <v>136</v>
      </c>
      <c r="H951" s="112" t="s">
        <v>61</v>
      </c>
      <c r="I951" s="13" t="s">
        <v>22</v>
      </c>
      <c r="K951" s="187"/>
      <c r="L951" s="187"/>
      <c r="M951" s="188">
        <f>IF($G951="PAX",M476*'Insumos - OPEX'!I$48,M476*'Insumos - OPEX'!I$75)</f>
        <v>0</v>
      </c>
      <c r="N951" s="211">
        <f>IF($G951="PAX",N476*'Insumos - OPEX'!J$48,N476*'Insumos - OPEX'!J$75)</f>
        <v>0</v>
      </c>
      <c r="O951" s="211">
        <f>IF($G951="PAX",O476*'Insumos - OPEX'!K$48,O476*'Insumos - OPEX'!K$75)</f>
        <v>0</v>
      </c>
      <c r="P951" s="211">
        <f>IF($G951="PAX",P476*'Insumos - OPEX'!L$48,P476*'Insumos - OPEX'!L$75)</f>
        <v>0</v>
      </c>
      <c r="Q951" s="211">
        <f>IF($G951="PAX",Q476*'Insumos - OPEX'!M$48,Q476*'Insumos - OPEX'!M$75)</f>
        <v>0</v>
      </c>
      <c r="R951" s="211">
        <f>IF($G951="PAX",R476*'Insumos - OPEX'!N$48,R476*'Insumos - OPEX'!N$75)</f>
        <v>0</v>
      </c>
      <c r="S951" s="111"/>
    </row>
    <row r="952" spans="1:21" x14ac:dyDescent="0.2">
      <c r="A952" s="8"/>
      <c r="B952" s="8" t="s">
        <v>435</v>
      </c>
      <c r="C952" s="8" t="s">
        <v>172</v>
      </c>
      <c r="D952" s="8">
        <v>6380000023</v>
      </c>
      <c r="E952" s="8" t="s">
        <v>307</v>
      </c>
      <c r="F952" s="73" t="s">
        <v>23</v>
      </c>
      <c r="G952" s="73" t="s">
        <v>136</v>
      </c>
      <c r="H952" s="112" t="s">
        <v>61</v>
      </c>
      <c r="I952" s="13" t="s">
        <v>22</v>
      </c>
      <c r="K952" s="187"/>
      <c r="L952" s="187"/>
      <c r="M952" s="188">
        <f>IF($G952="PAX",M477*'Insumos - OPEX'!I$48,M477*'Insumos - OPEX'!I$75)</f>
        <v>0</v>
      </c>
      <c r="N952" s="211">
        <f>IF($G952="PAX",N477*'Insumos - OPEX'!J$48,N477*'Insumos - OPEX'!J$75)</f>
        <v>0</v>
      </c>
      <c r="O952" s="211">
        <f>IF($G952="PAX",O477*'Insumos - OPEX'!K$48,O477*'Insumos - OPEX'!K$75)</f>
        <v>0</v>
      </c>
      <c r="P952" s="211">
        <f>IF($G952="PAX",P477*'Insumos - OPEX'!L$48,P477*'Insumos - OPEX'!L$75)</f>
        <v>0</v>
      </c>
      <c r="Q952" s="211">
        <f>IF($G952="PAX",Q477*'Insumos - OPEX'!M$48,Q477*'Insumos - OPEX'!M$75)</f>
        <v>0</v>
      </c>
      <c r="R952" s="211">
        <f>IF($G952="PAX",R477*'Insumos - OPEX'!N$48,R477*'Insumos - OPEX'!N$75)</f>
        <v>0</v>
      </c>
      <c r="S952" s="111"/>
    </row>
    <row r="953" spans="1:21" x14ac:dyDescent="0.2">
      <c r="A953" s="8"/>
      <c r="B953" s="8" t="s">
        <v>435</v>
      </c>
      <c r="C953" s="8" t="s">
        <v>172</v>
      </c>
      <c r="D953" s="8">
        <v>6381000006</v>
      </c>
      <c r="E953" s="8" t="s">
        <v>311</v>
      </c>
      <c r="F953" s="73" t="s">
        <v>23</v>
      </c>
      <c r="G953" s="73" t="s">
        <v>136</v>
      </c>
      <c r="H953" s="112" t="s">
        <v>61</v>
      </c>
      <c r="I953" s="13" t="s">
        <v>22</v>
      </c>
      <c r="K953" s="187"/>
      <c r="L953" s="187"/>
      <c r="M953" s="188">
        <f>IF($G953="PAX",M478*'Insumos - OPEX'!I$48,M478*'Insumos - OPEX'!I$75)</f>
        <v>0</v>
      </c>
      <c r="N953" s="211">
        <f>IF($G953="PAX",N478*'Insumos - OPEX'!J$48,N478*'Insumos - OPEX'!J$75)</f>
        <v>0</v>
      </c>
      <c r="O953" s="211">
        <f>IF($G953="PAX",O478*'Insumos - OPEX'!K$48,O478*'Insumos - OPEX'!K$75)</f>
        <v>0</v>
      </c>
      <c r="P953" s="211">
        <f>IF($G953="PAX",P478*'Insumos - OPEX'!L$48,P478*'Insumos - OPEX'!L$75)</f>
        <v>0</v>
      </c>
      <c r="Q953" s="211">
        <f>IF($G953="PAX",Q478*'Insumos - OPEX'!M$48,Q478*'Insumos - OPEX'!M$75)</f>
        <v>0</v>
      </c>
      <c r="R953" s="211">
        <f>IF($G953="PAX",R478*'Insumos - OPEX'!N$48,R478*'Insumos - OPEX'!N$75)</f>
        <v>0</v>
      </c>
      <c r="S953" s="111"/>
    </row>
    <row r="954" spans="1:21" x14ac:dyDescent="0.2">
      <c r="A954" s="8"/>
      <c r="B954" s="8" t="s">
        <v>435</v>
      </c>
      <c r="C954" s="8" t="s">
        <v>172</v>
      </c>
      <c r="D954" s="8">
        <v>6380000024</v>
      </c>
      <c r="E954" s="8" t="s">
        <v>306</v>
      </c>
      <c r="F954" s="73" t="s">
        <v>23</v>
      </c>
      <c r="G954" s="73" t="s">
        <v>136</v>
      </c>
      <c r="H954" s="112" t="s">
        <v>61</v>
      </c>
      <c r="I954" s="13" t="s">
        <v>22</v>
      </c>
      <c r="K954" s="187"/>
      <c r="L954" s="187"/>
      <c r="M954" s="188">
        <f>IF($G954="PAX",M479*'Insumos - OPEX'!I$48,M479*'Insumos - OPEX'!I$75)</f>
        <v>0</v>
      </c>
      <c r="N954" s="211">
        <f>IF($G954="PAX",N479*'Insumos - OPEX'!J$48,N479*'Insumos - OPEX'!J$75)</f>
        <v>0</v>
      </c>
      <c r="O954" s="211">
        <f>IF($G954="PAX",O479*'Insumos - OPEX'!K$48,O479*'Insumos - OPEX'!K$75)</f>
        <v>0</v>
      </c>
      <c r="P954" s="211">
        <f>IF($G954="PAX",P479*'Insumos - OPEX'!L$48,P479*'Insumos - OPEX'!L$75)</f>
        <v>0</v>
      </c>
      <c r="Q954" s="211">
        <f>IF($G954="PAX",Q479*'Insumos - OPEX'!M$48,Q479*'Insumos - OPEX'!M$75)</f>
        <v>0</v>
      </c>
      <c r="R954" s="211">
        <f>IF($G954="PAX",R479*'Insumos - OPEX'!N$48,R479*'Insumos - OPEX'!N$75)</f>
        <v>0</v>
      </c>
      <c r="S954" s="111"/>
    </row>
    <row r="955" spans="1:21" x14ac:dyDescent="0.2">
      <c r="A955" s="8"/>
      <c r="B955" s="8" t="s">
        <v>435</v>
      </c>
      <c r="C955" s="8" t="s">
        <v>172</v>
      </c>
      <c r="D955" s="8">
        <v>6380000025</v>
      </c>
      <c r="E955" s="8" t="s">
        <v>319</v>
      </c>
      <c r="F955" s="73" t="s">
        <v>23</v>
      </c>
      <c r="G955" s="73" t="s">
        <v>136</v>
      </c>
      <c r="H955" s="112" t="s">
        <v>61</v>
      </c>
      <c r="I955" s="13" t="s">
        <v>22</v>
      </c>
      <c r="K955" s="187"/>
      <c r="L955" s="187"/>
      <c r="M955" s="188">
        <f>IF($G955="PAX",M480*'Insumos - OPEX'!I$48,M480*'Insumos - OPEX'!I$75)</f>
        <v>0</v>
      </c>
      <c r="N955" s="211">
        <f>IF($G955="PAX",N480*'Insumos - OPEX'!J$48,N480*'Insumos - OPEX'!J$75)</f>
        <v>0</v>
      </c>
      <c r="O955" s="211">
        <f>IF($G955="PAX",O480*'Insumos - OPEX'!K$48,O480*'Insumos - OPEX'!K$75)</f>
        <v>0</v>
      </c>
      <c r="P955" s="211">
        <f>IF($G955="PAX",P480*'Insumos - OPEX'!L$48,P480*'Insumos - OPEX'!L$75)</f>
        <v>0</v>
      </c>
      <c r="Q955" s="211">
        <f>IF($G955="PAX",Q480*'Insumos - OPEX'!M$48,Q480*'Insumos - OPEX'!M$75)</f>
        <v>0</v>
      </c>
      <c r="R955" s="211">
        <f>IF($G955="PAX",R480*'Insumos - OPEX'!N$48,R480*'Insumos - OPEX'!N$75)</f>
        <v>0</v>
      </c>
      <c r="S955" s="111"/>
    </row>
    <row r="956" spans="1:21" x14ac:dyDescent="0.2">
      <c r="B956" s="23" t="s">
        <v>443</v>
      </c>
      <c r="C956" s="23"/>
      <c r="D956" s="23"/>
      <c r="E956" s="23"/>
      <c r="F956" s="23"/>
      <c r="G956" s="246"/>
      <c r="H956" s="25" t="s">
        <v>61</v>
      </c>
      <c r="I956" s="25" t="s">
        <v>22</v>
      </c>
      <c r="J956" s="23"/>
      <c r="K956" s="193"/>
      <c r="L956" s="193"/>
      <c r="M956" s="193">
        <f t="shared" ref="M956:R956" si="1">SUM(M485:M955)</f>
        <v>3300402.4586739163</v>
      </c>
      <c r="N956" s="193">
        <f t="shared" si="1"/>
        <v>3897251.2723283614</v>
      </c>
      <c r="O956" s="193">
        <f t="shared" si="1"/>
        <v>4451455.6619667597</v>
      </c>
      <c r="P956" s="193">
        <f t="shared" si="1"/>
        <v>4795382.1667791083</v>
      </c>
      <c r="Q956" s="193">
        <f t="shared" si="1"/>
        <v>5096571.6952781267</v>
      </c>
      <c r="R956" s="193">
        <f t="shared" si="1"/>
        <v>5429646.4137137169</v>
      </c>
      <c r="S956" s="111"/>
    </row>
    <row r="957" spans="1:21" x14ac:dyDescent="0.2">
      <c r="B957" s="3"/>
      <c r="C957" s="3"/>
      <c r="D957" s="3"/>
      <c r="H957" s="1"/>
      <c r="I957" s="1"/>
      <c r="J957" s="1"/>
      <c r="K957" s="188"/>
      <c r="L957" s="188"/>
      <c r="M957" s="188"/>
      <c r="N957" s="188"/>
      <c r="O957" s="188"/>
      <c r="P957" s="188"/>
      <c r="Q957" s="188"/>
      <c r="R957" s="188"/>
      <c r="S957" s="188"/>
    </row>
    <row r="958" spans="1:21" s="111" customFormat="1" x14ac:dyDescent="0.2">
      <c r="B958" s="129" t="s">
        <v>6</v>
      </c>
      <c r="D958" s="112"/>
      <c r="E958" s="112"/>
      <c r="F958" s="112"/>
      <c r="H958" s="127"/>
      <c r="I958" s="127"/>
      <c r="K958" s="190"/>
      <c r="L958" s="190"/>
      <c r="M958" s="190"/>
      <c r="N958" s="190"/>
      <c r="O958" s="190"/>
      <c r="P958" s="190"/>
      <c r="Q958" s="190"/>
      <c r="R958" s="190"/>
      <c r="S958" s="190"/>
    </row>
    <row r="959" spans="1:21" x14ac:dyDescent="0.2">
      <c r="B959" s="98" t="s">
        <v>483</v>
      </c>
      <c r="E959" s="5"/>
      <c r="F959" s="5"/>
      <c r="H959" s="30"/>
      <c r="I959" s="30"/>
      <c r="J959" s="30"/>
      <c r="K959" s="191"/>
      <c r="L959" s="191"/>
      <c r="M959" s="191"/>
      <c r="N959" s="192"/>
      <c r="O959" s="192"/>
      <c r="P959" s="192"/>
      <c r="Q959" s="192"/>
      <c r="R959" s="192"/>
      <c r="S959" s="192"/>
      <c r="T959" s="192"/>
      <c r="U959" s="192"/>
    </row>
    <row r="960" spans="1:21" x14ac:dyDescent="0.2">
      <c r="B960" s="98"/>
      <c r="E960" s="5"/>
      <c r="F960" s="5"/>
      <c r="H960" s="30"/>
      <c r="I960" s="30"/>
      <c r="J960" s="30"/>
      <c r="K960" s="191"/>
      <c r="L960" s="191"/>
      <c r="M960" s="191"/>
      <c r="N960" s="192"/>
      <c r="O960" s="192"/>
      <c r="P960" s="192"/>
      <c r="Q960" s="192"/>
      <c r="R960" s="192"/>
      <c r="S960" s="192"/>
      <c r="T960" s="192"/>
      <c r="U960" s="192"/>
    </row>
    <row r="961" spans="1:19" x14ac:dyDescent="0.2">
      <c r="A961" s="8"/>
      <c r="B961" s="8" t="s">
        <v>301</v>
      </c>
      <c r="C961" s="8" t="s">
        <v>172</v>
      </c>
      <c r="D961" s="8">
        <v>6380000004</v>
      </c>
      <c r="E961" s="8" t="s">
        <v>273</v>
      </c>
      <c r="F961" s="73" t="s">
        <v>23</v>
      </c>
      <c r="G961" s="73" t="s">
        <v>471</v>
      </c>
      <c r="H961" s="112" t="s">
        <v>61</v>
      </c>
      <c r="I961" s="13" t="s">
        <v>22</v>
      </c>
      <c r="K961" s="187"/>
      <c r="L961" s="187"/>
      <c r="M961" s="188">
        <f>IF($G961="PAX",M10*'Insumos - OPEX'!I$51,M10*'Insumos - OPEX'!I$76)</f>
        <v>36018.468983884661</v>
      </c>
      <c r="N961" s="211">
        <f>IF($G961="PAX",N10*'Insumos - OPEX'!J$51,N10*'Insumos - OPEX'!J$76)</f>
        <v>37643.139851315791</v>
      </c>
      <c r="O961" s="211">
        <f>IF($G961="PAX",O10*'Insumos - OPEX'!K$51,O10*'Insumos - OPEX'!K$76)</f>
        <v>39296.859803485197</v>
      </c>
      <c r="P961" s="211">
        <f>IF($G961="PAX",P10*'Insumos - OPEX'!L$51,P10*'Insumos - OPEX'!L$76)</f>
        <v>40972.078971909563</v>
      </c>
      <c r="Q961" s="211">
        <f>IF($G961="PAX",Q10*'Insumos - OPEX'!M$51,Q10*'Insumos - OPEX'!M$76)</f>
        <v>42940.13235520829</v>
      </c>
      <c r="R961" s="211">
        <f>IF($G961="PAX",R10*'Insumos - OPEX'!N$51,R10*'Insumos - OPEX'!N$76)</f>
        <v>44902.273638648236</v>
      </c>
      <c r="S961" s="111"/>
    </row>
    <row r="962" spans="1:19" x14ac:dyDescent="0.2">
      <c r="A962" s="8"/>
      <c r="B962" s="8" t="s">
        <v>301</v>
      </c>
      <c r="C962" s="8" t="s">
        <v>172</v>
      </c>
      <c r="D962" s="8">
        <v>6381000002</v>
      </c>
      <c r="E962" s="8" t="s">
        <v>302</v>
      </c>
      <c r="F962" s="73" t="s">
        <v>23</v>
      </c>
      <c r="G962" s="73" t="s">
        <v>136</v>
      </c>
      <c r="H962" s="112" t="s">
        <v>61</v>
      </c>
      <c r="I962" s="13" t="s">
        <v>22</v>
      </c>
      <c r="K962" s="187"/>
      <c r="L962" s="187"/>
      <c r="M962" s="188">
        <f>IF($G962="PAX",M11*'Insumos - OPEX'!I$51,M11*'Insumos - OPEX'!I$76)</f>
        <v>43449.111797796228</v>
      </c>
      <c r="N962" s="211">
        <f>IF($G962="PAX",N11*'Insumos - OPEX'!J$51,N11*'Insumos - OPEX'!J$76)</f>
        <v>43955.110015240622</v>
      </c>
      <c r="O962" s="211">
        <f>IF($G962="PAX",O11*'Insumos - OPEX'!K$51,O11*'Insumos - OPEX'!K$76)</f>
        <v>44979.330683208711</v>
      </c>
      <c r="P962" s="211">
        <f>IF($G962="PAX",P11*'Insumos - OPEX'!L$51,P11*'Insumos - OPEX'!L$76)</f>
        <v>45931.041980725684</v>
      </c>
      <c r="Q962" s="211">
        <f>IF($G962="PAX",Q11*'Insumos - OPEX'!M$51,Q11*'Insumos - OPEX'!M$76)</f>
        <v>47580.043754762737</v>
      </c>
      <c r="R962" s="211">
        <f>IF($G962="PAX",R11*'Insumos - OPEX'!N$51,R11*'Insumos - OPEX'!N$76)</f>
        <v>49036.989032335143</v>
      </c>
      <c r="S962" s="111"/>
    </row>
    <row r="963" spans="1:19" x14ac:dyDescent="0.2">
      <c r="A963" s="8"/>
      <c r="B963" s="8" t="s">
        <v>301</v>
      </c>
      <c r="C963" s="8" t="s">
        <v>172</v>
      </c>
      <c r="D963" s="8">
        <v>6320000007</v>
      </c>
      <c r="E963" s="8" t="s">
        <v>303</v>
      </c>
      <c r="F963" s="73" t="s">
        <v>23</v>
      </c>
      <c r="G963" s="73" t="s">
        <v>136</v>
      </c>
      <c r="H963" s="112" t="s">
        <v>61</v>
      </c>
      <c r="I963" s="13" t="s">
        <v>22</v>
      </c>
      <c r="K963" s="187"/>
      <c r="L963" s="187"/>
      <c r="M963" s="188">
        <f>IF($G963="PAX",M12*'Insumos - OPEX'!I$51,M12*'Insumos - OPEX'!I$76)</f>
        <v>44081.417442555838</v>
      </c>
      <c r="N963" s="211">
        <f>IF($G963="PAX",N12*'Insumos - OPEX'!J$51,N12*'Insumos - OPEX'!J$76)</f>
        <v>44594.779343994909</v>
      </c>
      <c r="O963" s="211">
        <f>IF($G963="PAX",O12*'Insumos - OPEX'!K$51,O12*'Insumos - OPEX'!K$76)</f>
        <v>45633.905276605692</v>
      </c>
      <c r="P963" s="211">
        <f>IF($G963="PAX",P12*'Insumos - OPEX'!L$51,P12*'Insumos - OPEX'!L$76)</f>
        <v>46599.46662538268</v>
      </c>
      <c r="Q963" s="211">
        <f>IF($G963="PAX",Q12*'Insumos - OPEX'!M$51,Q12*'Insumos - OPEX'!M$76)</f>
        <v>48272.465970067307</v>
      </c>
      <c r="R963" s="211">
        <f>IF($G963="PAX",R12*'Insumos - OPEX'!N$51,R12*'Insumos - OPEX'!N$76)</f>
        <v>49750.613861110898</v>
      </c>
      <c r="S963" s="111"/>
    </row>
    <row r="964" spans="1:19" x14ac:dyDescent="0.2">
      <c r="A964" s="8"/>
      <c r="B964" s="8" t="s">
        <v>301</v>
      </c>
      <c r="C964" s="8" t="s">
        <v>172</v>
      </c>
      <c r="D964" s="8">
        <v>6380000016</v>
      </c>
      <c r="E964" s="8" t="s">
        <v>304</v>
      </c>
      <c r="F964" s="73" t="s">
        <v>23</v>
      </c>
      <c r="G964" s="73" t="s">
        <v>136</v>
      </c>
      <c r="H964" s="112" t="s">
        <v>61</v>
      </c>
      <c r="I964" s="13" t="s">
        <v>22</v>
      </c>
      <c r="K964" s="187"/>
      <c r="L964" s="187"/>
      <c r="M964" s="188">
        <f>IF($G964="PAX",M13*'Insumos - OPEX'!I$51,M13*'Insumos - OPEX'!I$76)</f>
        <v>0</v>
      </c>
      <c r="N964" s="211">
        <f>IF($G964="PAX",N13*'Insumos - OPEX'!J$51,N13*'Insumos - OPEX'!J$76)</f>
        <v>0</v>
      </c>
      <c r="O964" s="211">
        <f>IF($G964="PAX",O13*'Insumos - OPEX'!K$51,O13*'Insumos - OPEX'!K$76)</f>
        <v>0</v>
      </c>
      <c r="P964" s="211">
        <f>IF($G964="PAX",P13*'Insumos - OPEX'!L$51,P13*'Insumos - OPEX'!L$76)</f>
        <v>0</v>
      </c>
      <c r="Q964" s="211">
        <f>IF($G964="PAX",Q13*'Insumos - OPEX'!M$51,Q13*'Insumos - OPEX'!M$76)</f>
        <v>0</v>
      </c>
      <c r="R964" s="211">
        <f>IF($G964="PAX",R13*'Insumos - OPEX'!N$51,R13*'Insumos - OPEX'!N$76)</f>
        <v>0</v>
      </c>
      <c r="S964" s="111"/>
    </row>
    <row r="965" spans="1:19" x14ac:dyDescent="0.2">
      <c r="A965" s="8"/>
      <c r="B965" s="8" t="s">
        <v>301</v>
      </c>
      <c r="C965" s="8" t="s">
        <v>172</v>
      </c>
      <c r="D965" s="8">
        <v>6380000028</v>
      </c>
      <c r="E965" s="8" t="s">
        <v>305</v>
      </c>
      <c r="F965" s="73" t="s">
        <v>23</v>
      </c>
      <c r="G965" s="73" t="s">
        <v>136</v>
      </c>
      <c r="H965" s="112" t="s">
        <v>61</v>
      </c>
      <c r="I965" s="13" t="s">
        <v>22</v>
      </c>
      <c r="K965" s="187"/>
      <c r="L965" s="187"/>
      <c r="M965" s="188">
        <f>IF($G965="PAX",M14*'Insumos - OPEX'!I$51,M14*'Insumos - OPEX'!I$76)</f>
        <v>4398.4278354699136</v>
      </c>
      <c r="N965" s="211">
        <f>IF($G965="PAX",N14*'Insumos - OPEX'!J$51,N14*'Insumos - OPEX'!J$76)</f>
        <v>4449.6508996987777</v>
      </c>
      <c r="O965" s="211">
        <f>IF($G965="PAX",O14*'Insumos - OPEX'!K$51,O14*'Insumos - OPEX'!K$76)</f>
        <v>4553.3345081605485</v>
      </c>
      <c r="P965" s="211">
        <f>IF($G965="PAX",P14*'Insumos - OPEX'!L$51,P14*'Insumos - OPEX'!L$76)</f>
        <v>4649.6778691436411</v>
      </c>
      <c r="Q965" s="211">
        <f>IF($G965="PAX",Q14*'Insumos - OPEX'!M$51,Q14*'Insumos - OPEX'!M$76)</f>
        <v>4816.6091366323299</v>
      </c>
      <c r="R965" s="211">
        <f>IF($G965="PAX",R14*'Insumos - OPEX'!N$51,R14*'Insumos - OPEX'!N$76)</f>
        <v>4964.0981967874304</v>
      </c>
      <c r="S965" s="111"/>
    </row>
    <row r="966" spans="1:19" x14ac:dyDescent="0.2">
      <c r="A966" s="8"/>
      <c r="B966" s="8" t="s">
        <v>301</v>
      </c>
      <c r="C966" s="8" t="s">
        <v>172</v>
      </c>
      <c r="D966" s="8">
        <v>6380000024</v>
      </c>
      <c r="E966" s="8" t="s">
        <v>306</v>
      </c>
      <c r="F966" s="73" t="s">
        <v>23</v>
      </c>
      <c r="G966" s="73" t="s">
        <v>136</v>
      </c>
      <c r="H966" s="112" t="s">
        <v>61</v>
      </c>
      <c r="I966" s="13" t="s">
        <v>22</v>
      </c>
      <c r="K966" s="187"/>
      <c r="L966" s="187"/>
      <c r="M966" s="188">
        <f>IF($G966="PAX",M15*'Insumos - OPEX'!I$51,M15*'Insumos - OPEX'!I$76)</f>
        <v>2209.0344977440691</v>
      </c>
      <c r="N966" s="211">
        <f>IF($G966="PAX",N15*'Insumos - OPEX'!J$51,N15*'Insumos - OPEX'!J$76)</f>
        <v>2234.7603980417216</v>
      </c>
      <c r="O966" s="211">
        <f>IF($G966="PAX",O15*'Insumos - OPEX'!K$51,O15*'Insumos - OPEX'!K$76)</f>
        <v>2286.8337016197884</v>
      </c>
      <c r="P966" s="211">
        <f>IF($G966="PAX",P15*'Insumos - OPEX'!L$51,P15*'Insumos - OPEX'!L$76)</f>
        <v>2335.2204925372125</v>
      </c>
      <c r="Q966" s="211">
        <f>IF($G966="PAX",Q15*'Insumos - OPEX'!M$51,Q15*'Insumos - OPEX'!M$76)</f>
        <v>2419.0588416993651</v>
      </c>
      <c r="R966" s="211">
        <f>IF($G966="PAX",R15*'Insumos - OPEX'!N$51,R15*'Insumos - OPEX'!N$76)</f>
        <v>2493.1326776493552</v>
      </c>
      <c r="S966" s="111"/>
    </row>
    <row r="967" spans="1:19" x14ac:dyDescent="0.2">
      <c r="A967" s="8"/>
      <c r="B967" s="8" t="s">
        <v>301</v>
      </c>
      <c r="C967" s="8" t="s">
        <v>172</v>
      </c>
      <c r="D967" s="8">
        <v>6380000023</v>
      </c>
      <c r="E967" s="8" t="s">
        <v>307</v>
      </c>
      <c r="F967" s="73" t="s">
        <v>23</v>
      </c>
      <c r="G967" s="73" t="s">
        <v>136</v>
      </c>
      <c r="H967" s="112" t="s">
        <v>61</v>
      </c>
      <c r="I967" s="13" t="s">
        <v>22</v>
      </c>
      <c r="K967" s="187"/>
      <c r="L967" s="187"/>
      <c r="M967" s="188">
        <f>IF($G967="PAX",M16*'Insumos - OPEX'!I$51,M16*'Insumos - OPEX'!I$76)</f>
        <v>1356.3106304815569</v>
      </c>
      <c r="N967" s="211">
        <f>IF($G967="PAX",N16*'Insumos - OPEX'!J$51,N16*'Insumos - OPEX'!J$76)</f>
        <v>1372.1059075983462</v>
      </c>
      <c r="O967" s="211">
        <f>IF($G967="PAX",O16*'Insumos - OPEX'!K$51,O16*'Insumos - OPEX'!K$76)</f>
        <v>1404.0780543798255</v>
      </c>
      <c r="P967" s="211">
        <f>IF($G967="PAX",P16*'Insumos - OPEX'!L$51,P16*'Insumos - OPEX'!L$76)</f>
        <v>1433.7867433854576</v>
      </c>
      <c r="Q967" s="211">
        <f>IF($G967="PAX",Q16*'Insumos - OPEX'!M$51,Q16*'Insumos - OPEX'!M$76)</f>
        <v>1485.262102564672</v>
      </c>
      <c r="R967" s="211">
        <f>IF($G967="PAX",R16*'Insumos - OPEX'!N$51,R16*'Insumos - OPEX'!N$76)</f>
        <v>1530.7422121972372</v>
      </c>
      <c r="S967" s="111"/>
    </row>
    <row r="968" spans="1:19" x14ac:dyDescent="0.2">
      <c r="A968" s="8"/>
      <c r="B968" s="8" t="s">
        <v>301</v>
      </c>
      <c r="C968" s="8" t="s">
        <v>172</v>
      </c>
      <c r="D968" s="8">
        <v>6380000020</v>
      </c>
      <c r="E968" s="8" t="s">
        <v>308</v>
      </c>
      <c r="F968" s="73" t="s">
        <v>23</v>
      </c>
      <c r="G968" s="73" t="s">
        <v>136</v>
      </c>
      <c r="H968" s="112" t="s">
        <v>61</v>
      </c>
      <c r="I968" s="13" t="s">
        <v>22</v>
      </c>
      <c r="K968" s="187"/>
      <c r="L968" s="187"/>
      <c r="M968" s="188">
        <f>IF($G968="PAX",M17*'Insumos - OPEX'!I$51,M17*'Insumos - OPEX'!I$76)</f>
        <v>898.88452069790083</v>
      </c>
      <c r="N968" s="211">
        <f>IF($G968="PAX",N17*'Insumos - OPEX'!J$51,N17*'Insumos - OPEX'!J$76)</f>
        <v>909.35272007740036</v>
      </c>
      <c r="O968" s="211">
        <f>IF($G968="PAX",O17*'Insumos - OPEX'!K$51,O17*'Insumos - OPEX'!K$76)</f>
        <v>930.54201638568702</v>
      </c>
      <c r="P968" s="211">
        <f>IF($G968="PAX",P17*'Insumos - OPEX'!L$51,P17*'Insumos - OPEX'!L$76)</f>
        <v>950.2312233248889</v>
      </c>
      <c r="Q968" s="211">
        <f>IF($G968="PAX",Q17*'Insumos - OPEX'!M$51,Q17*'Insumos - OPEX'!M$76)</f>
        <v>984.34612482583202</v>
      </c>
      <c r="R968" s="211">
        <f>IF($G968="PAX",R17*'Insumos - OPEX'!N$51,R17*'Insumos - OPEX'!N$76)</f>
        <v>1014.4877204379237</v>
      </c>
      <c r="S968" s="111"/>
    </row>
    <row r="969" spans="1:19" x14ac:dyDescent="0.2">
      <c r="A969" s="8"/>
      <c r="B969" s="8" t="s">
        <v>301</v>
      </c>
      <c r="C969" s="8" t="s">
        <v>172</v>
      </c>
      <c r="D969" s="8">
        <v>6380000018</v>
      </c>
      <c r="E969" s="8" t="s">
        <v>309</v>
      </c>
      <c r="F969" s="73" t="s">
        <v>23</v>
      </c>
      <c r="G969" s="73" t="s">
        <v>136</v>
      </c>
      <c r="H969" s="112" t="s">
        <v>61</v>
      </c>
      <c r="I969" s="13" t="s">
        <v>22</v>
      </c>
      <c r="K969" s="187"/>
      <c r="L969" s="187"/>
      <c r="M969" s="188">
        <f>IF($G969="PAX",M18*'Insumos - OPEX'!I$51,M18*'Insumos - OPEX'!I$76)</f>
        <v>0</v>
      </c>
      <c r="N969" s="211">
        <f>IF($G969="PAX",N18*'Insumos - OPEX'!J$51,N18*'Insumos - OPEX'!J$76)</f>
        <v>0</v>
      </c>
      <c r="O969" s="211">
        <f>IF($G969="PAX",O18*'Insumos - OPEX'!K$51,O18*'Insumos - OPEX'!K$76)</f>
        <v>0</v>
      </c>
      <c r="P969" s="211">
        <f>IF($G969="PAX",P18*'Insumos - OPEX'!L$51,P18*'Insumos - OPEX'!L$76)</f>
        <v>0</v>
      </c>
      <c r="Q969" s="211">
        <f>IF($G969="PAX",Q18*'Insumos - OPEX'!M$51,Q18*'Insumos - OPEX'!M$76)</f>
        <v>0</v>
      </c>
      <c r="R969" s="211">
        <f>IF($G969="PAX",R18*'Insumos - OPEX'!N$51,R18*'Insumos - OPEX'!N$76)</f>
        <v>0</v>
      </c>
      <c r="S969" s="111"/>
    </row>
    <row r="970" spans="1:19" x14ac:dyDescent="0.2">
      <c r="A970" s="8"/>
      <c r="B970" s="8" t="s">
        <v>301</v>
      </c>
      <c r="C970" s="8" t="s">
        <v>172</v>
      </c>
      <c r="D970" s="8">
        <v>6380000031</v>
      </c>
      <c r="E970" s="8" t="s">
        <v>310</v>
      </c>
      <c r="F970" s="73" t="s">
        <v>23</v>
      </c>
      <c r="G970" s="73" t="s">
        <v>136</v>
      </c>
      <c r="H970" s="112" t="s">
        <v>61</v>
      </c>
      <c r="I970" s="13" t="s">
        <v>22</v>
      </c>
      <c r="K970" s="187"/>
      <c r="L970" s="187"/>
      <c r="M970" s="188">
        <f>IF($G970="PAX",M19*'Insumos - OPEX'!I$51,M19*'Insumos - OPEX'!I$76)</f>
        <v>0</v>
      </c>
      <c r="N970" s="211">
        <f>IF($G970="PAX",N19*'Insumos - OPEX'!J$51,N19*'Insumos - OPEX'!J$76)</f>
        <v>0</v>
      </c>
      <c r="O970" s="211">
        <f>IF($G970="PAX",O19*'Insumos - OPEX'!K$51,O19*'Insumos - OPEX'!K$76)</f>
        <v>0</v>
      </c>
      <c r="P970" s="211">
        <f>IF($G970="PAX",P19*'Insumos - OPEX'!L$51,P19*'Insumos - OPEX'!L$76)</f>
        <v>0</v>
      </c>
      <c r="Q970" s="211">
        <f>IF($G970="PAX",Q19*'Insumos - OPEX'!M$51,Q19*'Insumos - OPEX'!M$76)</f>
        <v>0</v>
      </c>
      <c r="R970" s="211">
        <f>IF($G970="PAX",R19*'Insumos - OPEX'!N$51,R19*'Insumos - OPEX'!N$76)</f>
        <v>0</v>
      </c>
      <c r="S970" s="111"/>
    </row>
    <row r="971" spans="1:19" x14ac:dyDescent="0.2">
      <c r="A971" s="8"/>
      <c r="B971" s="8" t="s">
        <v>301</v>
      </c>
      <c r="C971" s="8" t="s">
        <v>172</v>
      </c>
      <c r="D971" s="8">
        <v>6381000006</v>
      </c>
      <c r="E971" s="8" t="s">
        <v>311</v>
      </c>
      <c r="F971" s="73" t="s">
        <v>23</v>
      </c>
      <c r="G971" s="73" t="s">
        <v>136</v>
      </c>
      <c r="H971" s="112" t="s">
        <v>61</v>
      </c>
      <c r="I971" s="13" t="s">
        <v>22</v>
      </c>
      <c r="K971" s="187"/>
      <c r="L971" s="187"/>
      <c r="M971" s="188">
        <f>IF($G971="PAX",M20*'Insumos - OPEX'!I$51,M20*'Insumos - OPEX'!I$76)</f>
        <v>0</v>
      </c>
      <c r="N971" s="211">
        <f>IF($G971="PAX",N20*'Insumos - OPEX'!J$51,N20*'Insumos - OPEX'!J$76)</f>
        <v>0</v>
      </c>
      <c r="O971" s="211">
        <f>IF($G971="PAX",O20*'Insumos - OPEX'!K$51,O20*'Insumos - OPEX'!K$76)</f>
        <v>0</v>
      </c>
      <c r="P971" s="211">
        <f>IF($G971="PAX",P20*'Insumos - OPEX'!L$51,P20*'Insumos - OPEX'!L$76)</f>
        <v>0</v>
      </c>
      <c r="Q971" s="211">
        <f>IF($G971="PAX",Q20*'Insumos - OPEX'!M$51,Q20*'Insumos - OPEX'!M$76)</f>
        <v>0</v>
      </c>
      <c r="R971" s="211">
        <f>IF($G971="PAX",R20*'Insumos - OPEX'!N$51,R20*'Insumos - OPEX'!N$76)</f>
        <v>0</v>
      </c>
      <c r="S971" s="111"/>
    </row>
    <row r="972" spans="1:19" x14ac:dyDescent="0.2">
      <c r="A972" s="8"/>
      <c r="B972" s="8" t="s">
        <v>301</v>
      </c>
      <c r="C972" s="8" t="s">
        <v>172</v>
      </c>
      <c r="D972" s="8">
        <v>6380000014</v>
      </c>
      <c r="E972" s="8" t="s">
        <v>312</v>
      </c>
      <c r="F972" s="73" t="s">
        <v>23</v>
      </c>
      <c r="G972" s="73" t="s">
        <v>136</v>
      </c>
      <c r="H972" s="112" t="s">
        <v>61</v>
      </c>
      <c r="I972" s="13" t="s">
        <v>22</v>
      </c>
      <c r="K972" s="187"/>
      <c r="L972" s="187"/>
      <c r="M972" s="188">
        <f>IF($G972="PAX",M21*'Insumos - OPEX'!I$51,M21*'Insumos - OPEX'!I$76)</f>
        <v>0</v>
      </c>
      <c r="N972" s="211">
        <f>IF($G972="PAX",N21*'Insumos - OPEX'!J$51,N21*'Insumos - OPEX'!J$76)</f>
        <v>0</v>
      </c>
      <c r="O972" s="211">
        <f>IF($G972="PAX",O21*'Insumos - OPEX'!K$51,O21*'Insumos - OPEX'!K$76)</f>
        <v>0</v>
      </c>
      <c r="P972" s="211">
        <f>IF($G972="PAX",P21*'Insumos - OPEX'!L$51,P21*'Insumos - OPEX'!L$76)</f>
        <v>0</v>
      </c>
      <c r="Q972" s="211">
        <f>IF($G972="PAX",Q21*'Insumos - OPEX'!M$51,Q21*'Insumos - OPEX'!M$76)</f>
        <v>0</v>
      </c>
      <c r="R972" s="211">
        <f>IF($G972="PAX",R21*'Insumos - OPEX'!N$51,R21*'Insumos - OPEX'!N$76)</f>
        <v>0</v>
      </c>
      <c r="S972" s="111"/>
    </row>
    <row r="973" spans="1:19" x14ac:dyDescent="0.2">
      <c r="A973" s="8"/>
      <c r="B973" s="8" t="s">
        <v>301</v>
      </c>
      <c r="C973" s="8" t="s">
        <v>172</v>
      </c>
      <c r="D973" s="8">
        <v>6381000001</v>
      </c>
      <c r="E973" s="8" t="s">
        <v>313</v>
      </c>
      <c r="F973" s="73" t="s">
        <v>23</v>
      </c>
      <c r="G973" s="73" t="s">
        <v>136</v>
      </c>
      <c r="H973" s="112" t="s">
        <v>61</v>
      </c>
      <c r="I973" s="13" t="s">
        <v>22</v>
      </c>
      <c r="K973" s="187"/>
      <c r="L973" s="187"/>
      <c r="M973" s="188">
        <f>IF($G973="PAX",M22*'Insumos - OPEX'!I$51,M22*'Insumos - OPEX'!I$76)</f>
        <v>0</v>
      </c>
      <c r="N973" s="211">
        <f>IF($G973="PAX",N22*'Insumos - OPEX'!J$51,N22*'Insumos - OPEX'!J$76)</f>
        <v>0</v>
      </c>
      <c r="O973" s="211">
        <f>IF($G973="PAX",O22*'Insumos - OPEX'!K$51,O22*'Insumos - OPEX'!K$76)</f>
        <v>0</v>
      </c>
      <c r="P973" s="211">
        <f>IF($G973="PAX",P22*'Insumos - OPEX'!L$51,P22*'Insumos - OPEX'!L$76)</f>
        <v>0</v>
      </c>
      <c r="Q973" s="211">
        <f>IF($G973="PAX",Q22*'Insumos - OPEX'!M$51,Q22*'Insumos - OPEX'!M$76)</f>
        <v>0</v>
      </c>
      <c r="R973" s="211">
        <f>IF($G973="PAX",R22*'Insumos - OPEX'!N$51,R22*'Insumos - OPEX'!N$76)</f>
        <v>0</v>
      </c>
      <c r="S973" s="111"/>
    </row>
    <row r="974" spans="1:19" x14ac:dyDescent="0.2">
      <c r="A974" s="8"/>
      <c r="B974" s="8" t="s">
        <v>301</v>
      </c>
      <c r="C974" s="8" t="s">
        <v>172</v>
      </c>
      <c r="D974" s="8">
        <v>6380000026</v>
      </c>
      <c r="E974" s="8" t="s">
        <v>314</v>
      </c>
      <c r="F974" s="73" t="s">
        <v>23</v>
      </c>
      <c r="G974" s="73" t="s">
        <v>136</v>
      </c>
      <c r="H974" s="112" t="s">
        <v>61</v>
      </c>
      <c r="I974" s="13" t="s">
        <v>22</v>
      </c>
      <c r="J974" s="30"/>
      <c r="K974" s="187"/>
      <c r="L974" s="187"/>
      <c r="M974" s="188">
        <f>IF($G974="PAX",M23*'Insumos - OPEX'!I$51,M23*'Insumos - OPEX'!I$76)</f>
        <v>0</v>
      </c>
      <c r="N974" s="211">
        <f>IF($G974="PAX",N23*'Insumos - OPEX'!J$51,N23*'Insumos - OPEX'!J$76)</f>
        <v>0</v>
      </c>
      <c r="O974" s="211">
        <f>IF($G974="PAX",O23*'Insumos - OPEX'!K$51,O23*'Insumos - OPEX'!K$76)</f>
        <v>0</v>
      </c>
      <c r="P974" s="211">
        <f>IF($G974="PAX",P23*'Insumos - OPEX'!L$51,P23*'Insumos - OPEX'!L$76)</f>
        <v>0</v>
      </c>
      <c r="Q974" s="211">
        <f>IF($G974="PAX",Q23*'Insumos - OPEX'!M$51,Q23*'Insumos - OPEX'!M$76)</f>
        <v>0</v>
      </c>
      <c r="R974" s="211">
        <f>IF($G974="PAX",R23*'Insumos - OPEX'!N$51,R23*'Insumos - OPEX'!N$76)</f>
        <v>0</v>
      </c>
      <c r="S974" s="111"/>
    </row>
    <row r="975" spans="1:19" x14ac:dyDescent="0.2">
      <c r="A975" s="8"/>
      <c r="B975" s="8" t="s">
        <v>301</v>
      </c>
      <c r="C975" s="8" t="s">
        <v>172</v>
      </c>
      <c r="D975" s="8">
        <v>6381000003</v>
      </c>
      <c r="E975" s="8" t="s">
        <v>315</v>
      </c>
      <c r="F975" s="73" t="s">
        <v>23</v>
      </c>
      <c r="G975" s="73" t="s">
        <v>136</v>
      </c>
      <c r="H975" s="112" t="s">
        <v>61</v>
      </c>
      <c r="I975" s="13" t="s">
        <v>22</v>
      </c>
      <c r="K975" s="187"/>
      <c r="L975" s="187"/>
      <c r="M975" s="188">
        <f>IF($G975="PAX",M24*'Insumos - OPEX'!I$51,M24*'Insumos - OPEX'!I$76)</f>
        <v>0</v>
      </c>
      <c r="N975" s="211">
        <f>IF($G975="PAX",N24*'Insumos - OPEX'!J$51,N24*'Insumos - OPEX'!J$76)</f>
        <v>0</v>
      </c>
      <c r="O975" s="211">
        <f>IF($G975="PAX",O24*'Insumos - OPEX'!K$51,O24*'Insumos - OPEX'!K$76)</f>
        <v>0</v>
      </c>
      <c r="P975" s="211">
        <f>IF($G975="PAX",P24*'Insumos - OPEX'!L$51,P24*'Insumos - OPEX'!L$76)</f>
        <v>0</v>
      </c>
      <c r="Q975" s="211">
        <f>IF($G975="PAX",Q24*'Insumos - OPEX'!M$51,Q24*'Insumos - OPEX'!M$76)</f>
        <v>0</v>
      </c>
      <c r="R975" s="211">
        <f>IF($G975="PAX",R24*'Insumos - OPEX'!N$51,R24*'Insumos - OPEX'!N$76)</f>
        <v>0</v>
      </c>
      <c r="S975" s="111"/>
    </row>
    <row r="976" spans="1:19" x14ac:dyDescent="0.2">
      <c r="A976" s="8"/>
      <c r="B976" s="8" t="s">
        <v>301</v>
      </c>
      <c r="C976" s="8" t="s">
        <v>172</v>
      </c>
      <c r="D976" s="8">
        <v>6381000005</v>
      </c>
      <c r="E976" s="8" t="s">
        <v>316</v>
      </c>
      <c r="F976" s="73" t="s">
        <v>23</v>
      </c>
      <c r="G976" s="73" t="s">
        <v>136</v>
      </c>
      <c r="H976" s="112" t="s">
        <v>61</v>
      </c>
      <c r="I976" s="13" t="s">
        <v>22</v>
      </c>
      <c r="K976" s="187"/>
      <c r="L976" s="187"/>
      <c r="M976" s="188">
        <f>IF($G976="PAX",M25*'Insumos - OPEX'!I$51,M25*'Insumos - OPEX'!I$76)</f>
        <v>0</v>
      </c>
      <c r="N976" s="211">
        <f>IF($G976="PAX",N25*'Insumos - OPEX'!J$51,N25*'Insumos - OPEX'!J$76)</f>
        <v>0</v>
      </c>
      <c r="O976" s="211">
        <f>IF($G976="PAX",O25*'Insumos - OPEX'!K$51,O25*'Insumos - OPEX'!K$76)</f>
        <v>0</v>
      </c>
      <c r="P976" s="211">
        <f>IF($G976="PAX",P25*'Insumos - OPEX'!L$51,P25*'Insumos - OPEX'!L$76)</f>
        <v>0</v>
      </c>
      <c r="Q976" s="211">
        <f>IF($G976="PAX",Q25*'Insumos - OPEX'!M$51,Q25*'Insumos - OPEX'!M$76)</f>
        <v>0</v>
      </c>
      <c r="R976" s="211">
        <f>IF($G976="PAX",R25*'Insumos - OPEX'!N$51,R25*'Insumos - OPEX'!N$76)</f>
        <v>0</v>
      </c>
      <c r="S976" s="111"/>
    </row>
    <row r="977" spans="1:19" x14ac:dyDescent="0.2">
      <c r="A977" s="8"/>
      <c r="B977" s="8" t="s">
        <v>301</v>
      </c>
      <c r="C977" s="8" t="s">
        <v>172</v>
      </c>
      <c r="D977" s="8">
        <v>6380000017</v>
      </c>
      <c r="E977" s="8" t="s">
        <v>317</v>
      </c>
      <c r="F977" s="73" t="s">
        <v>23</v>
      </c>
      <c r="G977" s="73" t="s">
        <v>136</v>
      </c>
      <c r="H977" s="112" t="s">
        <v>61</v>
      </c>
      <c r="I977" s="13" t="s">
        <v>22</v>
      </c>
      <c r="K977" s="187"/>
      <c r="L977" s="187"/>
      <c r="M977" s="188">
        <f>IF($G977="PAX",M26*'Insumos - OPEX'!I$51,M26*'Insumos - OPEX'!I$76)</f>
        <v>0</v>
      </c>
      <c r="N977" s="211">
        <f>IF($G977="PAX",N26*'Insumos - OPEX'!J$51,N26*'Insumos - OPEX'!J$76)</f>
        <v>0</v>
      </c>
      <c r="O977" s="211">
        <f>IF($G977="PAX",O26*'Insumos - OPEX'!K$51,O26*'Insumos - OPEX'!K$76)</f>
        <v>0</v>
      </c>
      <c r="P977" s="211">
        <f>IF($G977="PAX",P26*'Insumos - OPEX'!L$51,P26*'Insumos - OPEX'!L$76)</f>
        <v>0</v>
      </c>
      <c r="Q977" s="211">
        <f>IF($G977="PAX",Q26*'Insumos - OPEX'!M$51,Q26*'Insumos - OPEX'!M$76)</f>
        <v>0</v>
      </c>
      <c r="R977" s="211">
        <f>IF($G977="PAX",R26*'Insumos - OPEX'!N$51,R26*'Insumos - OPEX'!N$76)</f>
        <v>0</v>
      </c>
      <c r="S977" s="111"/>
    </row>
    <row r="978" spans="1:19" x14ac:dyDescent="0.2">
      <c r="A978" s="8"/>
      <c r="B978" s="8" t="s">
        <v>301</v>
      </c>
      <c r="C978" s="8" t="s">
        <v>172</v>
      </c>
      <c r="D978" s="8">
        <v>6380000027</v>
      </c>
      <c r="E978" s="8" t="s">
        <v>318</v>
      </c>
      <c r="F978" s="73" t="s">
        <v>23</v>
      </c>
      <c r="G978" s="73" t="s">
        <v>136</v>
      </c>
      <c r="H978" s="112" t="s">
        <v>61</v>
      </c>
      <c r="I978" s="13" t="s">
        <v>22</v>
      </c>
      <c r="K978" s="187"/>
      <c r="L978" s="187"/>
      <c r="M978" s="188">
        <f>IF($G978="PAX",M27*'Insumos - OPEX'!I$51,M27*'Insumos - OPEX'!I$76)</f>
        <v>0</v>
      </c>
      <c r="N978" s="211">
        <f>IF($G978="PAX",N27*'Insumos - OPEX'!J$51,N27*'Insumos - OPEX'!J$76)</f>
        <v>0</v>
      </c>
      <c r="O978" s="211">
        <f>IF($G978="PAX",O27*'Insumos - OPEX'!K$51,O27*'Insumos - OPEX'!K$76)</f>
        <v>0</v>
      </c>
      <c r="P978" s="211">
        <f>IF($G978="PAX",P27*'Insumos - OPEX'!L$51,P27*'Insumos - OPEX'!L$76)</f>
        <v>0</v>
      </c>
      <c r="Q978" s="211">
        <f>IF($G978="PAX",Q27*'Insumos - OPEX'!M$51,Q27*'Insumos - OPEX'!M$76)</f>
        <v>0</v>
      </c>
      <c r="R978" s="211">
        <f>IF($G978="PAX",R27*'Insumos - OPEX'!N$51,R27*'Insumos - OPEX'!N$76)</f>
        <v>0</v>
      </c>
      <c r="S978" s="111"/>
    </row>
    <row r="979" spans="1:19" x14ac:dyDescent="0.2">
      <c r="A979" s="8"/>
      <c r="B979" s="8" t="s">
        <v>301</v>
      </c>
      <c r="C979" s="8" t="s">
        <v>172</v>
      </c>
      <c r="D979" s="8">
        <v>6380000025</v>
      </c>
      <c r="E979" s="8" t="s">
        <v>319</v>
      </c>
      <c r="F979" s="73" t="s">
        <v>23</v>
      </c>
      <c r="G979" s="73" t="s">
        <v>136</v>
      </c>
      <c r="H979" s="112" t="s">
        <v>61</v>
      </c>
      <c r="I979" s="13" t="s">
        <v>22</v>
      </c>
      <c r="K979" s="187"/>
      <c r="L979" s="187"/>
      <c r="M979" s="188">
        <f>IF($G979="PAX",M28*'Insumos - OPEX'!I$51,M28*'Insumos - OPEX'!I$76)</f>
        <v>0</v>
      </c>
      <c r="N979" s="211">
        <f>IF($G979="PAX",N28*'Insumos - OPEX'!J$51,N28*'Insumos - OPEX'!J$76)</f>
        <v>0</v>
      </c>
      <c r="O979" s="211">
        <f>IF($G979="PAX",O28*'Insumos - OPEX'!K$51,O28*'Insumos - OPEX'!K$76)</f>
        <v>0</v>
      </c>
      <c r="P979" s="211">
        <f>IF($G979="PAX",P28*'Insumos - OPEX'!L$51,P28*'Insumos - OPEX'!L$76)</f>
        <v>0</v>
      </c>
      <c r="Q979" s="211">
        <f>IF($G979="PAX",Q28*'Insumos - OPEX'!M$51,Q28*'Insumos - OPEX'!M$76)</f>
        <v>0</v>
      </c>
      <c r="R979" s="211">
        <f>IF($G979="PAX",R28*'Insumos - OPEX'!N$51,R28*'Insumos - OPEX'!N$76)</f>
        <v>0</v>
      </c>
      <c r="S979" s="111"/>
    </row>
    <row r="980" spans="1:19" x14ac:dyDescent="0.2">
      <c r="A980" s="8"/>
      <c r="B980" s="8" t="s">
        <v>301</v>
      </c>
      <c r="C980" s="8" t="s">
        <v>171</v>
      </c>
      <c r="D980" s="8">
        <v>6360000002</v>
      </c>
      <c r="E980" s="8" t="s">
        <v>320</v>
      </c>
      <c r="F980" s="73" t="s">
        <v>23</v>
      </c>
      <c r="G980" s="73" t="s">
        <v>471</v>
      </c>
      <c r="H980" s="112" t="s">
        <v>61</v>
      </c>
      <c r="I980" s="13" t="s">
        <v>22</v>
      </c>
      <c r="K980" s="187"/>
      <c r="L980" s="187"/>
      <c r="M980" s="188">
        <f>IF($G980="PAX",M29*'Insumos - OPEX'!I$51,M29*'Insumos - OPEX'!I$76)</f>
        <v>26545.62164193542</v>
      </c>
      <c r="N980" s="211">
        <f>IF($G980="PAX",N29*'Insumos - OPEX'!J$51,N29*'Insumos - OPEX'!J$76)</f>
        <v>27743.004522334861</v>
      </c>
      <c r="O980" s="211">
        <f>IF($G980="PAX",O29*'Insumos - OPEX'!K$51,O29*'Insumos - OPEX'!K$76)</f>
        <v>28961.796586252127</v>
      </c>
      <c r="P980" s="211">
        <f>IF($G980="PAX",P29*'Insumos - OPEX'!L$51,P29*'Insumos - OPEX'!L$76)</f>
        <v>30196.433578518718</v>
      </c>
      <c r="Q980" s="211">
        <f>IF($G980="PAX",Q29*'Insumos - OPEX'!M$51,Q29*'Insumos - OPEX'!M$76)</f>
        <v>31646.889468455447</v>
      </c>
      <c r="R980" s="211">
        <f>IF($G980="PAX",R29*'Insumos - OPEX'!N$51,R29*'Insumos - OPEX'!N$76)</f>
        <v>33092.98813915471</v>
      </c>
      <c r="S980" s="111"/>
    </row>
    <row r="981" spans="1:19" x14ac:dyDescent="0.2">
      <c r="A981" s="8"/>
      <c r="B981" s="8" t="s">
        <v>301</v>
      </c>
      <c r="C981" s="8" t="s">
        <v>171</v>
      </c>
      <c r="D981" s="8">
        <v>6380000009</v>
      </c>
      <c r="E981" s="8" t="s">
        <v>321</v>
      </c>
      <c r="F981" s="73" t="s">
        <v>23</v>
      </c>
      <c r="G981" s="73" t="s">
        <v>136</v>
      </c>
      <c r="H981" s="112" t="s">
        <v>61</v>
      </c>
      <c r="I981" s="13" t="s">
        <v>22</v>
      </c>
      <c r="K981" s="187"/>
      <c r="L981" s="187"/>
      <c r="M981" s="188">
        <f>IF($G981="PAX",M30*'Insumos - OPEX'!I$51,M30*'Insumos - OPEX'!I$76)</f>
        <v>57295.773456816532</v>
      </c>
      <c r="N981" s="211">
        <f>IF($G981="PAX",N30*'Insumos - OPEX'!J$51,N30*'Insumos - OPEX'!J$76)</f>
        <v>57963.026664918187</v>
      </c>
      <c r="O981" s="211">
        <f>IF($G981="PAX",O30*'Insumos - OPEX'!K$51,O30*'Insumos - OPEX'!K$76)</f>
        <v>59313.653016839737</v>
      </c>
      <c r="P981" s="211">
        <f>IF($G981="PAX",P30*'Insumos - OPEX'!L$51,P30*'Insumos - OPEX'!L$76)</f>
        <v>60568.662213635136</v>
      </c>
      <c r="Q981" s="211">
        <f>IF($G981="PAX",Q30*'Insumos - OPEX'!M$51,Q30*'Insumos - OPEX'!M$76)</f>
        <v>62743.179209858456</v>
      </c>
      <c r="R981" s="211">
        <f>IF($G981="PAX",R30*'Insumos - OPEX'!N$51,R30*'Insumos - OPEX'!N$76)</f>
        <v>64664.433824941319</v>
      </c>
      <c r="S981" s="111"/>
    </row>
    <row r="982" spans="1:19" x14ac:dyDescent="0.2">
      <c r="A982" s="8"/>
      <c r="B982" s="8" t="s">
        <v>301</v>
      </c>
      <c r="C982" s="8" t="s">
        <v>171</v>
      </c>
      <c r="D982" s="8">
        <v>6360000003</v>
      </c>
      <c r="E982" s="8" t="s">
        <v>322</v>
      </c>
      <c r="F982" s="73" t="s">
        <v>23</v>
      </c>
      <c r="G982" s="73" t="s">
        <v>471</v>
      </c>
      <c r="H982" s="112" t="s">
        <v>61</v>
      </c>
      <c r="I982" s="13" t="s">
        <v>22</v>
      </c>
      <c r="K982" s="187"/>
      <c r="L982" s="187"/>
      <c r="M982" s="188">
        <f>IF($G982="PAX",M31*'Insumos - OPEX'!I$51,M31*'Insumos - OPEX'!I$76)</f>
        <v>5472.7668161473321</v>
      </c>
      <c r="N982" s="211">
        <f>IF($G982="PAX",N31*'Insumos - OPEX'!J$51,N31*'Insumos - OPEX'!J$76)</f>
        <v>5719.6247493486735</v>
      </c>
      <c r="O982" s="211">
        <f>IF($G982="PAX",O31*'Insumos - OPEX'!K$51,O31*'Insumos - OPEX'!K$76)</f>
        <v>5970.8964977809246</v>
      </c>
      <c r="P982" s="211">
        <f>IF($G982="PAX",P31*'Insumos - OPEX'!L$51,P31*'Insumos - OPEX'!L$76)</f>
        <v>6225.4349091395188</v>
      </c>
      <c r="Q982" s="211">
        <f>IF($G982="PAX",Q31*'Insumos - OPEX'!M$51,Q31*'Insumos - OPEX'!M$76)</f>
        <v>6524.4675319126509</v>
      </c>
      <c r="R982" s="211">
        <f>IF($G982="PAX",R31*'Insumos - OPEX'!N$51,R31*'Insumos - OPEX'!N$76)</f>
        <v>6822.6018504315034</v>
      </c>
      <c r="S982" s="111"/>
    </row>
    <row r="983" spans="1:19" x14ac:dyDescent="0.2">
      <c r="A983" s="8"/>
      <c r="B983" s="8" t="s">
        <v>301</v>
      </c>
      <c r="C983" s="8" t="s">
        <v>171</v>
      </c>
      <c r="D983" s="8">
        <v>6380000008</v>
      </c>
      <c r="E983" s="8" t="s">
        <v>323</v>
      </c>
      <c r="F983" s="73" t="s">
        <v>23</v>
      </c>
      <c r="G983" s="73" t="s">
        <v>136</v>
      </c>
      <c r="H983" s="112" t="s">
        <v>61</v>
      </c>
      <c r="I983" s="13" t="s">
        <v>22</v>
      </c>
      <c r="K983" s="187"/>
      <c r="L983" s="187"/>
      <c r="M983" s="188">
        <f>IF($G983="PAX",M32*'Insumos - OPEX'!I$51,M32*'Insumos - OPEX'!I$76)</f>
        <v>21658.473921559253</v>
      </c>
      <c r="N983" s="211">
        <f>IF($G983="PAX",N32*'Insumos - OPEX'!J$51,N32*'Insumos - OPEX'!J$76)</f>
        <v>21910.703454993138</v>
      </c>
      <c r="O983" s="211">
        <f>IF($G983="PAX",O32*'Insumos - OPEX'!K$51,O32*'Insumos - OPEX'!K$76)</f>
        <v>22421.256046501676</v>
      </c>
      <c r="P983" s="211">
        <f>IF($G983="PAX",P32*'Insumos - OPEX'!L$51,P32*'Insumos - OPEX'!L$76)</f>
        <v>22895.664232658666</v>
      </c>
      <c r="Q983" s="211">
        <f>IF($G983="PAX",Q32*'Insumos - OPEX'!M$51,Q32*'Insumos - OPEX'!M$76)</f>
        <v>23717.657144407847</v>
      </c>
      <c r="R983" s="211">
        <f>IF($G983="PAX",R32*'Insumos - OPEX'!N$51,R32*'Insumos - OPEX'!N$76)</f>
        <v>24443.913907636812</v>
      </c>
      <c r="S983" s="111"/>
    </row>
    <row r="984" spans="1:19" x14ac:dyDescent="0.2">
      <c r="A984" s="8"/>
      <c r="B984" s="8" t="s">
        <v>301</v>
      </c>
      <c r="C984" s="8" t="s">
        <v>171</v>
      </c>
      <c r="D984" s="8">
        <v>6320000001</v>
      </c>
      <c r="E984" s="8" t="s">
        <v>324</v>
      </c>
      <c r="F984" s="73" t="s">
        <v>23</v>
      </c>
      <c r="G984" s="73" t="s">
        <v>136</v>
      </c>
      <c r="H984" s="112" t="s">
        <v>61</v>
      </c>
      <c r="I984" s="13" t="s">
        <v>22</v>
      </c>
      <c r="K984" s="187"/>
      <c r="L984" s="187"/>
      <c r="M984" s="188">
        <f>IF($G984="PAX",M33*'Insumos - OPEX'!I$51,M33*'Insumos - OPEX'!I$76)</f>
        <v>14912.531677285726</v>
      </c>
      <c r="N984" s="211">
        <f>IF($G984="PAX",N33*'Insumos - OPEX'!J$51,N33*'Insumos - OPEX'!J$76)</f>
        <v>15086.199541462236</v>
      </c>
      <c r="O984" s="211">
        <f>IF($G984="PAX",O33*'Insumos - OPEX'!K$51,O33*'Insumos - OPEX'!K$76)</f>
        <v>15437.730850702477</v>
      </c>
      <c r="P984" s="211">
        <f>IF($G984="PAX",P33*'Insumos - OPEX'!L$51,P33*'Insumos - OPEX'!L$76)</f>
        <v>15764.375614763509</v>
      </c>
      <c r="Q984" s="211">
        <f>IF($G984="PAX",Q33*'Insumos - OPEX'!M$51,Q33*'Insumos - OPEX'!M$76)</f>
        <v>16330.343253081839</v>
      </c>
      <c r="R984" s="211">
        <f>IF($G984="PAX",R33*'Insumos - OPEX'!N$51,R33*'Insumos - OPEX'!N$76)</f>
        <v>16830.393581037504</v>
      </c>
      <c r="S984" s="111"/>
    </row>
    <row r="985" spans="1:19" x14ac:dyDescent="0.2">
      <c r="A985" s="8"/>
      <c r="B985" s="8" t="s">
        <v>301</v>
      </c>
      <c r="C985" s="8" t="s">
        <v>171</v>
      </c>
      <c r="D985" s="8">
        <v>6320000003</v>
      </c>
      <c r="E985" s="8" t="s">
        <v>325</v>
      </c>
      <c r="F985" s="73" t="s">
        <v>23</v>
      </c>
      <c r="G985" s="73" t="s">
        <v>136</v>
      </c>
      <c r="H985" s="112" t="s">
        <v>61</v>
      </c>
      <c r="I985" s="13" t="s">
        <v>22</v>
      </c>
      <c r="K985" s="187"/>
      <c r="L985" s="187"/>
      <c r="M985" s="188">
        <f>IF($G985="PAX",M34*'Insumos - OPEX'!I$51,M34*'Insumos - OPEX'!I$76)</f>
        <v>6435.2281347962762</v>
      </c>
      <c r="N985" s="211">
        <f>IF($G985="PAX",N34*'Insumos - OPEX'!J$51,N34*'Insumos - OPEX'!J$76)</f>
        <v>6510.1713000376913</v>
      </c>
      <c r="O985" s="211">
        <f>IF($G985="PAX",O34*'Insumos - OPEX'!K$51,O34*'Insumos - OPEX'!K$76)</f>
        <v>6661.8681561074263</v>
      </c>
      <c r="P985" s="211">
        <f>IF($G985="PAX",P34*'Insumos - OPEX'!L$51,P34*'Insumos - OPEX'!L$76)</f>
        <v>6802.8256823852198</v>
      </c>
      <c r="Q985" s="211">
        <f>IF($G985="PAX",Q34*'Insumos - OPEX'!M$51,Q34*'Insumos - OPEX'!M$76)</f>
        <v>7047.0585831634235</v>
      </c>
      <c r="R985" s="211">
        <f>IF($G985="PAX",R34*'Insumos - OPEX'!N$51,R34*'Insumos - OPEX'!N$76)</f>
        <v>7262.8460838314586</v>
      </c>
      <c r="S985" s="111"/>
    </row>
    <row r="986" spans="1:19" x14ac:dyDescent="0.2">
      <c r="A986" s="8"/>
      <c r="B986" s="8" t="s">
        <v>301</v>
      </c>
      <c r="C986" s="8" t="s">
        <v>171</v>
      </c>
      <c r="D986" s="8">
        <v>6380000030</v>
      </c>
      <c r="E986" s="8" t="s">
        <v>326</v>
      </c>
      <c r="F986" s="73" t="s">
        <v>23</v>
      </c>
      <c r="G986" s="73" t="s">
        <v>136</v>
      </c>
      <c r="H986" s="112" t="s">
        <v>61</v>
      </c>
      <c r="I986" s="13" t="s">
        <v>22</v>
      </c>
      <c r="K986" s="187"/>
      <c r="L986" s="187"/>
      <c r="M986" s="188">
        <f>IF($G986="PAX",M35*'Insumos - OPEX'!I$51,M35*'Insumos - OPEX'!I$76)</f>
        <v>13295.593181220656</v>
      </c>
      <c r="N986" s="211">
        <f>IF($G986="PAX",N35*'Insumos - OPEX'!J$51,N35*'Insumos - OPEX'!J$76)</f>
        <v>13450.430556973521</v>
      </c>
      <c r="O986" s="211">
        <f>IF($G986="PAX",O35*'Insumos - OPEX'!K$51,O35*'Insumos - OPEX'!K$76)</f>
        <v>13763.845970215467</v>
      </c>
      <c r="P986" s="211">
        <f>IF($G986="PAX",P35*'Insumos - OPEX'!L$51,P35*'Insumos - OPEX'!L$76)</f>
        <v>14055.07324078994</v>
      </c>
      <c r="Q986" s="211">
        <f>IF($G986="PAX",Q35*'Insumos - OPEX'!M$51,Q35*'Insumos - OPEX'!M$76)</f>
        <v>14559.674044708325</v>
      </c>
      <c r="R986" s="211">
        <f>IF($G986="PAX",R35*'Insumos - OPEX'!N$51,R35*'Insumos - OPEX'!N$76)</f>
        <v>15005.504831492917</v>
      </c>
      <c r="S986" s="111"/>
    </row>
    <row r="987" spans="1:19" x14ac:dyDescent="0.2">
      <c r="A987" s="8"/>
      <c r="B987" s="8" t="s">
        <v>301</v>
      </c>
      <c r="C987" s="8" t="s">
        <v>171</v>
      </c>
      <c r="D987" s="8">
        <v>6380000015</v>
      </c>
      <c r="E987" s="8" t="s">
        <v>327</v>
      </c>
      <c r="F987" s="73" t="s">
        <v>23</v>
      </c>
      <c r="G987" s="73" t="s">
        <v>136</v>
      </c>
      <c r="H987" s="112" t="s">
        <v>61</v>
      </c>
      <c r="I987" s="13" t="s">
        <v>22</v>
      </c>
      <c r="K987" s="187"/>
      <c r="L987" s="187"/>
      <c r="M987" s="188">
        <f>IF($G987="PAX",M36*'Insumos - OPEX'!I$51,M36*'Insumos - OPEX'!I$76)</f>
        <v>1690.3443618199819</v>
      </c>
      <c r="N987" s="211">
        <f>IF($G987="PAX",N36*'Insumos - OPEX'!J$51,N36*'Insumos - OPEX'!J$76)</f>
        <v>1710.0297178274545</v>
      </c>
      <c r="O987" s="211">
        <f>IF($G987="PAX",O36*'Insumos - OPEX'!K$51,O36*'Insumos - OPEX'!K$76)</f>
        <v>1749.8760014388763</v>
      </c>
      <c r="P987" s="211">
        <f>IF($G987="PAX",P36*'Insumos - OPEX'!L$51,P36*'Insumos - OPEX'!L$76)</f>
        <v>1786.9013803079511</v>
      </c>
      <c r="Q987" s="211">
        <f>IF($G987="PAX",Q36*'Insumos - OPEX'!M$51,Q36*'Insumos - OPEX'!M$76)</f>
        <v>1851.0541497442196</v>
      </c>
      <c r="R987" s="211">
        <f>IF($G987="PAX",R36*'Insumos - OPEX'!N$51,R36*'Insumos - OPEX'!N$76)</f>
        <v>1907.7351527273388</v>
      </c>
      <c r="S987" s="111"/>
    </row>
    <row r="988" spans="1:19" x14ac:dyDescent="0.2">
      <c r="A988" s="8"/>
      <c r="B988" s="8" t="s">
        <v>301</v>
      </c>
      <c r="C988" s="8" t="s">
        <v>171</v>
      </c>
      <c r="D988" s="8">
        <v>6380000022</v>
      </c>
      <c r="E988" s="8" t="s">
        <v>328</v>
      </c>
      <c r="F988" s="73" t="s">
        <v>23</v>
      </c>
      <c r="G988" s="73" t="s">
        <v>136</v>
      </c>
      <c r="H988" s="112" t="s">
        <v>61</v>
      </c>
      <c r="I988" s="13" t="s">
        <v>22</v>
      </c>
      <c r="K988" s="187"/>
      <c r="L988" s="187"/>
      <c r="M988" s="188">
        <f>IF($G988="PAX",M37*'Insumos - OPEX'!I$51,M37*'Insumos - OPEX'!I$76)</f>
        <v>719.54048486749969</v>
      </c>
      <c r="N988" s="211">
        <f>IF($G988="PAX",N37*'Insumos - OPEX'!J$51,N37*'Insumos - OPEX'!J$76)</f>
        <v>727.92008545442127</v>
      </c>
      <c r="O988" s="211">
        <f>IF($G988="PAX",O37*'Insumos - OPEX'!K$51,O37*'Insumos - OPEX'!K$76)</f>
        <v>744.88172645345435</v>
      </c>
      <c r="P988" s="211">
        <f>IF($G988="PAX",P37*'Insumos - OPEX'!L$51,P37*'Insumos - OPEX'!L$76)</f>
        <v>760.64257357171402</v>
      </c>
      <c r="Q988" s="211">
        <f>IF($G988="PAX",Q37*'Insumos - OPEX'!M$51,Q37*'Insumos - OPEX'!M$76)</f>
        <v>787.95092320058188</v>
      </c>
      <c r="R988" s="211">
        <f>IF($G988="PAX",R37*'Insumos - OPEX'!N$51,R37*'Insumos - OPEX'!N$76)</f>
        <v>812.07871472664567</v>
      </c>
      <c r="S988" s="111"/>
    </row>
    <row r="989" spans="1:19" x14ac:dyDescent="0.2">
      <c r="A989" s="8"/>
      <c r="B989" s="8" t="s">
        <v>301</v>
      </c>
      <c r="C989" s="8" t="s">
        <v>171</v>
      </c>
      <c r="D989" s="8">
        <v>6380000007</v>
      </c>
      <c r="E989" s="8" t="s">
        <v>329</v>
      </c>
      <c r="F989" s="73" t="s">
        <v>23</v>
      </c>
      <c r="G989" s="73" t="s">
        <v>471</v>
      </c>
      <c r="H989" s="112" t="s">
        <v>61</v>
      </c>
      <c r="I989" s="13" t="s">
        <v>22</v>
      </c>
      <c r="K989" s="187"/>
      <c r="L989" s="187"/>
      <c r="M989" s="188">
        <f>IF($G989="PAX",M38*'Insumos - OPEX'!I$51,M38*'Insumos - OPEX'!I$76)</f>
        <v>105.74126855739264</v>
      </c>
      <c r="N989" s="211">
        <f>IF($G989="PAX",N38*'Insumos - OPEX'!J$51,N38*'Insumos - OPEX'!J$76)</f>
        <v>110.5108982323039</v>
      </c>
      <c r="O989" s="211">
        <f>IF($G989="PAX",O38*'Insumos - OPEX'!K$51,O38*'Insumos - OPEX'!K$76)</f>
        <v>115.36580879663974</v>
      </c>
      <c r="P989" s="211">
        <f>IF($G989="PAX",P38*'Insumos - OPEX'!L$51,P38*'Insumos - OPEX'!L$76)</f>
        <v>120.283835713889</v>
      </c>
      <c r="Q989" s="211">
        <f>IF($G989="PAX",Q38*'Insumos - OPEX'!M$51,Q38*'Insumos - OPEX'!M$76)</f>
        <v>126.0615510696357</v>
      </c>
      <c r="R989" s="211">
        <f>IF($G989="PAX",R38*'Insumos - OPEX'!N$51,R38*'Insumos - OPEX'!N$76)</f>
        <v>131.82190997030412</v>
      </c>
      <c r="S989" s="111"/>
    </row>
    <row r="990" spans="1:19" x14ac:dyDescent="0.2">
      <c r="A990" s="8"/>
      <c r="B990" s="8" t="s">
        <v>301</v>
      </c>
      <c r="C990" s="8" t="s">
        <v>171</v>
      </c>
      <c r="D990" s="8">
        <v>6380000021</v>
      </c>
      <c r="E990" s="8" t="s">
        <v>330</v>
      </c>
      <c r="F990" s="73" t="s">
        <v>23</v>
      </c>
      <c r="G990" s="73" t="s">
        <v>136</v>
      </c>
      <c r="H990" s="112" t="s">
        <v>61</v>
      </c>
      <c r="I990" s="13" t="s">
        <v>22</v>
      </c>
      <c r="K990" s="187"/>
      <c r="L990" s="187"/>
      <c r="M990" s="188">
        <f>IF($G990="PAX",M39*'Insumos - OPEX'!I$51,M39*'Insumos - OPEX'!I$76)</f>
        <v>320.68177618558087</v>
      </c>
      <c r="N990" s="211">
        <f>IF($G990="PAX",N39*'Insumos - OPEX'!J$51,N39*'Insumos - OPEX'!J$76)</f>
        <v>324.41636132214143</v>
      </c>
      <c r="O990" s="211">
        <f>IF($G990="PAX",O39*'Insumos - OPEX'!K$51,O39*'Insumos - OPEX'!K$76)</f>
        <v>331.97575412488789</v>
      </c>
      <c r="P990" s="211">
        <f>IF($G990="PAX",P39*'Insumos - OPEX'!L$51,P39*'Insumos - OPEX'!L$76)</f>
        <v>338.99998216259678</v>
      </c>
      <c r="Q990" s="211">
        <f>IF($G990="PAX",Q39*'Insumos - OPEX'!M$51,Q39*'Insumos - OPEX'!M$76)</f>
        <v>351.17065253883669</v>
      </c>
      <c r="R990" s="211">
        <f>IF($G990="PAX",R39*'Insumos - OPEX'!N$51,R39*'Insumos - OPEX'!N$76)</f>
        <v>361.9238251604416</v>
      </c>
      <c r="S990" s="111"/>
    </row>
    <row r="991" spans="1:19" x14ac:dyDescent="0.2">
      <c r="A991" s="8"/>
      <c r="B991" s="8" t="s">
        <v>301</v>
      </c>
      <c r="C991" s="8" t="s">
        <v>171</v>
      </c>
      <c r="D991" s="8">
        <v>6360000001</v>
      </c>
      <c r="E991" s="8" t="s">
        <v>331</v>
      </c>
      <c r="F991" s="73" t="s">
        <v>23</v>
      </c>
      <c r="G991" s="73" t="s">
        <v>136</v>
      </c>
      <c r="H991" s="112" t="s">
        <v>61</v>
      </c>
      <c r="I991" s="13" t="s">
        <v>22</v>
      </c>
      <c r="K991" s="187"/>
      <c r="L991" s="187"/>
      <c r="M991" s="188">
        <f>IF($G991="PAX",M40*'Insumos - OPEX'!I$51,M40*'Insumos - OPEX'!I$76)</f>
        <v>230.11402027885958</v>
      </c>
      <c r="N991" s="211">
        <f>IF($G991="PAX",N40*'Insumos - OPEX'!J$51,N40*'Insumos - OPEX'!J$76)</f>
        <v>232.79387446349614</v>
      </c>
      <c r="O991" s="211">
        <f>IF($G991="PAX",O40*'Insumos - OPEX'!K$51,O40*'Insumos - OPEX'!K$76)</f>
        <v>238.21832448806009</v>
      </c>
      <c r="P991" s="211">
        <f>IF($G991="PAX",P40*'Insumos - OPEX'!L$51,P40*'Insumos - OPEX'!L$76)</f>
        <v>243.25875233007525</v>
      </c>
      <c r="Q991" s="211">
        <f>IF($G991="PAX",Q40*'Insumos - OPEX'!M$51,Q40*'Insumos - OPEX'!M$76)</f>
        <v>251.99215128737873</v>
      </c>
      <c r="R991" s="211">
        <f>IF($G991="PAX",R40*'Insumos - OPEX'!N$51,R40*'Insumos - OPEX'!N$76)</f>
        <v>259.70838578047352</v>
      </c>
      <c r="S991" s="111"/>
    </row>
    <row r="992" spans="1:19" x14ac:dyDescent="0.2">
      <c r="A992" s="8"/>
      <c r="B992" s="8" t="s">
        <v>301</v>
      </c>
      <c r="C992" s="8" t="s">
        <v>171</v>
      </c>
      <c r="D992" s="8">
        <v>6380000010</v>
      </c>
      <c r="E992" s="8" t="s">
        <v>332</v>
      </c>
      <c r="F992" s="73" t="s">
        <v>23</v>
      </c>
      <c r="G992" s="73" t="s">
        <v>136</v>
      </c>
      <c r="H992" s="112" t="s">
        <v>61</v>
      </c>
      <c r="I992" s="13" t="s">
        <v>22</v>
      </c>
      <c r="K992" s="187"/>
      <c r="L992" s="187"/>
      <c r="M992" s="188">
        <f>IF($G992="PAX",M41*'Insumos - OPEX'!I$51,M41*'Insumos - OPEX'!I$76)</f>
        <v>0.48038895706258883</v>
      </c>
      <c r="N992" s="211">
        <f>IF($G992="PAX",N41*'Insumos - OPEX'!J$51,N41*'Insumos - OPEX'!J$76)</f>
        <v>0.48598345476106586</v>
      </c>
      <c r="O992" s="211">
        <f>IF($G992="PAX",O41*'Insumos - OPEX'!K$51,O41*'Insumos - OPEX'!K$76)</f>
        <v>0.49730760566147841</v>
      </c>
      <c r="P992" s="211">
        <f>IF($G992="PAX",P41*'Insumos - OPEX'!L$51,P41*'Insumos - OPEX'!L$76)</f>
        <v>0.50783006696670696</v>
      </c>
      <c r="Q992" s="211">
        <f>IF($G992="PAX",Q41*'Insumos - OPEX'!M$51,Q41*'Insumos - OPEX'!M$76)</f>
        <v>0.52606202176731576</v>
      </c>
      <c r="R992" s="211">
        <f>IF($G992="PAX",R41*'Insumos - OPEX'!N$51,R41*'Insumos - OPEX'!N$76)</f>
        <v>0.54217053108846081</v>
      </c>
      <c r="S992" s="111"/>
    </row>
    <row r="993" spans="1:19" x14ac:dyDescent="0.2">
      <c r="A993" s="8"/>
      <c r="B993" s="8" t="s">
        <v>301</v>
      </c>
      <c r="C993" s="8" t="s">
        <v>171</v>
      </c>
      <c r="D993" s="8">
        <v>6380000002</v>
      </c>
      <c r="E993" s="8" t="s">
        <v>333</v>
      </c>
      <c r="F993" s="73" t="s">
        <v>23</v>
      </c>
      <c r="G993" s="73" t="s">
        <v>136</v>
      </c>
      <c r="H993" s="112" t="s">
        <v>61</v>
      </c>
      <c r="I993" s="13" t="s">
        <v>22</v>
      </c>
      <c r="K993" s="187"/>
      <c r="L993" s="187"/>
      <c r="M993" s="188">
        <f>IF($G993="PAX",M42*'Insumos - OPEX'!I$51,M42*'Insumos - OPEX'!I$76)</f>
        <v>0</v>
      </c>
      <c r="N993" s="211">
        <f>IF($G993="PAX",N42*'Insumos - OPEX'!J$51,N42*'Insumos - OPEX'!J$76)</f>
        <v>0</v>
      </c>
      <c r="O993" s="211">
        <f>IF($G993="PAX",O42*'Insumos - OPEX'!K$51,O42*'Insumos - OPEX'!K$76)</f>
        <v>0</v>
      </c>
      <c r="P993" s="211">
        <f>IF($G993="PAX",P42*'Insumos - OPEX'!L$51,P42*'Insumos - OPEX'!L$76)</f>
        <v>0</v>
      </c>
      <c r="Q993" s="211">
        <f>IF($G993="PAX",Q42*'Insumos - OPEX'!M$51,Q42*'Insumos - OPEX'!M$76)</f>
        <v>0</v>
      </c>
      <c r="R993" s="211">
        <f>IF($G993="PAX",R42*'Insumos - OPEX'!N$51,R42*'Insumos - OPEX'!N$76)</f>
        <v>0</v>
      </c>
      <c r="S993" s="111"/>
    </row>
    <row r="994" spans="1:19" x14ac:dyDescent="0.2">
      <c r="A994" s="8"/>
      <c r="B994" s="8" t="s">
        <v>301</v>
      </c>
      <c r="C994" s="8" t="s">
        <v>171</v>
      </c>
      <c r="D994" s="8">
        <v>6357000001</v>
      </c>
      <c r="E994" s="8" t="s">
        <v>334</v>
      </c>
      <c r="F994" s="73" t="s">
        <v>23</v>
      </c>
      <c r="G994" s="73" t="s">
        <v>136</v>
      </c>
      <c r="H994" s="112" t="s">
        <v>61</v>
      </c>
      <c r="I994" s="13" t="s">
        <v>22</v>
      </c>
      <c r="K994" s="187"/>
      <c r="L994" s="187"/>
      <c r="M994" s="188">
        <f>IF($G994="PAX",M43*'Insumos - OPEX'!I$51,M43*'Insumos - OPEX'!I$76)</f>
        <v>0</v>
      </c>
      <c r="N994" s="211">
        <f>IF($G994="PAX",N43*'Insumos - OPEX'!J$51,N43*'Insumos - OPEX'!J$76)</f>
        <v>0</v>
      </c>
      <c r="O994" s="211">
        <f>IF($G994="PAX",O43*'Insumos - OPEX'!K$51,O43*'Insumos - OPEX'!K$76)</f>
        <v>0</v>
      </c>
      <c r="P994" s="211">
        <f>IF($G994="PAX",P43*'Insumos - OPEX'!L$51,P43*'Insumos - OPEX'!L$76)</f>
        <v>0</v>
      </c>
      <c r="Q994" s="211">
        <f>IF($G994="PAX",Q43*'Insumos - OPEX'!M$51,Q43*'Insumos - OPEX'!M$76)</f>
        <v>0</v>
      </c>
      <c r="R994" s="211">
        <f>IF($G994="PAX",R43*'Insumos - OPEX'!N$51,R43*'Insumos - OPEX'!N$76)</f>
        <v>0</v>
      </c>
      <c r="S994" s="111"/>
    </row>
    <row r="995" spans="1:19" x14ac:dyDescent="0.2">
      <c r="A995" s="8"/>
      <c r="B995" s="8" t="s">
        <v>301</v>
      </c>
      <c r="C995" s="8" t="s">
        <v>171</v>
      </c>
      <c r="D995" s="8">
        <v>6358000001</v>
      </c>
      <c r="E995" s="8" t="s">
        <v>335</v>
      </c>
      <c r="F995" s="73" t="s">
        <v>23</v>
      </c>
      <c r="G995" s="73" t="s">
        <v>136</v>
      </c>
      <c r="H995" s="112" t="s">
        <v>61</v>
      </c>
      <c r="I995" s="13" t="s">
        <v>22</v>
      </c>
      <c r="K995" s="187"/>
      <c r="L995" s="187"/>
      <c r="M995" s="188">
        <f>IF($G995="PAX",M44*'Insumos - OPEX'!I$51,M44*'Insumos - OPEX'!I$76)</f>
        <v>0</v>
      </c>
      <c r="N995" s="211">
        <f>IF($G995="PAX",N44*'Insumos - OPEX'!J$51,N44*'Insumos - OPEX'!J$76)</f>
        <v>0</v>
      </c>
      <c r="O995" s="211">
        <f>IF($G995="PAX",O44*'Insumos - OPEX'!K$51,O44*'Insumos - OPEX'!K$76)</f>
        <v>0</v>
      </c>
      <c r="P995" s="211">
        <f>IF($G995="PAX",P44*'Insumos - OPEX'!L$51,P44*'Insumos - OPEX'!L$76)</f>
        <v>0</v>
      </c>
      <c r="Q995" s="211">
        <f>IF($G995="PAX",Q44*'Insumos - OPEX'!M$51,Q44*'Insumos - OPEX'!M$76)</f>
        <v>0</v>
      </c>
      <c r="R995" s="211">
        <f>IF($G995="PAX",R44*'Insumos - OPEX'!N$51,R44*'Insumos - OPEX'!N$76)</f>
        <v>0</v>
      </c>
      <c r="S995" s="111"/>
    </row>
    <row r="996" spans="1:19" s="3" customFormat="1" x14ac:dyDescent="0.2">
      <c r="A996" s="8"/>
      <c r="B996" s="8" t="s">
        <v>301</v>
      </c>
      <c r="C996" s="8" t="s">
        <v>171</v>
      </c>
      <c r="D996" s="8">
        <v>6354000001</v>
      </c>
      <c r="E996" s="8" t="s">
        <v>336</v>
      </c>
      <c r="F996" s="73" t="s">
        <v>23</v>
      </c>
      <c r="G996" s="73" t="s">
        <v>136</v>
      </c>
      <c r="H996" s="112" t="s">
        <v>61</v>
      </c>
      <c r="I996" s="13" t="s">
        <v>22</v>
      </c>
      <c r="J996" s="11"/>
      <c r="K996" s="187"/>
      <c r="L996" s="187"/>
      <c r="M996" s="188">
        <f>IF($G996="PAX",M45*'Insumos - OPEX'!I$51,M45*'Insumos - OPEX'!I$76)</f>
        <v>0</v>
      </c>
      <c r="N996" s="211">
        <f>IF($G996="PAX",N45*'Insumos - OPEX'!J$51,N45*'Insumos - OPEX'!J$76)</f>
        <v>0</v>
      </c>
      <c r="O996" s="211">
        <f>IF($G996="PAX",O45*'Insumos - OPEX'!K$51,O45*'Insumos - OPEX'!K$76)</f>
        <v>0</v>
      </c>
      <c r="P996" s="211">
        <f>IF($G996="PAX",P45*'Insumos - OPEX'!L$51,P45*'Insumos - OPEX'!L$76)</f>
        <v>0</v>
      </c>
      <c r="Q996" s="211">
        <f>IF($G996="PAX",Q45*'Insumos - OPEX'!M$51,Q45*'Insumos - OPEX'!M$76)</f>
        <v>0</v>
      </c>
      <c r="R996" s="211">
        <f>IF($G996="PAX",R45*'Insumos - OPEX'!N$51,R45*'Insumos - OPEX'!N$76)</f>
        <v>0</v>
      </c>
      <c r="S996" s="111"/>
    </row>
    <row r="997" spans="1:19" s="3" customFormat="1" x14ac:dyDescent="0.2">
      <c r="A997" s="8"/>
      <c r="B997" s="8" t="s">
        <v>301</v>
      </c>
      <c r="C997" s="8" t="s">
        <v>171</v>
      </c>
      <c r="D997" s="8">
        <v>6356000002</v>
      </c>
      <c r="E997" s="8" t="s">
        <v>337</v>
      </c>
      <c r="F997" s="73" t="s">
        <v>23</v>
      </c>
      <c r="G997" s="73" t="s">
        <v>136</v>
      </c>
      <c r="H997" s="112" t="s">
        <v>61</v>
      </c>
      <c r="I997" s="13" t="s">
        <v>22</v>
      </c>
      <c r="J997" s="11"/>
      <c r="K997" s="187"/>
      <c r="L997" s="187"/>
      <c r="M997" s="188">
        <f>IF($G997="PAX",M46*'Insumos - OPEX'!I$51,M46*'Insumos - OPEX'!I$76)</f>
        <v>0</v>
      </c>
      <c r="N997" s="211">
        <f>IF($G997="PAX",N46*'Insumos - OPEX'!J$51,N46*'Insumos - OPEX'!J$76)</f>
        <v>0</v>
      </c>
      <c r="O997" s="211">
        <f>IF($G997="PAX",O46*'Insumos - OPEX'!K$51,O46*'Insumos - OPEX'!K$76)</f>
        <v>0</v>
      </c>
      <c r="P997" s="211">
        <f>IF($G997="PAX",P46*'Insumos - OPEX'!L$51,P46*'Insumos - OPEX'!L$76)</f>
        <v>0</v>
      </c>
      <c r="Q997" s="211">
        <f>IF($G997="PAX",Q46*'Insumos - OPEX'!M$51,Q46*'Insumos - OPEX'!M$76)</f>
        <v>0</v>
      </c>
      <c r="R997" s="211">
        <f>IF($G997="PAX",R46*'Insumos - OPEX'!N$51,R46*'Insumos - OPEX'!N$76)</f>
        <v>0</v>
      </c>
      <c r="S997" s="111"/>
    </row>
    <row r="998" spans="1:19" x14ac:dyDescent="0.2">
      <c r="A998" s="8"/>
      <c r="B998" s="8" t="s">
        <v>301</v>
      </c>
      <c r="C998" s="8" t="s">
        <v>171</v>
      </c>
      <c r="D998" s="8">
        <v>6370000002</v>
      </c>
      <c r="E998" s="8" t="s">
        <v>338</v>
      </c>
      <c r="F998" s="73" t="s">
        <v>23</v>
      </c>
      <c r="G998" s="73" t="s">
        <v>136</v>
      </c>
      <c r="H998" s="112" t="s">
        <v>61</v>
      </c>
      <c r="I998" s="13" t="s">
        <v>22</v>
      </c>
      <c r="K998" s="187"/>
      <c r="L998" s="187"/>
      <c r="M998" s="188">
        <f>IF($G998="PAX",M47*'Insumos - OPEX'!I$51,M47*'Insumos - OPEX'!I$76)</f>
        <v>0</v>
      </c>
      <c r="N998" s="211">
        <f>IF($G998="PAX",N47*'Insumos - OPEX'!J$51,N47*'Insumos - OPEX'!J$76)</f>
        <v>0</v>
      </c>
      <c r="O998" s="211">
        <f>IF($G998="PAX",O47*'Insumos - OPEX'!K$51,O47*'Insumos - OPEX'!K$76)</f>
        <v>0</v>
      </c>
      <c r="P998" s="211">
        <f>IF($G998="PAX",P47*'Insumos - OPEX'!L$51,P47*'Insumos - OPEX'!L$76)</f>
        <v>0</v>
      </c>
      <c r="Q998" s="211">
        <f>IF($G998="PAX",Q47*'Insumos - OPEX'!M$51,Q47*'Insumos - OPEX'!M$76)</f>
        <v>0</v>
      </c>
      <c r="R998" s="211">
        <f>IF($G998="PAX",R47*'Insumos - OPEX'!N$51,R47*'Insumos - OPEX'!N$76)</f>
        <v>0</v>
      </c>
      <c r="S998" s="111"/>
    </row>
    <row r="999" spans="1:19" x14ac:dyDescent="0.2">
      <c r="A999" s="8"/>
      <c r="B999" s="8" t="s">
        <v>301</v>
      </c>
      <c r="C999" s="8" t="s">
        <v>171</v>
      </c>
      <c r="D999" s="8">
        <v>6370000003</v>
      </c>
      <c r="E999" s="8" t="s">
        <v>339</v>
      </c>
      <c r="F999" s="73" t="s">
        <v>23</v>
      </c>
      <c r="G999" s="73" t="s">
        <v>136</v>
      </c>
      <c r="H999" s="112" t="s">
        <v>61</v>
      </c>
      <c r="I999" s="13" t="s">
        <v>22</v>
      </c>
      <c r="K999" s="187"/>
      <c r="L999" s="187"/>
      <c r="M999" s="188">
        <f>IF($G999="PAX",M48*'Insumos - OPEX'!I$51,M48*'Insumos - OPEX'!I$76)</f>
        <v>0</v>
      </c>
      <c r="N999" s="211">
        <f>IF($G999="PAX",N48*'Insumos - OPEX'!J$51,N48*'Insumos - OPEX'!J$76)</f>
        <v>0</v>
      </c>
      <c r="O999" s="211">
        <f>IF($G999="PAX",O48*'Insumos - OPEX'!K$51,O48*'Insumos - OPEX'!K$76)</f>
        <v>0</v>
      </c>
      <c r="P999" s="211">
        <f>IF($G999="PAX",P48*'Insumos - OPEX'!L$51,P48*'Insumos - OPEX'!L$76)</f>
        <v>0</v>
      </c>
      <c r="Q999" s="211">
        <f>IF($G999="PAX",Q48*'Insumos - OPEX'!M$51,Q48*'Insumos - OPEX'!M$76)</f>
        <v>0</v>
      </c>
      <c r="R999" s="211">
        <f>IF($G999="PAX",R48*'Insumos - OPEX'!N$51,R48*'Insumos - OPEX'!N$76)</f>
        <v>0</v>
      </c>
      <c r="S999" s="111"/>
    </row>
    <row r="1000" spans="1:19" x14ac:dyDescent="0.2">
      <c r="A1000" s="8"/>
      <c r="B1000" s="8" t="s">
        <v>301</v>
      </c>
      <c r="C1000" s="8" t="s">
        <v>171</v>
      </c>
      <c r="D1000" s="8">
        <v>6320000004</v>
      </c>
      <c r="E1000" s="8" t="s">
        <v>340</v>
      </c>
      <c r="F1000" s="73" t="s">
        <v>23</v>
      </c>
      <c r="G1000" s="73" t="s">
        <v>136</v>
      </c>
      <c r="H1000" s="112" t="s">
        <v>61</v>
      </c>
      <c r="I1000" s="13" t="s">
        <v>22</v>
      </c>
      <c r="K1000" s="187"/>
      <c r="L1000" s="187"/>
      <c r="M1000" s="188">
        <f>IF($G1000="PAX",M49*'Insumos - OPEX'!I$51,M49*'Insumos - OPEX'!I$76)</f>
        <v>0</v>
      </c>
      <c r="N1000" s="211">
        <f>IF($G1000="PAX",N49*'Insumos - OPEX'!J$51,N49*'Insumos - OPEX'!J$76)</f>
        <v>0</v>
      </c>
      <c r="O1000" s="211">
        <f>IF($G1000="PAX",O49*'Insumos - OPEX'!K$51,O49*'Insumos - OPEX'!K$76)</f>
        <v>0</v>
      </c>
      <c r="P1000" s="211">
        <f>IF($G1000="PAX",P49*'Insumos - OPEX'!L$51,P49*'Insumos - OPEX'!L$76)</f>
        <v>0</v>
      </c>
      <c r="Q1000" s="211">
        <f>IF($G1000="PAX",Q49*'Insumos - OPEX'!M$51,Q49*'Insumos - OPEX'!M$76)</f>
        <v>0</v>
      </c>
      <c r="R1000" s="211">
        <f>IF($G1000="PAX",R49*'Insumos - OPEX'!N$51,R49*'Insumos - OPEX'!N$76)</f>
        <v>0</v>
      </c>
      <c r="S1000" s="111"/>
    </row>
    <row r="1001" spans="1:19" x14ac:dyDescent="0.2">
      <c r="A1001" s="8"/>
      <c r="B1001" s="8" t="s">
        <v>301</v>
      </c>
      <c r="C1001" s="8" t="s">
        <v>171</v>
      </c>
      <c r="D1001" s="8">
        <v>6329000003</v>
      </c>
      <c r="E1001" s="8" t="s">
        <v>341</v>
      </c>
      <c r="F1001" s="73" t="s">
        <v>23</v>
      </c>
      <c r="G1001" s="73" t="s">
        <v>136</v>
      </c>
      <c r="H1001" s="112" t="s">
        <v>61</v>
      </c>
      <c r="I1001" s="13" t="s">
        <v>22</v>
      </c>
      <c r="K1001" s="187"/>
      <c r="L1001" s="187"/>
      <c r="M1001" s="188">
        <f>IF($G1001="PAX",M50*'Insumos - OPEX'!I$51,M50*'Insumos - OPEX'!I$76)</f>
        <v>0</v>
      </c>
      <c r="N1001" s="211">
        <f>IF($G1001="PAX",N50*'Insumos - OPEX'!J$51,N50*'Insumos - OPEX'!J$76)</f>
        <v>0</v>
      </c>
      <c r="O1001" s="211">
        <f>IF($G1001="PAX",O50*'Insumos - OPEX'!K$51,O50*'Insumos - OPEX'!K$76)</f>
        <v>0</v>
      </c>
      <c r="P1001" s="211">
        <f>IF($G1001="PAX",P50*'Insumos - OPEX'!L$51,P50*'Insumos - OPEX'!L$76)</f>
        <v>0</v>
      </c>
      <c r="Q1001" s="211">
        <f>IF($G1001="PAX",Q50*'Insumos - OPEX'!M$51,Q50*'Insumos - OPEX'!M$76)</f>
        <v>0</v>
      </c>
      <c r="R1001" s="211">
        <f>IF($G1001="PAX",R50*'Insumos - OPEX'!N$51,R50*'Insumos - OPEX'!N$76)</f>
        <v>0</v>
      </c>
      <c r="S1001" s="111"/>
    </row>
    <row r="1002" spans="1:19" x14ac:dyDescent="0.2">
      <c r="A1002" s="8"/>
      <c r="B1002" s="8" t="s">
        <v>301</v>
      </c>
      <c r="C1002" s="8" t="s">
        <v>171</v>
      </c>
      <c r="D1002" s="8">
        <v>6320000005</v>
      </c>
      <c r="E1002" s="8" t="s">
        <v>342</v>
      </c>
      <c r="F1002" s="73" t="s">
        <v>23</v>
      </c>
      <c r="G1002" s="73" t="s">
        <v>136</v>
      </c>
      <c r="H1002" s="112" t="s">
        <v>61</v>
      </c>
      <c r="I1002" s="13" t="s">
        <v>22</v>
      </c>
      <c r="K1002" s="187"/>
      <c r="L1002" s="187"/>
      <c r="M1002" s="188">
        <f>IF($G1002="PAX",M51*'Insumos - OPEX'!I$51,M51*'Insumos - OPEX'!I$76)</f>
        <v>0</v>
      </c>
      <c r="N1002" s="211">
        <f>IF($G1002="PAX",N51*'Insumos - OPEX'!J$51,N51*'Insumos - OPEX'!J$76)</f>
        <v>0</v>
      </c>
      <c r="O1002" s="211">
        <f>IF($G1002="PAX",O51*'Insumos - OPEX'!K$51,O51*'Insumos - OPEX'!K$76)</f>
        <v>0</v>
      </c>
      <c r="P1002" s="211">
        <f>IF($G1002="PAX",P51*'Insumos - OPEX'!L$51,P51*'Insumos - OPEX'!L$76)</f>
        <v>0</v>
      </c>
      <c r="Q1002" s="211">
        <f>IF($G1002="PAX",Q51*'Insumos - OPEX'!M$51,Q51*'Insumos - OPEX'!M$76)</f>
        <v>0</v>
      </c>
      <c r="R1002" s="211">
        <f>IF($G1002="PAX",R51*'Insumos - OPEX'!N$51,R51*'Insumos - OPEX'!N$76)</f>
        <v>0</v>
      </c>
      <c r="S1002" s="111"/>
    </row>
    <row r="1003" spans="1:19" x14ac:dyDescent="0.2">
      <c r="A1003" s="8"/>
      <c r="B1003" s="8" t="s">
        <v>301</v>
      </c>
      <c r="C1003" s="8" t="s">
        <v>171</v>
      </c>
      <c r="D1003" s="8">
        <v>6356000001</v>
      </c>
      <c r="E1003" s="8" t="s">
        <v>343</v>
      </c>
      <c r="F1003" s="73" t="s">
        <v>23</v>
      </c>
      <c r="G1003" s="73" t="s">
        <v>136</v>
      </c>
      <c r="H1003" s="112" t="s">
        <v>61</v>
      </c>
      <c r="I1003" s="13" t="s">
        <v>22</v>
      </c>
      <c r="K1003" s="187"/>
      <c r="L1003" s="187"/>
      <c r="M1003" s="188">
        <f>IF($G1003="PAX",M52*'Insumos - OPEX'!I$51,M52*'Insumos - OPEX'!I$76)</f>
        <v>0</v>
      </c>
      <c r="N1003" s="211">
        <f>IF($G1003="PAX",N52*'Insumos - OPEX'!J$51,N52*'Insumos - OPEX'!J$76)</f>
        <v>0</v>
      </c>
      <c r="O1003" s="211">
        <f>IF($G1003="PAX",O52*'Insumos - OPEX'!K$51,O52*'Insumos - OPEX'!K$76)</f>
        <v>0</v>
      </c>
      <c r="P1003" s="211">
        <f>IF($G1003="PAX",P52*'Insumos - OPEX'!L$51,P52*'Insumos - OPEX'!L$76)</f>
        <v>0</v>
      </c>
      <c r="Q1003" s="211">
        <f>IF($G1003="PAX",Q52*'Insumos - OPEX'!M$51,Q52*'Insumos - OPEX'!M$76)</f>
        <v>0</v>
      </c>
      <c r="R1003" s="211">
        <f>IF($G1003="PAX",R52*'Insumos - OPEX'!N$51,R52*'Insumos - OPEX'!N$76)</f>
        <v>0</v>
      </c>
      <c r="S1003" s="111"/>
    </row>
    <row r="1004" spans="1:19" s="3" customFormat="1" x14ac:dyDescent="0.2">
      <c r="A1004" s="8"/>
      <c r="B1004" s="8" t="s">
        <v>301</v>
      </c>
      <c r="C1004" s="8" t="s">
        <v>171</v>
      </c>
      <c r="D1004" s="8">
        <v>6320000006</v>
      </c>
      <c r="E1004" s="8" t="s">
        <v>344</v>
      </c>
      <c r="F1004" s="73" t="s">
        <v>23</v>
      </c>
      <c r="G1004" s="73" t="s">
        <v>136</v>
      </c>
      <c r="H1004" s="112" t="s">
        <v>61</v>
      </c>
      <c r="I1004" s="13" t="s">
        <v>22</v>
      </c>
      <c r="J1004" s="11"/>
      <c r="K1004" s="187"/>
      <c r="L1004" s="187"/>
      <c r="M1004" s="188">
        <f>IF($G1004="PAX",M53*'Insumos - OPEX'!I$51,M53*'Insumos - OPEX'!I$76)</f>
        <v>0</v>
      </c>
      <c r="N1004" s="211">
        <f>IF($G1004="PAX",N53*'Insumos - OPEX'!J$51,N53*'Insumos - OPEX'!J$76)</f>
        <v>0</v>
      </c>
      <c r="O1004" s="211">
        <f>IF($G1004="PAX",O53*'Insumos - OPEX'!K$51,O53*'Insumos - OPEX'!K$76)</f>
        <v>0</v>
      </c>
      <c r="P1004" s="211">
        <f>IF($G1004="PAX",P53*'Insumos - OPEX'!L$51,P53*'Insumos - OPEX'!L$76)</f>
        <v>0</v>
      </c>
      <c r="Q1004" s="211">
        <f>IF($G1004="PAX",Q53*'Insumos - OPEX'!M$51,Q53*'Insumos - OPEX'!M$76)</f>
        <v>0</v>
      </c>
      <c r="R1004" s="211">
        <f>IF($G1004="PAX",R53*'Insumos - OPEX'!N$51,R53*'Insumos - OPEX'!N$76)</f>
        <v>0</v>
      </c>
      <c r="S1004" s="111"/>
    </row>
    <row r="1005" spans="1:19" x14ac:dyDescent="0.2">
      <c r="A1005" s="8"/>
      <c r="B1005" s="8" t="s">
        <v>301</v>
      </c>
      <c r="C1005" s="8" t="s">
        <v>171</v>
      </c>
      <c r="D1005" s="8">
        <v>6380000012</v>
      </c>
      <c r="E1005" s="8" t="s">
        <v>345</v>
      </c>
      <c r="F1005" s="73" t="s">
        <v>23</v>
      </c>
      <c r="G1005" s="73" t="s">
        <v>136</v>
      </c>
      <c r="H1005" s="112" t="s">
        <v>61</v>
      </c>
      <c r="I1005" s="13" t="s">
        <v>22</v>
      </c>
      <c r="K1005" s="187"/>
      <c r="L1005" s="187"/>
      <c r="M1005" s="188">
        <f>IF($G1005="PAX",M54*'Insumos - OPEX'!I$51,M54*'Insumos - OPEX'!I$76)</f>
        <v>0</v>
      </c>
      <c r="N1005" s="211">
        <f>IF($G1005="PAX",N54*'Insumos - OPEX'!J$51,N54*'Insumos - OPEX'!J$76)</f>
        <v>0</v>
      </c>
      <c r="O1005" s="211">
        <f>IF($G1005="PAX",O54*'Insumos - OPEX'!K$51,O54*'Insumos - OPEX'!K$76)</f>
        <v>0</v>
      </c>
      <c r="P1005" s="211">
        <f>IF($G1005="PAX",P54*'Insumos - OPEX'!L$51,P54*'Insumos - OPEX'!L$76)</f>
        <v>0</v>
      </c>
      <c r="Q1005" s="211">
        <f>IF($G1005="PAX",Q54*'Insumos - OPEX'!M$51,Q54*'Insumos - OPEX'!M$76)</f>
        <v>0</v>
      </c>
      <c r="R1005" s="211">
        <f>IF($G1005="PAX",R54*'Insumos - OPEX'!N$51,R54*'Insumos - OPEX'!N$76)</f>
        <v>0</v>
      </c>
      <c r="S1005" s="111"/>
    </row>
    <row r="1006" spans="1:19" x14ac:dyDescent="0.2">
      <c r="A1006" s="8"/>
      <c r="B1006" s="8" t="s">
        <v>301</v>
      </c>
      <c r="C1006" s="8" t="s">
        <v>171</v>
      </c>
      <c r="D1006" s="8">
        <v>6320000002</v>
      </c>
      <c r="E1006" s="8" t="s">
        <v>346</v>
      </c>
      <c r="F1006" s="73" t="s">
        <v>23</v>
      </c>
      <c r="G1006" s="73" t="s">
        <v>136</v>
      </c>
      <c r="H1006" s="112" t="s">
        <v>61</v>
      </c>
      <c r="I1006" s="13" t="s">
        <v>22</v>
      </c>
      <c r="K1006" s="187"/>
      <c r="L1006" s="187"/>
      <c r="M1006" s="188">
        <f>IF($G1006="PAX",M55*'Insumos - OPEX'!I$51,M55*'Insumos - OPEX'!I$76)</f>
        <v>0</v>
      </c>
      <c r="N1006" s="211">
        <f>IF($G1006="PAX",N55*'Insumos - OPEX'!J$51,N55*'Insumos - OPEX'!J$76)</f>
        <v>0</v>
      </c>
      <c r="O1006" s="211">
        <f>IF($G1006="PAX",O55*'Insumos - OPEX'!K$51,O55*'Insumos - OPEX'!K$76)</f>
        <v>0</v>
      </c>
      <c r="P1006" s="211">
        <f>IF($G1006="PAX",P55*'Insumos - OPEX'!L$51,P55*'Insumos - OPEX'!L$76)</f>
        <v>0</v>
      </c>
      <c r="Q1006" s="211">
        <f>IF($G1006="PAX",Q55*'Insumos - OPEX'!M$51,Q55*'Insumos - OPEX'!M$76)</f>
        <v>0</v>
      </c>
      <c r="R1006" s="211">
        <f>IF($G1006="PAX",R55*'Insumos - OPEX'!N$51,R55*'Insumos - OPEX'!N$76)</f>
        <v>0</v>
      </c>
      <c r="S1006" s="111"/>
    </row>
    <row r="1007" spans="1:19" x14ac:dyDescent="0.2">
      <c r="A1007" s="8"/>
      <c r="B1007" s="8" t="s">
        <v>301</v>
      </c>
      <c r="C1007" s="8" t="s">
        <v>171</v>
      </c>
      <c r="D1007" s="8">
        <v>6370000001</v>
      </c>
      <c r="E1007" s="8" t="s">
        <v>270</v>
      </c>
      <c r="F1007" s="73" t="s">
        <v>23</v>
      </c>
      <c r="G1007" s="73" t="s">
        <v>136</v>
      </c>
      <c r="H1007" s="112" t="s">
        <v>61</v>
      </c>
      <c r="I1007" s="13" t="s">
        <v>22</v>
      </c>
      <c r="K1007" s="187"/>
      <c r="L1007" s="187"/>
      <c r="M1007" s="188">
        <f>IF($G1007="PAX",M56*'Insumos - OPEX'!I$51,M56*'Insumos - OPEX'!I$76)</f>
        <v>0</v>
      </c>
      <c r="N1007" s="211">
        <f>IF($G1007="PAX",N56*'Insumos - OPEX'!J$51,N56*'Insumos - OPEX'!J$76)</f>
        <v>0</v>
      </c>
      <c r="O1007" s="211">
        <f>IF($G1007="PAX",O56*'Insumos - OPEX'!K$51,O56*'Insumos - OPEX'!K$76)</f>
        <v>0</v>
      </c>
      <c r="P1007" s="211">
        <f>IF($G1007="PAX",P56*'Insumos - OPEX'!L$51,P56*'Insumos - OPEX'!L$76)</f>
        <v>0</v>
      </c>
      <c r="Q1007" s="211">
        <f>IF($G1007="PAX",Q56*'Insumos - OPEX'!M$51,Q56*'Insumos - OPEX'!M$76)</f>
        <v>0</v>
      </c>
      <c r="R1007" s="211">
        <f>IF($G1007="PAX",R56*'Insumos - OPEX'!N$51,R56*'Insumos - OPEX'!N$76)</f>
        <v>0</v>
      </c>
      <c r="S1007" s="111"/>
    </row>
    <row r="1008" spans="1:19" x14ac:dyDescent="0.2">
      <c r="A1008" s="8"/>
      <c r="B1008" s="8" t="s">
        <v>301</v>
      </c>
      <c r="C1008" s="8" t="s">
        <v>171</v>
      </c>
      <c r="D1008" s="8">
        <v>6311300002</v>
      </c>
      <c r="E1008" s="8" t="s">
        <v>347</v>
      </c>
      <c r="F1008" s="73" t="s">
        <v>23</v>
      </c>
      <c r="G1008" s="73" t="s">
        <v>136</v>
      </c>
      <c r="H1008" s="112" t="s">
        <v>61</v>
      </c>
      <c r="I1008" s="13" t="s">
        <v>22</v>
      </c>
      <c r="K1008" s="187"/>
      <c r="L1008" s="187"/>
      <c r="M1008" s="188">
        <f>IF($G1008="PAX",M57*'Insumos - OPEX'!I$51,M57*'Insumos - OPEX'!I$76)</f>
        <v>0</v>
      </c>
      <c r="N1008" s="211">
        <f>IF($G1008="PAX",N57*'Insumos - OPEX'!J$51,N57*'Insumos - OPEX'!J$76)</f>
        <v>0</v>
      </c>
      <c r="O1008" s="211">
        <f>IF($G1008="PAX",O57*'Insumos - OPEX'!K$51,O57*'Insumos - OPEX'!K$76)</f>
        <v>0</v>
      </c>
      <c r="P1008" s="211">
        <f>IF($G1008="PAX",P57*'Insumos - OPEX'!L$51,P57*'Insumos - OPEX'!L$76)</f>
        <v>0</v>
      </c>
      <c r="Q1008" s="211">
        <f>IF($G1008="PAX",Q57*'Insumos - OPEX'!M$51,Q57*'Insumos - OPEX'!M$76)</f>
        <v>0</v>
      </c>
      <c r="R1008" s="211">
        <f>IF($G1008="PAX",R57*'Insumos - OPEX'!N$51,R57*'Insumos - OPEX'!N$76)</f>
        <v>0</v>
      </c>
      <c r="S1008" s="111"/>
    </row>
    <row r="1009" spans="1:19" x14ac:dyDescent="0.2">
      <c r="A1009" s="8"/>
      <c r="B1009" s="8" t="s">
        <v>301</v>
      </c>
      <c r="C1009" s="8" t="s">
        <v>171</v>
      </c>
      <c r="D1009" s="8">
        <v>6380000029</v>
      </c>
      <c r="E1009" s="8" t="s">
        <v>348</v>
      </c>
      <c r="F1009" s="73" t="s">
        <v>23</v>
      </c>
      <c r="G1009" s="73" t="s">
        <v>136</v>
      </c>
      <c r="H1009" s="112" t="s">
        <v>61</v>
      </c>
      <c r="I1009" s="13" t="s">
        <v>22</v>
      </c>
      <c r="K1009" s="187"/>
      <c r="L1009" s="187"/>
      <c r="M1009" s="188">
        <f>IF($G1009="PAX",M58*'Insumos - OPEX'!I$51,M58*'Insumos - OPEX'!I$76)</f>
        <v>0</v>
      </c>
      <c r="N1009" s="211">
        <f>IF($G1009="PAX",N58*'Insumos - OPEX'!J$51,N58*'Insumos - OPEX'!J$76)</f>
        <v>0</v>
      </c>
      <c r="O1009" s="211">
        <f>IF($G1009="PAX",O58*'Insumos - OPEX'!K$51,O58*'Insumos - OPEX'!K$76)</f>
        <v>0</v>
      </c>
      <c r="P1009" s="211">
        <f>IF($G1009="PAX",P58*'Insumos - OPEX'!L$51,P58*'Insumos - OPEX'!L$76)</f>
        <v>0</v>
      </c>
      <c r="Q1009" s="211">
        <f>IF($G1009="PAX",Q58*'Insumos - OPEX'!M$51,Q58*'Insumos - OPEX'!M$76)</f>
        <v>0</v>
      </c>
      <c r="R1009" s="211">
        <f>IF($G1009="PAX",R58*'Insumos - OPEX'!N$51,R58*'Insumos - OPEX'!N$76)</f>
        <v>0</v>
      </c>
      <c r="S1009" s="111"/>
    </row>
    <row r="1010" spans="1:19" s="3" customFormat="1" x14ac:dyDescent="0.2">
      <c r="A1010" s="8"/>
      <c r="B1010" s="8" t="s">
        <v>301</v>
      </c>
      <c r="C1010" s="8" t="s">
        <v>171</v>
      </c>
      <c r="D1010" s="8">
        <v>6382000001</v>
      </c>
      <c r="E1010" s="8" t="s">
        <v>349</v>
      </c>
      <c r="F1010" s="73" t="s">
        <v>23</v>
      </c>
      <c r="G1010" s="73" t="s">
        <v>136</v>
      </c>
      <c r="H1010" s="112" t="s">
        <v>61</v>
      </c>
      <c r="I1010" s="13" t="s">
        <v>22</v>
      </c>
      <c r="J1010" s="11"/>
      <c r="K1010" s="187"/>
      <c r="L1010" s="187"/>
      <c r="M1010" s="188">
        <f>IF($G1010="PAX",M59*'Insumos - OPEX'!I$51,M59*'Insumos - OPEX'!I$76)</f>
        <v>0</v>
      </c>
      <c r="N1010" s="211">
        <f>IF($G1010="PAX",N59*'Insumos - OPEX'!J$51,N59*'Insumos - OPEX'!J$76)</f>
        <v>0</v>
      </c>
      <c r="O1010" s="211">
        <f>IF($G1010="PAX",O59*'Insumos - OPEX'!K$51,O59*'Insumos - OPEX'!K$76)</f>
        <v>0</v>
      </c>
      <c r="P1010" s="211">
        <f>IF($G1010="PAX",P59*'Insumos - OPEX'!L$51,P59*'Insumos - OPEX'!L$76)</f>
        <v>0</v>
      </c>
      <c r="Q1010" s="211">
        <f>IF($G1010="PAX",Q59*'Insumos - OPEX'!M$51,Q59*'Insumos - OPEX'!M$76)</f>
        <v>0</v>
      </c>
      <c r="R1010" s="211">
        <f>IF($G1010="PAX",R59*'Insumos - OPEX'!N$51,R59*'Insumos - OPEX'!N$76)</f>
        <v>0</v>
      </c>
      <c r="S1010" s="111"/>
    </row>
    <row r="1011" spans="1:19" x14ac:dyDescent="0.2">
      <c r="A1011" s="8"/>
      <c r="B1011" s="8" t="s">
        <v>301</v>
      </c>
      <c r="C1011" s="8" t="s">
        <v>171</v>
      </c>
      <c r="D1011" s="8">
        <v>6381000004</v>
      </c>
      <c r="E1011" s="8" t="s">
        <v>350</v>
      </c>
      <c r="F1011" s="73" t="s">
        <v>23</v>
      </c>
      <c r="G1011" s="73" t="s">
        <v>136</v>
      </c>
      <c r="H1011" s="112" t="s">
        <v>61</v>
      </c>
      <c r="I1011" s="13" t="s">
        <v>22</v>
      </c>
      <c r="K1011" s="187"/>
      <c r="L1011" s="187"/>
      <c r="M1011" s="188">
        <f>IF($G1011="PAX",M60*'Insumos - OPEX'!I$51,M60*'Insumos - OPEX'!I$76)</f>
        <v>0</v>
      </c>
      <c r="N1011" s="211">
        <f>IF($G1011="PAX",N60*'Insumos - OPEX'!J$51,N60*'Insumos - OPEX'!J$76)</f>
        <v>0</v>
      </c>
      <c r="O1011" s="211">
        <f>IF($G1011="PAX",O60*'Insumos - OPEX'!K$51,O60*'Insumos - OPEX'!K$76)</f>
        <v>0</v>
      </c>
      <c r="P1011" s="211">
        <f>IF($G1011="PAX",P60*'Insumos - OPEX'!L$51,P60*'Insumos - OPEX'!L$76)</f>
        <v>0</v>
      </c>
      <c r="Q1011" s="211">
        <f>IF($G1011="PAX",Q60*'Insumos - OPEX'!M$51,Q60*'Insumos - OPEX'!M$76)</f>
        <v>0</v>
      </c>
      <c r="R1011" s="211">
        <f>IF($G1011="PAX",R60*'Insumos - OPEX'!N$51,R60*'Insumos - OPEX'!N$76)</f>
        <v>0</v>
      </c>
      <c r="S1011" s="111"/>
    </row>
    <row r="1012" spans="1:19" x14ac:dyDescent="0.2">
      <c r="A1012" s="8"/>
      <c r="B1012" s="8" t="s">
        <v>301</v>
      </c>
      <c r="C1012" s="8" t="s">
        <v>171</v>
      </c>
      <c r="D1012" s="8">
        <v>6382000002</v>
      </c>
      <c r="E1012" s="8" t="s">
        <v>351</v>
      </c>
      <c r="F1012" s="73" t="s">
        <v>23</v>
      </c>
      <c r="G1012" s="73" t="s">
        <v>136</v>
      </c>
      <c r="H1012" s="112" t="s">
        <v>61</v>
      </c>
      <c r="I1012" s="13" t="s">
        <v>22</v>
      </c>
      <c r="K1012" s="187"/>
      <c r="L1012" s="187"/>
      <c r="M1012" s="188">
        <f>IF($G1012="PAX",M61*'Insumos - OPEX'!I$51,M61*'Insumos - OPEX'!I$76)</f>
        <v>0</v>
      </c>
      <c r="N1012" s="211">
        <f>IF($G1012="PAX",N61*'Insumos - OPEX'!J$51,N61*'Insumos - OPEX'!J$76)</f>
        <v>0</v>
      </c>
      <c r="O1012" s="211">
        <f>IF($G1012="PAX",O61*'Insumos - OPEX'!K$51,O61*'Insumos - OPEX'!K$76)</f>
        <v>0</v>
      </c>
      <c r="P1012" s="211">
        <f>IF($G1012="PAX",P61*'Insumos - OPEX'!L$51,P61*'Insumos - OPEX'!L$76)</f>
        <v>0</v>
      </c>
      <c r="Q1012" s="211">
        <f>IF($G1012="PAX",Q61*'Insumos - OPEX'!M$51,Q61*'Insumos - OPEX'!M$76)</f>
        <v>0</v>
      </c>
      <c r="R1012" s="211">
        <f>IF($G1012="PAX",R61*'Insumos - OPEX'!N$51,R61*'Insumos - OPEX'!N$76)</f>
        <v>0</v>
      </c>
      <c r="S1012" s="111"/>
    </row>
    <row r="1013" spans="1:19" x14ac:dyDescent="0.2">
      <c r="A1013" s="8"/>
      <c r="B1013" s="8" t="s">
        <v>301</v>
      </c>
      <c r="C1013" s="8" t="s">
        <v>171</v>
      </c>
      <c r="D1013" s="8">
        <v>6311300001</v>
      </c>
      <c r="E1013" s="8" t="s">
        <v>352</v>
      </c>
      <c r="F1013" s="73" t="s">
        <v>23</v>
      </c>
      <c r="G1013" s="73" t="s">
        <v>136</v>
      </c>
      <c r="H1013" s="112" t="s">
        <v>61</v>
      </c>
      <c r="I1013" s="13" t="s">
        <v>22</v>
      </c>
      <c r="K1013" s="187"/>
      <c r="L1013" s="187"/>
      <c r="M1013" s="188">
        <f>IF($G1013="PAX",M62*'Insumos - OPEX'!I$51,M62*'Insumos - OPEX'!I$76)</f>
        <v>0</v>
      </c>
      <c r="N1013" s="211">
        <f>IF($G1013="PAX",N62*'Insumos - OPEX'!J$51,N62*'Insumos - OPEX'!J$76)</f>
        <v>0</v>
      </c>
      <c r="O1013" s="211">
        <f>IF($G1013="PAX",O62*'Insumos - OPEX'!K$51,O62*'Insumos - OPEX'!K$76)</f>
        <v>0</v>
      </c>
      <c r="P1013" s="211">
        <f>IF($G1013="PAX",P62*'Insumos - OPEX'!L$51,P62*'Insumos - OPEX'!L$76)</f>
        <v>0</v>
      </c>
      <c r="Q1013" s="211">
        <f>IF($G1013="PAX",Q62*'Insumos - OPEX'!M$51,Q62*'Insumos - OPEX'!M$76)</f>
        <v>0</v>
      </c>
      <c r="R1013" s="211">
        <f>IF($G1013="PAX",R62*'Insumos - OPEX'!N$51,R62*'Insumos - OPEX'!N$76)</f>
        <v>0</v>
      </c>
      <c r="S1013" s="111"/>
    </row>
    <row r="1014" spans="1:19" x14ac:dyDescent="0.2">
      <c r="A1014" s="8"/>
      <c r="B1014" s="8" t="s">
        <v>301</v>
      </c>
      <c r="C1014" s="8" t="s">
        <v>171</v>
      </c>
      <c r="D1014" s="8">
        <v>6360000004</v>
      </c>
      <c r="E1014" s="8" t="s">
        <v>353</v>
      </c>
      <c r="F1014" s="73" t="s">
        <v>23</v>
      </c>
      <c r="G1014" s="73" t="s">
        <v>136</v>
      </c>
      <c r="H1014" s="112" t="s">
        <v>61</v>
      </c>
      <c r="I1014" s="13" t="s">
        <v>22</v>
      </c>
      <c r="K1014" s="187"/>
      <c r="L1014" s="187"/>
      <c r="M1014" s="188">
        <f>IF($G1014="PAX",M63*'Insumos - OPEX'!I$51,M63*'Insumos - OPEX'!I$76)</f>
        <v>0</v>
      </c>
      <c r="N1014" s="211">
        <f>IF($G1014="PAX",N63*'Insumos - OPEX'!J$51,N63*'Insumos - OPEX'!J$76)</f>
        <v>0</v>
      </c>
      <c r="O1014" s="211">
        <f>IF($G1014="PAX",O63*'Insumos - OPEX'!K$51,O63*'Insumos - OPEX'!K$76)</f>
        <v>0</v>
      </c>
      <c r="P1014" s="211">
        <f>IF($G1014="PAX",P63*'Insumos - OPEX'!L$51,P63*'Insumos - OPEX'!L$76)</f>
        <v>0</v>
      </c>
      <c r="Q1014" s="211">
        <f>IF($G1014="PAX",Q63*'Insumos - OPEX'!M$51,Q63*'Insumos - OPEX'!M$76)</f>
        <v>0</v>
      </c>
      <c r="R1014" s="211">
        <f>IF($G1014="PAX",R63*'Insumos - OPEX'!N$51,R63*'Insumos - OPEX'!N$76)</f>
        <v>0</v>
      </c>
      <c r="S1014" s="111"/>
    </row>
    <row r="1015" spans="1:19" x14ac:dyDescent="0.2">
      <c r="A1015" s="8"/>
      <c r="B1015" s="8" t="s">
        <v>301</v>
      </c>
      <c r="C1015" s="8" t="s">
        <v>171</v>
      </c>
      <c r="D1015" s="8">
        <v>6360000005</v>
      </c>
      <c r="E1015" s="8" t="s">
        <v>354</v>
      </c>
      <c r="F1015" s="73" t="s">
        <v>23</v>
      </c>
      <c r="G1015" s="73" t="s">
        <v>136</v>
      </c>
      <c r="H1015" s="112" t="s">
        <v>61</v>
      </c>
      <c r="I1015" s="13" t="s">
        <v>22</v>
      </c>
      <c r="K1015" s="187"/>
      <c r="L1015" s="187"/>
      <c r="M1015" s="188">
        <f>IF($G1015="PAX",M64*'Insumos - OPEX'!I$51,M64*'Insumos - OPEX'!I$76)</f>
        <v>0</v>
      </c>
      <c r="N1015" s="211">
        <f>IF($G1015="PAX",N64*'Insumos - OPEX'!J$51,N64*'Insumos - OPEX'!J$76)</f>
        <v>0</v>
      </c>
      <c r="O1015" s="211">
        <f>IF($G1015="PAX",O64*'Insumos - OPEX'!K$51,O64*'Insumos - OPEX'!K$76)</f>
        <v>0</v>
      </c>
      <c r="P1015" s="211">
        <f>IF($G1015="PAX",P64*'Insumos - OPEX'!L$51,P64*'Insumos - OPEX'!L$76)</f>
        <v>0</v>
      </c>
      <c r="Q1015" s="211">
        <f>IF($G1015="PAX",Q64*'Insumos - OPEX'!M$51,Q64*'Insumos - OPEX'!M$76)</f>
        <v>0</v>
      </c>
      <c r="R1015" s="211">
        <f>IF($G1015="PAX",R64*'Insumos - OPEX'!N$51,R64*'Insumos - OPEX'!N$76)</f>
        <v>0</v>
      </c>
      <c r="S1015" s="111"/>
    </row>
    <row r="1016" spans="1:19" x14ac:dyDescent="0.2">
      <c r="A1016" s="8"/>
      <c r="B1016" s="8" t="s">
        <v>301</v>
      </c>
      <c r="C1016" s="8" t="s">
        <v>171</v>
      </c>
      <c r="D1016" s="8">
        <v>6380000019</v>
      </c>
      <c r="E1016" s="8" t="s">
        <v>355</v>
      </c>
      <c r="F1016" s="73" t="s">
        <v>23</v>
      </c>
      <c r="G1016" s="73" t="s">
        <v>136</v>
      </c>
      <c r="H1016" s="112" t="s">
        <v>61</v>
      </c>
      <c r="I1016" s="13" t="s">
        <v>22</v>
      </c>
      <c r="K1016" s="187"/>
      <c r="L1016" s="187"/>
      <c r="M1016" s="188">
        <f>IF($G1016="PAX",M65*'Insumos - OPEX'!I$51,M65*'Insumos - OPEX'!I$76)</f>
        <v>0</v>
      </c>
      <c r="N1016" s="211">
        <f>IF($G1016="PAX",N65*'Insumos - OPEX'!J$51,N65*'Insumos - OPEX'!J$76)</f>
        <v>0</v>
      </c>
      <c r="O1016" s="211">
        <f>IF($G1016="PAX",O65*'Insumos - OPEX'!K$51,O65*'Insumos - OPEX'!K$76)</f>
        <v>0</v>
      </c>
      <c r="P1016" s="211">
        <f>IF($G1016="PAX",P65*'Insumos - OPEX'!L$51,P65*'Insumos - OPEX'!L$76)</f>
        <v>0</v>
      </c>
      <c r="Q1016" s="211">
        <f>IF($G1016="PAX",Q65*'Insumos - OPEX'!M$51,Q65*'Insumos - OPEX'!M$76)</f>
        <v>0</v>
      </c>
      <c r="R1016" s="211">
        <f>IF($G1016="PAX",R65*'Insumos - OPEX'!N$51,R65*'Insumos - OPEX'!N$76)</f>
        <v>0</v>
      </c>
      <c r="S1016" s="111"/>
    </row>
    <row r="1017" spans="1:19" x14ac:dyDescent="0.2">
      <c r="A1017" s="8"/>
      <c r="B1017" s="8" t="s">
        <v>301</v>
      </c>
      <c r="C1017" s="8" t="s">
        <v>174</v>
      </c>
      <c r="D1017" s="8">
        <v>6510000001</v>
      </c>
      <c r="E1017" s="8" t="s">
        <v>182</v>
      </c>
      <c r="F1017" s="73" t="s">
        <v>23</v>
      </c>
      <c r="G1017" s="73" t="s">
        <v>480</v>
      </c>
      <c r="H1017" s="112" t="s">
        <v>61</v>
      </c>
      <c r="I1017" s="13" t="s">
        <v>22</v>
      </c>
      <c r="K1017" s="187"/>
      <c r="L1017" s="187"/>
      <c r="M1017" s="188">
        <f>IF($G1017="PAX",M66*'Insumos - OPEX'!I$51,M66*'Insumos - OPEX'!I$76)</f>
        <v>14092.618678656578</v>
      </c>
      <c r="N1017" s="211">
        <f>IF($G1017="PAX",N66*'Insumos - OPEX'!J$51,N66*'Insumos - OPEX'!J$76)</f>
        <v>14222.084820399336</v>
      </c>
      <c r="O1017" s="211">
        <f>IF($G1017="PAX",O66*'Insumos - OPEX'!K$51,O66*'Insumos - OPEX'!K$76)</f>
        <v>14456.583899630878</v>
      </c>
      <c r="P1017" s="211">
        <f>IF($G1017="PAX",P66*'Insumos - OPEX'!L$51,P66*'Insumos - OPEX'!L$76)</f>
        <v>14669.159874670466</v>
      </c>
      <c r="Q1017" s="211">
        <f>IF($G1017="PAX",Q66*'Insumos - OPEX'!M$51,Q66*'Insumos - OPEX'!M$76)</f>
        <v>14931.077659760986</v>
      </c>
      <c r="R1017" s="211">
        <f>IF($G1017="PAX",R66*'Insumos - OPEX'!N$51,R66*'Insumos - OPEX'!N$76)</f>
        <v>15186.415366974681</v>
      </c>
      <c r="S1017" s="111"/>
    </row>
    <row r="1018" spans="1:19" x14ac:dyDescent="0.2">
      <c r="A1018" s="8"/>
      <c r="B1018" s="8" t="s">
        <v>301</v>
      </c>
      <c r="C1018" s="8" t="s">
        <v>174</v>
      </c>
      <c r="D1018" s="8">
        <v>6380000005</v>
      </c>
      <c r="E1018" s="8" t="s">
        <v>274</v>
      </c>
      <c r="F1018" s="73" t="s">
        <v>23</v>
      </c>
      <c r="G1018" s="73" t="s">
        <v>136</v>
      </c>
      <c r="H1018" s="112" t="s">
        <v>61</v>
      </c>
      <c r="I1018" s="13" t="s">
        <v>22</v>
      </c>
      <c r="K1018" s="187"/>
      <c r="L1018" s="187"/>
      <c r="M1018" s="188">
        <f>IF($G1018="PAX",M67*'Insumos - OPEX'!I$51,M67*'Insumos - OPEX'!I$76)</f>
        <v>11272.514853628307</v>
      </c>
      <c r="N1018" s="211">
        <f>IF($G1018="PAX",N67*'Insumos - OPEX'!J$51,N67*'Insumos - OPEX'!J$76)</f>
        <v>11403.791931249505</v>
      </c>
      <c r="O1018" s="211">
        <f>IF($G1018="PAX",O67*'Insumos - OPEX'!K$51,O67*'Insumos - OPEX'!K$76)</f>
        <v>11669.517563266891</v>
      </c>
      <c r="P1018" s="211">
        <f>IF($G1018="PAX",P67*'Insumos - OPEX'!L$51,P67*'Insumos - OPEX'!L$76)</f>
        <v>11916.431235232218</v>
      </c>
      <c r="Q1018" s="211">
        <f>IF($G1018="PAX",Q67*'Insumos - OPEX'!M$51,Q67*'Insumos - OPEX'!M$76)</f>
        <v>12344.25118879074</v>
      </c>
      <c r="R1018" s="211">
        <f>IF($G1018="PAX",R67*'Insumos - OPEX'!N$51,R67*'Insumos - OPEX'!N$76)</f>
        <v>12722.243663269619</v>
      </c>
      <c r="S1018" s="111"/>
    </row>
    <row r="1019" spans="1:19" x14ac:dyDescent="0.2">
      <c r="A1019" s="8"/>
      <c r="B1019" s="8" t="s">
        <v>301</v>
      </c>
      <c r="C1019" s="8" t="s">
        <v>174</v>
      </c>
      <c r="D1019" s="8">
        <v>6430000001</v>
      </c>
      <c r="E1019" s="8" t="s">
        <v>275</v>
      </c>
      <c r="F1019" s="73" t="s">
        <v>23</v>
      </c>
      <c r="G1019" s="73" t="s">
        <v>480</v>
      </c>
      <c r="H1019" s="112" t="s">
        <v>61</v>
      </c>
      <c r="I1019" s="13" t="s">
        <v>22</v>
      </c>
      <c r="K1019" s="187"/>
      <c r="L1019" s="187"/>
      <c r="M1019" s="188">
        <f>IF($G1019="PAX",M68*'Insumos - OPEX'!I$51,M68*'Insumos - OPEX'!I$76)</f>
        <v>3261.4062505637889</v>
      </c>
      <c r="N1019" s="211">
        <f>IF($G1019="PAX",N68*'Insumos - OPEX'!J$51,N68*'Insumos - OPEX'!J$76)</f>
        <v>3291.36815427695</v>
      </c>
      <c r="O1019" s="211">
        <f>IF($G1019="PAX",O68*'Insumos - OPEX'!K$51,O68*'Insumos - OPEX'!K$76)</f>
        <v>3345.6374693131606</v>
      </c>
      <c r="P1019" s="211">
        <f>IF($G1019="PAX",P68*'Insumos - OPEX'!L$51,P68*'Insumos - OPEX'!L$76)</f>
        <v>3394.8331957797977</v>
      </c>
      <c r="Q1019" s="211">
        <f>IF($G1019="PAX",Q68*'Insumos - OPEX'!M$51,Q68*'Insumos - OPEX'!M$76)</f>
        <v>3455.4479275699778</v>
      </c>
      <c r="R1019" s="211">
        <f>IF($G1019="PAX",R68*'Insumos - OPEX'!N$51,R68*'Insumos - OPEX'!N$76)</f>
        <v>3514.5398545780213</v>
      </c>
      <c r="S1019" s="111"/>
    </row>
    <row r="1020" spans="1:19" x14ac:dyDescent="0.2">
      <c r="A1020" s="8"/>
      <c r="B1020" s="8" t="s">
        <v>301</v>
      </c>
      <c r="C1020" s="8" t="s">
        <v>174</v>
      </c>
      <c r="D1020" s="8">
        <v>6561000002</v>
      </c>
      <c r="E1020" s="8" t="s">
        <v>356</v>
      </c>
      <c r="F1020" s="73" t="s">
        <v>23</v>
      </c>
      <c r="G1020" s="73" t="s">
        <v>136</v>
      </c>
      <c r="H1020" s="112" t="s">
        <v>61</v>
      </c>
      <c r="I1020" s="13" t="s">
        <v>22</v>
      </c>
      <c r="K1020" s="187"/>
      <c r="L1020" s="187"/>
      <c r="M1020" s="188">
        <f>IF($G1020="PAX",M69*'Insumos - OPEX'!I$51,M69*'Insumos - OPEX'!I$76)</f>
        <v>6968.6646941463687</v>
      </c>
      <c r="N1020" s="211">
        <f>IF($G1020="PAX",N69*'Insumos - OPEX'!J$51,N69*'Insumos - OPEX'!J$76)</f>
        <v>7049.8201370842053</v>
      </c>
      <c r="O1020" s="211">
        <f>IF($G1020="PAX",O69*'Insumos - OPEX'!K$51,O69*'Insumos - OPEX'!K$76)</f>
        <v>7214.0916287800674</v>
      </c>
      <c r="P1020" s="211">
        <f>IF($G1020="PAX",P69*'Insumos - OPEX'!L$51,P69*'Insumos - OPEX'!L$76)</f>
        <v>7366.7335734276721</v>
      </c>
      <c r="Q1020" s="211">
        <f>IF($G1020="PAX",Q69*'Insumos - OPEX'!M$51,Q69*'Insumos - OPEX'!M$76)</f>
        <v>7631.2117173491215</v>
      </c>
      <c r="R1020" s="211">
        <f>IF($G1020="PAX",R69*'Insumos - OPEX'!N$51,R69*'Insumos - OPEX'!N$76)</f>
        <v>7864.8865313331689</v>
      </c>
      <c r="S1020" s="111"/>
    </row>
    <row r="1021" spans="1:19" x14ac:dyDescent="0.2">
      <c r="A1021" s="8"/>
      <c r="B1021" s="8" t="s">
        <v>301</v>
      </c>
      <c r="C1021" s="8" t="s">
        <v>174</v>
      </c>
      <c r="D1021" s="8">
        <v>6410000002</v>
      </c>
      <c r="E1021" s="8" t="s">
        <v>357</v>
      </c>
      <c r="F1021" s="73" t="s">
        <v>23</v>
      </c>
      <c r="G1021" s="73" t="s">
        <v>136</v>
      </c>
      <c r="H1021" s="112" t="s">
        <v>61</v>
      </c>
      <c r="I1021" s="13" t="s">
        <v>22</v>
      </c>
      <c r="K1021" s="187"/>
      <c r="L1021" s="187"/>
      <c r="M1021" s="188">
        <f>IF($G1021="PAX",M70*'Insumos - OPEX'!I$51,M70*'Insumos - OPEX'!I$76)</f>
        <v>1352.563212989807</v>
      </c>
      <c r="N1021" s="211">
        <f>IF($G1021="PAX",N70*'Insumos - OPEX'!J$51,N70*'Insumos - OPEX'!J$76)</f>
        <v>1368.3148485569218</v>
      </c>
      <c r="O1021" s="211">
        <f>IF($G1021="PAX",O70*'Insumos - OPEX'!K$51,O70*'Insumos - OPEX'!K$76)</f>
        <v>1400.1986579181928</v>
      </c>
      <c r="P1021" s="211">
        <f>IF($G1021="PAX",P70*'Insumos - OPEX'!L$51,P70*'Insumos - OPEX'!L$76)</f>
        <v>1429.8252633226682</v>
      </c>
      <c r="Q1021" s="211">
        <f>IF($G1021="PAX",Q70*'Insumos - OPEX'!M$51,Q70*'Insumos - OPEX'!M$76)</f>
        <v>1481.1583986948528</v>
      </c>
      <c r="R1021" s="211">
        <f>IF($G1021="PAX",R70*'Insumos - OPEX'!N$51,R70*'Insumos - OPEX'!N$76)</f>
        <v>1526.5128490908583</v>
      </c>
      <c r="S1021" s="111"/>
    </row>
    <row r="1022" spans="1:19" x14ac:dyDescent="0.2">
      <c r="A1022" s="8"/>
      <c r="B1022" s="8" t="s">
        <v>301</v>
      </c>
      <c r="C1022" s="8" t="s">
        <v>174</v>
      </c>
      <c r="D1022" s="8">
        <v>6561000003</v>
      </c>
      <c r="E1022" s="8" t="s">
        <v>269</v>
      </c>
      <c r="F1022" s="73" t="s">
        <v>23</v>
      </c>
      <c r="G1022" s="73" t="s">
        <v>136</v>
      </c>
      <c r="H1022" s="112" t="s">
        <v>61</v>
      </c>
      <c r="I1022" s="13" t="s">
        <v>22</v>
      </c>
      <c r="K1022" s="187"/>
      <c r="L1022" s="187"/>
      <c r="M1022" s="188">
        <f>IF($G1022="PAX",M71*'Insumos - OPEX'!I$51,M71*'Insumos - OPEX'!I$76)</f>
        <v>788.67937617492032</v>
      </c>
      <c r="N1022" s="211">
        <f>IF($G1022="PAX",N71*'Insumos - OPEX'!J$51,N71*'Insumos - OPEX'!J$76)</f>
        <v>797.86415215692125</v>
      </c>
      <c r="O1022" s="211">
        <f>IF($G1022="PAX",O71*'Insumos - OPEX'!K$51,O71*'Insumos - OPEX'!K$76)</f>
        <v>816.45559589546735</v>
      </c>
      <c r="P1022" s="211">
        <f>IF($G1022="PAX",P71*'Insumos - OPEX'!L$51,P71*'Insumos - OPEX'!L$76)</f>
        <v>833.73086439617782</v>
      </c>
      <c r="Q1022" s="211">
        <f>IF($G1022="PAX",Q71*'Insumos - OPEX'!M$51,Q71*'Insumos - OPEX'!M$76)</f>
        <v>863.66320677664589</v>
      </c>
      <c r="R1022" s="211">
        <f>IF($G1022="PAX",R71*'Insumos - OPEX'!N$51,R71*'Insumos - OPEX'!N$76)</f>
        <v>890.10937897883798</v>
      </c>
      <c r="S1022" s="111"/>
    </row>
    <row r="1023" spans="1:19" x14ac:dyDescent="0.2">
      <c r="A1023" s="8"/>
      <c r="B1023" s="8" t="s">
        <v>301</v>
      </c>
      <c r="C1023" s="8" t="s">
        <v>174</v>
      </c>
      <c r="D1023" s="8">
        <v>6561000001</v>
      </c>
      <c r="E1023" s="8" t="s">
        <v>358</v>
      </c>
      <c r="F1023" s="73" t="s">
        <v>23</v>
      </c>
      <c r="G1023" s="73" t="s">
        <v>136</v>
      </c>
      <c r="H1023" s="112" t="s">
        <v>61</v>
      </c>
      <c r="I1023" s="13" t="s">
        <v>22</v>
      </c>
      <c r="K1023" s="187"/>
      <c r="L1023" s="187"/>
      <c r="M1023" s="188">
        <f>IF($G1023="PAX",M72*'Insumos - OPEX'!I$51,M72*'Insumos - OPEX'!I$76)</f>
        <v>514.64896570541691</v>
      </c>
      <c r="N1023" s="211">
        <f>IF($G1023="PAX",N72*'Insumos - OPEX'!J$51,N72*'Insumos - OPEX'!J$76)</f>
        <v>520.64244747020985</v>
      </c>
      <c r="O1023" s="211">
        <f>IF($G1023="PAX",O72*'Insumos - OPEX'!K$51,O72*'Insumos - OPEX'!K$76)</f>
        <v>532.77420541907145</v>
      </c>
      <c r="P1023" s="211">
        <f>IF($G1023="PAX",P72*'Insumos - OPEX'!L$51,P72*'Insumos - OPEX'!L$76)</f>
        <v>544.04709949333221</v>
      </c>
      <c r="Q1023" s="211">
        <f>IF($G1023="PAX",Q72*'Insumos - OPEX'!M$51,Q72*'Insumos - OPEX'!M$76)</f>
        <v>563.5793067661541</v>
      </c>
      <c r="R1023" s="211">
        <f>IF($G1023="PAX",R72*'Insumos - OPEX'!N$51,R72*'Insumos - OPEX'!N$76)</f>
        <v>580.8366303147119</v>
      </c>
      <c r="S1023" s="111"/>
    </row>
    <row r="1024" spans="1:19" x14ac:dyDescent="0.2">
      <c r="A1024" s="8"/>
      <c r="B1024" s="8" t="s">
        <v>301</v>
      </c>
      <c r="C1024" s="8" t="s">
        <v>174</v>
      </c>
      <c r="D1024" s="8">
        <v>6561000004</v>
      </c>
      <c r="E1024" s="8" t="s">
        <v>359</v>
      </c>
      <c r="F1024" s="73" t="s">
        <v>23</v>
      </c>
      <c r="G1024" s="73" t="s">
        <v>136</v>
      </c>
      <c r="H1024" s="112" t="s">
        <v>61</v>
      </c>
      <c r="I1024" s="13" t="s">
        <v>22</v>
      </c>
      <c r="K1024" s="187"/>
      <c r="L1024" s="187"/>
      <c r="M1024" s="188">
        <f>IF($G1024="PAX",M73*'Insumos - OPEX'!I$51,M73*'Insumos - OPEX'!I$76)</f>
        <v>167.75553154459487</v>
      </c>
      <c r="N1024" s="211">
        <f>IF($G1024="PAX",N73*'Insumos - OPEX'!J$51,N73*'Insumos - OPEX'!J$76)</f>
        <v>169.70917332035859</v>
      </c>
      <c r="O1024" s="211">
        <f>IF($G1024="PAX",O73*'Insumos - OPEX'!K$51,O73*'Insumos - OPEX'!K$76)</f>
        <v>173.66365421685094</v>
      </c>
      <c r="P1024" s="211">
        <f>IF($G1024="PAX",P73*'Insumos - OPEX'!L$51,P73*'Insumos - OPEX'!L$76)</f>
        <v>177.338178919104</v>
      </c>
      <c r="Q1024" s="211">
        <f>IF($G1024="PAX",Q73*'Insumos - OPEX'!M$51,Q73*'Insumos - OPEX'!M$76)</f>
        <v>183.70491825336114</v>
      </c>
      <c r="R1024" s="211">
        <f>IF($G1024="PAX",R73*'Insumos - OPEX'!N$51,R73*'Insumos - OPEX'!N$76)</f>
        <v>189.33013403701136</v>
      </c>
      <c r="S1024" s="111"/>
    </row>
    <row r="1025" spans="1:19" x14ac:dyDescent="0.2">
      <c r="A1025" s="8"/>
      <c r="B1025" s="8" t="s">
        <v>301</v>
      </c>
      <c r="C1025" s="8" t="s">
        <v>174</v>
      </c>
      <c r="D1025" s="8">
        <v>6590000002</v>
      </c>
      <c r="E1025" s="8" t="s">
        <v>360</v>
      </c>
      <c r="F1025" s="73" t="s">
        <v>23</v>
      </c>
      <c r="G1025" s="73" t="s">
        <v>136</v>
      </c>
      <c r="H1025" s="112" t="s">
        <v>61</v>
      </c>
      <c r="I1025" s="13" t="s">
        <v>22</v>
      </c>
      <c r="J1025" s="103"/>
      <c r="K1025" s="187"/>
      <c r="L1025" s="187"/>
      <c r="M1025" s="188">
        <f>IF($G1025="PAX",M74*'Insumos - OPEX'!I$51,M74*'Insumos - OPEX'!I$76)</f>
        <v>57.722477413512998</v>
      </c>
      <c r="N1025" s="211">
        <f>IF($G1025="PAX",N74*'Insumos - OPEX'!J$51,N74*'Insumos - OPEX'!J$76)</f>
        <v>58.394699916325898</v>
      </c>
      <c r="O1025" s="211">
        <f>IF($G1025="PAX",O74*'Insumos - OPEX'!K$51,O74*'Insumos - OPEX'!K$76)</f>
        <v>59.755384909114163</v>
      </c>
      <c r="P1025" s="211">
        <f>IF($G1025="PAX",P74*'Insumos - OPEX'!L$51,P74*'Insumos - OPEX'!L$76)</f>
        <v>61.019740648554055</v>
      </c>
      <c r="Q1025" s="211">
        <f>IF($G1025="PAX",Q74*'Insumos - OPEX'!M$51,Q74*'Insumos - OPEX'!M$76)</f>
        <v>63.210452120394187</v>
      </c>
      <c r="R1025" s="211">
        <f>IF($G1025="PAX",R74*'Insumos - OPEX'!N$51,R74*'Insumos - OPEX'!N$76)</f>
        <v>65.146015067429218</v>
      </c>
      <c r="S1025" s="111"/>
    </row>
    <row r="1026" spans="1:19" x14ac:dyDescent="0.2">
      <c r="A1026" s="8"/>
      <c r="B1026" s="8" t="s">
        <v>301</v>
      </c>
      <c r="C1026" s="8" t="s">
        <v>174</v>
      </c>
      <c r="D1026" s="8">
        <v>6410000001</v>
      </c>
      <c r="E1026" s="8" t="s">
        <v>361</v>
      </c>
      <c r="F1026" s="73" t="s">
        <v>23</v>
      </c>
      <c r="G1026" s="73" t="s">
        <v>136</v>
      </c>
      <c r="H1026" s="112" t="s">
        <v>61</v>
      </c>
      <c r="I1026" s="13" t="s">
        <v>22</v>
      </c>
      <c r="K1026" s="187"/>
      <c r="L1026" s="187"/>
      <c r="M1026" s="188">
        <f>IF($G1026="PAX",M75*'Insumos - OPEX'!I$51,M75*'Insumos - OPEX'!I$76)</f>
        <v>51.626055929151519</v>
      </c>
      <c r="N1026" s="211">
        <f>IF($G1026="PAX",N75*'Insumos - OPEX'!J$51,N75*'Insumos - OPEX'!J$76)</f>
        <v>52.227280929915757</v>
      </c>
      <c r="O1026" s="211">
        <f>IF($G1026="PAX",O75*'Insumos - OPEX'!K$51,O75*'Insumos - OPEX'!K$76)</f>
        <v>53.444255714909993</v>
      </c>
      <c r="P1026" s="211">
        <f>IF($G1026="PAX",P75*'Insumos - OPEX'!L$51,P75*'Insumos - OPEX'!L$76)</f>
        <v>54.575075164169917</v>
      </c>
      <c r="Q1026" s="211">
        <f>IF($G1026="PAX",Q75*'Insumos - OPEX'!M$51,Q75*'Insumos - OPEX'!M$76)</f>
        <v>56.534412289630438</v>
      </c>
      <c r="R1026" s="211">
        <f>IF($G1026="PAX",R75*'Insumos - OPEX'!N$51,R75*'Insumos - OPEX'!N$76)</f>
        <v>58.265548675932379</v>
      </c>
      <c r="S1026" s="111"/>
    </row>
    <row r="1027" spans="1:19" x14ac:dyDescent="0.2">
      <c r="A1027" s="8"/>
      <c r="B1027" s="8" t="s">
        <v>301</v>
      </c>
      <c r="C1027" s="8" t="s">
        <v>174</v>
      </c>
      <c r="D1027" s="8">
        <v>6430000002</v>
      </c>
      <c r="E1027" s="8" t="s">
        <v>362</v>
      </c>
      <c r="F1027" s="73" t="s">
        <v>23</v>
      </c>
      <c r="G1027" s="73" t="s">
        <v>480</v>
      </c>
      <c r="H1027" s="112" t="s">
        <v>61</v>
      </c>
      <c r="I1027" s="13" t="s">
        <v>22</v>
      </c>
      <c r="K1027" s="187"/>
      <c r="L1027" s="187"/>
      <c r="M1027" s="188">
        <f>IF($G1027="PAX",M76*'Insumos - OPEX'!I$51,M76*'Insumos - OPEX'!I$76)</f>
        <v>14.832236047067925</v>
      </c>
      <c r="N1027" s="211">
        <f>IF($G1027="PAX",N76*'Insumos - OPEX'!J$51,N76*'Insumos - OPEX'!J$76)</f>
        <v>14.968496909453989</v>
      </c>
      <c r="O1027" s="211">
        <f>IF($G1027="PAX",O76*'Insumos - OPEX'!K$51,O76*'Insumos - OPEX'!K$76)</f>
        <v>15.215303111714325</v>
      </c>
      <c r="P1027" s="211">
        <f>IF($G1027="PAX",P76*'Insumos - OPEX'!L$51,P76*'Insumos - OPEX'!L$76)</f>
        <v>15.439035628120099</v>
      </c>
      <c r="Q1027" s="211">
        <f>IF($G1027="PAX",Q76*'Insumos - OPEX'!M$51,Q76*'Insumos - OPEX'!M$76)</f>
        <v>15.714699541404817</v>
      </c>
      <c r="R1027" s="211">
        <f>IF($G1027="PAX",R76*'Insumos - OPEX'!N$51,R76*'Insumos - OPEX'!N$76)</f>
        <v>15.983438037171146</v>
      </c>
      <c r="S1027" s="111"/>
    </row>
    <row r="1028" spans="1:19" x14ac:dyDescent="0.2">
      <c r="A1028" s="8"/>
      <c r="B1028" s="8" t="s">
        <v>301</v>
      </c>
      <c r="C1028" s="8" t="s">
        <v>174</v>
      </c>
      <c r="D1028" s="8">
        <v>6391000001</v>
      </c>
      <c r="E1028" s="8" t="s">
        <v>363</v>
      </c>
      <c r="F1028" s="73" t="s">
        <v>23</v>
      </c>
      <c r="G1028" s="73" t="s">
        <v>136</v>
      </c>
      <c r="H1028" s="112" t="s">
        <v>61</v>
      </c>
      <c r="I1028" s="13" t="s">
        <v>22</v>
      </c>
      <c r="K1028" s="187"/>
      <c r="L1028" s="187"/>
      <c r="M1028" s="188">
        <f>IF($G1028="PAX",M77*'Insumos - OPEX'!I$51,M77*'Insumos - OPEX'!I$76)</f>
        <v>22.484772112935037</v>
      </c>
      <c r="N1028" s="211">
        <f>IF($G1028="PAX",N77*'Insumos - OPEX'!J$51,N77*'Insumos - OPEX'!J$76)</f>
        <v>22.746624522294663</v>
      </c>
      <c r="O1028" s="211">
        <f>IF($G1028="PAX",O77*'Insumos - OPEX'!K$51,O77*'Insumos - OPEX'!K$76)</f>
        <v>23.276655341331765</v>
      </c>
      <c r="P1028" s="211">
        <f>IF($G1028="PAX",P77*'Insumos - OPEX'!L$51,P77*'Insumos - OPEX'!L$76)</f>
        <v>23.769162800208296</v>
      </c>
      <c r="Q1028" s="211">
        <f>IF($G1028="PAX",Q77*'Insumos - OPEX'!M$51,Q77*'Insumos - OPEX'!M$76)</f>
        <v>24.622515781866468</v>
      </c>
      <c r="R1028" s="211">
        <f>IF($G1028="PAX",R77*'Insumos - OPEX'!N$51,R77*'Insumos - OPEX'!N$76)</f>
        <v>25.376480159773358</v>
      </c>
      <c r="S1028" s="111"/>
    </row>
    <row r="1029" spans="1:19" x14ac:dyDescent="0.2">
      <c r="A1029" s="8"/>
      <c r="B1029" s="8" t="s">
        <v>301</v>
      </c>
      <c r="C1029" s="8" t="s">
        <v>174</v>
      </c>
      <c r="D1029" s="8">
        <v>6530000002</v>
      </c>
      <c r="E1029" s="8" t="s">
        <v>271</v>
      </c>
      <c r="F1029" s="73" t="s">
        <v>23</v>
      </c>
      <c r="G1029" s="73" t="s">
        <v>136</v>
      </c>
      <c r="H1029" s="112" t="s">
        <v>61</v>
      </c>
      <c r="I1029" s="13" t="s">
        <v>22</v>
      </c>
      <c r="K1029" s="187"/>
      <c r="L1029" s="187"/>
      <c r="M1029" s="188">
        <f>IF($G1029="PAX",M78*'Insumos - OPEX'!I$51,M78*'Insumos - OPEX'!I$76)</f>
        <v>48.728887514341828</v>
      </c>
      <c r="N1029" s="211">
        <f>IF($G1029="PAX",N78*'Insumos - OPEX'!J$51,N78*'Insumos - OPEX'!J$76)</f>
        <v>49.296372767781605</v>
      </c>
      <c r="O1029" s="211">
        <f>IF($G1029="PAX",O78*'Insumos - OPEX'!K$51,O78*'Insumos - OPEX'!K$76)</f>
        <v>50.445052951430661</v>
      </c>
      <c r="P1029" s="211">
        <f>IF($G1029="PAX",P78*'Insumos - OPEX'!L$51,P78*'Insumos - OPEX'!L$76)</f>
        <v>51.512412693527516</v>
      </c>
      <c r="Q1029" s="211">
        <f>IF($G1029="PAX",Q78*'Insumos - OPEX'!M$51,Q78*'Insumos - OPEX'!M$76)</f>
        <v>53.361795077497845</v>
      </c>
      <c r="R1029" s="211">
        <f>IF($G1029="PAX",R78*'Insumos - OPEX'!N$51,R78*'Insumos - OPEX'!N$76)</f>
        <v>54.995782968338411</v>
      </c>
      <c r="S1029" s="111"/>
    </row>
    <row r="1030" spans="1:19" x14ac:dyDescent="0.2">
      <c r="A1030" s="8"/>
      <c r="B1030" s="8" t="s">
        <v>301</v>
      </c>
      <c r="C1030" s="8" t="s">
        <v>174</v>
      </c>
      <c r="D1030" s="8">
        <v>6530000001</v>
      </c>
      <c r="E1030" s="8" t="s">
        <v>364</v>
      </c>
      <c r="F1030" s="73" t="s">
        <v>23</v>
      </c>
      <c r="G1030" s="73" t="s">
        <v>136</v>
      </c>
      <c r="H1030" s="112" t="s">
        <v>61</v>
      </c>
      <c r="I1030" s="13" t="s">
        <v>22</v>
      </c>
      <c r="K1030" s="187"/>
      <c r="L1030" s="187"/>
      <c r="M1030" s="188">
        <f>IF($G1030="PAX",M79*'Insumos - OPEX'!I$51,M79*'Insumos - OPEX'!I$76)</f>
        <v>3.3949460580391255</v>
      </c>
      <c r="N1030" s="211">
        <f>IF($G1030="PAX",N79*'Insumos - OPEX'!J$51,N79*'Insumos - OPEX'!J$76)</f>
        <v>3.4344828076436325</v>
      </c>
      <c r="O1030" s="211">
        <f>IF($G1030="PAX",O79*'Insumos - OPEX'!K$51,O79*'Insumos - OPEX'!K$76)</f>
        <v>3.5145114612893629</v>
      </c>
      <c r="P1030" s="211">
        <f>IF($G1030="PAX",P79*'Insumos - OPEX'!L$51,P79*'Insumos - OPEX'!L$76)</f>
        <v>3.5888745123209476</v>
      </c>
      <c r="Q1030" s="211">
        <f>IF($G1030="PAX",Q79*'Insumos - OPEX'!M$51,Q79*'Insumos - OPEX'!M$76)</f>
        <v>3.7177211524667779</v>
      </c>
      <c r="R1030" s="211">
        <f>IF($G1030="PAX",R79*'Insumos - OPEX'!N$51,R79*'Insumos - OPEX'!N$76)</f>
        <v>3.8315612385401616</v>
      </c>
      <c r="S1030" s="111"/>
    </row>
    <row r="1031" spans="1:19" x14ac:dyDescent="0.2">
      <c r="A1031" s="8"/>
      <c r="B1031" s="8" t="s">
        <v>301</v>
      </c>
      <c r="C1031" s="8" t="s">
        <v>174</v>
      </c>
      <c r="D1031" s="8">
        <v>6561000005</v>
      </c>
      <c r="E1031" s="8" t="s">
        <v>365</v>
      </c>
      <c r="F1031" s="73" t="s">
        <v>23</v>
      </c>
      <c r="G1031" s="73" t="s">
        <v>136</v>
      </c>
      <c r="H1031" s="112" t="s">
        <v>61</v>
      </c>
      <c r="I1031" s="13" t="s">
        <v>22</v>
      </c>
      <c r="K1031" s="187"/>
      <c r="L1031" s="187"/>
      <c r="M1031" s="188">
        <f>IF($G1031="PAX",M80*'Insumos - OPEX'!I$51,M80*'Insumos - OPEX'!I$76)</f>
        <v>1.1659377695828435</v>
      </c>
      <c r="N1031" s="211">
        <f>IF($G1031="PAX",N80*'Insumos - OPEX'!J$51,N80*'Insumos - OPEX'!J$76)</f>
        <v>1.1795160087838101</v>
      </c>
      <c r="O1031" s="211">
        <f>IF($G1031="PAX",O80*'Insumos - OPEX'!K$51,O80*'Insumos - OPEX'!K$76)</f>
        <v>1.2070005190939135</v>
      </c>
      <c r="P1031" s="211">
        <f>IF($G1031="PAX",P80*'Insumos - OPEX'!L$51,P80*'Insumos - OPEX'!L$76)</f>
        <v>1.2325392723986475</v>
      </c>
      <c r="Q1031" s="211">
        <f>IF($G1031="PAX",Q80*'Insumos - OPEX'!M$51,Q80*'Insumos - OPEX'!M$76)</f>
        <v>1.2767895083852077</v>
      </c>
      <c r="R1031" s="211">
        <f>IF($G1031="PAX",R80*'Insumos - OPEX'!N$51,R80*'Insumos - OPEX'!N$76)</f>
        <v>1.3158859929173305</v>
      </c>
      <c r="S1031" s="111"/>
    </row>
    <row r="1032" spans="1:19" x14ac:dyDescent="0.2">
      <c r="A1032" s="8"/>
      <c r="B1032" s="8" t="s">
        <v>301</v>
      </c>
      <c r="C1032" s="8" t="s">
        <v>174</v>
      </c>
      <c r="D1032" s="8">
        <v>6540000001</v>
      </c>
      <c r="E1032" s="8" t="s">
        <v>276</v>
      </c>
      <c r="F1032" s="73" t="s">
        <v>23</v>
      </c>
      <c r="G1032" s="73" t="s">
        <v>136</v>
      </c>
      <c r="H1032" s="112" t="s">
        <v>61</v>
      </c>
      <c r="I1032" s="13" t="s">
        <v>22</v>
      </c>
      <c r="K1032" s="187"/>
      <c r="L1032" s="187"/>
      <c r="M1032" s="188">
        <f>IF($G1032="PAX",M81*'Insumos - OPEX'!I$51,M81*'Insumos - OPEX'!I$76)</f>
        <v>0.61498721859770122</v>
      </c>
      <c r="N1032" s="211">
        <f>IF($G1032="PAX",N81*'Insumos - OPEX'!J$51,N81*'Insumos - OPEX'!J$76)</f>
        <v>0.62214921624243347</v>
      </c>
      <c r="O1032" s="211">
        <f>IF($G1032="PAX",O81*'Insumos - OPEX'!K$51,O81*'Insumos - OPEX'!K$76)</f>
        <v>0.63664623571558931</v>
      </c>
      <c r="P1032" s="211">
        <f>IF($G1032="PAX",P81*'Insumos - OPEX'!L$51,P81*'Insumos - OPEX'!L$76)</f>
        <v>0.65011694339062309</v>
      </c>
      <c r="Q1032" s="211">
        <f>IF($G1032="PAX",Q81*'Insumos - OPEX'!M$51,Q81*'Insumos - OPEX'!M$76)</f>
        <v>0.67345723672497748</v>
      </c>
      <c r="R1032" s="211">
        <f>IF($G1032="PAX",R81*'Insumos - OPEX'!N$51,R81*'Insumos - OPEX'!N$76)</f>
        <v>0.69407912487940349</v>
      </c>
      <c r="S1032" s="111"/>
    </row>
    <row r="1033" spans="1:19" x14ac:dyDescent="0.2">
      <c r="A1033" s="8"/>
      <c r="B1033" s="8" t="s">
        <v>301</v>
      </c>
      <c r="C1033" s="8" t="s">
        <v>174</v>
      </c>
      <c r="D1033" s="8">
        <v>6562000003</v>
      </c>
      <c r="E1033" s="8" t="s">
        <v>366</v>
      </c>
      <c r="F1033" s="73" t="s">
        <v>23</v>
      </c>
      <c r="G1033" s="73" t="s">
        <v>136</v>
      </c>
      <c r="H1033" s="112" t="s">
        <v>61</v>
      </c>
      <c r="I1033" s="13" t="s">
        <v>22</v>
      </c>
      <c r="K1033" s="187"/>
      <c r="L1033" s="187"/>
      <c r="M1033" s="188">
        <f>IF($G1033="PAX",M82*'Insumos - OPEX'!I$51,M82*'Insumos - OPEX'!I$76)</f>
        <v>0.48098212333470791</v>
      </c>
      <c r="N1033" s="211">
        <f>IF($G1033="PAX",N82*'Insumos - OPEX'!J$51,N82*'Insumos - OPEX'!J$76)</f>
        <v>0.48658352890917883</v>
      </c>
      <c r="O1033" s="211">
        <f>IF($G1033="PAX",O82*'Insumos - OPEX'!K$51,O82*'Insumos - OPEX'!K$76)</f>
        <v>0.49792166244652697</v>
      </c>
      <c r="P1033" s="211">
        <f>IF($G1033="PAX",P82*'Insumos - OPEX'!L$51,P82*'Insumos - OPEX'!L$76)</f>
        <v>0.5084571164924383</v>
      </c>
      <c r="Q1033" s="211">
        <f>IF($G1033="PAX",Q82*'Insumos - OPEX'!M$51,Q82*'Insumos - OPEX'!M$76)</f>
        <v>0.52671158342723234</v>
      </c>
      <c r="R1033" s="211">
        <f>IF($G1033="PAX",R82*'Insumos - OPEX'!N$51,R82*'Insumos - OPEX'!N$76)</f>
        <v>0.54283998293170266</v>
      </c>
      <c r="S1033" s="111"/>
    </row>
    <row r="1034" spans="1:19" x14ac:dyDescent="0.2">
      <c r="A1034" s="8"/>
      <c r="B1034" s="8" t="s">
        <v>301</v>
      </c>
      <c r="C1034" s="8" t="s">
        <v>174</v>
      </c>
      <c r="D1034" s="8">
        <v>6562000005</v>
      </c>
      <c r="E1034" s="8" t="s">
        <v>367</v>
      </c>
      <c r="F1034" s="73" t="s">
        <v>23</v>
      </c>
      <c r="G1034" s="73" t="s">
        <v>136</v>
      </c>
      <c r="H1034" s="112" t="s">
        <v>61</v>
      </c>
      <c r="I1034" s="13" t="s">
        <v>22</v>
      </c>
      <c r="K1034" s="187"/>
      <c r="L1034" s="187"/>
      <c r="M1034" s="188">
        <f>IF($G1034="PAX",M83*'Insumos - OPEX'!I$51,M83*'Insumos - OPEX'!I$76)</f>
        <v>4.0385788740024279E-4</v>
      </c>
      <c r="N1034" s="211">
        <f>IF($G1034="PAX",N83*'Insumos - OPEX'!J$51,N83*'Insumos - OPEX'!J$76)</f>
        <v>4.0856112211943332E-4</v>
      </c>
      <c r="O1034" s="211">
        <f>IF($G1034="PAX",O83*'Insumos - OPEX'!K$51,O83*'Insumos - OPEX'!K$76)</f>
        <v>4.1808121535223067E-4</v>
      </c>
      <c r="P1034" s="211">
        <f>IF($G1034="PAX",P83*'Insumos - OPEX'!L$51,P83*'Insumos - OPEX'!L$76)</f>
        <v>4.2692733666810167E-4</v>
      </c>
      <c r="Q1034" s="211">
        <f>IF($G1034="PAX",Q83*'Insumos - OPEX'!M$51,Q83*'Insumos - OPEX'!M$76)</f>
        <v>4.4225474717723057E-4</v>
      </c>
      <c r="R1034" s="211">
        <f>IF($G1034="PAX",R83*'Insumos - OPEX'!N$51,R83*'Insumos - OPEX'!N$76)</f>
        <v>4.5579699965402336E-4</v>
      </c>
      <c r="S1034" s="111"/>
    </row>
    <row r="1035" spans="1:19" x14ac:dyDescent="0.2">
      <c r="A1035" s="8"/>
      <c r="B1035" s="8" t="s">
        <v>301</v>
      </c>
      <c r="C1035" s="8" t="s">
        <v>174</v>
      </c>
      <c r="D1035" s="8">
        <v>6390000001</v>
      </c>
      <c r="E1035" s="8" t="s">
        <v>368</v>
      </c>
      <c r="F1035" s="73" t="s">
        <v>23</v>
      </c>
      <c r="G1035" s="73" t="s">
        <v>136</v>
      </c>
      <c r="H1035" s="112" t="s">
        <v>61</v>
      </c>
      <c r="I1035" s="13" t="s">
        <v>22</v>
      </c>
      <c r="K1035" s="187"/>
      <c r="L1035" s="187"/>
      <c r="M1035" s="188">
        <f>IF($G1035="PAX",M84*'Insumos - OPEX'!I$51,M84*'Insumos - OPEX'!I$76)</f>
        <v>0</v>
      </c>
      <c r="N1035" s="211">
        <f>IF($G1035="PAX",N84*'Insumos - OPEX'!J$51,N84*'Insumos - OPEX'!J$76)</f>
        <v>0</v>
      </c>
      <c r="O1035" s="211">
        <f>IF($G1035="PAX",O84*'Insumos - OPEX'!K$51,O84*'Insumos - OPEX'!K$76)</f>
        <v>0</v>
      </c>
      <c r="P1035" s="211">
        <f>IF($G1035="PAX",P84*'Insumos - OPEX'!L$51,P84*'Insumos - OPEX'!L$76)</f>
        <v>0</v>
      </c>
      <c r="Q1035" s="211">
        <f>IF($G1035="PAX",Q84*'Insumos - OPEX'!M$51,Q84*'Insumos - OPEX'!M$76)</f>
        <v>0</v>
      </c>
      <c r="R1035" s="211">
        <f>IF($G1035="PAX",R84*'Insumos - OPEX'!N$51,R84*'Insumos - OPEX'!N$76)</f>
        <v>0</v>
      </c>
      <c r="S1035" s="111"/>
    </row>
    <row r="1036" spans="1:19" x14ac:dyDescent="0.2">
      <c r="A1036" s="8"/>
      <c r="B1036" s="8" t="s">
        <v>301</v>
      </c>
      <c r="C1036" s="8" t="s">
        <v>174</v>
      </c>
      <c r="D1036" s="8">
        <v>6590000001</v>
      </c>
      <c r="E1036" s="8" t="s">
        <v>369</v>
      </c>
      <c r="F1036" s="73" t="s">
        <v>23</v>
      </c>
      <c r="G1036" s="73" t="s">
        <v>136</v>
      </c>
      <c r="H1036" s="112" t="s">
        <v>61</v>
      </c>
      <c r="I1036" s="13" t="s">
        <v>22</v>
      </c>
      <c r="K1036" s="187"/>
      <c r="L1036" s="187"/>
      <c r="M1036" s="188">
        <f>IF($G1036="PAX",M85*'Insumos - OPEX'!I$51,M85*'Insumos - OPEX'!I$76)</f>
        <v>0</v>
      </c>
      <c r="N1036" s="211">
        <f>IF($G1036="PAX",N85*'Insumos - OPEX'!J$51,N85*'Insumos - OPEX'!J$76)</f>
        <v>0</v>
      </c>
      <c r="O1036" s="211">
        <f>IF($G1036="PAX",O85*'Insumos - OPEX'!K$51,O85*'Insumos - OPEX'!K$76)</f>
        <v>0</v>
      </c>
      <c r="P1036" s="211">
        <f>IF($G1036="PAX",P85*'Insumos - OPEX'!L$51,P85*'Insumos - OPEX'!L$76)</f>
        <v>0</v>
      </c>
      <c r="Q1036" s="211">
        <f>IF($G1036="PAX",Q85*'Insumos - OPEX'!M$51,Q85*'Insumos - OPEX'!M$76)</f>
        <v>0</v>
      </c>
      <c r="R1036" s="211">
        <f>IF($G1036="PAX",R85*'Insumos - OPEX'!N$51,R85*'Insumos - OPEX'!N$76)</f>
        <v>0</v>
      </c>
      <c r="S1036" s="111"/>
    </row>
    <row r="1037" spans="1:19" x14ac:dyDescent="0.2">
      <c r="A1037" s="8"/>
      <c r="B1037" s="8" t="s">
        <v>301</v>
      </c>
      <c r="C1037" s="8" t="s">
        <v>174</v>
      </c>
      <c r="D1037" s="8">
        <v>6563000004</v>
      </c>
      <c r="E1037" s="8" t="s">
        <v>370</v>
      </c>
      <c r="F1037" s="73" t="s">
        <v>23</v>
      </c>
      <c r="G1037" s="73" t="s">
        <v>136</v>
      </c>
      <c r="H1037" s="112" t="s">
        <v>61</v>
      </c>
      <c r="I1037" s="13" t="s">
        <v>22</v>
      </c>
      <c r="K1037" s="187"/>
      <c r="L1037" s="187"/>
      <c r="M1037" s="188">
        <f>IF($G1037="PAX",M86*'Insumos - OPEX'!I$51,M86*'Insumos - OPEX'!I$76)</f>
        <v>0</v>
      </c>
      <c r="N1037" s="211">
        <f>IF($G1037="PAX",N86*'Insumos - OPEX'!J$51,N86*'Insumos - OPEX'!J$76)</f>
        <v>0</v>
      </c>
      <c r="O1037" s="211">
        <f>IF($G1037="PAX",O86*'Insumos - OPEX'!K$51,O86*'Insumos - OPEX'!K$76)</f>
        <v>0</v>
      </c>
      <c r="P1037" s="211">
        <f>IF($G1037="PAX",P86*'Insumos - OPEX'!L$51,P86*'Insumos - OPEX'!L$76)</f>
        <v>0</v>
      </c>
      <c r="Q1037" s="211">
        <f>IF($G1037="PAX",Q86*'Insumos - OPEX'!M$51,Q86*'Insumos - OPEX'!M$76)</f>
        <v>0</v>
      </c>
      <c r="R1037" s="211">
        <f>IF($G1037="PAX",R86*'Insumos - OPEX'!N$51,R86*'Insumos - OPEX'!N$76)</f>
        <v>0</v>
      </c>
      <c r="S1037" s="111"/>
    </row>
    <row r="1038" spans="1:19" x14ac:dyDescent="0.2">
      <c r="A1038" s="8"/>
      <c r="B1038" s="8" t="s">
        <v>301</v>
      </c>
      <c r="C1038" s="8" t="s">
        <v>174</v>
      </c>
      <c r="D1038" s="8">
        <v>6310000001</v>
      </c>
      <c r="E1038" s="8" t="s">
        <v>371</v>
      </c>
      <c r="F1038" s="73" t="s">
        <v>23</v>
      </c>
      <c r="G1038" s="73" t="s">
        <v>136</v>
      </c>
      <c r="H1038" s="112" t="s">
        <v>61</v>
      </c>
      <c r="I1038" s="13" t="s">
        <v>22</v>
      </c>
      <c r="K1038" s="187"/>
      <c r="L1038" s="187"/>
      <c r="M1038" s="188">
        <f>IF($G1038="PAX",M87*'Insumos - OPEX'!I$51,M87*'Insumos - OPEX'!I$76)</f>
        <v>0</v>
      </c>
      <c r="N1038" s="211">
        <f>IF($G1038="PAX",N87*'Insumos - OPEX'!J$51,N87*'Insumos - OPEX'!J$76)</f>
        <v>0</v>
      </c>
      <c r="O1038" s="211">
        <f>IF($G1038="PAX",O87*'Insumos - OPEX'!K$51,O87*'Insumos - OPEX'!K$76)</f>
        <v>0</v>
      </c>
      <c r="P1038" s="211">
        <f>IF($G1038="PAX",P87*'Insumos - OPEX'!L$51,P87*'Insumos - OPEX'!L$76)</f>
        <v>0</v>
      </c>
      <c r="Q1038" s="211">
        <f>IF($G1038="PAX",Q87*'Insumos - OPEX'!M$51,Q87*'Insumos - OPEX'!M$76)</f>
        <v>0</v>
      </c>
      <c r="R1038" s="211">
        <f>IF($G1038="PAX",R87*'Insumos - OPEX'!N$51,R87*'Insumos - OPEX'!N$76)</f>
        <v>0</v>
      </c>
      <c r="S1038" s="111"/>
    </row>
    <row r="1039" spans="1:19" x14ac:dyDescent="0.2">
      <c r="A1039" s="8"/>
      <c r="B1039" s="8" t="s">
        <v>301</v>
      </c>
      <c r="C1039" s="8" t="s">
        <v>174</v>
      </c>
      <c r="D1039" s="8">
        <v>6590000003</v>
      </c>
      <c r="E1039" s="8" t="s">
        <v>372</v>
      </c>
      <c r="F1039" s="73" t="s">
        <v>23</v>
      </c>
      <c r="G1039" s="73" t="s">
        <v>136</v>
      </c>
      <c r="H1039" s="112" t="s">
        <v>61</v>
      </c>
      <c r="I1039" s="13" t="s">
        <v>22</v>
      </c>
      <c r="K1039" s="187"/>
      <c r="L1039" s="187"/>
      <c r="M1039" s="188">
        <f>IF($G1039="PAX",M88*'Insumos - OPEX'!I$51,M88*'Insumos - OPEX'!I$76)</f>
        <v>0</v>
      </c>
      <c r="N1039" s="211">
        <f>IF($G1039="PAX",N88*'Insumos - OPEX'!J$51,N88*'Insumos - OPEX'!J$76)</f>
        <v>0</v>
      </c>
      <c r="O1039" s="211">
        <f>IF($G1039="PAX",O88*'Insumos - OPEX'!K$51,O88*'Insumos - OPEX'!K$76)</f>
        <v>0</v>
      </c>
      <c r="P1039" s="211">
        <f>IF($G1039="PAX",P88*'Insumos - OPEX'!L$51,P88*'Insumos - OPEX'!L$76)</f>
        <v>0</v>
      </c>
      <c r="Q1039" s="211">
        <f>IF($G1039="PAX",Q88*'Insumos - OPEX'!M$51,Q88*'Insumos - OPEX'!M$76)</f>
        <v>0</v>
      </c>
      <c r="R1039" s="211">
        <f>IF($G1039="PAX",R88*'Insumos - OPEX'!N$51,R88*'Insumos - OPEX'!N$76)</f>
        <v>0</v>
      </c>
      <c r="S1039" s="111"/>
    </row>
    <row r="1040" spans="1:19" s="3" customFormat="1" x14ac:dyDescent="0.2">
      <c r="A1040" s="8"/>
      <c r="B1040" s="8" t="s">
        <v>301</v>
      </c>
      <c r="C1040" s="8" t="s">
        <v>174</v>
      </c>
      <c r="D1040" s="8">
        <v>6562000001</v>
      </c>
      <c r="E1040" s="8" t="s">
        <v>373</v>
      </c>
      <c r="F1040" s="73" t="s">
        <v>23</v>
      </c>
      <c r="G1040" s="73" t="s">
        <v>136</v>
      </c>
      <c r="H1040" s="112" t="s">
        <v>61</v>
      </c>
      <c r="I1040" s="13" t="s">
        <v>22</v>
      </c>
      <c r="J1040" s="11"/>
      <c r="K1040" s="187"/>
      <c r="L1040" s="187"/>
      <c r="M1040" s="188">
        <f>IF($G1040="PAX",M89*'Insumos - OPEX'!I$51,M89*'Insumos - OPEX'!I$76)</f>
        <v>0</v>
      </c>
      <c r="N1040" s="211">
        <f>IF($G1040="PAX",N89*'Insumos - OPEX'!J$51,N89*'Insumos - OPEX'!J$76)</f>
        <v>0</v>
      </c>
      <c r="O1040" s="211">
        <f>IF($G1040="PAX",O89*'Insumos - OPEX'!K$51,O89*'Insumos - OPEX'!K$76)</f>
        <v>0</v>
      </c>
      <c r="P1040" s="211">
        <f>IF($G1040="PAX",P89*'Insumos - OPEX'!L$51,P89*'Insumos - OPEX'!L$76)</f>
        <v>0</v>
      </c>
      <c r="Q1040" s="211">
        <f>IF($G1040="PAX",Q89*'Insumos - OPEX'!M$51,Q89*'Insumos - OPEX'!M$76)</f>
        <v>0</v>
      </c>
      <c r="R1040" s="211">
        <f>IF($G1040="PAX",R89*'Insumos - OPEX'!N$51,R89*'Insumos - OPEX'!N$76)</f>
        <v>0</v>
      </c>
      <c r="S1040" s="111"/>
    </row>
    <row r="1041" spans="1:19" s="3" customFormat="1" x14ac:dyDescent="0.2">
      <c r="A1041" s="8"/>
      <c r="B1041" s="8" t="s">
        <v>301</v>
      </c>
      <c r="C1041" s="8" t="s">
        <v>174</v>
      </c>
      <c r="D1041" s="8">
        <v>6840000001</v>
      </c>
      <c r="E1041" s="8" t="s">
        <v>374</v>
      </c>
      <c r="F1041" s="73" t="s">
        <v>23</v>
      </c>
      <c r="G1041" s="73" t="s">
        <v>136</v>
      </c>
      <c r="H1041" s="112" t="s">
        <v>61</v>
      </c>
      <c r="I1041" s="13" t="s">
        <v>22</v>
      </c>
      <c r="J1041" s="11"/>
      <c r="K1041" s="187"/>
      <c r="L1041" s="187"/>
      <c r="M1041" s="188">
        <f>IF($G1041="PAX",M90*'Insumos - OPEX'!I$51,M90*'Insumos - OPEX'!I$76)</f>
        <v>0</v>
      </c>
      <c r="N1041" s="211">
        <f>IF($G1041="PAX",N90*'Insumos - OPEX'!J$51,N90*'Insumos - OPEX'!J$76)</f>
        <v>0</v>
      </c>
      <c r="O1041" s="211">
        <f>IF($G1041="PAX",O90*'Insumos - OPEX'!K$51,O90*'Insumos - OPEX'!K$76)</f>
        <v>0</v>
      </c>
      <c r="P1041" s="211">
        <f>IF($G1041="PAX",P90*'Insumos - OPEX'!L$51,P90*'Insumos - OPEX'!L$76)</f>
        <v>0</v>
      </c>
      <c r="Q1041" s="211">
        <f>IF($G1041="PAX",Q90*'Insumos - OPEX'!M$51,Q90*'Insumos - OPEX'!M$76)</f>
        <v>0</v>
      </c>
      <c r="R1041" s="211">
        <f>IF($G1041="PAX",R90*'Insumos - OPEX'!N$51,R90*'Insumos - OPEX'!N$76)</f>
        <v>0</v>
      </c>
      <c r="S1041" s="111"/>
    </row>
    <row r="1042" spans="1:19" s="3" customFormat="1" x14ac:dyDescent="0.2">
      <c r="A1042" s="8"/>
      <c r="B1042" s="8" t="s">
        <v>301</v>
      </c>
      <c r="C1042" s="8" t="s">
        <v>174</v>
      </c>
      <c r="D1042" s="8">
        <v>6380000003</v>
      </c>
      <c r="E1042" s="8" t="s">
        <v>375</v>
      </c>
      <c r="F1042" s="73" t="s">
        <v>23</v>
      </c>
      <c r="G1042" s="73" t="s">
        <v>136</v>
      </c>
      <c r="H1042" s="112" t="s">
        <v>61</v>
      </c>
      <c r="I1042" s="13" t="s">
        <v>22</v>
      </c>
      <c r="J1042" s="11"/>
      <c r="K1042" s="187"/>
      <c r="L1042" s="187"/>
      <c r="M1042" s="188">
        <f>IF($G1042="PAX",M91*'Insumos - OPEX'!I$51,M91*'Insumos - OPEX'!I$76)</f>
        <v>0</v>
      </c>
      <c r="N1042" s="211">
        <f>IF($G1042="PAX",N91*'Insumos - OPEX'!J$51,N91*'Insumos - OPEX'!J$76)</f>
        <v>0</v>
      </c>
      <c r="O1042" s="211">
        <f>IF($G1042="PAX",O91*'Insumos - OPEX'!K$51,O91*'Insumos - OPEX'!K$76)</f>
        <v>0</v>
      </c>
      <c r="P1042" s="211">
        <f>IF($G1042="PAX",P91*'Insumos - OPEX'!L$51,P91*'Insumos - OPEX'!L$76)</f>
        <v>0</v>
      </c>
      <c r="Q1042" s="211">
        <f>IF($G1042="PAX",Q91*'Insumos - OPEX'!M$51,Q91*'Insumos - OPEX'!M$76)</f>
        <v>0</v>
      </c>
      <c r="R1042" s="211">
        <f>IF($G1042="PAX",R91*'Insumos - OPEX'!N$51,R91*'Insumos - OPEX'!N$76)</f>
        <v>0</v>
      </c>
      <c r="S1042" s="111"/>
    </row>
    <row r="1043" spans="1:19" x14ac:dyDescent="0.2">
      <c r="A1043" s="8"/>
      <c r="B1043" s="8" t="s">
        <v>301</v>
      </c>
      <c r="C1043" s="8" t="s">
        <v>174</v>
      </c>
      <c r="D1043" s="8">
        <v>6563000005</v>
      </c>
      <c r="E1043" s="8" t="s">
        <v>376</v>
      </c>
      <c r="F1043" s="73" t="s">
        <v>23</v>
      </c>
      <c r="G1043" s="73" t="s">
        <v>136</v>
      </c>
      <c r="H1043" s="112" t="s">
        <v>61</v>
      </c>
      <c r="I1043" s="13" t="s">
        <v>22</v>
      </c>
      <c r="K1043" s="187"/>
      <c r="L1043" s="187"/>
      <c r="M1043" s="188">
        <f>IF($G1043="PAX",M92*'Insumos - OPEX'!I$51,M92*'Insumos - OPEX'!I$76)</f>
        <v>0</v>
      </c>
      <c r="N1043" s="211">
        <f>IF($G1043="PAX",N92*'Insumos - OPEX'!J$51,N92*'Insumos - OPEX'!J$76)</f>
        <v>0</v>
      </c>
      <c r="O1043" s="211">
        <f>IF($G1043="PAX",O92*'Insumos - OPEX'!K$51,O92*'Insumos - OPEX'!K$76)</f>
        <v>0</v>
      </c>
      <c r="P1043" s="211">
        <f>IF($G1043="PAX",P92*'Insumos - OPEX'!L$51,P92*'Insumos - OPEX'!L$76)</f>
        <v>0</v>
      </c>
      <c r="Q1043" s="211">
        <f>IF($G1043="PAX",Q92*'Insumos - OPEX'!M$51,Q92*'Insumos - OPEX'!M$76)</f>
        <v>0</v>
      </c>
      <c r="R1043" s="211">
        <f>IF($G1043="PAX",R92*'Insumos - OPEX'!N$51,R92*'Insumos - OPEX'!N$76)</f>
        <v>0</v>
      </c>
      <c r="S1043" s="111"/>
    </row>
    <row r="1044" spans="1:19" x14ac:dyDescent="0.2">
      <c r="A1044" s="8"/>
      <c r="B1044" s="8" t="s">
        <v>301</v>
      </c>
      <c r="C1044" s="8" t="s">
        <v>174</v>
      </c>
      <c r="D1044" s="8">
        <v>6562000004</v>
      </c>
      <c r="E1044" s="8" t="s">
        <v>377</v>
      </c>
      <c r="F1044" s="73" t="s">
        <v>23</v>
      </c>
      <c r="G1044" s="73" t="s">
        <v>136</v>
      </c>
      <c r="H1044" s="112" t="s">
        <v>61</v>
      </c>
      <c r="I1044" s="13" t="s">
        <v>22</v>
      </c>
      <c r="K1044" s="187"/>
      <c r="L1044" s="187"/>
      <c r="M1044" s="188">
        <f>IF($G1044="PAX",M93*'Insumos - OPEX'!I$51,M93*'Insumos - OPEX'!I$76)</f>
        <v>0</v>
      </c>
      <c r="N1044" s="211">
        <f>IF($G1044="PAX",N93*'Insumos - OPEX'!J$51,N93*'Insumos - OPEX'!J$76)</f>
        <v>0</v>
      </c>
      <c r="O1044" s="211">
        <f>IF($G1044="PAX",O93*'Insumos - OPEX'!K$51,O93*'Insumos - OPEX'!K$76)</f>
        <v>0</v>
      </c>
      <c r="P1044" s="211">
        <f>IF($G1044="PAX",P93*'Insumos - OPEX'!L$51,P93*'Insumos - OPEX'!L$76)</f>
        <v>0</v>
      </c>
      <c r="Q1044" s="211">
        <f>IF($G1044="PAX",Q93*'Insumos - OPEX'!M$51,Q93*'Insumos - OPEX'!M$76)</f>
        <v>0</v>
      </c>
      <c r="R1044" s="211">
        <f>IF($G1044="PAX",R93*'Insumos - OPEX'!N$51,R93*'Insumos - OPEX'!N$76)</f>
        <v>0</v>
      </c>
      <c r="S1044" s="111"/>
    </row>
    <row r="1045" spans="1:19" x14ac:dyDescent="0.2">
      <c r="A1045" s="8"/>
      <c r="B1045" s="8" t="s">
        <v>301</v>
      </c>
      <c r="C1045" s="8" t="s">
        <v>174</v>
      </c>
      <c r="D1045" s="8">
        <v>6391000003</v>
      </c>
      <c r="E1045" s="8" t="s">
        <v>378</v>
      </c>
      <c r="F1045" s="73" t="s">
        <v>23</v>
      </c>
      <c r="G1045" s="73" t="s">
        <v>136</v>
      </c>
      <c r="H1045" s="112" t="s">
        <v>61</v>
      </c>
      <c r="I1045" s="13" t="s">
        <v>22</v>
      </c>
      <c r="K1045" s="187"/>
      <c r="L1045" s="187"/>
      <c r="M1045" s="188">
        <f>IF($G1045="PAX",M94*'Insumos - OPEX'!I$51,M94*'Insumos - OPEX'!I$76)</f>
        <v>0</v>
      </c>
      <c r="N1045" s="211">
        <f>IF($G1045="PAX",N94*'Insumos - OPEX'!J$51,N94*'Insumos - OPEX'!J$76)</f>
        <v>0</v>
      </c>
      <c r="O1045" s="211">
        <f>IF($G1045="PAX",O94*'Insumos - OPEX'!K$51,O94*'Insumos - OPEX'!K$76)</f>
        <v>0</v>
      </c>
      <c r="P1045" s="211">
        <f>IF($G1045="PAX",P94*'Insumos - OPEX'!L$51,P94*'Insumos - OPEX'!L$76)</f>
        <v>0</v>
      </c>
      <c r="Q1045" s="211">
        <f>IF($G1045="PAX",Q94*'Insumos - OPEX'!M$51,Q94*'Insumos - OPEX'!M$76)</f>
        <v>0</v>
      </c>
      <c r="R1045" s="211">
        <f>IF($G1045="PAX",R94*'Insumos - OPEX'!N$51,R94*'Insumos - OPEX'!N$76)</f>
        <v>0</v>
      </c>
      <c r="S1045" s="111"/>
    </row>
    <row r="1046" spans="1:19" x14ac:dyDescent="0.2">
      <c r="A1046" s="8"/>
      <c r="B1046" s="8" t="s">
        <v>301</v>
      </c>
      <c r="C1046" s="8" t="s">
        <v>174</v>
      </c>
      <c r="D1046" s="8">
        <v>6590000005</v>
      </c>
      <c r="E1046" s="8" t="s">
        <v>379</v>
      </c>
      <c r="F1046" s="73" t="s">
        <v>23</v>
      </c>
      <c r="G1046" s="73" t="s">
        <v>136</v>
      </c>
      <c r="H1046" s="112" t="s">
        <v>61</v>
      </c>
      <c r="I1046" s="13" t="s">
        <v>22</v>
      </c>
      <c r="K1046" s="187"/>
      <c r="L1046" s="187"/>
      <c r="M1046" s="188">
        <f>IF($G1046="PAX",M95*'Insumos - OPEX'!I$51,M95*'Insumos - OPEX'!I$76)</f>
        <v>0</v>
      </c>
      <c r="N1046" s="211">
        <f>IF($G1046="PAX",N95*'Insumos - OPEX'!J$51,N95*'Insumos - OPEX'!J$76)</f>
        <v>0</v>
      </c>
      <c r="O1046" s="211">
        <f>IF($G1046="PAX",O95*'Insumos - OPEX'!K$51,O95*'Insumos - OPEX'!K$76)</f>
        <v>0</v>
      </c>
      <c r="P1046" s="211">
        <f>IF($G1046="PAX",P95*'Insumos - OPEX'!L$51,P95*'Insumos - OPEX'!L$76)</f>
        <v>0</v>
      </c>
      <c r="Q1046" s="211">
        <f>IF($G1046="PAX",Q95*'Insumos - OPEX'!M$51,Q95*'Insumos - OPEX'!M$76)</f>
        <v>0</v>
      </c>
      <c r="R1046" s="211">
        <f>IF($G1046="PAX",R95*'Insumos - OPEX'!N$51,R95*'Insumos - OPEX'!N$76)</f>
        <v>0</v>
      </c>
      <c r="S1046" s="111"/>
    </row>
    <row r="1047" spans="1:19" x14ac:dyDescent="0.2">
      <c r="A1047" s="8"/>
      <c r="B1047" s="8" t="s">
        <v>301</v>
      </c>
      <c r="C1047" s="8" t="s">
        <v>174</v>
      </c>
      <c r="D1047" s="8">
        <v>6590000004</v>
      </c>
      <c r="E1047" s="8" t="s">
        <v>380</v>
      </c>
      <c r="F1047" s="73" t="s">
        <v>23</v>
      </c>
      <c r="G1047" s="73" t="s">
        <v>136</v>
      </c>
      <c r="H1047" s="112" t="s">
        <v>61</v>
      </c>
      <c r="I1047" s="13" t="s">
        <v>22</v>
      </c>
      <c r="K1047" s="187"/>
      <c r="L1047" s="187"/>
      <c r="M1047" s="188">
        <f>IF($G1047="PAX",M96*'Insumos - OPEX'!I$51,M96*'Insumos - OPEX'!I$76)</f>
        <v>0</v>
      </c>
      <c r="N1047" s="211">
        <f>IF($G1047="PAX",N96*'Insumos - OPEX'!J$51,N96*'Insumos - OPEX'!J$76)</f>
        <v>0</v>
      </c>
      <c r="O1047" s="211">
        <f>IF($G1047="PAX",O96*'Insumos - OPEX'!K$51,O96*'Insumos - OPEX'!K$76)</f>
        <v>0</v>
      </c>
      <c r="P1047" s="211">
        <f>IF($G1047="PAX",P96*'Insumos - OPEX'!L$51,P96*'Insumos - OPEX'!L$76)</f>
        <v>0</v>
      </c>
      <c r="Q1047" s="211">
        <f>IF($G1047="PAX",Q96*'Insumos - OPEX'!M$51,Q96*'Insumos - OPEX'!M$76)</f>
        <v>0</v>
      </c>
      <c r="R1047" s="211">
        <f>IF($G1047="PAX",R96*'Insumos - OPEX'!N$51,R96*'Insumos - OPEX'!N$76)</f>
        <v>0</v>
      </c>
      <c r="S1047" s="111"/>
    </row>
    <row r="1048" spans="1:19" x14ac:dyDescent="0.2">
      <c r="A1048" s="8"/>
      <c r="B1048" s="8" t="s">
        <v>301</v>
      </c>
      <c r="C1048" s="8" t="s">
        <v>174</v>
      </c>
      <c r="D1048" s="8">
        <v>6590000006</v>
      </c>
      <c r="E1048" s="8" t="s">
        <v>272</v>
      </c>
      <c r="F1048" s="73" t="s">
        <v>23</v>
      </c>
      <c r="G1048" s="73" t="s">
        <v>136</v>
      </c>
      <c r="H1048" s="112" t="s">
        <v>61</v>
      </c>
      <c r="I1048" s="13" t="s">
        <v>22</v>
      </c>
      <c r="K1048" s="187"/>
      <c r="L1048" s="187"/>
      <c r="M1048" s="188">
        <f>IF($G1048="PAX",M97*'Insumos - OPEX'!I$51,M97*'Insumos - OPEX'!I$76)</f>
        <v>0</v>
      </c>
      <c r="N1048" s="211">
        <f>IF($G1048="PAX",N97*'Insumos - OPEX'!J$51,N97*'Insumos - OPEX'!J$76)</f>
        <v>0</v>
      </c>
      <c r="O1048" s="211">
        <f>IF($G1048="PAX",O97*'Insumos - OPEX'!K$51,O97*'Insumos - OPEX'!K$76)</f>
        <v>0</v>
      </c>
      <c r="P1048" s="211">
        <f>IF($G1048="PAX",P97*'Insumos - OPEX'!L$51,P97*'Insumos - OPEX'!L$76)</f>
        <v>0</v>
      </c>
      <c r="Q1048" s="211">
        <f>IF($G1048="PAX",Q97*'Insumos - OPEX'!M$51,Q97*'Insumos - OPEX'!M$76)</f>
        <v>0</v>
      </c>
      <c r="R1048" s="211">
        <f>IF($G1048="PAX",R97*'Insumos - OPEX'!N$51,R97*'Insumos - OPEX'!N$76)</f>
        <v>0</v>
      </c>
      <c r="S1048" s="111"/>
    </row>
    <row r="1049" spans="1:19" x14ac:dyDescent="0.2">
      <c r="A1049" s="8"/>
      <c r="B1049" s="8" t="s">
        <v>301</v>
      </c>
      <c r="C1049" s="8" t="s">
        <v>174</v>
      </c>
      <c r="D1049" s="8">
        <v>6590000010</v>
      </c>
      <c r="E1049" s="8" t="s">
        <v>381</v>
      </c>
      <c r="F1049" s="73" t="s">
        <v>23</v>
      </c>
      <c r="G1049" s="73" t="s">
        <v>136</v>
      </c>
      <c r="H1049" s="112" t="s">
        <v>61</v>
      </c>
      <c r="I1049" s="13" t="s">
        <v>22</v>
      </c>
      <c r="K1049" s="187"/>
      <c r="L1049" s="187"/>
      <c r="M1049" s="188">
        <f>IF($G1049="PAX",M98*'Insumos - OPEX'!I$51,M98*'Insumos - OPEX'!I$76)</f>
        <v>0</v>
      </c>
      <c r="N1049" s="211">
        <f>IF($G1049="PAX",N98*'Insumos - OPEX'!J$51,N98*'Insumos - OPEX'!J$76)</f>
        <v>0</v>
      </c>
      <c r="O1049" s="211">
        <f>IF($G1049="PAX",O98*'Insumos - OPEX'!K$51,O98*'Insumos - OPEX'!K$76)</f>
        <v>0</v>
      </c>
      <c r="P1049" s="211">
        <f>IF($G1049="PAX",P98*'Insumos - OPEX'!L$51,P98*'Insumos - OPEX'!L$76)</f>
        <v>0</v>
      </c>
      <c r="Q1049" s="211">
        <f>IF($G1049="PAX",Q98*'Insumos - OPEX'!M$51,Q98*'Insumos - OPEX'!M$76)</f>
        <v>0</v>
      </c>
      <c r="R1049" s="211">
        <f>IF($G1049="PAX",R98*'Insumos - OPEX'!N$51,R98*'Insumos - OPEX'!N$76)</f>
        <v>0</v>
      </c>
      <c r="S1049" s="111"/>
    </row>
    <row r="1050" spans="1:19" x14ac:dyDescent="0.2">
      <c r="A1050" s="8"/>
      <c r="B1050" s="8" t="s">
        <v>301</v>
      </c>
      <c r="C1050" s="8" t="s">
        <v>174</v>
      </c>
      <c r="D1050" s="8">
        <v>6590000007</v>
      </c>
      <c r="E1050" s="8" t="s">
        <v>382</v>
      </c>
      <c r="F1050" s="73" t="s">
        <v>23</v>
      </c>
      <c r="G1050" s="73" t="s">
        <v>136</v>
      </c>
      <c r="H1050" s="112" t="s">
        <v>61</v>
      </c>
      <c r="I1050" s="13" t="s">
        <v>22</v>
      </c>
      <c r="K1050" s="187"/>
      <c r="L1050" s="187"/>
      <c r="M1050" s="188">
        <f>IF($G1050="PAX",M99*'Insumos - OPEX'!I$51,M99*'Insumos - OPEX'!I$76)</f>
        <v>0</v>
      </c>
      <c r="N1050" s="211">
        <f>IF($G1050="PAX",N99*'Insumos - OPEX'!J$51,N99*'Insumos - OPEX'!J$76)</f>
        <v>0</v>
      </c>
      <c r="O1050" s="211">
        <f>IF($G1050="PAX",O99*'Insumos - OPEX'!K$51,O99*'Insumos - OPEX'!K$76)</f>
        <v>0</v>
      </c>
      <c r="P1050" s="211">
        <f>IF($G1050="PAX",P99*'Insumos - OPEX'!L$51,P99*'Insumos - OPEX'!L$76)</f>
        <v>0</v>
      </c>
      <c r="Q1050" s="211">
        <f>IF($G1050="PAX",Q99*'Insumos - OPEX'!M$51,Q99*'Insumos - OPEX'!M$76)</f>
        <v>0</v>
      </c>
      <c r="R1050" s="211">
        <f>IF($G1050="PAX",R99*'Insumos - OPEX'!N$51,R99*'Insumos - OPEX'!N$76)</f>
        <v>0</v>
      </c>
      <c r="S1050" s="111"/>
    </row>
    <row r="1051" spans="1:19" s="3" customFormat="1" x14ac:dyDescent="0.2">
      <c r="A1051" s="8"/>
      <c r="B1051" s="8" t="s">
        <v>301</v>
      </c>
      <c r="C1051" s="8" t="s">
        <v>174</v>
      </c>
      <c r="D1051" s="8">
        <v>6563000001</v>
      </c>
      <c r="E1051" s="8" t="s">
        <v>383</v>
      </c>
      <c r="F1051" s="73" t="s">
        <v>23</v>
      </c>
      <c r="G1051" s="73" t="s">
        <v>136</v>
      </c>
      <c r="H1051" s="112" t="s">
        <v>61</v>
      </c>
      <c r="I1051" s="13" t="s">
        <v>22</v>
      </c>
      <c r="J1051" s="11"/>
      <c r="K1051" s="187"/>
      <c r="L1051" s="187"/>
      <c r="M1051" s="188">
        <f>IF($G1051="PAX",M100*'Insumos - OPEX'!I$51,M100*'Insumos - OPEX'!I$76)</f>
        <v>0</v>
      </c>
      <c r="N1051" s="211">
        <f>IF($G1051="PAX",N100*'Insumos - OPEX'!J$51,N100*'Insumos - OPEX'!J$76)</f>
        <v>0</v>
      </c>
      <c r="O1051" s="211">
        <f>IF($G1051="PAX",O100*'Insumos - OPEX'!K$51,O100*'Insumos - OPEX'!K$76)</f>
        <v>0</v>
      </c>
      <c r="P1051" s="211">
        <f>IF($G1051="PAX",P100*'Insumos - OPEX'!L$51,P100*'Insumos - OPEX'!L$76)</f>
        <v>0</v>
      </c>
      <c r="Q1051" s="211">
        <f>IF($G1051="PAX",Q100*'Insumos - OPEX'!M$51,Q100*'Insumos - OPEX'!M$76)</f>
        <v>0</v>
      </c>
      <c r="R1051" s="211">
        <f>IF($G1051="PAX",R100*'Insumos - OPEX'!N$51,R100*'Insumos - OPEX'!N$76)</f>
        <v>0</v>
      </c>
      <c r="S1051" s="111"/>
    </row>
    <row r="1052" spans="1:19" x14ac:dyDescent="0.2">
      <c r="A1052" s="8"/>
      <c r="B1052" s="8" t="s">
        <v>301</v>
      </c>
      <c r="C1052" s="8" t="s">
        <v>174</v>
      </c>
      <c r="D1052" s="8">
        <v>6590000011</v>
      </c>
      <c r="E1052" s="8" t="s">
        <v>384</v>
      </c>
      <c r="F1052" s="73" t="s">
        <v>23</v>
      </c>
      <c r="G1052" s="73" t="s">
        <v>136</v>
      </c>
      <c r="H1052" s="112" t="s">
        <v>61</v>
      </c>
      <c r="I1052" s="13" t="s">
        <v>22</v>
      </c>
      <c r="K1052" s="187"/>
      <c r="L1052" s="187"/>
      <c r="M1052" s="188">
        <f>IF($G1052="PAX",M101*'Insumos - OPEX'!I$51,M101*'Insumos - OPEX'!I$76)</f>
        <v>0</v>
      </c>
      <c r="N1052" s="211">
        <f>IF($G1052="PAX",N101*'Insumos - OPEX'!J$51,N101*'Insumos - OPEX'!J$76)</f>
        <v>0</v>
      </c>
      <c r="O1052" s="211">
        <f>IF($G1052="PAX",O101*'Insumos - OPEX'!K$51,O101*'Insumos - OPEX'!K$76)</f>
        <v>0</v>
      </c>
      <c r="P1052" s="211">
        <f>IF($G1052="PAX",P101*'Insumos - OPEX'!L$51,P101*'Insumos - OPEX'!L$76)</f>
        <v>0</v>
      </c>
      <c r="Q1052" s="211">
        <f>IF($G1052="PAX",Q101*'Insumos - OPEX'!M$51,Q101*'Insumos - OPEX'!M$76)</f>
        <v>0</v>
      </c>
      <c r="R1052" s="211">
        <f>IF($G1052="PAX",R101*'Insumos - OPEX'!N$51,R101*'Insumos - OPEX'!N$76)</f>
        <v>0</v>
      </c>
      <c r="S1052" s="111"/>
    </row>
    <row r="1053" spans="1:19" x14ac:dyDescent="0.2">
      <c r="A1053" s="8"/>
      <c r="B1053" s="8" t="s">
        <v>301</v>
      </c>
      <c r="C1053" s="8" t="s">
        <v>174</v>
      </c>
      <c r="D1053" s="8">
        <v>6563000002</v>
      </c>
      <c r="E1053" s="8" t="s">
        <v>385</v>
      </c>
      <c r="F1053" s="73" t="s">
        <v>23</v>
      </c>
      <c r="G1053" s="73" t="s">
        <v>136</v>
      </c>
      <c r="H1053" s="112" t="s">
        <v>61</v>
      </c>
      <c r="I1053" s="13" t="s">
        <v>22</v>
      </c>
      <c r="K1053" s="187"/>
      <c r="L1053" s="187"/>
      <c r="M1053" s="188">
        <f>IF($G1053="PAX",M102*'Insumos - OPEX'!I$51,M102*'Insumos - OPEX'!I$76)</f>
        <v>0</v>
      </c>
      <c r="N1053" s="211">
        <f>IF($G1053="PAX",N102*'Insumos - OPEX'!J$51,N102*'Insumos - OPEX'!J$76)</f>
        <v>0</v>
      </c>
      <c r="O1053" s="211">
        <f>IF($G1053="PAX",O102*'Insumos - OPEX'!K$51,O102*'Insumos - OPEX'!K$76)</f>
        <v>0</v>
      </c>
      <c r="P1053" s="211">
        <f>IF($G1053="PAX",P102*'Insumos - OPEX'!L$51,P102*'Insumos - OPEX'!L$76)</f>
        <v>0</v>
      </c>
      <c r="Q1053" s="211">
        <f>IF($G1053="PAX",Q102*'Insumos - OPEX'!M$51,Q102*'Insumos - OPEX'!M$76)</f>
        <v>0</v>
      </c>
      <c r="R1053" s="211">
        <f>IF($G1053="PAX",R102*'Insumos - OPEX'!N$51,R102*'Insumos - OPEX'!N$76)</f>
        <v>0</v>
      </c>
      <c r="S1053" s="111"/>
    </row>
    <row r="1054" spans="1:19" x14ac:dyDescent="0.2">
      <c r="A1054" s="8"/>
      <c r="B1054" s="8" t="s">
        <v>301</v>
      </c>
      <c r="C1054" s="8" t="s">
        <v>174</v>
      </c>
      <c r="D1054" s="8">
        <v>6430000003</v>
      </c>
      <c r="E1054" s="8" t="s">
        <v>386</v>
      </c>
      <c r="F1054" s="73" t="s">
        <v>23</v>
      </c>
      <c r="G1054" s="73" t="s">
        <v>136</v>
      </c>
      <c r="H1054" s="112" t="s">
        <v>61</v>
      </c>
      <c r="I1054" s="13" t="s">
        <v>22</v>
      </c>
      <c r="K1054" s="187"/>
      <c r="L1054" s="187"/>
      <c r="M1054" s="188">
        <f>IF($G1054="PAX",M103*'Insumos - OPEX'!I$51,M103*'Insumos - OPEX'!I$76)</f>
        <v>0</v>
      </c>
      <c r="N1054" s="211">
        <f>IF($G1054="PAX",N103*'Insumos - OPEX'!J$51,N103*'Insumos - OPEX'!J$76)</f>
        <v>0</v>
      </c>
      <c r="O1054" s="211">
        <f>IF($G1054="PAX",O103*'Insumos - OPEX'!K$51,O103*'Insumos - OPEX'!K$76)</f>
        <v>0</v>
      </c>
      <c r="P1054" s="211">
        <f>IF($G1054="PAX",P103*'Insumos - OPEX'!L$51,P103*'Insumos - OPEX'!L$76)</f>
        <v>0</v>
      </c>
      <c r="Q1054" s="211">
        <f>IF($G1054="PAX",Q103*'Insumos - OPEX'!M$51,Q103*'Insumos - OPEX'!M$76)</f>
        <v>0</v>
      </c>
      <c r="R1054" s="211">
        <f>IF($G1054="PAX",R103*'Insumos - OPEX'!N$51,R103*'Insumos - OPEX'!N$76)</f>
        <v>0</v>
      </c>
      <c r="S1054" s="111"/>
    </row>
    <row r="1055" spans="1:19" s="39" customFormat="1" x14ac:dyDescent="0.2">
      <c r="A1055" s="8"/>
      <c r="B1055" s="8" t="s">
        <v>301</v>
      </c>
      <c r="C1055" s="8" t="s">
        <v>174</v>
      </c>
      <c r="D1055" s="8">
        <v>6563000003</v>
      </c>
      <c r="E1055" s="8" t="s">
        <v>387</v>
      </c>
      <c r="F1055" s="73" t="s">
        <v>23</v>
      </c>
      <c r="G1055" s="73" t="s">
        <v>136</v>
      </c>
      <c r="H1055" s="112" t="s">
        <v>61</v>
      </c>
      <c r="I1055" s="13" t="s">
        <v>22</v>
      </c>
      <c r="J1055" s="40"/>
      <c r="K1055" s="187"/>
      <c r="L1055" s="187"/>
      <c r="M1055" s="188">
        <f>IF($G1055="PAX",M104*'Insumos - OPEX'!I$51,M104*'Insumos - OPEX'!I$76)</f>
        <v>0</v>
      </c>
      <c r="N1055" s="211">
        <f>IF($G1055="PAX",N104*'Insumos - OPEX'!J$51,N104*'Insumos - OPEX'!J$76)</f>
        <v>0</v>
      </c>
      <c r="O1055" s="211">
        <f>IF($G1055="PAX",O104*'Insumos - OPEX'!K$51,O104*'Insumos - OPEX'!K$76)</f>
        <v>0</v>
      </c>
      <c r="P1055" s="211">
        <f>IF($G1055="PAX",P104*'Insumos - OPEX'!L$51,P104*'Insumos - OPEX'!L$76)</f>
        <v>0</v>
      </c>
      <c r="Q1055" s="211">
        <f>IF($G1055="PAX",Q104*'Insumos - OPEX'!M$51,Q104*'Insumos - OPEX'!M$76)</f>
        <v>0</v>
      </c>
      <c r="R1055" s="211">
        <f>IF($G1055="PAX",R104*'Insumos - OPEX'!N$51,R104*'Insumos - OPEX'!N$76)</f>
        <v>0</v>
      </c>
      <c r="S1055" s="111"/>
    </row>
    <row r="1056" spans="1:19" x14ac:dyDescent="0.2">
      <c r="A1056" s="8"/>
      <c r="B1056" s="8" t="s">
        <v>301</v>
      </c>
      <c r="C1056" s="8" t="s">
        <v>174</v>
      </c>
      <c r="D1056" s="8">
        <v>6562000002</v>
      </c>
      <c r="E1056" s="8" t="s">
        <v>388</v>
      </c>
      <c r="F1056" s="73" t="s">
        <v>23</v>
      </c>
      <c r="G1056" s="73" t="s">
        <v>136</v>
      </c>
      <c r="H1056" s="112" t="s">
        <v>61</v>
      </c>
      <c r="I1056" s="13" t="s">
        <v>22</v>
      </c>
      <c r="K1056" s="187"/>
      <c r="L1056" s="187"/>
      <c r="M1056" s="188">
        <f>IF($G1056="PAX",M105*'Insumos - OPEX'!I$51,M105*'Insumos - OPEX'!I$76)</f>
        <v>0</v>
      </c>
      <c r="N1056" s="211">
        <f>IF($G1056="PAX",N105*'Insumos - OPEX'!J$51,N105*'Insumos - OPEX'!J$76)</f>
        <v>0</v>
      </c>
      <c r="O1056" s="211">
        <f>IF($G1056="PAX",O105*'Insumos - OPEX'!K$51,O105*'Insumos - OPEX'!K$76)</f>
        <v>0</v>
      </c>
      <c r="P1056" s="211">
        <f>IF($G1056="PAX",P105*'Insumos - OPEX'!L$51,P105*'Insumos - OPEX'!L$76)</f>
        <v>0</v>
      </c>
      <c r="Q1056" s="211">
        <f>IF($G1056="PAX",Q105*'Insumos - OPEX'!M$51,Q105*'Insumos - OPEX'!M$76)</f>
        <v>0</v>
      </c>
      <c r="R1056" s="211">
        <f>IF($G1056="PAX",R105*'Insumos - OPEX'!N$51,R105*'Insumos - OPEX'!N$76)</f>
        <v>0</v>
      </c>
      <c r="S1056" s="111"/>
    </row>
    <row r="1057" spans="1:19" x14ac:dyDescent="0.2">
      <c r="A1057" s="8"/>
      <c r="B1057" s="8" t="s">
        <v>301</v>
      </c>
      <c r="C1057" s="8" t="s">
        <v>173</v>
      </c>
      <c r="D1057" s="8">
        <v>6343000001</v>
      </c>
      <c r="E1057" s="8" t="s">
        <v>389</v>
      </c>
      <c r="F1057" s="73" t="s">
        <v>23</v>
      </c>
      <c r="G1057" s="73" t="s">
        <v>136</v>
      </c>
      <c r="H1057" s="112" t="s">
        <v>61</v>
      </c>
      <c r="I1057" s="13" t="s">
        <v>22</v>
      </c>
      <c r="K1057" s="187"/>
      <c r="L1057" s="187"/>
      <c r="M1057" s="188">
        <f>IF($G1057="PAX",M106*'Insumos - OPEX'!I$51,M106*'Insumos - OPEX'!I$76)</f>
        <v>38590.522895014939</v>
      </c>
      <c r="N1057" s="211">
        <f>IF($G1057="PAX",N106*'Insumos - OPEX'!J$51,N106*'Insumos - OPEX'!J$76)</f>
        <v>39039.939119816008</v>
      </c>
      <c r="O1057" s="211">
        <f>IF($G1057="PAX",O106*'Insumos - OPEX'!K$51,O106*'Insumos - OPEX'!K$76)</f>
        <v>39949.628858025448</v>
      </c>
      <c r="P1057" s="211">
        <f>IF($G1057="PAX",P106*'Insumos - OPEX'!L$51,P106*'Insumos - OPEX'!L$76)</f>
        <v>40794.917405860295</v>
      </c>
      <c r="Q1057" s="211">
        <f>IF($G1057="PAX",Q106*'Insumos - OPEX'!M$51,Q106*'Insumos - OPEX'!M$76)</f>
        <v>42259.523656295198</v>
      </c>
      <c r="R1057" s="211">
        <f>IF($G1057="PAX",R106*'Insumos - OPEX'!N$51,R106*'Insumos - OPEX'!N$76)</f>
        <v>43553.549650488101</v>
      </c>
      <c r="S1057" s="111"/>
    </row>
    <row r="1058" spans="1:19" x14ac:dyDescent="0.2">
      <c r="A1058" s="8"/>
      <c r="B1058" s="8" t="s">
        <v>301</v>
      </c>
      <c r="C1058" s="8" t="s">
        <v>173</v>
      </c>
      <c r="D1058" s="8">
        <v>6343100007</v>
      </c>
      <c r="E1058" s="8" t="s">
        <v>390</v>
      </c>
      <c r="F1058" s="73" t="s">
        <v>23</v>
      </c>
      <c r="G1058" s="73" t="s">
        <v>136</v>
      </c>
      <c r="H1058" s="112" t="s">
        <v>61</v>
      </c>
      <c r="I1058" s="13" t="s">
        <v>22</v>
      </c>
      <c r="K1058" s="187"/>
      <c r="L1058" s="187"/>
      <c r="M1058" s="188">
        <f>IF($G1058="PAX",M107*'Insumos - OPEX'!I$51,M107*'Insumos - OPEX'!I$76)</f>
        <v>2888.8820394970876</v>
      </c>
      <c r="N1058" s="211">
        <f>IF($G1058="PAX",N107*'Insumos - OPEX'!J$51,N107*'Insumos - OPEX'!J$76)</f>
        <v>2922.5252856282273</v>
      </c>
      <c r="O1058" s="211">
        <f>IF($G1058="PAX",O107*'Insumos - OPEX'!K$51,O107*'Insumos - OPEX'!K$76)</f>
        <v>2990.6245532483495</v>
      </c>
      <c r="P1058" s="211">
        <f>IF($G1058="PAX",P107*'Insumos - OPEX'!L$51,P107*'Insumos - OPEX'!L$76)</f>
        <v>3053.9027552741659</v>
      </c>
      <c r="Q1058" s="211">
        <f>IF($G1058="PAX",Q107*'Insumos - OPEX'!M$51,Q107*'Insumos - OPEX'!M$76)</f>
        <v>3163.5430082276475</v>
      </c>
      <c r="R1058" s="211">
        <f>IF($G1058="PAX",R107*'Insumos - OPEX'!N$51,R107*'Insumos - OPEX'!N$76)</f>
        <v>3260.4136431095903</v>
      </c>
      <c r="S1058" s="111"/>
    </row>
    <row r="1059" spans="1:19" x14ac:dyDescent="0.2">
      <c r="A1059" s="8"/>
      <c r="B1059" s="8" t="s">
        <v>301</v>
      </c>
      <c r="C1059" s="8" t="s">
        <v>173</v>
      </c>
      <c r="D1059" s="8">
        <v>6343000002</v>
      </c>
      <c r="E1059" s="8" t="s">
        <v>391</v>
      </c>
      <c r="F1059" s="73" t="s">
        <v>23</v>
      </c>
      <c r="G1059" s="73" t="s">
        <v>136</v>
      </c>
      <c r="H1059" s="112" t="s">
        <v>61</v>
      </c>
      <c r="I1059" s="13" t="s">
        <v>22</v>
      </c>
      <c r="K1059" s="187"/>
      <c r="L1059" s="187"/>
      <c r="M1059" s="188">
        <f>IF($G1059="PAX",M108*'Insumos - OPEX'!I$51,M108*'Insumos - OPEX'!I$76)</f>
        <v>2331.1383316681549</v>
      </c>
      <c r="N1059" s="211">
        <f>IF($G1059="PAX",N108*'Insumos - OPEX'!J$51,N108*'Insumos - OPEX'!J$76)</f>
        <v>2358.2862247235939</v>
      </c>
      <c r="O1059" s="211">
        <f>IF($G1059="PAX",O108*'Insumos - OPEX'!K$51,O108*'Insumos - OPEX'!K$76)</f>
        <v>2413.2378672404448</v>
      </c>
      <c r="P1059" s="211">
        <f>IF($G1059="PAX",P108*'Insumos - OPEX'!L$51,P108*'Insumos - OPEX'!L$76)</f>
        <v>2464.2992260237556</v>
      </c>
      <c r="Q1059" s="211">
        <f>IF($G1059="PAX",Q108*'Insumos - OPEX'!M$51,Q108*'Insumos - OPEX'!M$76)</f>
        <v>2552.7717191402094</v>
      </c>
      <c r="R1059" s="211">
        <f>IF($G1059="PAX",R108*'Insumos - OPEX'!N$51,R108*'Insumos - OPEX'!N$76)</f>
        <v>2630.9399679987328</v>
      </c>
      <c r="S1059" s="111"/>
    </row>
    <row r="1060" spans="1:19" x14ac:dyDescent="0.2">
      <c r="A1060" s="8"/>
      <c r="B1060" s="8" t="s">
        <v>301</v>
      </c>
      <c r="C1060" s="8" t="s">
        <v>173</v>
      </c>
      <c r="D1060" s="8">
        <v>6341100003</v>
      </c>
      <c r="E1060" s="8" t="s">
        <v>392</v>
      </c>
      <c r="F1060" s="73" t="s">
        <v>23</v>
      </c>
      <c r="G1060" s="73" t="s">
        <v>136</v>
      </c>
      <c r="H1060" s="112" t="s">
        <v>61</v>
      </c>
      <c r="I1060" s="13" t="s">
        <v>22</v>
      </c>
      <c r="K1060" s="187"/>
      <c r="L1060" s="187"/>
      <c r="M1060" s="188">
        <f>IF($G1060="PAX",M109*'Insumos - OPEX'!I$51,M109*'Insumos - OPEX'!I$76)</f>
        <v>3740.8143594273624</v>
      </c>
      <c r="N1060" s="211">
        <f>IF($G1060="PAX",N109*'Insumos - OPEX'!J$51,N109*'Insumos - OPEX'!J$76)</f>
        <v>3784.3790105638359</v>
      </c>
      <c r="O1060" s="211">
        <f>IF($G1060="PAX",O109*'Insumos - OPEX'!K$51,O109*'Insumos - OPEX'!K$76)</f>
        <v>3872.560775930825</v>
      </c>
      <c r="P1060" s="211">
        <f>IF($G1060="PAX",P109*'Insumos - OPEX'!L$51,P109*'Insumos - OPEX'!L$76)</f>
        <v>3954.4997417800946</v>
      </c>
      <c r="Q1060" s="211">
        <f>IF($G1060="PAX",Q109*'Insumos - OPEX'!M$51,Q109*'Insumos - OPEX'!M$76)</f>
        <v>4096.4729435280733</v>
      </c>
      <c r="R1060" s="211">
        <f>IF($G1060="PAX",R109*'Insumos - OPEX'!N$51,R109*'Insumos - OPEX'!N$76)</f>
        <v>4221.9107623862992</v>
      </c>
      <c r="S1060" s="111"/>
    </row>
    <row r="1061" spans="1:19" x14ac:dyDescent="0.2">
      <c r="A1061" s="8"/>
      <c r="B1061" s="8" t="s">
        <v>301</v>
      </c>
      <c r="C1061" s="8" t="s">
        <v>173</v>
      </c>
      <c r="D1061" s="8">
        <v>6341100010</v>
      </c>
      <c r="E1061" s="8" t="s">
        <v>393</v>
      </c>
      <c r="F1061" s="73" t="s">
        <v>23</v>
      </c>
      <c r="G1061" s="73" t="s">
        <v>136</v>
      </c>
      <c r="H1061" s="112" t="s">
        <v>61</v>
      </c>
      <c r="I1061" s="13" t="s">
        <v>22</v>
      </c>
      <c r="K1061" s="187"/>
      <c r="L1061" s="187"/>
      <c r="M1061" s="188">
        <f>IF($G1061="PAX",M110*'Insumos - OPEX'!I$51,M110*'Insumos - OPEX'!I$76)</f>
        <v>1697.4951991520616</v>
      </c>
      <c r="N1061" s="211">
        <f>IF($G1061="PAX",N110*'Insumos - OPEX'!J$51,N110*'Insumos - OPEX'!J$76)</f>
        <v>1717.2638321425047</v>
      </c>
      <c r="O1061" s="211">
        <f>IF($G1061="PAX",O110*'Insumos - OPEX'!K$51,O110*'Insumos - OPEX'!K$76)</f>
        <v>1757.2786815792276</v>
      </c>
      <c r="P1061" s="211">
        <f>IF($G1061="PAX",P110*'Insumos - OPEX'!L$51,P110*'Insumos - OPEX'!L$76)</f>
        <v>1794.4606927105988</v>
      </c>
      <c r="Q1061" s="211">
        <f>IF($G1061="PAX",Q110*'Insumos - OPEX'!M$51,Q110*'Insumos - OPEX'!M$76)</f>
        <v>1858.8848541951406</v>
      </c>
      <c r="R1061" s="211">
        <f>IF($G1061="PAX",R110*'Insumos - OPEX'!N$51,R110*'Insumos - OPEX'!N$76)</f>
        <v>1915.805640645644</v>
      </c>
      <c r="S1061" s="111"/>
    </row>
    <row r="1062" spans="1:19" x14ac:dyDescent="0.2">
      <c r="A1062" s="8"/>
      <c r="B1062" s="8" t="s">
        <v>301</v>
      </c>
      <c r="C1062" s="8" t="s">
        <v>173</v>
      </c>
      <c r="D1062" s="8">
        <v>6347000001</v>
      </c>
      <c r="E1062" s="8" t="s">
        <v>394</v>
      </c>
      <c r="F1062" s="73" t="s">
        <v>23</v>
      </c>
      <c r="G1062" s="73" t="s">
        <v>136</v>
      </c>
      <c r="H1062" s="112" t="s">
        <v>61</v>
      </c>
      <c r="I1062" s="13" t="s">
        <v>22</v>
      </c>
      <c r="K1062" s="187"/>
      <c r="L1062" s="187"/>
      <c r="M1062" s="188">
        <f>IF($G1062="PAX",M111*'Insumos - OPEX'!I$51,M111*'Insumos - OPEX'!I$76)</f>
        <v>1621.1239248669081</v>
      </c>
      <c r="N1062" s="211">
        <f>IF($G1062="PAX",N111*'Insumos - OPEX'!J$51,N111*'Insumos - OPEX'!J$76)</f>
        <v>1640.0031558177402</v>
      </c>
      <c r="O1062" s="211">
        <f>IF($G1062="PAX",O111*'Insumos - OPEX'!K$51,O111*'Insumos - OPEX'!K$76)</f>
        <v>1678.2177144239865</v>
      </c>
      <c r="P1062" s="211">
        <f>IF($G1062="PAX",P111*'Insumos - OPEX'!L$51,P111*'Insumos - OPEX'!L$76)</f>
        <v>1713.7268857311235</v>
      </c>
      <c r="Q1062" s="211">
        <f>IF($G1062="PAX",Q111*'Insumos - OPEX'!M$51,Q111*'Insumos - OPEX'!M$76)</f>
        <v>1775.2525675558793</v>
      </c>
      <c r="R1062" s="211">
        <f>IF($G1062="PAX",R111*'Insumos - OPEX'!N$51,R111*'Insumos - OPEX'!N$76)</f>
        <v>1829.6124554561488</v>
      </c>
      <c r="S1062" s="111"/>
    </row>
    <row r="1063" spans="1:19" x14ac:dyDescent="0.2">
      <c r="A1063" s="8"/>
      <c r="B1063" s="8" t="s">
        <v>301</v>
      </c>
      <c r="C1063" s="8" t="s">
        <v>173</v>
      </c>
      <c r="D1063" s="8">
        <v>6343100008</v>
      </c>
      <c r="E1063" s="8" t="s">
        <v>395</v>
      </c>
      <c r="F1063" s="73" t="s">
        <v>23</v>
      </c>
      <c r="G1063" s="73" t="s">
        <v>136</v>
      </c>
      <c r="H1063" s="112" t="s">
        <v>61</v>
      </c>
      <c r="I1063" s="13" t="s">
        <v>22</v>
      </c>
      <c r="K1063" s="187"/>
      <c r="L1063" s="187"/>
      <c r="M1063" s="188">
        <f>IF($G1063="PAX",M112*'Insumos - OPEX'!I$51,M112*'Insumos - OPEX'!I$76)</f>
        <v>554.63177387604935</v>
      </c>
      <c r="N1063" s="211">
        <f>IF($G1063="PAX",N112*'Insumos - OPEX'!J$51,N112*'Insumos - OPEX'!J$76)</f>
        <v>561.09088609508296</v>
      </c>
      <c r="O1063" s="211">
        <f>IF($G1063="PAX",O112*'Insumos - OPEX'!K$51,O112*'Insumos - OPEX'!K$76)</f>
        <v>574.16515395490308</v>
      </c>
      <c r="P1063" s="211">
        <f>IF($G1063="PAX",P112*'Insumos - OPEX'!L$51,P112*'Insumos - OPEX'!L$76)</f>
        <v>586.31383325624824</v>
      </c>
      <c r="Q1063" s="211">
        <f>IF($G1063="PAX",Q112*'Insumos - OPEX'!M$51,Q112*'Insumos - OPEX'!M$76)</f>
        <v>607.36348746587248</v>
      </c>
      <c r="R1063" s="211">
        <f>IF($G1063="PAX",R112*'Insumos - OPEX'!N$51,R112*'Insumos - OPEX'!N$76)</f>
        <v>625.96152342805544</v>
      </c>
      <c r="S1063" s="111"/>
    </row>
    <row r="1064" spans="1:19" s="3" customFormat="1" x14ac:dyDescent="0.2">
      <c r="A1064" s="8"/>
      <c r="B1064" s="8" t="s">
        <v>301</v>
      </c>
      <c r="C1064" s="8" t="s">
        <v>173</v>
      </c>
      <c r="D1064" s="8">
        <v>6343100002</v>
      </c>
      <c r="E1064" s="8" t="s">
        <v>396</v>
      </c>
      <c r="F1064" s="73" t="s">
        <v>23</v>
      </c>
      <c r="G1064" s="73" t="s">
        <v>136</v>
      </c>
      <c r="H1064" s="112" t="s">
        <v>61</v>
      </c>
      <c r="I1064" s="13" t="s">
        <v>22</v>
      </c>
      <c r="J1064" s="11"/>
      <c r="K1064" s="187"/>
      <c r="L1064" s="187"/>
      <c r="M1064" s="188">
        <f>IF($G1064="PAX",M113*'Insumos - OPEX'!I$51,M113*'Insumos - OPEX'!I$76)</f>
        <v>489.31222188789513</v>
      </c>
      <c r="N1064" s="211">
        <f>IF($G1064="PAX",N113*'Insumos - OPEX'!J$51,N113*'Insumos - OPEX'!J$76)</f>
        <v>495.01063784634499</v>
      </c>
      <c r="O1064" s="211">
        <f>IF($G1064="PAX",O113*'Insumos - OPEX'!K$51,O113*'Insumos - OPEX'!K$76)</f>
        <v>506.54513579141894</v>
      </c>
      <c r="P1064" s="211">
        <f>IF($G1064="PAX",P113*'Insumos - OPEX'!L$51,P113*'Insumos - OPEX'!L$76)</f>
        <v>517.26305269041211</v>
      </c>
      <c r="Q1064" s="211">
        <f>IF($G1064="PAX",Q113*'Insumos - OPEX'!M$51,Q113*'Insumos - OPEX'!M$76)</f>
        <v>535.833667567563</v>
      </c>
      <c r="R1064" s="211">
        <f>IF($G1064="PAX",R113*'Insumos - OPEX'!N$51,R113*'Insumos - OPEX'!N$76)</f>
        <v>552.24139378888913</v>
      </c>
      <c r="S1064" s="111"/>
    </row>
    <row r="1065" spans="1:19" x14ac:dyDescent="0.2">
      <c r="A1065" s="8"/>
      <c r="B1065" s="8" t="s">
        <v>301</v>
      </c>
      <c r="C1065" s="8" t="s">
        <v>173</v>
      </c>
      <c r="D1065" s="8">
        <v>6343100001</v>
      </c>
      <c r="E1065" s="8" t="s">
        <v>397</v>
      </c>
      <c r="F1065" s="73" t="s">
        <v>23</v>
      </c>
      <c r="G1065" s="73" t="s">
        <v>136</v>
      </c>
      <c r="H1065" s="112" t="s">
        <v>61</v>
      </c>
      <c r="I1065" s="13" t="s">
        <v>22</v>
      </c>
      <c r="K1065" s="187"/>
      <c r="L1065" s="187"/>
      <c r="M1065" s="188">
        <f>IF($G1065="PAX",M114*'Insumos - OPEX'!I$51,M114*'Insumos - OPEX'!I$76)</f>
        <v>290.34651944114904</v>
      </c>
      <c r="N1065" s="211">
        <f>IF($G1065="PAX",N114*'Insumos - OPEX'!J$51,N114*'Insumos - OPEX'!J$76)</f>
        <v>293.72782725618833</v>
      </c>
      <c r="O1065" s="211">
        <f>IF($G1065="PAX",O114*'Insumos - OPEX'!K$51,O114*'Insumos - OPEX'!K$76)</f>
        <v>300.57213071325714</v>
      </c>
      <c r="P1065" s="211">
        <f>IF($G1065="PAX",P114*'Insumos - OPEX'!L$51,P114*'Insumos - OPEX'!L$76)</f>
        <v>306.9318939239032</v>
      </c>
      <c r="Q1065" s="211">
        <f>IF($G1065="PAX",Q114*'Insumos - OPEX'!M$51,Q114*'Insumos - OPEX'!M$76)</f>
        <v>317.95126591641019</v>
      </c>
      <c r="R1065" s="211">
        <f>IF($G1065="PAX",R114*'Insumos - OPEX'!N$51,R114*'Insumos - OPEX'!N$76)</f>
        <v>327.68722996391506</v>
      </c>
      <c r="S1065" s="111"/>
    </row>
    <row r="1066" spans="1:19" x14ac:dyDescent="0.2">
      <c r="A1066" s="8"/>
      <c r="B1066" s="8" t="s">
        <v>301</v>
      </c>
      <c r="C1066" s="8" t="s">
        <v>173</v>
      </c>
      <c r="D1066" s="8">
        <v>6341100002</v>
      </c>
      <c r="E1066" s="8" t="s">
        <v>398</v>
      </c>
      <c r="F1066" s="73" t="s">
        <v>23</v>
      </c>
      <c r="G1066" s="73" t="s">
        <v>136</v>
      </c>
      <c r="H1066" s="112" t="s">
        <v>61</v>
      </c>
      <c r="I1066" s="13" t="s">
        <v>22</v>
      </c>
      <c r="K1066" s="187"/>
      <c r="L1066" s="187"/>
      <c r="M1066" s="188">
        <f>IF($G1066="PAX",M115*'Insumos - OPEX'!I$51,M115*'Insumos - OPEX'!I$76)</f>
        <v>244.56995146203423</v>
      </c>
      <c r="N1066" s="211">
        <f>IF($G1066="PAX",N115*'Insumos - OPEX'!J$51,N115*'Insumos - OPEX'!J$76)</f>
        <v>247.41815604803753</v>
      </c>
      <c r="O1066" s="211">
        <f>IF($G1066="PAX",O115*'Insumos - OPEX'!K$51,O115*'Insumos - OPEX'!K$76)</f>
        <v>253.18337399350705</v>
      </c>
      <c r="P1066" s="211">
        <f>IF($G1066="PAX",P115*'Insumos - OPEX'!L$51,P115*'Insumos - OPEX'!L$76)</f>
        <v>258.54044520183959</v>
      </c>
      <c r="Q1066" s="211">
        <f>IF($G1066="PAX",Q115*'Insumos - OPEX'!M$51,Q115*'Insumos - OPEX'!M$76)</f>
        <v>267.82248267394982</v>
      </c>
      <c r="R1066" s="211">
        <f>IF($G1066="PAX",R115*'Insumos - OPEX'!N$51,R115*'Insumos - OPEX'!N$76)</f>
        <v>276.02345666570807</v>
      </c>
      <c r="S1066" s="111"/>
    </row>
    <row r="1067" spans="1:19" x14ac:dyDescent="0.2">
      <c r="A1067" s="8"/>
      <c r="B1067" s="8" t="s">
        <v>301</v>
      </c>
      <c r="C1067" s="8" t="s">
        <v>173</v>
      </c>
      <c r="D1067" s="8">
        <v>6341100001</v>
      </c>
      <c r="E1067" s="8" t="s">
        <v>399</v>
      </c>
      <c r="F1067" s="73" t="s">
        <v>23</v>
      </c>
      <c r="G1067" s="73" t="s">
        <v>136</v>
      </c>
      <c r="H1067" s="112" t="s">
        <v>61</v>
      </c>
      <c r="I1067" s="13" t="s">
        <v>22</v>
      </c>
      <c r="K1067" s="187"/>
      <c r="L1067" s="187"/>
      <c r="M1067" s="188">
        <f>IF($G1067="PAX",M116*'Insumos - OPEX'!I$51,M116*'Insumos - OPEX'!I$76)</f>
        <v>107.15433147668371</v>
      </c>
      <c r="N1067" s="211">
        <f>IF($G1067="PAX",N116*'Insumos - OPEX'!J$51,N116*'Insumos - OPEX'!J$76)</f>
        <v>108.40222581733161</v>
      </c>
      <c r="O1067" s="211">
        <f>IF($G1067="PAX",O116*'Insumos - OPEX'!K$51,O116*'Insumos - OPEX'!K$76)</f>
        <v>110.92816193937428</v>
      </c>
      <c r="P1067" s="211">
        <f>IF($G1067="PAX",P116*'Insumos - OPEX'!L$51,P116*'Insumos - OPEX'!L$76)</f>
        <v>113.27527523178939</v>
      </c>
      <c r="Q1067" s="211">
        <f>IF($G1067="PAX",Q116*'Insumos - OPEX'!M$51,Q116*'Insumos - OPEX'!M$76)</f>
        <v>117.34204841516593</v>
      </c>
      <c r="R1067" s="211">
        <f>IF($G1067="PAX",R116*'Insumos - OPEX'!N$51,R116*'Insumos - OPEX'!N$76)</f>
        <v>120.93517128365919</v>
      </c>
      <c r="S1067" s="111"/>
    </row>
    <row r="1068" spans="1:19" x14ac:dyDescent="0.2">
      <c r="A1068" s="8"/>
      <c r="B1068" s="8" t="s">
        <v>301</v>
      </c>
      <c r="C1068" s="8" t="s">
        <v>173</v>
      </c>
      <c r="D1068" s="8">
        <v>6341100004</v>
      </c>
      <c r="E1068" s="8" t="s">
        <v>400</v>
      </c>
      <c r="F1068" s="73" t="s">
        <v>23</v>
      </c>
      <c r="G1068" s="73" t="s">
        <v>136</v>
      </c>
      <c r="H1068" s="112" t="s">
        <v>61</v>
      </c>
      <c r="I1068" s="13" t="s">
        <v>22</v>
      </c>
      <c r="K1068" s="187"/>
      <c r="L1068" s="187"/>
      <c r="M1068" s="188">
        <f>IF($G1068="PAX",M117*'Insumos - OPEX'!I$51,M117*'Insumos - OPEX'!I$76)</f>
        <v>68.335493384655507</v>
      </c>
      <c r="N1068" s="211">
        <f>IF($G1068="PAX",N117*'Insumos - OPEX'!J$51,N117*'Insumos - OPEX'!J$76)</f>
        <v>69.131312594993716</v>
      </c>
      <c r="O1068" s="211">
        <f>IF($G1068="PAX",O117*'Insumos - OPEX'!K$51,O117*'Insumos - OPEX'!K$76)</f>
        <v>70.742176932246082</v>
      </c>
      <c r="P1068" s="211">
        <f>IF($G1068="PAX",P117*'Insumos - OPEX'!L$51,P117*'Insumos - OPEX'!L$76)</f>
        <v>72.239000650489999</v>
      </c>
      <c r="Q1068" s="211">
        <f>IF($G1068="PAX",Q117*'Insumos - OPEX'!M$51,Q117*'Insumos - OPEX'!M$76)</f>
        <v>74.832502454287734</v>
      </c>
      <c r="R1068" s="211">
        <f>IF($G1068="PAX",R117*'Insumos - OPEX'!N$51,R117*'Insumos - OPEX'!N$76)</f>
        <v>77.12394341263672</v>
      </c>
      <c r="S1068" s="111"/>
    </row>
    <row r="1069" spans="1:19" x14ac:dyDescent="0.2">
      <c r="A1069" s="8"/>
      <c r="B1069" s="8" t="s">
        <v>301</v>
      </c>
      <c r="C1069" s="8" t="s">
        <v>173</v>
      </c>
      <c r="D1069" s="8">
        <v>6343100015</v>
      </c>
      <c r="E1069" s="8" t="s">
        <v>401</v>
      </c>
      <c r="F1069" s="73" t="s">
        <v>23</v>
      </c>
      <c r="G1069" s="73" t="s">
        <v>136</v>
      </c>
      <c r="H1069" s="112" t="s">
        <v>61</v>
      </c>
      <c r="I1069" s="13" t="s">
        <v>22</v>
      </c>
      <c r="K1069" s="187"/>
      <c r="L1069" s="187"/>
      <c r="M1069" s="188">
        <f>IF($G1069="PAX",M118*'Insumos - OPEX'!I$51,M118*'Insumos - OPEX'!I$76)</f>
        <v>61.439952075984387</v>
      </c>
      <c r="N1069" s="211">
        <f>IF($G1069="PAX",N118*'Insumos - OPEX'!J$51,N118*'Insumos - OPEX'!J$76)</f>
        <v>62.155467421269165</v>
      </c>
      <c r="O1069" s="211">
        <f>IF($G1069="PAX",O118*'Insumos - OPEX'!K$51,O118*'Insumos - OPEX'!K$76)</f>
        <v>63.603783995565259</v>
      </c>
      <c r="P1069" s="211">
        <f>IF($G1069="PAX",P118*'Insumos - OPEX'!L$51,P118*'Insumos - OPEX'!L$76)</f>
        <v>64.949567467083341</v>
      </c>
      <c r="Q1069" s="211">
        <f>IF($G1069="PAX",Q118*'Insumos - OPEX'!M$51,Q118*'Insumos - OPEX'!M$76)</f>
        <v>67.281366341167328</v>
      </c>
      <c r="R1069" s="211">
        <f>IF($G1069="PAX",R118*'Insumos - OPEX'!N$51,R118*'Insumos - OPEX'!N$76)</f>
        <v>69.341584475152757</v>
      </c>
      <c r="S1069" s="111"/>
    </row>
    <row r="1070" spans="1:19" x14ac:dyDescent="0.2">
      <c r="A1070" s="8"/>
      <c r="B1070" s="8" t="s">
        <v>301</v>
      </c>
      <c r="C1070" s="8" t="s">
        <v>173</v>
      </c>
      <c r="D1070" s="8">
        <v>6348000001</v>
      </c>
      <c r="E1070" s="8" t="s">
        <v>402</v>
      </c>
      <c r="F1070" s="73" t="s">
        <v>23</v>
      </c>
      <c r="G1070" s="73" t="s">
        <v>136</v>
      </c>
      <c r="H1070" s="112" t="s">
        <v>61</v>
      </c>
      <c r="I1070" s="13" t="s">
        <v>22</v>
      </c>
      <c r="K1070" s="187"/>
      <c r="L1070" s="187"/>
      <c r="M1070" s="188">
        <f>IF($G1070="PAX",M119*'Insumos - OPEX'!I$51,M119*'Insumos - OPEX'!I$76)</f>
        <v>25.724483498852479</v>
      </c>
      <c r="N1070" s="211">
        <f>IF($G1070="PAX",N119*'Insumos - OPEX'!J$51,N119*'Insumos - OPEX'!J$76)</f>
        <v>26.02406483104803</v>
      </c>
      <c r="O1070" s="211">
        <f>IF($G1070="PAX",O119*'Insumos - OPEX'!K$51,O119*'Insumos - OPEX'!K$76)</f>
        <v>26.630464975542239</v>
      </c>
      <c r="P1070" s="211">
        <f>IF($G1070="PAX",P119*'Insumos - OPEX'!L$51,P119*'Insumos - OPEX'!L$76)</f>
        <v>27.193935218215618</v>
      </c>
      <c r="Q1070" s="211">
        <f>IF($G1070="PAX",Q119*'Insumos - OPEX'!M$51,Q119*'Insumos - OPEX'!M$76)</f>
        <v>28.170243298417759</v>
      </c>
      <c r="R1070" s="211">
        <f>IF($G1070="PAX",R119*'Insumos - OPEX'!N$51,R119*'Insumos - OPEX'!N$76)</f>
        <v>29.032842398856523</v>
      </c>
      <c r="S1070" s="111"/>
    </row>
    <row r="1071" spans="1:19" x14ac:dyDescent="0.2">
      <c r="A1071" s="8"/>
      <c r="B1071" s="8" t="s">
        <v>301</v>
      </c>
      <c r="C1071" s="8" t="s">
        <v>173</v>
      </c>
      <c r="D1071" s="8">
        <v>6343100017</v>
      </c>
      <c r="E1071" s="8" t="s">
        <v>403</v>
      </c>
      <c r="F1071" s="73" t="s">
        <v>23</v>
      </c>
      <c r="G1071" s="73" t="s">
        <v>136</v>
      </c>
      <c r="H1071" s="112" t="s">
        <v>61</v>
      </c>
      <c r="I1071" s="13" t="s">
        <v>22</v>
      </c>
      <c r="K1071" s="187"/>
      <c r="L1071" s="187"/>
      <c r="M1071" s="188">
        <f>IF($G1071="PAX",M120*'Insumos - OPEX'!I$51,M120*'Insumos - OPEX'!I$76)</f>
        <v>0</v>
      </c>
      <c r="N1071" s="211">
        <f>IF($G1071="PAX",N120*'Insumos - OPEX'!J$51,N120*'Insumos - OPEX'!J$76)</f>
        <v>0</v>
      </c>
      <c r="O1071" s="211">
        <f>IF($G1071="PAX",O120*'Insumos - OPEX'!K$51,O120*'Insumos - OPEX'!K$76)</f>
        <v>0</v>
      </c>
      <c r="P1071" s="211">
        <f>IF($G1071="PAX",P120*'Insumos - OPEX'!L$51,P120*'Insumos - OPEX'!L$76)</f>
        <v>0</v>
      </c>
      <c r="Q1071" s="211">
        <f>IF($G1071="PAX",Q120*'Insumos - OPEX'!M$51,Q120*'Insumos - OPEX'!M$76)</f>
        <v>0</v>
      </c>
      <c r="R1071" s="211">
        <f>IF($G1071="PAX",R120*'Insumos - OPEX'!N$51,R120*'Insumos - OPEX'!N$76)</f>
        <v>0</v>
      </c>
      <c r="S1071" s="111"/>
    </row>
    <row r="1072" spans="1:19" x14ac:dyDescent="0.2">
      <c r="A1072" s="8"/>
      <c r="B1072" s="8" t="s">
        <v>301</v>
      </c>
      <c r="C1072" s="8" t="s">
        <v>173</v>
      </c>
      <c r="D1072" s="8">
        <v>6343100013</v>
      </c>
      <c r="E1072" s="8" t="s">
        <v>404</v>
      </c>
      <c r="F1072" s="73" t="s">
        <v>23</v>
      </c>
      <c r="G1072" s="73" t="s">
        <v>136</v>
      </c>
      <c r="H1072" s="112" t="s">
        <v>61</v>
      </c>
      <c r="I1072" s="13" t="s">
        <v>22</v>
      </c>
      <c r="K1072" s="187"/>
      <c r="L1072" s="187"/>
      <c r="M1072" s="188">
        <f>IF($G1072="PAX",M121*'Insumos - OPEX'!I$51,M121*'Insumos - OPEX'!I$76)</f>
        <v>0</v>
      </c>
      <c r="N1072" s="211">
        <f>IF($G1072="PAX",N121*'Insumos - OPEX'!J$51,N121*'Insumos - OPEX'!J$76)</f>
        <v>0</v>
      </c>
      <c r="O1072" s="211">
        <f>IF($G1072="PAX",O121*'Insumos - OPEX'!K$51,O121*'Insumos - OPEX'!K$76)</f>
        <v>0</v>
      </c>
      <c r="P1072" s="211">
        <f>IF($G1072="PAX",P121*'Insumos - OPEX'!L$51,P121*'Insumos - OPEX'!L$76)</f>
        <v>0</v>
      </c>
      <c r="Q1072" s="211">
        <f>IF($G1072="PAX",Q121*'Insumos - OPEX'!M$51,Q121*'Insumos - OPEX'!M$76)</f>
        <v>0</v>
      </c>
      <c r="R1072" s="211">
        <f>IF($G1072="PAX",R121*'Insumos - OPEX'!N$51,R121*'Insumos - OPEX'!N$76)</f>
        <v>0</v>
      </c>
      <c r="S1072" s="111"/>
    </row>
    <row r="1073" spans="1:19" s="3" customFormat="1" x14ac:dyDescent="0.2">
      <c r="A1073" s="8"/>
      <c r="B1073" s="8" t="s">
        <v>301</v>
      </c>
      <c r="C1073" s="8" t="s">
        <v>173</v>
      </c>
      <c r="D1073" s="8">
        <v>6345000001</v>
      </c>
      <c r="E1073" s="8" t="s">
        <v>405</v>
      </c>
      <c r="F1073" s="73" t="s">
        <v>23</v>
      </c>
      <c r="G1073" s="73" t="s">
        <v>136</v>
      </c>
      <c r="H1073" s="112" t="s">
        <v>61</v>
      </c>
      <c r="I1073" s="13" t="s">
        <v>22</v>
      </c>
      <c r="J1073" s="11"/>
      <c r="K1073" s="187"/>
      <c r="L1073" s="187"/>
      <c r="M1073" s="188">
        <f>IF($G1073="PAX",M122*'Insumos - OPEX'!I$51,M122*'Insumos - OPEX'!I$76)</f>
        <v>0</v>
      </c>
      <c r="N1073" s="211">
        <f>IF($G1073="PAX",N122*'Insumos - OPEX'!J$51,N122*'Insumos - OPEX'!J$76)</f>
        <v>0</v>
      </c>
      <c r="O1073" s="211">
        <f>IF($G1073="PAX",O122*'Insumos - OPEX'!K$51,O122*'Insumos - OPEX'!K$76)</f>
        <v>0</v>
      </c>
      <c r="P1073" s="211">
        <f>IF($G1073="PAX",P122*'Insumos - OPEX'!L$51,P122*'Insumos - OPEX'!L$76)</f>
        <v>0</v>
      </c>
      <c r="Q1073" s="211">
        <f>IF($G1073="PAX",Q122*'Insumos - OPEX'!M$51,Q122*'Insumos - OPEX'!M$76)</f>
        <v>0</v>
      </c>
      <c r="R1073" s="211">
        <f>IF($G1073="PAX",R122*'Insumos - OPEX'!N$51,R122*'Insumos - OPEX'!N$76)</f>
        <v>0</v>
      </c>
      <c r="S1073" s="111"/>
    </row>
    <row r="1074" spans="1:19" s="3" customFormat="1" x14ac:dyDescent="0.2">
      <c r="A1074" s="8"/>
      <c r="B1074" s="8" t="s">
        <v>301</v>
      </c>
      <c r="C1074" s="8" t="s">
        <v>173</v>
      </c>
      <c r="D1074" s="8">
        <v>6343100003</v>
      </c>
      <c r="E1074" s="8" t="s">
        <v>406</v>
      </c>
      <c r="F1074" s="73" t="s">
        <v>23</v>
      </c>
      <c r="G1074" s="73" t="s">
        <v>136</v>
      </c>
      <c r="H1074" s="112" t="s">
        <v>61</v>
      </c>
      <c r="I1074" s="13" t="s">
        <v>22</v>
      </c>
      <c r="J1074" s="11"/>
      <c r="K1074" s="187"/>
      <c r="L1074" s="187"/>
      <c r="M1074" s="188">
        <f>IF($G1074="PAX",M123*'Insumos - OPEX'!I$51,M123*'Insumos - OPEX'!I$76)</f>
        <v>0</v>
      </c>
      <c r="N1074" s="211">
        <f>IF($G1074="PAX",N123*'Insumos - OPEX'!J$51,N123*'Insumos - OPEX'!J$76)</f>
        <v>0</v>
      </c>
      <c r="O1074" s="211">
        <f>IF($G1074="PAX",O123*'Insumos - OPEX'!K$51,O123*'Insumos - OPEX'!K$76)</f>
        <v>0</v>
      </c>
      <c r="P1074" s="211">
        <f>IF($G1074="PAX",P123*'Insumos - OPEX'!L$51,P123*'Insumos - OPEX'!L$76)</f>
        <v>0</v>
      </c>
      <c r="Q1074" s="211">
        <f>IF($G1074="PAX",Q123*'Insumos - OPEX'!M$51,Q123*'Insumos - OPEX'!M$76)</f>
        <v>0</v>
      </c>
      <c r="R1074" s="211">
        <f>IF($G1074="PAX",R123*'Insumos - OPEX'!N$51,R123*'Insumos - OPEX'!N$76)</f>
        <v>0</v>
      </c>
      <c r="S1074" s="111"/>
    </row>
    <row r="1075" spans="1:19" x14ac:dyDescent="0.2">
      <c r="A1075" s="8"/>
      <c r="B1075" s="8" t="s">
        <v>301</v>
      </c>
      <c r="C1075" s="8" t="s">
        <v>173</v>
      </c>
      <c r="D1075" s="8">
        <v>6341100009</v>
      </c>
      <c r="E1075" s="8" t="s">
        <v>407</v>
      </c>
      <c r="F1075" s="73" t="s">
        <v>23</v>
      </c>
      <c r="G1075" s="73" t="s">
        <v>136</v>
      </c>
      <c r="H1075" s="112" t="s">
        <v>61</v>
      </c>
      <c r="I1075" s="13" t="s">
        <v>22</v>
      </c>
      <c r="K1075" s="187"/>
      <c r="L1075" s="187"/>
      <c r="M1075" s="188">
        <f>IF($G1075="PAX",M124*'Insumos - OPEX'!I$51,M124*'Insumos - OPEX'!I$76)</f>
        <v>0</v>
      </c>
      <c r="N1075" s="211">
        <f>IF($G1075="PAX",N124*'Insumos - OPEX'!J$51,N124*'Insumos - OPEX'!J$76)</f>
        <v>0</v>
      </c>
      <c r="O1075" s="211">
        <f>IF($G1075="PAX",O124*'Insumos - OPEX'!K$51,O124*'Insumos - OPEX'!K$76)</f>
        <v>0</v>
      </c>
      <c r="P1075" s="211">
        <f>IF($G1075="PAX",P124*'Insumos - OPEX'!L$51,P124*'Insumos - OPEX'!L$76)</f>
        <v>0</v>
      </c>
      <c r="Q1075" s="211">
        <f>IF($G1075="PAX",Q124*'Insumos - OPEX'!M$51,Q124*'Insumos - OPEX'!M$76)</f>
        <v>0</v>
      </c>
      <c r="R1075" s="211">
        <f>IF($G1075="PAX",R124*'Insumos - OPEX'!N$51,R124*'Insumos - OPEX'!N$76)</f>
        <v>0</v>
      </c>
      <c r="S1075" s="111"/>
    </row>
    <row r="1076" spans="1:19" x14ac:dyDescent="0.2">
      <c r="A1076" s="8"/>
      <c r="B1076" s="8" t="s">
        <v>301</v>
      </c>
      <c r="C1076" s="8" t="s">
        <v>173</v>
      </c>
      <c r="D1076" s="8">
        <v>6343100004</v>
      </c>
      <c r="E1076" s="8" t="s">
        <v>408</v>
      </c>
      <c r="F1076" s="73" t="s">
        <v>23</v>
      </c>
      <c r="G1076" s="73" t="s">
        <v>136</v>
      </c>
      <c r="H1076" s="112" t="s">
        <v>61</v>
      </c>
      <c r="I1076" s="13" t="s">
        <v>22</v>
      </c>
      <c r="K1076" s="187"/>
      <c r="L1076" s="187"/>
      <c r="M1076" s="188">
        <f>IF($G1076="PAX",M125*'Insumos - OPEX'!I$51,M125*'Insumos - OPEX'!I$76)</f>
        <v>0</v>
      </c>
      <c r="N1076" s="211">
        <f>IF($G1076="PAX",N125*'Insumos - OPEX'!J$51,N125*'Insumos - OPEX'!J$76)</f>
        <v>0</v>
      </c>
      <c r="O1076" s="211">
        <f>IF($G1076="PAX",O125*'Insumos - OPEX'!K$51,O125*'Insumos - OPEX'!K$76)</f>
        <v>0</v>
      </c>
      <c r="P1076" s="211">
        <f>IF($G1076="PAX",P125*'Insumos - OPEX'!L$51,P125*'Insumos - OPEX'!L$76)</f>
        <v>0</v>
      </c>
      <c r="Q1076" s="211">
        <f>IF($G1076="PAX",Q125*'Insumos - OPEX'!M$51,Q125*'Insumos - OPEX'!M$76)</f>
        <v>0</v>
      </c>
      <c r="R1076" s="211">
        <f>IF($G1076="PAX",R125*'Insumos - OPEX'!N$51,R125*'Insumos - OPEX'!N$76)</f>
        <v>0</v>
      </c>
      <c r="S1076" s="111"/>
    </row>
    <row r="1077" spans="1:19" x14ac:dyDescent="0.2">
      <c r="A1077" s="8"/>
      <c r="B1077" s="8" t="s">
        <v>301</v>
      </c>
      <c r="C1077" s="8" t="s">
        <v>173</v>
      </c>
      <c r="D1077" s="8">
        <v>6344000002</v>
      </c>
      <c r="E1077" s="8" t="s">
        <v>409</v>
      </c>
      <c r="F1077" s="73" t="s">
        <v>23</v>
      </c>
      <c r="G1077" s="73" t="s">
        <v>136</v>
      </c>
      <c r="H1077" s="112" t="s">
        <v>61</v>
      </c>
      <c r="I1077" s="13" t="s">
        <v>22</v>
      </c>
      <c r="K1077" s="187"/>
      <c r="L1077" s="187"/>
      <c r="M1077" s="188">
        <f>IF($G1077="PAX",M126*'Insumos - OPEX'!I$51,M126*'Insumos - OPEX'!I$76)</f>
        <v>0</v>
      </c>
      <c r="N1077" s="211">
        <f>IF($G1077="PAX",N126*'Insumos - OPEX'!J$51,N126*'Insumos - OPEX'!J$76)</f>
        <v>0</v>
      </c>
      <c r="O1077" s="211">
        <f>IF($G1077="PAX",O126*'Insumos - OPEX'!K$51,O126*'Insumos - OPEX'!K$76)</f>
        <v>0</v>
      </c>
      <c r="P1077" s="211">
        <f>IF($G1077="PAX",P126*'Insumos - OPEX'!L$51,P126*'Insumos - OPEX'!L$76)</f>
        <v>0</v>
      </c>
      <c r="Q1077" s="211">
        <f>IF($G1077="PAX",Q126*'Insumos - OPEX'!M$51,Q126*'Insumos - OPEX'!M$76)</f>
        <v>0</v>
      </c>
      <c r="R1077" s="211">
        <f>IF($G1077="PAX",R126*'Insumos - OPEX'!N$51,R126*'Insumos - OPEX'!N$76)</f>
        <v>0</v>
      </c>
      <c r="S1077" s="111"/>
    </row>
    <row r="1078" spans="1:19" x14ac:dyDescent="0.2">
      <c r="A1078" s="8"/>
      <c r="B1078" s="8" t="s">
        <v>301</v>
      </c>
      <c r="C1078" s="8" t="s">
        <v>173</v>
      </c>
      <c r="D1078" s="8">
        <v>6342000001</v>
      </c>
      <c r="E1078" s="8" t="s">
        <v>410</v>
      </c>
      <c r="F1078" s="73" t="s">
        <v>23</v>
      </c>
      <c r="G1078" s="73" t="s">
        <v>136</v>
      </c>
      <c r="H1078" s="112" t="s">
        <v>61</v>
      </c>
      <c r="I1078" s="13" t="s">
        <v>22</v>
      </c>
      <c r="K1078" s="187"/>
      <c r="L1078" s="187"/>
      <c r="M1078" s="188">
        <f>IF($G1078="PAX",M127*'Insumos - OPEX'!I$51,M127*'Insumos - OPEX'!I$76)</f>
        <v>0</v>
      </c>
      <c r="N1078" s="211">
        <f>IF($G1078="PAX",N127*'Insumos - OPEX'!J$51,N127*'Insumos - OPEX'!J$76)</f>
        <v>0</v>
      </c>
      <c r="O1078" s="211">
        <f>IF($G1078="PAX",O127*'Insumos - OPEX'!K$51,O127*'Insumos - OPEX'!K$76)</f>
        <v>0</v>
      </c>
      <c r="P1078" s="211">
        <f>IF($G1078="PAX",P127*'Insumos - OPEX'!L$51,P127*'Insumos - OPEX'!L$76)</f>
        <v>0</v>
      </c>
      <c r="Q1078" s="211">
        <f>IF($G1078="PAX",Q127*'Insumos - OPEX'!M$51,Q127*'Insumos - OPEX'!M$76)</f>
        <v>0</v>
      </c>
      <c r="R1078" s="211">
        <f>IF($G1078="PAX",R127*'Insumos - OPEX'!N$51,R127*'Insumos - OPEX'!N$76)</f>
        <v>0</v>
      </c>
      <c r="S1078" s="111"/>
    </row>
    <row r="1079" spans="1:19" x14ac:dyDescent="0.2">
      <c r="A1079" s="8"/>
      <c r="B1079" s="8" t="s">
        <v>301</v>
      </c>
      <c r="C1079" s="8" t="s">
        <v>173</v>
      </c>
      <c r="D1079" s="8">
        <v>6341100005</v>
      </c>
      <c r="E1079" s="8" t="s">
        <v>411</v>
      </c>
      <c r="F1079" s="73" t="s">
        <v>23</v>
      </c>
      <c r="G1079" s="73" t="s">
        <v>136</v>
      </c>
      <c r="H1079" s="112" t="s">
        <v>61</v>
      </c>
      <c r="I1079" s="13" t="s">
        <v>22</v>
      </c>
      <c r="K1079" s="187"/>
      <c r="L1079" s="187"/>
      <c r="M1079" s="188">
        <f>IF($G1079="PAX",M128*'Insumos - OPEX'!I$51,M128*'Insumos - OPEX'!I$76)</f>
        <v>0</v>
      </c>
      <c r="N1079" s="211">
        <f>IF($G1079="PAX",N128*'Insumos - OPEX'!J$51,N128*'Insumos - OPEX'!J$76)</f>
        <v>0</v>
      </c>
      <c r="O1079" s="211">
        <f>IF($G1079="PAX",O128*'Insumos - OPEX'!K$51,O128*'Insumos - OPEX'!K$76)</f>
        <v>0</v>
      </c>
      <c r="P1079" s="211">
        <f>IF($G1079="PAX",P128*'Insumos - OPEX'!L$51,P128*'Insumos - OPEX'!L$76)</f>
        <v>0</v>
      </c>
      <c r="Q1079" s="211">
        <f>IF($G1079="PAX",Q128*'Insumos - OPEX'!M$51,Q128*'Insumos - OPEX'!M$76)</f>
        <v>0</v>
      </c>
      <c r="R1079" s="211">
        <f>IF($G1079="PAX",R128*'Insumos - OPEX'!N$51,R128*'Insumos - OPEX'!N$76)</f>
        <v>0</v>
      </c>
      <c r="S1079" s="111"/>
    </row>
    <row r="1080" spans="1:19" x14ac:dyDescent="0.2">
      <c r="A1080" s="8"/>
      <c r="B1080" s="8" t="s">
        <v>301</v>
      </c>
      <c r="C1080" s="8" t="s">
        <v>173</v>
      </c>
      <c r="D1080" s="8">
        <v>6342000002</v>
      </c>
      <c r="E1080" s="8" t="s">
        <v>412</v>
      </c>
      <c r="F1080" s="73" t="s">
        <v>23</v>
      </c>
      <c r="G1080" s="73" t="s">
        <v>136</v>
      </c>
      <c r="H1080" s="112" t="s">
        <v>61</v>
      </c>
      <c r="I1080" s="13" t="s">
        <v>22</v>
      </c>
      <c r="K1080" s="187"/>
      <c r="L1080" s="187"/>
      <c r="M1080" s="188">
        <f>IF($G1080="PAX",M129*'Insumos - OPEX'!I$51,M129*'Insumos - OPEX'!I$76)</f>
        <v>0</v>
      </c>
      <c r="N1080" s="211">
        <f>IF($G1080="PAX",N129*'Insumos - OPEX'!J$51,N129*'Insumos - OPEX'!J$76)</f>
        <v>0</v>
      </c>
      <c r="O1080" s="211">
        <f>IF($G1080="PAX",O129*'Insumos - OPEX'!K$51,O129*'Insumos - OPEX'!K$76)</f>
        <v>0</v>
      </c>
      <c r="P1080" s="211">
        <f>IF($G1080="PAX",P129*'Insumos - OPEX'!L$51,P129*'Insumos - OPEX'!L$76)</f>
        <v>0</v>
      </c>
      <c r="Q1080" s="211">
        <f>IF($G1080="PAX",Q129*'Insumos - OPEX'!M$51,Q129*'Insumos - OPEX'!M$76)</f>
        <v>0</v>
      </c>
      <c r="R1080" s="211">
        <f>IF($G1080="PAX",R129*'Insumos - OPEX'!N$51,R129*'Insumos - OPEX'!N$76)</f>
        <v>0</v>
      </c>
      <c r="S1080" s="111"/>
    </row>
    <row r="1081" spans="1:19" x14ac:dyDescent="0.2">
      <c r="A1081" s="8"/>
      <c r="B1081" s="8" t="s">
        <v>301</v>
      </c>
      <c r="C1081" s="8" t="s">
        <v>173</v>
      </c>
      <c r="D1081" s="8">
        <v>6343100014</v>
      </c>
      <c r="E1081" s="8" t="s">
        <v>413</v>
      </c>
      <c r="F1081" s="73" t="s">
        <v>23</v>
      </c>
      <c r="G1081" s="73" t="s">
        <v>136</v>
      </c>
      <c r="H1081" s="112" t="s">
        <v>61</v>
      </c>
      <c r="I1081" s="13" t="s">
        <v>22</v>
      </c>
      <c r="K1081" s="187"/>
      <c r="L1081" s="187"/>
      <c r="M1081" s="188">
        <f>IF($G1081="PAX",M130*'Insumos - OPEX'!I$51,M130*'Insumos - OPEX'!I$76)</f>
        <v>0</v>
      </c>
      <c r="N1081" s="211">
        <f>IF($G1081="PAX",N130*'Insumos - OPEX'!J$51,N130*'Insumos - OPEX'!J$76)</f>
        <v>0</v>
      </c>
      <c r="O1081" s="211">
        <f>IF($G1081="PAX",O130*'Insumos - OPEX'!K$51,O130*'Insumos - OPEX'!K$76)</f>
        <v>0</v>
      </c>
      <c r="P1081" s="211">
        <f>IF($G1081="PAX",P130*'Insumos - OPEX'!L$51,P130*'Insumos - OPEX'!L$76)</f>
        <v>0</v>
      </c>
      <c r="Q1081" s="211">
        <f>IF($G1081="PAX",Q130*'Insumos - OPEX'!M$51,Q130*'Insumos - OPEX'!M$76)</f>
        <v>0</v>
      </c>
      <c r="R1081" s="211">
        <f>IF($G1081="PAX",R130*'Insumos - OPEX'!N$51,R130*'Insumos - OPEX'!N$76)</f>
        <v>0</v>
      </c>
      <c r="S1081" s="111"/>
    </row>
    <row r="1082" spans="1:19" s="3" customFormat="1" x14ac:dyDescent="0.2">
      <c r="A1082" s="8"/>
      <c r="B1082" s="8" t="s">
        <v>301</v>
      </c>
      <c r="C1082" s="8" t="s">
        <v>173</v>
      </c>
      <c r="D1082" s="8">
        <v>6341100007</v>
      </c>
      <c r="E1082" s="8" t="s">
        <v>414</v>
      </c>
      <c r="F1082" s="73" t="s">
        <v>23</v>
      </c>
      <c r="G1082" s="73" t="s">
        <v>136</v>
      </c>
      <c r="H1082" s="112" t="s">
        <v>61</v>
      </c>
      <c r="I1082" s="13" t="s">
        <v>22</v>
      </c>
      <c r="J1082" s="11"/>
      <c r="K1082" s="187"/>
      <c r="L1082" s="187"/>
      <c r="M1082" s="188">
        <f>IF($G1082="PAX",M131*'Insumos - OPEX'!I$51,M131*'Insumos - OPEX'!I$76)</f>
        <v>0</v>
      </c>
      <c r="N1082" s="211">
        <f>IF($G1082="PAX",N131*'Insumos - OPEX'!J$51,N131*'Insumos - OPEX'!J$76)</f>
        <v>0</v>
      </c>
      <c r="O1082" s="211">
        <f>IF($G1082="PAX",O131*'Insumos - OPEX'!K$51,O131*'Insumos - OPEX'!K$76)</f>
        <v>0</v>
      </c>
      <c r="P1082" s="211">
        <f>IF($G1082="PAX",P131*'Insumos - OPEX'!L$51,P131*'Insumos - OPEX'!L$76)</f>
        <v>0</v>
      </c>
      <c r="Q1082" s="211">
        <f>IF($G1082="PAX",Q131*'Insumos - OPEX'!M$51,Q131*'Insumos - OPEX'!M$76)</f>
        <v>0</v>
      </c>
      <c r="R1082" s="211">
        <f>IF($G1082="PAX",R131*'Insumos - OPEX'!N$51,R131*'Insumos - OPEX'!N$76)</f>
        <v>0</v>
      </c>
      <c r="S1082" s="111"/>
    </row>
    <row r="1083" spans="1:19" x14ac:dyDescent="0.2">
      <c r="A1083" s="8"/>
      <c r="B1083" s="8" t="s">
        <v>301</v>
      </c>
      <c r="C1083" s="8" t="s">
        <v>173</v>
      </c>
      <c r="D1083" s="8">
        <v>6343100016</v>
      </c>
      <c r="E1083" s="8" t="s">
        <v>415</v>
      </c>
      <c r="F1083" s="73" t="s">
        <v>23</v>
      </c>
      <c r="G1083" s="73" t="s">
        <v>136</v>
      </c>
      <c r="H1083" s="112" t="s">
        <v>61</v>
      </c>
      <c r="I1083" s="13" t="s">
        <v>22</v>
      </c>
      <c r="K1083" s="187"/>
      <c r="L1083" s="187"/>
      <c r="M1083" s="188">
        <f>IF($G1083="PAX",M132*'Insumos - OPEX'!I$51,M132*'Insumos - OPEX'!I$76)</f>
        <v>0</v>
      </c>
      <c r="N1083" s="211">
        <f>IF($G1083="PAX",N132*'Insumos - OPEX'!J$51,N132*'Insumos - OPEX'!J$76)</f>
        <v>0</v>
      </c>
      <c r="O1083" s="211">
        <f>IF($G1083="PAX",O132*'Insumos - OPEX'!K$51,O132*'Insumos - OPEX'!K$76)</f>
        <v>0</v>
      </c>
      <c r="P1083" s="211">
        <f>IF($G1083="PAX",P132*'Insumos - OPEX'!L$51,P132*'Insumos - OPEX'!L$76)</f>
        <v>0</v>
      </c>
      <c r="Q1083" s="211">
        <f>IF($G1083="PAX",Q132*'Insumos - OPEX'!M$51,Q132*'Insumos - OPEX'!M$76)</f>
        <v>0</v>
      </c>
      <c r="R1083" s="211">
        <f>IF($G1083="PAX",R132*'Insumos - OPEX'!N$51,R132*'Insumos - OPEX'!N$76)</f>
        <v>0</v>
      </c>
      <c r="S1083" s="111"/>
    </row>
    <row r="1084" spans="1:19" x14ac:dyDescent="0.2">
      <c r="A1084" s="8"/>
      <c r="B1084" s="8" t="s">
        <v>301</v>
      </c>
      <c r="C1084" s="8" t="s">
        <v>173</v>
      </c>
      <c r="D1084" s="8">
        <v>6341100008</v>
      </c>
      <c r="E1084" s="8" t="s">
        <v>416</v>
      </c>
      <c r="F1084" s="73" t="s">
        <v>23</v>
      </c>
      <c r="G1084" s="73" t="s">
        <v>136</v>
      </c>
      <c r="H1084" s="112" t="s">
        <v>61</v>
      </c>
      <c r="I1084" s="13" t="s">
        <v>22</v>
      </c>
      <c r="J1084" s="40"/>
      <c r="K1084" s="187"/>
      <c r="L1084" s="187"/>
      <c r="M1084" s="188">
        <f>IF($G1084="PAX",M133*'Insumos - OPEX'!I$51,M133*'Insumos - OPEX'!I$76)</f>
        <v>0</v>
      </c>
      <c r="N1084" s="211">
        <f>IF($G1084="PAX",N133*'Insumos - OPEX'!J$51,N133*'Insumos - OPEX'!J$76)</f>
        <v>0</v>
      </c>
      <c r="O1084" s="211">
        <f>IF($G1084="PAX",O133*'Insumos - OPEX'!K$51,O133*'Insumos - OPEX'!K$76)</f>
        <v>0</v>
      </c>
      <c r="P1084" s="211">
        <f>IF($G1084="PAX",P133*'Insumos - OPEX'!L$51,P133*'Insumos - OPEX'!L$76)</f>
        <v>0</v>
      </c>
      <c r="Q1084" s="211">
        <f>IF($G1084="PAX",Q133*'Insumos - OPEX'!M$51,Q133*'Insumos - OPEX'!M$76)</f>
        <v>0</v>
      </c>
      <c r="R1084" s="211">
        <f>IF($G1084="PAX",R133*'Insumos - OPEX'!N$51,R133*'Insumos - OPEX'!N$76)</f>
        <v>0</v>
      </c>
      <c r="S1084" s="111"/>
    </row>
    <row r="1085" spans="1:19" x14ac:dyDescent="0.2">
      <c r="A1085" s="8"/>
      <c r="B1085" s="8" t="s">
        <v>301</v>
      </c>
      <c r="C1085" s="8" t="s">
        <v>173</v>
      </c>
      <c r="D1085" s="8">
        <v>6344000001</v>
      </c>
      <c r="E1085" s="8" t="s">
        <v>417</v>
      </c>
      <c r="F1085" s="73" t="s">
        <v>23</v>
      </c>
      <c r="G1085" s="73" t="s">
        <v>136</v>
      </c>
      <c r="H1085" s="112" t="s">
        <v>61</v>
      </c>
      <c r="I1085" s="13" t="s">
        <v>22</v>
      </c>
      <c r="K1085" s="187"/>
      <c r="L1085" s="187"/>
      <c r="M1085" s="188">
        <f>IF($G1085="PAX",M134*'Insumos - OPEX'!I$51,M134*'Insumos - OPEX'!I$76)</f>
        <v>0</v>
      </c>
      <c r="N1085" s="211">
        <f>IF($G1085="PAX",N134*'Insumos - OPEX'!J$51,N134*'Insumos - OPEX'!J$76)</f>
        <v>0</v>
      </c>
      <c r="O1085" s="211">
        <f>IF($G1085="PAX",O134*'Insumos - OPEX'!K$51,O134*'Insumos - OPEX'!K$76)</f>
        <v>0</v>
      </c>
      <c r="P1085" s="211">
        <f>IF($G1085="PAX",P134*'Insumos - OPEX'!L$51,P134*'Insumos - OPEX'!L$76)</f>
        <v>0</v>
      </c>
      <c r="Q1085" s="211">
        <f>IF($G1085="PAX",Q134*'Insumos - OPEX'!M$51,Q134*'Insumos - OPEX'!M$76)</f>
        <v>0</v>
      </c>
      <c r="R1085" s="211">
        <f>IF($G1085="PAX",R134*'Insumos - OPEX'!N$51,R134*'Insumos - OPEX'!N$76)</f>
        <v>0</v>
      </c>
      <c r="S1085" s="111"/>
    </row>
    <row r="1086" spans="1:19" x14ac:dyDescent="0.2">
      <c r="A1086" s="8"/>
      <c r="B1086" s="8" t="s">
        <v>301</v>
      </c>
      <c r="C1086" s="8" t="s">
        <v>173</v>
      </c>
      <c r="D1086" s="8">
        <v>6343100009</v>
      </c>
      <c r="E1086" s="8" t="s">
        <v>418</v>
      </c>
      <c r="F1086" s="73" t="s">
        <v>23</v>
      </c>
      <c r="G1086" s="73" t="s">
        <v>136</v>
      </c>
      <c r="H1086" s="112" t="s">
        <v>61</v>
      </c>
      <c r="I1086" s="13" t="s">
        <v>22</v>
      </c>
      <c r="K1086" s="187"/>
      <c r="L1086" s="187"/>
      <c r="M1086" s="188">
        <f>IF($G1086="PAX",M135*'Insumos - OPEX'!I$51,M135*'Insumos - OPEX'!I$76)</f>
        <v>0</v>
      </c>
      <c r="N1086" s="211">
        <f>IF($G1086="PAX",N135*'Insumos - OPEX'!J$51,N135*'Insumos - OPEX'!J$76)</f>
        <v>0</v>
      </c>
      <c r="O1086" s="211">
        <f>IF($G1086="PAX",O135*'Insumos - OPEX'!K$51,O135*'Insumos - OPEX'!K$76)</f>
        <v>0</v>
      </c>
      <c r="P1086" s="211">
        <f>IF($G1086="PAX",P135*'Insumos - OPEX'!L$51,P135*'Insumos - OPEX'!L$76)</f>
        <v>0</v>
      </c>
      <c r="Q1086" s="211">
        <f>IF($G1086="PAX",Q135*'Insumos - OPEX'!M$51,Q135*'Insumos - OPEX'!M$76)</f>
        <v>0</v>
      </c>
      <c r="R1086" s="211">
        <f>IF($G1086="PAX",R135*'Insumos - OPEX'!N$51,R135*'Insumos - OPEX'!N$76)</f>
        <v>0</v>
      </c>
      <c r="S1086" s="111"/>
    </row>
    <row r="1087" spans="1:19" x14ac:dyDescent="0.2">
      <c r="A1087" s="8"/>
      <c r="B1087" s="8" t="s">
        <v>301</v>
      </c>
      <c r="C1087" s="8" t="s">
        <v>173</v>
      </c>
      <c r="D1087" s="8">
        <v>6344000003</v>
      </c>
      <c r="E1087" s="8" t="s">
        <v>419</v>
      </c>
      <c r="F1087" s="73" t="s">
        <v>23</v>
      </c>
      <c r="G1087" s="73" t="s">
        <v>136</v>
      </c>
      <c r="H1087" s="112" t="s">
        <v>61</v>
      </c>
      <c r="I1087" s="13" t="s">
        <v>22</v>
      </c>
      <c r="K1087" s="187"/>
      <c r="L1087" s="187"/>
      <c r="M1087" s="188">
        <f>IF($G1087="PAX",M136*'Insumos - OPEX'!I$51,M136*'Insumos - OPEX'!I$76)</f>
        <v>0</v>
      </c>
      <c r="N1087" s="211">
        <f>IF($G1087="PAX",N136*'Insumos - OPEX'!J$51,N136*'Insumos - OPEX'!J$76)</f>
        <v>0</v>
      </c>
      <c r="O1087" s="211">
        <f>IF($G1087="PAX",O136*'Insumos - OPEX'!K$51,O136*'Insumos - OPEX'!K$76)</f>
        <v>0</v>
      </c>
      <c r="P1087" s="211">
        <f>IF($G1087="PAX",P136*'Insumos - OPEX'!L$51,P136*'Insumos - OPEX'!L$76)</f>
        <v>0</v>
      </c>
      <c r="Q1087" s="211">
        <f>IF($G1087="PAX",Q136*'Insumos - OPEX'!M$51,Q136*'Insumos - OPEX'!M$76)</f>
        <v>0</v>
      </c>
      <c r="R1087" s="211">
        <f>IF($G1087="PAX",R136*'Insumos - OPEX'!N$51,R136*'Insumos - OPEX'!N$76)</f>
        <v>0</v>
      </c>
      <c r="S1087" s="111"/>
    </row>
    <row r="1088" spans="1:19" x14ac:dyDescent="0.2">
      <c r="A1088" s="8"/>
      <c r="B1088" s="8" t="s">
        <v>301</v>
      </c>
      <c r="C1088" s="8" t="s">
        <v>173</v>
      </c>
      <c r="D1088" s="8">
        <v>6343100010</v>
      </c>
      <c r="E1088" s="8" t="s">
        <v>420</v>
      </c>
      <c r="F1088" s="73" t="s">
        <v>23</v>
      </c>
      <c r="G1088" s="73" t="s">
        <v>136</v>
      </c>
      <c r="H1088" s="112" t="s">
        <v>61</v>
      </c>
      <c r="I1088" s="13" t="s">
        <v>22</v>
      </c>
      <c r="K1088" s="187"/>
      <c r="L1088" s="187"/>
      <c r="M1088" s="188">
        <f>IF($G1088="PAX",M137*'Insumos - OPEX'!I$51,M137*'Insumos - OPEX'!I$76)</f>
        <v>0</v>
      </c>
      <c r="N1088" s="211">
        <f>IF($G1088="PAX",N137*'Insumos - OPEX'!J$51,N137*'Insumos - OPEX'!J$76)</f>
        <v>0</v>
      </c>
      <c r="O1088" s="211">
        <f>IF($G1088="PAX",O137*'Insumos - OPEX'!K$51,O137*'Insumos - OPEX'!K$76)</f>
        <v>0</v>
      </c>
      <c r="P1088" s="211">
        <f>IF($G1088="PAX",P137*'Insumos - OPEX'!L$51,P137*'Insumos - OPEX'!L$76)</f>
        <v>0</v>
      </c>
      <c r="Q1088" s="211">
        <f>IF($G1088="PAX",Q137*'Insumos - OPEX'!M$51,Q137*'Insumos - OPEX'!M$76)</f>
        <v>0</v>
      </c>
      <c r="R1088" s="211">
        <f>IF($G1088="PAX",R137*'Insumos - OPEX'!N$51,R137*'Insumos - OPEX'!N$76)</f>
        <v>0</v>
      </c>
      <c r="S1088" s="111"/>
    </row>
    <row r="1089" spans="1:19" x14ac:dyDescent="0.2">
      <c r="A1089" s="8"/>
      <c r="B1089" s="8" t="s">
        <v>301</v>
      </c>
      <c r="C1089" s="8" t="s">
        <v>173</v>
      </c>
      <c r="D1089" s="8">
        <v>6346000001</v>
      </c>
      <c r="E1089" s="8" t="s">
        <v>421</v>
      </c>
      <c r="F1089" s="73" t="s">
        <v>23</v>
      </c>
      <c r="G1089" s="73" t="s">
        <v>136</v>
      </c>
      <c r="H1089" s="112" t="s">
        <v>61</v>
      </c>
      <c r="I1089" s="13" t="s">
        <v>22</v>
      </c>
      <c r="J1089" s="11"/>
      <c r="K1089" s="187"/>
      <c r="L1089" s="187"/>
      <c r="M1089" s="188">
        <f>IF($G1089="PAX",M138*'Insumos - OPEX'!I$51,M138*'Insumos - OPEX'!I$76)</f>
        <v>0</v>
      </c>
      <c r="N1089" s="211">
        <f>IF($G1089="PAX",N138*'Insumos - OPEX'!J$51,N138*'Insumos - OPEX'!J$76)</f>
        <v>0</v>
      </c>
      <c r="O1089" s="211">
        <f>IF($G1089="PAX",O138*'Insumos - OPEX'!K$51,O138*'Insumos - OPEX'!K$76)</f>
        <v>0</v>
      </c>
      <c r="P1089" s="211">
        <f>IF($G1089="PAX",P138*'Insumos - OPEX'!L$51,P138*'Insumos - OPEX'!L$76)</f>
        <v>0</v>
      </c>
      <c r="Q1089" s="211">
        <f>IF($G1089="PAX",Q138*'Insumos - OPEX'!M$51,Q138*'Insumos - OPEX'!M$76)</f>
        <v>0</v>
      </c>
      <c r="R1089" s="211">
        <f>IF($G1089="PAX",R138*'Insumos - OPEX'!N$51,R138*'Insumos - OPEX'!N$76)</f>
        <v>0</v>
      </c>
      <c r="S1089" s="111"/>
    </row>
    <row r="1090" spans="1:19" x14ac:dyDescent="0.2">
      <c r="A1090" s="8"/>
      <c r="B1090" s="8" t="s">
        <v>301</v>
      </c>
      <c r="C1090" s="8" t="s">
        <v>173</v>
      </c>
      <c r="D1090" s="8">
        <v>6343100011</v>
      </c>
      <c r="E1090" s="8" t="s">
        <v>422</v>
      </c>
      <c r="F1090" s="73" t="s">
        <v>23</v>
      </c>
      <c r="G1090" s="73" t="s">
        <v>136</v>
      </c>
      <c r="H1090" s="112" t="s">
        <v>61</v>
      </c>
      <c r="I1090" s="13" t="s">
        <v>22</v>
      </c>
      <c r="K1090" s="187"/>
      <c r="L1090" s="187"/>
      <c r="M1090" s="188">
        <f>IF($G1090="PAX",M139*'Insumos - OPEX'!I$51,M139*'Insumos - OPEX'!I$76)</f>
        <v>0</v>
      </c>
      <c r="N1090" s="211">
        <f>IF($G1090="PAX",N139*'Insumos - OPEX'!J$51,N139*'Insumos - OPEX'!J$76)</f>
        <v>0</v>
      </c>
      <c r="O1090" s="211">
        <f>IF($G1090="PAX",O139*'Insumos - OPEX'!K$51,O139*'Insumos - OPEX'!K$76)</f>
        <v>0</v>
      </c>
      <c r="P1090" s="211">
        <f>IF($G1090="PAX",P139*'Insumos - OPEX'!L$51,P139*'Insumos - OPEX'!L$76)</f>
        <v>0</v>
      </c>
      <c r="Q1090" s="211">
        <f>IF($G1090="PAX",Q139*'Insumos - OPEX'!M$51,Q139*'Insumos - OPEX'!M$76)</f>
        <v>0</v>
      </c>
      <c r="R1090" s="211">
        <f>IF($G1090="PAX",R139*'Insumos - OPEX'!N$51,R139*'Insumos - OPEX'!N$76)</f>
        <v>0</v>
      </c>
      <c r="S1090" s="111"/>
    </row>
    <row r="1091" spans="1:19" x14ac:dyDescent="0.2">
      <c r="A1091" s="8"/>
      <c r="B1091" s="8" t="s">
        <v>301</v>
      </c>
      <c r="C1091" s="8" t="s">
        <v>173</v>
      </c>
      <c r="D1091" s="8">
        <v>6343100012</v>
      </c>
      <c r="E1091" s="8" t="s">
        <v>423</v>
      </c>
      <c r="F1091" s="73" t="s">
        <v>23</v>
      </c>
      <c r="G1091" s="73" t="s">
        <v>136</v>
      </c>
      <c r="H1091" s="112" t="s">
        <v>61</v>
      </c>
      <c r="I1091" s="13" t="s">
        <v>22</v>
      </c>
      <c r="K1091" s="187"/>
      <c r="L1091" s="187"/>
      <c r="M1091" s="188">
        <f>IF($G1091="PAX",M140*'Insumos - OPEX'!I$51,M140*'Insumos - OPEX'!I$76)</f>
        <v>0</v>
      </c>
      <c r="N1091" s="211">
        <f>IF($G1091="PAX",N140*'Insumos - OPEX'!J$51,N140*'Insumos - OPEX'!J$76)</f>
        <v>0</v>
      </c>
      <c r="O1091" s="211">
        <f>IF($G1091="PAX",O140*'Insumos - OPEX'!K$51,O140*'Insumos - OPEX'!K$76)</f>
        <v>0</v>
      </c>
      <c r="P1091" s="211">
        <f>IF($G1091="PAX",P140*'Insumos - OPEX'!L$51,P140*'Insumos - OPEX'!L$76)</f>
        <v>0</v>
      </c>
      <c r="Q1091" s="211">
        <f>IF($G1091="PAX",Q140*'Insumos - OPEX'!M$51,Q140*'Insumos - OPEX'!M$76)</f>
        <v>0</v>
      </c>
      <c r="R1091" s="211">
        <f>IF($G1091="PAX",R140*'Insumos - OPEX'!N$51,R140*'Insumos - OPEX'!N$76)</f>
        <v>0</v>
      </c>
      <c r="S1091" s="111"/>
    </row>
    <row r="1092" spans="1:19" x14ac:dyDescent="0.2">
      <c r="A1092" s="8"/>
      <c r="B1092" s="8" t="s">
        <v>301</v>
      </c>
      <c r="C1092" s="8" t="s">
        <v>173</v>
      </c>
      <c r="D1092" s="8">
        <v>6343100005</v>
      </c>
      <c r="E1092" s="8" t="s">
        <v>424</v>
      </c>
      <c r="F1092" s="73" t="s">
        <v>23</v>
      </c>
      <c r="G1092" s="73" t="s">
        <v>136</v>
      </c>
      <c r="H1092" s="112" t="s">
        <v>61</v>
      </c>
      <c r="I1092" s="13" t="s">
        <v>22</v>
      </c>
      <c r="K1092" s="187"/>
      <c r="L1092" s="187"/>
      <c r="M1092" s="188">
        <f>IF($G1092="PAX",M141*'Insumos - OPEX'!I$51,M141*'Insumos - OPEX'!I$76)</f>
        <v>0</v>
      </c>
      <c r="N1092" s="211">
        <f>IF($G1092="PAX",N141*'Insumos - OPEX'!J$51,N141*'Insumos - OPEX'!J$76)</f>
        <v>0</v>
      </c>
      <c r="O1092" s="211">
        <f>IF($G1092="PAX",O141*'Insumos - OPEX'!K$51,O141*'Insumos - OPEX'!K$76)</f>
        <v>0</v>
      </c>
      <c r="P1092" s="211">
        <f>IF($G1092="PAX",P141*'Insumos - OPEX'!L$51,P141*'Insumos - OPEX'!L$76)</f>
        <v>0</v>
      </c>
      <c r="Q1092" s="211">
        <f>IF($G1092="PAX",Q141*'Insumos - OPEX'!M$51,Q141*'Insumos - OPEX'!M$76)</f>
        <v>0</v>
      </c>
      <c r="R1092" s="211">
        <f>IF($G1092="PAX",R141*'Insumos - OPEX'!N$51,R141*'Insumos - OPEX'!N$76)</f>
        <v>0</v>
      </c>
      <c r="S1092" s="111"/>
    </row>
    <row r="1093" spans="1:19" x14ac:dyDescent="0.2">
      <c r="A1093" s="8"/>
      <c r="B1093" s="8" t="s">
        <v>301</v>
      </c>
      <c r="C1093" s="8" t="s">
        <v>173</v>
      </c>
      <c r="D1093" s="8">
        <v>6343100006</v>
      </c>
      <c r="E1093" s="8" t="s">
        <v>425</v>
      </c>
      <c r="F1093" s="73" t="s">
        <v>23</v>
      </c>
      <c r="G1093" s="73" t="s">
        <v>136</v>
      </c>
      <c r="H1093" s="112" t="s">
        <v>61</v>
      </c>
      <c r="I1093" s="13" t="s">
        <v>22</v>
      </c>
      <c r="J1093" s="52"/>
      <c r="K1093" s="187"/>
      <c r="L1093" s="187"/>
      <c r="M1093" s="188">
        <f>IF($G1093="PAX",M142*'Insumos - OPEX'!I$51,M142*'Insumos - OPEX'!I$76)</f>
        <v>0</v>
      </c>
      <c r="N1093" s="211">
        <f>IF($G1093="PAX",N142*'Insumos - OPEX'!J$51,N142*'Insumos - OPEX'!J$76)</f>
        <v>0</v>
      </c>
      <c r="O1093" s="211">
        <f>IF($G1093="PAX",O142*'Insumos - OPEX'!K$51,O142*'Insumos - OPEX'!K$76)</f>
        <v>0</v>
      </c>
      <c r="P1093" s="211">
        <f>IF($G1093="PAX",P142*'Insumos - OPEX'!L$51,P142*'Insumos - OPEX'!L$76)</f>
        <v>0</v>
      </c>
      <c r="Q1093" s="211">
        <f>IF($G1093="PAX",Q142*'Insumos - OPEX'!M$51,Q142*'Insumos - OPEX'!M$76)</f>
        <v>0</v>
      </c>
      <c r="R1093" s="211">
        <f>IF($G1093="PAX",R142*'Insumos - OPEX'!N$51,R142*'Insumos - OPEX'!N$76)</f>
        <v>0</v>
      </c>
      <c r="S1093" s="111"/>
    </row>
    <row r="1094" spans="1:19" x14ac:dyDescent="0.2">
      <c r="A1094" s="8"/>
      <c r="B1094" s="8" t="s">
        <v>301</v>
      </c>
      <c r="C1094" s="8" t="s">
        <v>170</v>
      </c>
      <c r="D1094" s="8">
        <v>6211000001</v>
      </c>
      <c r="E1094" s="8" t="s">
        <v>253</v>
      </c>
      <c r="F1094" s="73" t="s">
        <v>23</v>
      </c>
      <c r="G1094" s="73" t="s">
        <v>136</v>
      </c>
      <c r="H1094" s="112" t="s">
        <v>61</v>
      </c>
      <c r="I1094" s="13" t="s">
        <v>22</v>
      </c>
      <c r="K1094" s="187"/>
      <c r="L1094" s="187"/>
      <c r="M1094" s="188">
        <f>IF($G1094="PAX",M143*'Insumos - OPEX'!I$51,M143*'Insumos - OPEX'!I$76)</f>
        <v>15411.179155300768</v>
      </c>
      <c r="N1094" s="211">
        <f>IF($G1094="PAX",N143*'Insumos - OPEX'!J$51,N143*'Insumos - OPEX'!J$76)</f>
        <v>15590.654151650268</v>
      </c>
      <c r="O1094" s="211">
        <f>IF($G1094="PAX",O143*'Insumos - OPEX'!K$51,O143*'Insumos - OPEX'!K$76)</f>
        <v>15953.94001770147</v>
      </c>
      <c r="P1094" s="211">
        <f>IF($G1094="PAX",P143*'Insumos - OPEX'!L$51,P143*'Insumos - OPEX'!L$76)</f>
        <v>16291.507178531254</v>
      </c>
      <c r="Q1094" s="211">
        <f>IF($G1094="PAX",Q143*'Insumos - OPEX'!M$51,Q143*'Insumos - OPEX'!M$76)</f>
        <v>16876.399727897082</v>
      </c>
      <c r="R1094" s="211">
        <f>IF($G1094="PAX",R143*'Insumos - OPEX'!N$51,R143*'Insumos - OPEX'!N$76)</f>
        <v>17393.17081395819</v>
      </c>
      <c r="S1094" s="111"/>
    </row>
    <row r="1095" spans="1:19" x14ac:dyDescent="0.2">
      <c r="A1095" s="8"/>
      <c r="B1095" s="8" t="s">
        <v>301</v>
      </c>
      <c r="C1095" s="8" t="s">
        <v>170</v>
      </c>
      <c r="D1095" s="8">
        <v>6212000001</v>
      </c>
      <c r="E1095" s="8" t="s">
        <v>254</v>
      </c>
      <c r="F1095" s="73" t="s">
        <v>23</v>
      </c>
      <c r="G1095" s="73" t="s">
        <v>136</v>
      </c>
      <c r="H1095" s="112" t="s">
        <v>61</v>
      </c>
      <c r="I1095" s="13" t="s">
        <v>22</v>
      </c>
      <c r="K1095" s="187"/>
      <c r="L1095" s="187"/>
      <c r="M1095" s="188">
        <f>IF($G1095="PAX",M144*'Insumos - OPEX'!I$51,M144*'Insumos - OPEX'!I$76)</f>
        <v>3297.0921809223373</v>
      </c>
      <c r="N1095" s="211">
        <f>IF($G1095="PAX",N144*'Insumos - OPEX'!J$51,N144*'Insumos - OPEX'!J$76)</f>
        <v>3335.4893471074743</v>
      </c>
      <c r="O1095" s="211">
        <f>IF($G1095="PAX",O144*'Insumos - OPEX'!K$51,O144*'Insumos - OPEX'!K$76)</f>
        <v>3413.2113031191943</v>
      </c>
      <c r="P1095" s="211">
        <f>IF($G1095="PAX",P144*'Insumos - OPEX'!L$51,P144*'Insumos - OPEX'!L$76)</f>
        <v>3485.4309584286461</v>
      </c>
      <c r="Q1095" s="211">
        <f>IF($G1095="PAX",Q144*'Insumos - OPEX'!M$51,Q144*'Insumos - OPEX'!M$76)</f>
        <v>3610.5638007478847</v>
      </c>
      <c r="R1095" s="211">
        <f>IF($G1095="PAX",R144*'Insumos - OPEX'!N$51,R144*'Insumos - OPEX'!N$76)</f>
        <v>3721.1226288562962</v>
      </c>
      <c r="S1095" s="111"/>
    </row>
    <row r="1096" spans="1:19" x14ac:dyDescent="0.2">
      <c r="A1096" s="8"/>
      <c r="B1096" s="8" t="s">
        <v>301</v>
      </c>
      <c r="C1096" s="8" t="s">
        <v>170</v>
      </c>
      <c r="D1096" s="8">
        <v>6290000001</v>
      </c>
      <c r="E1096" s="8" t="s">
        <v>426</v>
      </c>
      <c r="F1096" s="73" t="s">
        <v>23</v>
      </c>
      <c r="G1096" s="73" t="s">
        <v>136</v>
      </c>
      <c r="H1096" s="112" t="s">
        <v>61</v>
      </c>
      <c r="I1096" s="13" t="s">
        <v>22</v>
      </c>
      <c r="K1096" s="187"/>
      <c r="L1096" s="187"/>
      <c r="M1096" s="188">
        <f>IF($G1096="PAX",M145*'Insumos - OPEX'!I$51,M145*'Insumos - OPEX'!I$76)</f>
        <v>1595.1202194628793</v>
      </c>
      <c r="N1096" s="211">
        <f>IF($G1096="PAX",N145*'Insumos - OPEX'!J$51,N145*'Insumos - OPEX'!J$76)</f>
        <v>1613.6966173283627</v>
      </c>
      <c r="O1096" s="211">
        <f>IF($G1096="PAX",O145*'Insumos - OPEX'!K$51,O145*'Insumos - OPEX'!K$76)</f>
        <v>1651.2981937258469</v>
      </c>
      <c r="P1096" s="211">
        <f>IF($G1096="PAX",P145*'Insumos - OPEX'!L$51,P145*'Insumos - OPEX'!L$76)</f>
        <v>1686.2377787011508</v>
      </c>
      <c r="Q1096" s="211">
        <f>IF($G1096="PAX",Q145*'Insumos - OPEX'!M$51,Q145*'Insumos - OPEX'!M$76)</f>
        <v>1746.7765552804701</v>
      </c>
      <c r="R1096" s="211">
        <f>IF($G1096="PAX",R145*'Insumos - OPEX'!N$51,R145*'Insumos - OPEX'!N$76)</f>
        <v>1800.2644811492928</v>
      </c>
      <c r="S1096" s="111"/>
    </row>
    <row r="1097" spans="1:19" x14ac:dyDescent="0.2">
      <c r="A1097" s="8"/>
      <c r="B1097" s="8" t="s">
        <v>301</v>
      </c>
      <c r="C1097" s="8" t="s">
        <v>170</v>
      </c>
      <c r="D1097" s="8">
        <v>6213000001</v>
      </c>
      <c r="E1097" s="8" t="s">
        <v>255</v>
      </c>
      <c r="F1097" s="73" t="s">
        <v>23</v>
      </c>
      <c r="G1097" s="73" t="s">
        <v>136</v>
      </c>
      <c r="H1097" s="112" t="s">
        <v>61</v>
      </c>
      <c r="I1097" s="13" t="s">
        <v>22</v>
      </c>
      <c r="K1097" s="187"/>
      <c r="L1097" s="187"/>
      <c r="M1097" s="188">
        <f>IF($G1097="PAX",M146*'Insumos - OPEX'!I$51,M146*'Insumos - OPEX'!I$76)</f>
        <v>1517.7631186937667</v>
      </c>
      <c r="N1097" s="211">
        <f>IF($G1097="PAX",N146*'Insumos - OPEX'!J$51,N146*'Insumos - OPEX'!J$76)</f>
        <v>1535.4386338144429</v>
      </c>
      <c r="O1097" s="211">
        <f>IF($G1097="PAX",O146*'Insumos - OPEX'!K$51,O146*'Insumos - OPEX'!K$76)</f>
        <v>1571.2166806127368</v>
      </c>
      <c r="P1097" s="211">
        <f>IF($G1097="PAX",P146*'Insumos - OPEX'!L$51,P146*'Insumos - OPEX'!L$76)</f>
        <v>1604.461832176197</v>
      </c>
      <c r="Q1097" s="211">
        <f>IF($G1097="PAX",Q146*'Insumos - OPEX'!M$51,Q146*'Insumos - OPEX'!M$76)</f>
        <v>1662.0647145306523</v>
      </c>
      <c r="R1097" s="211">
        <f>IF($G1097="PAX",R146*'Insumos - OPEX'!N$51,R146*'Insumos - OPEX'!N$76)</f>
        <v>1712.958684896385</v>
      </c>
      <c r="S1097" s="111"/>
    </row>
    <row r="1098" spans="1:19" x14ac:dyDescent="0.2">
      <c r="A1098" s="8"/>
      <c r="B1098" s="8" t="s">
        <v>301</v>
      </c>
      <c r="C1098" s="8" t="s">
        <v>170</v>
      </c>
      <c r="D1098" s="8">
        <v>6270000002</v>
      </c>
      <c r="E1098" s="8" t="s">
        <v>427</v>
      </c>
      <c r="F1098" s="73" t="s">
        <v>23</v>
      </c>
      <c r="G1098" s="73" t="s">
        <v>136</v>
      </c>
      <c r="H1098" s="112" t="s">
        <v>61</v>
      </c>
      <c r="I1098" s="13" t="s">
        <v>22</v>
      </c>
      <c r="J1098" s="11"/>
      <c r="K1098" s="187"/>
      <c r="L1098" s="187"/>
      <c r="M1098" s="188">
        <f>IF($G1098="PAX",M147*'Insumos - OPEX'!I$51,M147*'Insumos - OPEX'!I$76)</f>
        <v>1376.0996691819037</v>
      </c>
      <c r="N1098" s="211">
        <f>IF($G1098="PAX",N147*'Insumos - OPEX'!J$51,N147*'Insumos - OPEX'!J$76)</f>
        <v>1392.1254048257606</v>
      </c>
      <c r="O1098" s="211">
        <f>IF($G1098="PAX",O147*'Insumos - OPEX'!K$51,O147*'Insumos - OPEX'!K$76)</f>
        <v>1424.5640362279253</v>
      </c>
      <c r="P1098" s="211">
        <f>IF($G1098="PAX",P147*'Insumos - OPEX'!L$51,P147*'Insumos - OPEX'!L$76)</f>
        <v>1454.7061852266124</v>
      </c>
      <c r="Q1098" s="211">
        <f>IF($G1098="PAX",Q147*'Insumos - OPEX'!M$51,Q147*'Insumos - OPEX'!M$76)</f>
        <v>1506.9325876049427</v>
      </c>
      <c r="R1098" s="211">
        <f>IF($G1098="PAX",R147*'Insumos - OPEX'!N$51,R147*'Insumos - OPEX'!N$76)</f>
        <v>1553.0762676832362</v>
      </c>
      <c r="S1098" s="111"/>
    </row>
    <row r="1099" spans="1:19" x14ac:dyDescent="0.2">
      <c r="A1099" s="8"/>
      <c r="B1099" s="8" t="s">
        <v>301</v>
      </c>
      <c r="C1099" s="8" t="s">
        <v>170</v>
      </c>
      <c r="D1099" s="8">
        <v>8710000001</v>
      </c>
      <c r="E1099" s="8" t="s">
        <v>268</v>
      </c>
      <c r="F1099" s="73" t="s">
        <v>23</v>
      </c>
      <c r="G1099" s="73" t="s">
        <v>136</v>
      </c>
      <c r="H1099" s="112" t="s">
        <v>61</v>
      </c>
      <c r="I1099" s="13" t="s">
        <v>22</v>
      </c>
      <c r="J1099" s="11"/>
      <c r="K1099" s="187"/>
      <c r="L1099" s="187"/>
      <c r="M1099" s="188">
        <f>IF($G1099="PAX",M148*'Insumos - OPEX'!I$51,M148*'Insumos - OPEX'!I$76)</f>
        <v>0</v>
      </c>
      <c r="N1099" s="211">
        <f>IF($G1099="PAX",N148*'Insumos - OPEX'!J$51,N148*'Insumos - OPEX'!J$76)</f>
        <v>0</v>
      </c>
      <c r="O1099" s="211">
        <f>IF($G1099="PAX",O148*'Insumos - OPEX'!K$51,O148*'Insumos - OPEX'!K$76)</f>
        <v>0</v>
      </c>
      <c r="P1099" s="211">
        <f>IF($G1099="PAX",P148*'Insumos - OPEX'!L$51,P148*'Insumos - OPEX'!L$76)</f>
        <v>0</v>
      </c>
      <c r="Q1099" s="211">
        <f>IF($G1099="PAX",Q148*'Insumos - OPEX'!M$51,Q148*'Insumos - OPEX'!M$76)</f>
        <v>0</v>
      </c>
      <c r="R1099" s="211">
        <f>IF($G1099="PAX",R148*'Insumos - OPEX'!N$51,R148*'Insumos - OPEX'!N$76)</f>
        <v>0</v>
      </c>
      <c r="S1099" s="111"/>
    </row>
    <row r="1100" spans="1:19" x14ac:dyDescent="0.2">
      <c r="A1100" s="8"/>
      <c r="B1100" s="8" t="s">
        <v>301</v>
      </c>
      <c r="C1100" s="8" t="s">
        <v>170</v>
      </c>
      <c r="D1100" s="8">
        <v>6270000001</v>
      </c>
      <c r="E1100" s="8" t="s">
        <v>259</v>
      </c>
      <c r="F1100" s="73" t="s">
        <v>23</v>
      </c>
      <c r="G1100" s="73" t="s">
        <v>136</v>
      </c>
      <c r="H1100" s="112" t="s">
        <v>61</v>
      </c>
      <c r="I1100" s="13" t="s">
        <v>22</v>
      </c>
      <c r="J1100" s="11"/>
      <c r="K1100" s="187"/>
      <c r="L1100" s="187"/>
      <c r="M1100" s="188">
        <f>IF($G1100="PAX",M149*'Insumos - OPEX'!I$51,M149*'Insumos - OPEX'!I$76)</f>
        <v>534.11692053888646</v>
      </c>
      <c r="N1100" s="211">
        <f>IF($G1100="PAX",N149*'Insumos - OPEX'!J$51,N149*'Insumos - OPEX'!J$76)</f>
        <v>540.33712156295599</v>
      </c>
      <c r="O1100" s="211">
        <f>IF($G1100="PAX",O149*'Insumos - OPEX'!K$51,O149*'Insumos - OPEX'!K$76)</f>
        <v>552.92779526126503</v>
      </c>
      <c r="P1100" s="211">
        <f>IF($G1100="PAX",P149*'Insumos - OPEX'!L$51,P149*'Insumos - OPEX'!L$76)</f>
        <v>564.62711629313048</v>
      </c>
      <c r="Q1100" s="211">
        <f>IF($G1100="PAX",Q149*'Insumos - OPEX'!M$51,Q149*'Insumos - OPEX'!M$76)</f>
        <v>584.89818083435102</v>
      </c>
      <c r="R1100" s="211">
        <f>IF($G1100="PAX",R149*'Insumos - OPEX'!N$51,R149*'Insumos - OPEX'!N$76)</f>
        <v>602.80830817302115</v>
      </c>
      <c r="S1100" s="111"/>
    </row>
    <row r="1101" spans="1:19" x14ac:dyDescent="0.2">
      <c r="A1101" s="8"/>
      <c r="B1101" s="8" t="s">
        <v>301</v>
      </c>
      <c r="C1101" s="8" t="s">
        <v>170</v>
      </c>
      <c r="D1101" s="8">
        <v>6270000006</v>
      </c>
      <c r="E1101" s="8" t="s">
        <v>261</v>
      </c>
      <c r="F1101" s="73" t="s">
        <v>23</v>
      </c>
      <c r="G1101" s="73" t="s">
        <v>136</v>
      </c>
      <c r="H1101" s="112" t="s">
        <v>61</v>
      </c>
      <c r="I1101" s="13" t="s">
        <v>22</v>
      </c>
      <c r="K1101" s="187"/>
      <c r="L1101" s="187"/>
      <c r="M1101" s="188">
        <f>IF($G1101="PAX",M150*'Insumos - OPEX'!I$51,M150*'Insumos - OPEX'!I$76)</f>
        <v>417.20942169625715</v>
      </c>
      <c r="N1101" s="211">
        <f>IF($G1101="PAX",N150*'Insumos - OPEX'!J$51,N150*'Insumos - OPEX'!J$76)</f>
        <v>422.0681452683699</v>
      </c>
      <c r="O1101" s="211">
        <f>IF($G1101="PAX",O150*'Insumos - OPEX'!K$51,O150*'Insumos - OPEX'!K$76)</f>
        <v>431.90297260755602</v>
      </c>
      <c r="P1101" s="211">
        <f>IF($G1101="PAX",P150*'Insumos - OPEX'!L$51,P150*'Insumos - OPEX'!L$76)</f>
        <v>441.04154653069412</v>
      </c>
      <c r="Q1101" s="211">
        <f>IF($G1101="PAX",Q150*'Insumos - OPEX'!M$51,Q150*'Insumos - OPEX'!M$76)</f>
        <v>456.87568094807466</v>
      </c>
      <c r="R1101" s="211">
        <f>IF($G1101="PAX",R150*'Insumos - OPEX'!N$51,R150*'Insumos - OPEX'!N$76)</f>
        <v>470.86564004155156</v>
      </c>
      <c r="S1101" s="111"/>
    </row>
    <row r="1102" spans="1:19" x14ac:dyDescent="0.2">
      <c r="A1102" s="8"/>
      <c r="B1102" s="8" t="s">
        <v>301</v>
      </c>
      <c r="C1102" s="8" t="s">
        <v>170</v>
      </c>
      <c r="D1102" s="8">
        <v>6250000005</v>
      </c>
      <c r="E1102" s="8" t="s">
        <v>266</v>
      </c>
      <c r="F1102" s="73" t="s">
        <v>23</v>
      </c>
      <c r="G1102" s="73" t="s">
        <v>136</v>
      </c>
      <c r="H1102" s="112" t="s">
        <v>61</v>
      </c>
      <c r="I1102" s="13" t="s">
        <v>22</v>
      </c>
      <c r="K1102" s="187"/>
      <c r="L1102" s="187"/>
      <c r="M1102" s="188">
        <f>IF($G1102="PAX",M151*'Insumos - OPEX'!I$51,M151*'Insumos - OPEX'!I$76)</f>
        <v>291.08090515678634</v>
      </c>
      <c r="N1102" s="211">
        <f>IF($G1102="PAX",N151*'Insumos - OPEX'!J$51,N151*'Insumos - OPEX'!J$76)</f>
        <v>294.47076545650611</v>
      </c>
      <c r="O1102" s="211">
        <f>IF($G1102="PAX",O151*'Insumos - OPEX'!K$51,O151*'Insumos - OPEX'!K$76)</f>
        <v>301.33238049940701</v>
      </c>
      <c r="P1102" s="211">
        <f>IF($G1102="PAX",P151*'Insumos - OPEX'!L$51,P151*'Insumos - OPEX'!L$76)</f>
        <v>307.7082297277733</v>
      </c>
      <c r="Q1102" s="211">
        <f>IF($G1102="PAX",Q151*'Insumos - OPEX'!M$51,Q151*'Insumos - OPEX'!M$76)</f>
        <v>318.75547348331065</v>
      </c>
      <c r="R1102" s="211">
        <f>IF($G1102="PAX",R151*'Insumos - OPEX'!N$51,R151*'Insumos - OPEX'!N$76)</f>
        <v>328.5160631159207</v>
      </c>
      <c r="S1102" s="111"/>
    </row>
    <row r="1103" spans="1:19" x14ac:dyDescent="0.2">
      <c r="A1103" s="8"/>
      <c r="B1103" s="8" t="s">
        <v>301</v>
      </c>
      <c r="C1103" s="8" t="s">
        <v>170</v>
      </c>
      <c r="D1103" s="8">
        <v>6250000003</v>
      </c>
      <c r="E1103" s="8" t="s">
        <v>428</v>
      </c>
      <c r="F1103" s="73" t="s">
        <v>23</v>
      </c>
      <c r="G1103" s="73" t="s">
        <v>136</v>
      </c>
      <c r="H1103" s="112" t="s">
        <v>61</v>
      </c>
      <c r="I1103" s="13" t="s">
        <v>22</v>
      </c>
      <c r="K1103" s="187"/>
      <c r="L1103" s="187"/>
      <c r="M1103" s="188">
        <f>IF($G1103="PAX",M152*'Insumos - OPEX'!I$51,M152*'Insumos - OPEX'!I$76)</f>
        <v>283.07108952766714</v>
      </c>
      <c r="N1103" s="211">
        <f>IF($G1103="PAX",N152*'Insumos - OPEX'!J$51,N152*'Insumos - OPEX'!J$76)</f>
        <v>286.3676693836058</v>
      </c>
      <c r="O1103" s="211">
        <f>IF($G1103="PAX",O152*'Insumos - OPEX'!K$51,O152*'Insumos - OPEX'!K$76)</f>
        <v>293.04047000949083</v>
      </c>
      <c r="P1103" s="211">
        <f>IF($G1103="PAX",P152*'Insumos - OPEX'!L$51,P152*'Insumos - OPEX'!L$76)</f>
        <v>299.24087187633825</v>
      </c>
      <c r="Q1103" s="211">
        <f>IF($G1103="PAX",Q152*'Insumos - OPEX'!M$51,Q152*'Insumos - OPEX'!M$76)</f>
        <v>309.98412322246594</v>
      </c>
      <c r="R1103" s="211">
        <f>IF($G1103="PAX",R152*'Insumos - OPEX'!N$51,R152*'Insumos - OPEX'!N$76)</f>
        <v>319.47612593644379</v>
      </c>
      <c r="S1103" s="111"/>
    </row>
    <row r="1104" spans="1:19" x14ac:dyDescent="0.2">
      <c r="A1104" s="8"/>
      <c r="B1104" s="8" t="s">
        <v>301</v>
      </c>
      <c r="C1104" s="8" t="s">
        <v>170</v>
      </c>
      <c r="D1104" s="8">
        <v>6214000001</v>
      </c>
      <c r="E1104" s="8" t="s">
        <v>256</v>
      </c>
      <c r="F1104" s="73" t="s">
        <v>23</v>
      </c>
      <c r="G1104" s="73" t="s">
        <v>136</v>
      </c>
      <c r="H1104" s="112" t="s">
        <v>61</v>
      </c>
      <c r="I1104" s="13" t="s">
        <v>22</v>
      </c>
      <c r="K1104" s="187"/>
      <c r="L1104" s="187"/>
      <c r="M1104" s="188">
        <f>IF($G1104="PAX",M153*'Insumos - OPEX'!I$51,M153*'Insumos - OPEX'!I$76)</f>
        <v>221.80554823239967</v>
      </c>
      <c r="N1104" s="211">
        <f>IF($G1104="PAX",N153*'Insumos - OPEX'!J$51,N153*'Insumos - OPEX'!J$76)</f>
        <v>224.38864389030823</v>
      </c>
      <c r="O1104" s="211">
        <f>IF($G1104="PAX",O153*'Insumos - OPEX'!K$51,O153*'Insumos - OPEX'!K$76)</f>
        <v>229.61723930617907</v>
      </c>
      <c r="P1104" s="211">
        <f>IF($G1104="PAX",P153*'Insumos - OPEX'!L$51,P153*'Insumos - OPEX'!L$76)</f>
        <v>234.47567800308767</v>
      </c>
      <c r="Q1104" s="211">
        <f>IF($G1104="PAX",Q153*'Insumos - OPEX'!M$51,Q153*'Insumos - OPEX'!M$76)</f>
        <v>242.89374979771156</v>
      </c>
      <c r="R1104" s="211">
        <f>IF($G1104="PAX",R153*'Insumos - OPEX'!N$51,R153*'Insumos - OPEX'!N$76)</f>
        <v>250.33138275878269</v>
      </c>
      <c r="S1104" s="111"/>
    </row>
    <row r="1105" spans="1:19" x14ac:dyDescent="0.2">
      <c r="A1105" s="8"/>
      <c r="B1105" s="8" t="s">
        <v>301</v>
      </c>
      <c r="C1105" s="8" t="s">
        <v>170</v>
      </c>
      <c r="D1105" s="8">
        <v>6240000001</v>
      </c>
      <c r="E1105" s="8" t="s">
        <v>265</v>
      </c>
      <c r="F1105" s="73" t="s">
        <v>23</v>
      </c>
      <c r="G1105" s="73" t="s">
        <v>136</v>
      </c>
      <c r="H1105" s="112" t="s">
        <v>61</v>
      </c>
      <c r="I1105" s="13" t="s">
        <v>22</v>
      </c>
      <c r="J1105" s="11"/>
      <c r="K1105" s="187"/>
      <c r="L1105" s="187"/>
      <c r="M1105" s="188">
        <f>IF($G1105="PAX",M154*'Insumos - OPEX'!I$51,M154*'Insumos - OPEX'!I$76)</f>
        <v>197.22268559614164</v>
      </c>
      <c r="N1105" s="211">
        <f>IF($G1105="PAX",N154*'Insumos - OPEX'!J$51,N154*'Insumos - OPEX'!J$76)</f>
        <v>199.51949497203103</v>
      </c>
      <c r="O1105" s="211">
        <f>IF($G1105="PAX",O154*'Insumos - OPEX'!K$51,O154*'Insumos - OPEX'!K$76)</f>
        <v>204.16860153420444</v>
      </c>
      <c r="P1105" s="211">
        <f>IF($G1105="PAX",P154*'Insumos - OPEX'!L$51,P154*'Insumos - OPEX'!L$76)</f>
        <v>208.48857610312089</v>
      </c>
      <c r="Q1105" s="211">
        <f>IF($G1105="PAX",Q154*'Insumos - OPEX'!M$51,Q154*'Insumos - OPEX'!M$76)</f>
        <v>215.97366716647574</v>
      </c>
      <c r="R1105" s="211">
        <f>IF($G1105="PAX",R154*'Insumos - OPEX'!N$51,R154*'Insumos - OPEX'!N$76)</f>
        <v>222.58698211170824</v>
      </c>
      <c r="S1105" s="111"/>
    </row>
    <row r="1106" spans="1:19" x14ac:dyDescent="0.2">
      <c r="A1106" s="8"/>
      <c r="B1106" s="8" t="s">
        <v>301</v>
      </c>
      <c r="C1106" s="8" t="s">
        <v>170</v>
      </c>
      <c r="D1106" s="8">
        <v>6250000004</v>
      </c>
      <c r="E1106" s="8" t="s">
        <v>264</v>
      </c>
      <c r="F1106" s="73" t="s">
        <v>23</v>
      </c>
      <c r="G1106" s="73" t="s">
        <v>136</v>
      </c>
      <c r="H1106" s="112" t="s">
        <v>61</v>
      </c>
      <c r="I1106" s="13" t="s">
        <v>22</v>
      </c>
      <c r="K1106" s="187"/>
      <c r="L1106" s="187"/>
      <c r="M1106" s="188">
        <f>IF($G1106="PAX",M155*'Insumos - OPEX'!I$51,M155*'Insumos - OPEX'!I$76)</f>
        <v>140.1314190287973</v>
      </c>
      <c r="N1106" s="211">
        <f>IF($G1106="PAX",N155*'Insumos - OPEX'!J$51,N155*'Insumos - OPEX'!J$76)</f>
        <v>141.76335683609955</v>
      </c>
      <c r="O1106" s="211">
        <f>IF($G1106="PAX",O155*'Insumos - OPEX'!K$51,O155*'Insumos - OPEX'!K$76)</f>
        <v>145.06665786257233</v>
      </c>
      <c r="P1106" s="211">
        <f>IF($G1106="PAX",P155*'Insumos - OPEX'!L$51,P155*'Insumos - OPEX'!L$76)</f>
        <v>148.13610276279132</v>
      </c>
      <c r="Q1106" s="211">
        <f>IF($G1106="PAX",Q155*'Insumos - OPEX'!M$51,Q155*'Insumos - OPEX'!M$76)</f>
        <v>153.45443837462625</v>
      </c>
      <c r="R1106" s="211">
        <f>IF($G1106="PAX",R155*'Insumos - OPEX'!N$51,R155*'Insumos - OPEX'!N$76)</f>
        <v>158.15335627526517</v>
      </c>
      <c r="S1106" s="111"/>
    </row>
    <row r="1107" spans="1:19" x14ac:dyDescent="0.2">
      <c r="A1107" s="8"/>
      <c r="B1107" s="8" t="s">
        <v>301</v>
      </c>
      <c r="C1107" s="8" t="s">
        <v>170</v>
      </c>
      <c r="D1107" s="8">
        <v>6250000008</v>
      </c>
      <c r="E1107" s="8" t="s">
        <v>267</v>
      </c>
      <c r="F1107" s="73" t="s">
        <v>23</v>
      </c>
      <c r="G1107" s="73" t="s">
        <v>136</v>
      </c>
      <c r="H1107" s="112" t="s">
        <v>61</v>
      </c>
      <c r="I1107" s="13" t="s">
        <v>22</v>
      </c>
      <c r="K1107" s="187"/>
      <c r="L1107" s="187"/>
      <c r="M1107" s="188">
        <f>IF($G1107="PAX",M156*'Insumos - OPEX'!I$51,M156*'Insumos - OPEX'!I$76)</f>
        <v>131.43846059951161</v>
      </c>
      <c r="N1107" s="211">
        <f>IF($G1107="PAX",N156*'Insumos - OPEX'!J$51,N156*'Insumos - OPEX'!J$76)</f>
        <v>132.96916224138872</v>
      </c>
      <c r="O1107" s="211">
        <f>IF($G1107="PAX",O156*'Insumos - OPEX'!K$51,O156*'Insumos - OPEX'!K$76)</f>
        <v>136.06754520807476</v>
      </c>
      <c r="P1107" s="211">
        <f>IF($G1107="PAX",P156*'Insumos - OPEX'!L$51,P156*'Insumos - OPEX'!L$76)</f>
        <v>138.94657915617816</v>
      </c>
      <c r="Q1107" s="211">
        <f>IF($G1107="PAX",Q156*'Insumos - OPEX'!M$51,Q156*'Insumos - OPEX'!M$76)</f>
        <v>143.93499539156565</v>
      </c>
      <c r="R1107" s="211">
        <f>IF($G1107="PAX",R156*'Insumos - OPEX'!N$51,R156*'Insumos - OPEX'!N$76)</f>
        <v>148.34241907730274</v>
      </c>
      <c r="S1107" s="111"/>
    </row>
    <row r="1108" spans="1:19" x14ac:dyDescent="0.2">
      <c r="A1108" s="8"/>
      <c r="B1108" s="8" t="s">
        <v>301</v>
      </c>
      <c r="C1108" s="8" t="s">
        <v>170</v>
      </c>
      <c r="D1108" s="8">
        <v>6221000001</v>
      </c>
      <c r="E1108" s="8" t="s">
        <v>257</v>
      </c>
      <c r="F1108" s="73" t="s">
        <v>23</v>
      </c>
      <c r="G1108" s="73" t="s">
        <v>136</v>
      </c>
      <c r="H1108" s="112" t="s">
        <v>61</v>
      </c>
      <c r="I1108" s="13" t="s">
        <v>22</v>
      </c>
      <c r="K1108" s="187"/>
      <c r="L1108" s="187"/>
      <c r="M1108" s="188">
        <f>IF($G1108="PAX",M157*'Insumos - OPEX'!I$51,M157*'Insumos - OPEX'!I$76)</f>
        <v>91.754668710584838</v>
      </c>
      <c r="N1108" s="211">
        <f>IF($G1108="PAX",N157*'Insumos - OPEX'!J$51,N157*'Insumos - OPEX'!J$76)</f>
        <v>92.823222172064632</v>
      </c>
      <c r="O1108" s="211">
        <f>IF($G1108="PAX",O157*'Insumos - OPEX'!K$51,O157*'Insumos - OPEX'!K$76)</f>
        <v>94.986143902508672</v>
      </c>
      <c r="P1108" s="211">
        <f>IF($G1108="PAX",P157*'Insumos - OPEX'!L$51,P157*'Insumos - OPEX'!L$76)</f>
        <v>96.995942289600663</v>
      </c>
      <c r="Q1108" s="211">
        <f>IF($G1108="PAX",Q157*'Insumos - OPEX'!M$51,Q157*'Insumos - OPEX'!M$76)</f>
        <v>100.47825999920251</v>
      </c>
      <c r="R1108" s="211">
        <f>IF($G1108="PAX",R157*'Insumos - OPEX'!N$51,R157*'Insumos - OPEX'!N$76)</f>
        <v>103.55499795175801</v>
      </c>
      <c r="S1108" s="111"/>
    </row>
    <row r="1109" spans="1:19" x14ac:dyDescent="0.2">
      <c r="A1109" s="8"/>
      <c r="B1109" s="8" t="s">
        <v>301</v>
      </c>
      <c r="C1109" s="8" t="s">
        <v>170</v>
      </c>
      <c r="D1109" s="8">
        <v>6250000006</v>
      </c>
      <c r="E1109" s="8" t="s">
        <v>429</v>
      </c>
      <c r="F1109" s="73" t="s">
        <v>23</v>
      </c>
      <c r="G1109" s="73" t="s">
        <v>136</v>
      </c>
      <c r="H1109" s="112" t="s">
        <v>61</v>
      </c>
      <c r="I1109" s="13" t="s">
        <v>22</v>
      </c>
      <c r="K1109" s="187"/>
      <c r="L1109" s="187"/>
      <c r="M1109" s="188">
        <f>IF($G1109="PAX",M158*'Insumos - OPEX'!I$51,M158*'Insumos - OPEX'!I$76)</f>
        <v>84.700652472641735</v>
      </c>
      <c r="N1109" s="211">
        <f>IF($G1109="PAX",N158*'Insumos - OPEX'!J$51,N158*'Insumos - OPEX'!J$76)</f>
        <v>85.687056507020827</v>
      </c>
      <c r="O1109" s="211">
        <f>IF($G1109="PAX",O158*'Insumos - OPEX'!K$51,O158*'Insumos - OPEX'!K$76)</f>
        <v>87.683694764129285</v>
      </c>
      <c r="P1109" s="211">
        <f>IF($G1109="PAX",P158*'Insumos - OPEX'!L$51,P158*'Insumos - OPEX'!L$76)</f>
        <v>89.538981662522474</v>
      </c>
      <c r="Q1109" s="211">
        <f>IF($G1109="PAX",Q158*'Insumos - OPEX'!M$51,Q158*'Insumos - OPEX'!M$76)</f>
        <v>92.753581924997036</v>
      </c>
      <c r="R1109" s="211">
        <f>IF($G1109="PAX",R158*'Insumos - OPEX'!N$51,R158*'Insumos - OPEX'!N$76)</f>
        <v>95.593783036624259</v>
      </c>
      <c r="S1109" s="111"/>
    </row>
    <row r="1110" spans="1:19" x14ac:dyDescent="0.2">
      <c r="A1110" s="8"/>
      <c r="B1110" s="8" t="s">
        <v>301</v>
      </c>
      <c r="C1110" s="8" t="s">
        <v>170</v>
      </c>
      <c r="D1110" s="8">
        <v>6270000005</v>
      </c>
      <c r="E1110" s="8" t="s">
        <v>430</v>
      </c>
      <c r="F1110" s="73" t="s">
        <v>23</v>
      </c>
      <c r="G1110" s="73" t="s">
        <v>136</v>
      </c>
      <c r="H1110" s="112" t="s">
        <v>61</v>
      </c>
      <c r="I1110" s="13" t="s">
        <v>22</v>
      </c>
      <c r="J1110" s="11"/>
      <c r="K1110" s="187"/>
      <c r="L1110" s="187"/>
      <c r="M1110" s="188">
        <f>IF($G1110="PAX",M159*'Insumos - OPEX'!I$51,M159*'Insumos - OPEX'!I$76)</f>
        <v>79.307588012945047</v>
      </c>
      <c r="N1110" s="211">
        <f>IF($G1110="PAX",N159*'Insumos - OPEX'!J$51,N159*'Insumos - OPEX'!J$76)</f>
        <v>80.231185677061177</v>
      </c>
      <c r="O1110" s="211">
        <f>IF($G1110="PAX",O159*'Insumos - OPEX'!K$51,O159*'Insumos - OPEX'!K$76)</f>
        <v>82.100693876620653</v>
      </c>
      <c r="P1110" s="211">
        <f>IF($G1110="PAX",P159*'Insumos - OPEX'!L$51,P159*'Insumos - OPEX'!L$76)</f>
        <v>83.837850848712549</v>
      </c>
      <c r="Q1110" s="211">
        <f>IF($G1110="PAX",Q159*'Insumos - OPEX'!M$51,Q159*'Insumos - OPEX'!M$76)</f>
        <v>86.847770911901947</v>
      </c>
      <c r="R1110" s="211">
        <f>IF($G1110="PAX",R159*'Insumos - OPEX'!N$51,R159*'Insumos - OPEX'!N$76)</f>
        <v>89.507130586936285</v>
      </c>
      <c r="S1110" s="111"/>
    </row>
    <row r="1111" spans="1:19" x14ac:dyDescent="0.2">
      <c r="A1111" s="8"/>
      <c r="B1111" s="8" t="s">
        <v>301</v>
      </c>
      <c r="C1111" s="8" t="s">
        <v>170</v>
      </c>
      <c r="D1111" s="8">
        <v>6270000004</v>
      </c>
      <c r="E1111" s="8" t="s">
        <v>431</v>
      </c>
      <c r="F1111" s="73" t="s">
        <v>23</v>
      </c>
      <c r="G1111" s="73" t="s">
        <v>136</v>
      </c>
      <c r="H1111" s="112" t="s">
        <v>61</v>
      </c>
      <c r="I1111" s="13" t="s">
        <v>22</v>
      </c>
      <c r="K1111" s="187"/>
      <c r="L1111" s="187"/>
      <c r="M1111" s="188">
        <f>IF($G1111="PAX",M160*'Insumos - OPEX'!I$51,M160*'Insumos - OPEX'!I$76)</f>
        <v>43.013539782743479</v>
      </c>
      <c r="N1111" s="211">
        <f>IF($G1111="PAX",N160*'Insumos - OPEX'!J$51,N160*'Insumos - OPEX'!J$76)</f>
        <v>43.514465430138316</v>
      </c>
      <c r="O1111" s="211">
        <f>IF($G1111="PAX",O160*'Insumos - OPEX'!K$51,O160*'Insumos - OPEX'!K$76)</f>
        <v>44.528418411570449</v>
      </c>
      <c r="P1111" s="211">
        <f>IF($G1111="PAX",P160*'Insumos - OPEX'!L$51,P160*'Insumos - OPEX'!L$76)</f>
        <v>45.470588920094151</v>
      </c>
      <c r="Q1111" s="211">
        <f>IF($G1111="PAX",Q160*'Insumos - OPEX'!M$51,Q160*'Insumos - OPEX'!M$76)</f>
        <v>47.103059653660559</v>
      </c>
      <c r="R1111" s="211">
        <f>IF($G1111="PAX",R160*'Insumos - OPEX'!N$51,R160*'Insumos - OPEX'!N$76)</f>
        <v>48.545399233576198</v>
      </c>
      <c r="S1111" s="111"/>
    </row>
    <row r="1112" spans="1:19" x14ac:dyDescent="0.2">
      <c r="A1112" s="8"/>
      <c r="B1112" s="8" t="s">
        <v>301</v>
      </c>
      <c r="C1112" s="8" t="s">
        <v>170</v>
      </c>
      <c r="D1112" s="8">
        <v>6250000001</v>
      </c>
      <c r="E1112" s="8" t="s">
        <v>262</v>
      </c>
      <c r="F1112" s="73" t="s">
        <v>23</v>
      </c>
      <c r="G1112" s="73" t="s">
        <v>136</v>
      </c>
      <c r="H1112" s="112" t="s">
        <v>61</v>
      </c>
      <c r="I1112" s="13" t="s">
        <v>22</v>
      </c>
      <c r="K1112" s="187"/>
      <c r="L1112" s="187"/>
      <c r="M1112" s="188">
        <f>IF($G1112="PAX",M161*'Insumos - OPEX'!I$51,M161*'Insumos - OPEX'!I$76)</f>
        <v>36.069782164449684</v>
      </c>
      <c r="N1112" s="211">
        <f>IF($G1112="PAX",N161*'Insumos - OPEX'!J$51,N161*'Insumos - OPEX'!J$76)</f>
        <v>36.489842430900168</v>
      </c>
      <c r="O1112" s="211">
        <f>IF($G1112="PAX",O161*'Insumos - OPEX'!K$51,O161*'Insumos - OPEX'!K$76)</f>
        <v>37.340111052129153</v>
      </c>
      <c r="P1112" s="211">
        <f>IF($G1112="PAX",P161*'Insumos - OPEX'!L$51,P161*'Insumos - OPEX'!L$76)</f>
        <v>38.130185181714104</v>
      </c>
      <c r="Q1112" s="211">
        <f>IF($G1112="PAX",Q161*'Insumos - OPEX'!M$51,Q161*'Insumos - OPEX'!M$76)</f>
        <v>39.499123056787639</v>
      </c>
      <c r="R1112" s="211">
        <f>IF($G1112="PAX",R161*'Insumos - OPEX'!N$51,R161*'Insumos - OPEX'!N$76)</f>
        <v>40.708623012324729</v>
      </c>
      <c r="S1112" s="111"/>
    </row>
    <row r="1113" spans="1:19" x14ac:dyDescent="0.2">
      <c r="A1113" s="8"/>
      <c r="B1113" s="8" t="s">
        <v>301</v>
      </c>
      <c r="C1113" s="8" t="s">
        <v>170</v>
      </c>
      <c r="D1113" s="8">
        <v>6270000003</v>
      </c>
      <c r="E1113" s="8" t="s">
        <v>432</v>
      </c>
      <c r="F1113" s="73" t="s">
        <v>23</v>
      </c>
      <c r="G1113" s="73" t="s">
        <v>136</v>
      </c>
      <c r="H1113" s="112" t="s">
        <v>61</v>
      </c>
      <c r="I1113" s="13" t="s">
        <v>22</v>
      </c>
      <c r="J1113" s="11"/>
      <c r="K1113" s="187"/>
      <c r="L1113" s="187"/>
      <c r="M1113" s="188">
        <f>IF($G1113="PAX",M162*'Insumos - OPEX'!I$51,M162*'Insumos - OPEX'!I$76)</f>
        <v>35.060678604185071</v>
      </c>
      <c r="N1113" s="211">
        <f>IF($G1113="PAX",N162*'Insumos - OPEX'!J$51,N162*'Insumos - OPEX'!J$76)</f>
        <v>35.468987086040123</v>
      </c>
      <c r="O1113" s="211">
        <f>IF($G1113="PAX",O162*'Insumos - OPEX'!K$51,O162*'Insumos - OPEX'!K$76)</f>
        <v>36.295468230844889</v>
      </c>
      <c r="P1113" s="211">
        <f>IF($G1113="PAX",P162*'Insumos - OPEX'!L$51,P162*'Insumos - OPEX'!L$76)</f>
        <v>37.063438910694487</v>
      </c>
      <c r="Q1113" s="211">
        <f>IF($G1113="PAX",Q162*'Insumos - OPEX'!M$51,Q162*'Insumos - OPEX'!M$76)</f>
        <v>38.394078797795153</v>
      </c>
      <c r="R1113" s="211">
        <f>IF($G1113="PAX",R162*'Insumos - OPEX'!N$51,R162*'Insumos - OPEX'!N$76)</f>
        <v>39.56974126837855</v>
      </c>
      <c r="S1113" s="111"/>
    </row>
    <row r="1114" spans="1:19" x14ac:dyDescent="0.2">
      <c r="A1114" s="8"/>
      <c r="B1114" s="8" t="s">
        <v>301</v>
      </c>
      <c r="C1114" s="8" t="s">
        <v>170</v>
      </c>
      <c r="D1114" s="8">
        <v>6270000007</v>
      </c>
      <c r="E1114" s="8" t="s">
        <v>263</v>
      </c>
      <c r="F1114" s="73" t="s">
        <v>23</v>
      </c>
      <c r="G1114" s="73" t="s">
        <v>136</v>
      </c>
      <c r="H1114" s="112" t="s">
        <v>61</v>
      </c>
      <c r="I1114" s="13" t="s">
        <v>22</v>
      </c>
      <c r="J1114" s="11"/>
      <c r="K1114" s="187"/>
      <c r="L1114" s="187"/>
      <c r="M1114" s="188">
        <f>IF($G1114="PAX",M163*'Insumos - OPEX'!I$51,M163*'Insumos - OPEX'!I$76)</f>
        <v>1.0185161412916872E-2</v>
      </c>
      <c r="N1114" s="211">
        <f>IF($G1114="PAX",N163*'Insumos - OPEX'!J$51,N163*'Insumos - OPEX'!J$76)</f>
        <v>1.0303775426094026E-2</v>
      </c>
      <c r="O1114" s="211">
        <f>IF($G1114="PAX",O163*'Insumos - OPEX'!K$51,O163*'Insumos - OPEX'!K$76)</f>
        <v>1.0543869006700422E-2</v>
      </c>
      <c r="P1114" s="211">
        <f>IF($G1114="PAX",P163*'Insumos - OPEX'!L$51,P163*'Insumos - OPEX'!L$76)</f>
        <v>1.0766965240032369E-2</v>
      </c>
      <c r="Q1114" s="211">
        <f>IF($G1114="PAX",Q163*'Insumos - OPEX'!M$51,Q163*'Insumos - OPEX'!M$76)</f>
        <v>1.1153517428185626E-2</v>
      </c>
      <c r="R1114" s="211">
        <f>IF($G1114="PAX",R163*'Insumos - OPEX'!N$51,R163*'Insumos - OPEX'!N$76)</f>
        <v>1.149504852532107E-2</v>
      </c>
      <c r="S1114" s="111"/>
    </row>
    <row r="1115" spans="1:19" x14ac:dyDescent="0.2">
      <c r="A1115" s="8"/>
      <c r="B1115" s="8" t="s">
        <v>301</v>
      </c>
      <c r="C1115" s="8" t="s">
        <v>170</v>
      </c>
      <c r="D1115" s="8">
        <v>6250000009</v>
      </c>
      <c r="E1115" s="8" t="s">
        <v>433</v>
      </c>
      <c r="F1115" s="73" t="s">
        <v>23</v>
      </c>
      <c r="G1115" s="73" t="s">
        <v>136</v>
      </c>
      <c r="H1115" s="112" t="s">
        <v>61</v>
      </c>
      <c r="I1115" s="13" t="s">
        <v>22</v>
      </c>
      <c r="J1115" s="11"/>
      <c r="K1115" s="187"/>
      <c r="L1115" s="187"/>
      <c r="M1115" s="188">
        <f>IF($G1115="PAX",M164*'Insumos - OPEX'!I$51,M164*'Insumos - OPEX'!I$76)</f>
        <v>0</v>
      </c>
      <c r="N1115" s="211">
        <f>IF($G1115="PAX",N164*'Insumos - OPEX'!J$51,N164*'Insumos - OPEX'!J$76)</f>
        <v>0</v>
      </c>
      <c r="O1115" s="211">
        <f>IF($G1115="PAX",O164*'Insumos - OPEX'!K$51,O164*'Insumos - OPEX'!K$76)</f>
        <v>0</v>
      </c>
      <c r="P1115" s="211">
        <f>IF($G1115="PAX",P164*'Insumos - OPEX'!L$51,P164*'Insumos - OPEX'!L$76)</f>
        <v>0</v>
      </c>
      <c r="Q1115" s="211">
        <f>IF($G1115="PAX",Q164*'Insumos - OPEX'!M$51,Q164*'Insumos - OPEX'!M$76)</f>
        <v>0</v>
      </c>
      <c r="R1115" s="211">
        <f>IF($G1115="PAX",R164*'Insumos - OPEX'!N$51,R164*'Insumos - OPEX'!N$76)</f>
        <v>0</v>
      </c>
      <c r="S1115" s="111"/>
    </row>
    <row r="1116" spans="1:19" x14ac:dyDescent="0.2">
      <c r="A1116" s="8"/>
      <c r="B1116" s="8" t="s">
        <v>301</v>
      </c>
      <c r="C1116" s="8" t="s">
        <v>170</v>
      </c>
      <c r="D1116" s="8">
        <v>6250000007</v>
      </c>
      <c r="E1116" s="8" t="s">
        <v>260</v>
      </c>
      <c r="F1116" s="73" t="s">
        <v>23</v>
      </c>
      <c r="G1116" s="73" t="s">
        <v>136</v>
      </c>
      <c r="H1116" s="112" t="s">
        <v>61</v>
      </c>
      <c r="I1116" s="13" t="s">
        <v>22</v>
      </c>
      <c r="K1116" s="187"/>
      <c r="L1116" s="187"/>
      <c r="M1116" s="188">
        <f>IF($G1116="PAX",M165*'Insumos - OPEX'!I$51,M165*'Insumos - OPEX'!I$76)</f>
        <v>0</v>
      </c>
      <c r="N1116" s="211">
        <f>IF($G1116="PAX",N165*'Insumos - OPEX'!J$51,N165*'Insumos - OPEX'!J$76)</f>
        <v>0</v>
      </c>
      <c r="O1116" s="211">
        <f>IF($G1116="PAX",O165*'Insumos - OPEX'!K$51,O165*'Insumos - OPEX'!K$76)</f>
        <v>0</v>
      </c>
      <c r="P1116" s="211">
        <f>IF($G1116="PAX",P165*'Insumos - OPEX'!L$51,P165*'Insumos - OPEX'!L$76)</f>
        <v>0</v>
      </c>
      <c r="Q1116" s="211">
        <f>IF($G1116="PAX",Q165*'Insumos - OPEX'!M$51,Q165*'Insumos - OPEX'!M$76)</f>
        <v>0</v>
      </c>
      <c r="R1116" s="211">
        <f>IF($G1116="PAX",R165*'Insumos - OPEX'!N$51,R165*'Insumos - OPEX'!N$76)</f>
        <v>0</v>
      </c>
      <c r="S1116" s="111"/>
    </row>
    <row r="1117" spans="1:19" x14ac:dyDescent="0.2">
      <c r="A1117" s="8"/>
      <c r="B1117" s="8" t="s">
        <v>301</v>
      </c>
      <c r="C1117" s="8" t="s">
        <v>170</v>
      </c>
      <c r="D1117" s="8">
        <v>6231000001</v>
      </c>
      <c r="E1117" s="8" t="s">
        <v>258</v>
      </c>
      <c r="F1117" s="73" t="s">
        <v>23</v>
      </c>
      <c r="G1117" s="73" t="s">
        <v>136</v>
      </c>
      <c r="H1117" s="112" t="s">
        <v>61</v>
      </c>
      <c r="I1117" s="13" t="s">
        <v>22</v>
      </c>
      <c r="J1117" s="11"/>
      <c r="K1117" s="187"/>
      <c r="L1117" s="187"/>
      <c r="M1117" s="188">
        <f>IF($G1117="PAX",M166*'Insumos - OPEX'!I$51,M166*'Insumos - OPEX'!I$76)</f>
        <v>0</v>
      </c>
      <c r="N1117" s="211">
        <f>IF($G1117="PAX",N166*'Insumos - OPEX'!J$51,N166*'Insumos - OPEX'!J$76)</f>
        <v>0</v>
      </c>
      <c r="O1117" s="211">
        <f>IF($G1117="PAX",O166*'Insumos - OPEX'!K$51,O166*'Insumos - OPEX'!K$76)</f>
        <v>0</v>
      </c>
      <c r="P1117" s="211">
        <f>IF($G1117="PAX",P166*'Insumos - OPEX'!L$51,P166*'Insumos - OPEX'!L$76)</f>
        <v>0</v>
      </c>
      <c r="Q1117" s="211">
        <f>IF($G1117="PAX",Q166*'Insumos - OPEX'!M$51,Q166*'Insumos - OPEX'!M$76)</f>
        <v>0</v>
      </c>
      <c r="R1117" s="211">
        <f>IF($G1117="PAX",R166*'Insumos - OPEX'!N$51,R166*'Insumos - OPEX'!N$76)</f>
        <v>0</v>
      </c>
      <c r="S1117" s="111"/>
    </row>
    <row r="1118" spans="1:19" x14ac:dyDescent="0.2">
      <c r="A1118" s="8"/>
      <c r="B1118" s="8" t="s">
        <v>434</v>
      </c>
      <c r="C1118" s="8" t="s">
        <v>170</v>
      </c>
      <c r="D1118" s="8">
        <v>6211000001</v>
      </c>
      <c r="E1118" s="8" t="s">
        <v>253</v>
      </c>
      <c r="F1118" s="73" t="s">
        <v>23</v>
      </c>
      <c r="G1118" s="73" t="s">
        <v>136</v>
      </c>
      <c r="H1118" s="112" t="s">
        <v>61</v>
      </c>
      <c r="I1118" s="13" t="s">
        <v>22</v>
      </c>
      <c r="J1118" s="11"/>
      <c r="K1118" s="187"/>
      <c r="L1118" s="187"/>
      <c r="M1118" s="188">
        <f>IF($G1118="PAX",M167*'Insumos - OPEX'!I$51,M167*'Insumos - OPEX'!I$76)</f>
        <v>231392.54983874378</v>
      </c>
      <c r="N1118" s="211">
        <f>IF($G1118="PAX",N167*'Insumos - OPEX'!J$51,N167*'Insumos - OPEX'!J$76)</f>
        <v>234087.29348029866</v>
      </c>
      <c r="O1118" s="211">
        <f>IF($G1118="PAX",O167*'Insumos - OPEX'!K$51,O167*'Insumos - OPEX'!K$76)</f>
        <v>239541.88212785526</v>
      </c>
      <c r="P1118" s="211">
        <f>IF($G1118="PAX",P167*'Insumos - OPEX'!L$51,P167*'Insumos - OPEX'!L$76)</f>
        <v>244610.31493881004</v>
      </c>
      <c r="Q1118" s="211">
        <f>IF($G1118="PAX",Q167*'Insumos - OPEX'!M$51,Q167*'Insumos - OPEX'!M$76)</f>
        <v>253392.23727035927</v>
      </c>
      <c r="R1118" s="211">
        <f>IF($G1118="PAX",R167*'Insumos - OPEX'!N$51,R167*'Insumos - OPEX'!N$76)</f>
        <v>261151.34370093292</v>
      </c>
      <c r="S1118" s="111"/>
    </row>
    <row r="1119" spans="1:19" x14ac:dyDescent="0.2">
      <c r="A1119" s="8"/>
      <c r="B1119" s="8" t="s">
        <v>434</v>
      </c>
      <c r="C1119" s="8" t="s">
        <v>170</v>
      </c>
      <c r="D1119" s="8">
        <v>6212000001</v>
      </c>
      <c r="E1119" s="8" t="s">
        <v>254</v>
      </c>
      <c r="F1119" s="73" t="s">
        <v>23</v>
      </c>
      <c r="G1119" s="73" t="s">
        <v>136</v>
      </c>
      <c r="H1119" s="112" t="s">
        <v>61</v>
      </c>
      <c r="I1119" s="13" t="s">
        <v>22</v>
      </c>
      <c r="K1119" s="187"/>
      <c r="L1119" s="187"/>
      <c r="M1119" s="188">
        <f>IF($G1119="PAX",M168*'Insumos - OPEX'!I$51,M168*'Insumos - OPEX'!I$76)</f>
        <v>44030.132594255214</v>
      </c>
      <c r="N1119" s="211">
        <f>IF($G1119="PAX",N168*'Insumos - OPEX'!J$51,N168*'Insumos - OPEX'!J$76)</f>
        <v>44542.897244317952</v>
      </c>
      <c r="O1119" s="211">
        <f>IF($G1119="PAX",O168*'Insumos - OPEX'!K$51,O168*'Insumos - OPEX'!K$76)</f>
        <v>45580.814245389971</v>
      </c>
      <c r="P1119" s="211">
        <f>IF($G1119="PAX",P168*'Insumos - OPEX'!L$51,P168*'Insumos - OPEX'!L$76)</f>
        <v>46545.25224854493</v>
      </c>
      <c r="Q1119" s="211">
        <f>IF($G1119="PAX",Q168*'Insumos - OPEX'!M$51,Q168*'Insumos - OPEX'!M$76)</f>
        <v>48216.30520578158</v>
      </c>
      <c r="R1119" s="211">
        <f>IF($G1119="PAX",R168*'Insumos - OPEX'!N$51,R168*'Insumos - OPEX'!N$76)</f>
        <v>49692.733401888931</v>
      </c>
      <c r="S1119" s="111"/>
    </row>
    <row r="1120" spans="1:19" x14ac:dyDescent="0.2">
      <c r="A1120" s="8"/>
      <c r="B1120" s="8" t="s">
        <v>434</v>
      </c>
      <c r="C1120" s="8" t="s">
        <v>170</v>
      </c>
      <c r="D1120" s="8">
        <v>6290000001</v>
      </c>
      <c r="E1120" s="8" t="s">
        <v>426</v>
      </c>
      <c r="F1120" s="73" t="s">
        <v>23</v>
      </c>
      <c r="G1120" s="73" t="s">
        <v>136</v>
      </c>
      <c r="H1120" s="112" t="s">
        <v>61</v>
      </c>
      <c r="I1120" s="13" t="s">
        <v>22</v>
      </c>
      <c r="K1120" s="187"/>
      <c r="L1120" s="187"/>
      <c r="M1120" s="188">
        <f>IF($G1120="PAX",M169*'Insumos - OPEX'!I$51,M169*'Insumos - OPEX'!I$76)</f>
        <v>23751.224633663536</v>
      </c>
      <c r="N1120" s="211">
        <f>IF($G1120="PAX",N169*'Insumos - OPEX'!J$51,N169*'Insumos - OPEX'!J$76)</f>
        <v>24027.825853561539</v>
      </c>
      <c r="O1120" s="211">
        <f>IF($G1120="PAX",O169*'Insumos - OPEX'!K$51,O169*'Insumos - OPEX'!K$76)</f>
        <v>24587.710605005068</v>
      </c>
      <c r="P1120" s="211">
        <f>IF($G1120="PAX",P169*'Insumos - OPEX'!L$51,P169*'Insumos - OPEX'!L$76)</f>
        <v>25107.958496812778</v>
      </c>
      <c r="Q1120" s="211">
        <f>IF($G1120="PAX",Q169*'Insumos - OPEX'!M$51,Q169*'Insumos - OPEX'!M$76)</f>
        <v>26009.376499066399</v>
      </c>
      <c r="R1120" s="211">
        <f>IF($G1120="PAX",R169*'Insumos - OPEX'!N$51,R169*'Insumos - OPEX'!N$76)</f>
        <v>26805.807844489958</v>
      </c>
      <c r="S1120" s="111"/>
    </row>
    <row r="1121" spans="1:19" x14ac:dyDescent="0.2">
      <c r="A1121" s="8"/>
      <c r="B1121" s="8" t="s">
        <v>434</v>
      </c>
      <c r="C1121" s="8" t="s">
        <v>170</v>
      </c>
      <c r="D1121" s="8">
        <v>6213000001</v>
      </c>
      <c r="E1121" s="8" t="s">
        <v>255</v>
      </c>
      <c r="F1121" s="73" t="s">
        <v>23</v>
      </c>
      <c r="G1121" s="73" t="s">
        <v>136</v>
      </c>
      <c r="H1121" s="112" t="s">
        <v>61</v>
      </c>
      <c r="I1121" s="13" t="s">
        <v>22</v>
      </c>
      <c r="K1121" s="187"/>
      <c r="L1121" s="187"/>
      <c r="M1121" s="188">
        <f>IF($G1121="PAX",M170*'Insumos - OPEX'!I$51,M170*'Insumos - OPEX'!I$76)</f>
        <v>23376.111777017206</v>
      </c>
      <c r="N1121" s="211">
        <f>IF($G1121="PAX",N170*'Insumos - OPEX'!J$51,N170*'Insumos - OPEX'!J$76)</f>
        <v>23648.344520116727</v>
      </c>
      <c r="O1121" s="211">
        <f>IF($G1121="PAX",O170*'Insumos - OPEX'!K$51,O170*'Insumos - OPEX'!K$76)</f>
        <v>24199.386781467798</v>
      </c>
      <c r="P1121" s="211">
        <f>IF($G1121="PAX",P170*'Insumos - OPEX'!L$51,P170*'Insumos - OPEX'!L$76)</f>
        <v>24711.418184405138</v>
      </c>
      <c r="Q1121" s="211">
        <f>IF($G1121="PAX",Q170*'Insumos - OPEX'!M$51,Q170*'Insumos - OPEX'!M$76)</f>
        <v>25598.599721504936</v>
      </c>
      <c r="R1121" s="211">
        <f>IF($G1121="PAX",R170*'Insumos - OPEX'!N$51,R170*'Insumos - OPEX'!N$76)</f>
        <v>26382.452699214307</v>
      </c>
      <c r="S1121" s="111"/>
    </row>
    <row r="1122" spans="1:19" x14ac:dyDescent="0.2">
      <c r="A1122" s="8"/>
      <c r="B1122" s="8" t="s">
        <v>434</v>
      </c>
      <c r="C1122" s="8" t="s">
        <v>170</v>
      </c>
      <c r="D1122" s="8">
        <v>6270000002</v>
      </c>
      <c r="E1122" s="8" t="s">
        <v>427</v>
      </c>
      <c r="F1122" s="73" t="s">
        <v>23</v>
      </c>
      <c r="G1122" s="73" t="s">
        <v>136</v>
      </c>
      <c r="H1122" s="112" t="s">
        <v>61</v>
      </c>
      <c r="I1122" s="13" t="s">
        <v>22</v>
      </c>
      <c r="J1122" s="11"/>
      <c r="K1122" s="187"/>
      <c r="L1122" s="187"/>
      <c r="M1122" s="188">
        <f>IF($G1122="PAX",M171*'Insumos - OPEX'!I$51,M171*'Insumos - OPEX'!I$76)</f>
        <v>20785.540939699735</v>
      </c>
      <c r="N1122" s="211">
        <f>IF($G1122="PAX",N171*'Insumos - OPEX'!J$51,N171*'Insumos - OPEX'!J$76)</f>
        <v>21027.604499319819</v>
      </c>
      <c r="O1122" s="211">
        <f>IF($G1122="PAX",O171*'Insumos - OPEX'!K$51,O171*'Insumos - OPEX'!K$76)</f>
        <v>21517.579547012672</v>
      </c>
      <c r="P1122" s="211">
        <f>IF($G1122="PAX",P171*'Insumos - OPEX'!L$51,P171*'Insumos - OPEX'!L$76)</f>
        <v>21972.866969903494</v>
      </c>
      <c r="Q1122" s="211">
        <f>IF($G1122="PAX",Q171*'Insumos - OPEX'!M$51,Q171*'Insumos - OPEX'!M$76)</f>
        <v>22761.729905546363</v>
      </c>
      <c r="R1122" s="211">
        <f>IF($G1122="PAX",R171*'Insumos - OPEX'!N$51,R171*'Insumos - OPEX'!N$76)</f>
        <v>23458.715285933802</v>
      </c>
      <c r="S1122" s="111"/>
    </row>
    <row r="1123" spans="1:19" x14ac:dyDescent="0.2">
      <c r="A1123" s="8"/>
      <c r="B1123" s="8" t="s">
        <v>434</v>
      </c>
      <c r="C1123" s="8" t="s">
        <v>170</v>
      </c>
      <c r="D1123" s="8">
        <v>8710000001</v>
      </c>
      <c r="E1123" s="8" t="s">
        <v>268</v>
      </c>
      <c r="F1123" s="73" t="s">
        <v>23</v>
      </c>
      <c r="G1123" s="73" t="s">
        <v>136</v>
      </c>
      <c r="H1123" s="112" t="s">
        <v>61</v>
      </c>
      <c r="I1123" s="13" t="s">
        <v>22</v>
      </c>
      <c r="K1123" s="187"/>
      <c r="L1123" s="187"/>
      <c r="M1123" s="188">
        <f>IF($G1123="PAX",M172*'Insumos - OPEX'!I$51,M172*'Insumos - OPEX'!I$76)</f>
        <v>0</v>
      </c>
      <c r="N1123" s="211">
        <f>IF($G1123="PAX",N172*'Insumos - OPEX'!J$51,N172*'Insumos - OPEX'!J$76)</f>
        <v>0</v>
      </c>
      <c r="O1123" s="211">
        <f>IF($G1123="PAX",O172*'Insumos - OPEX'!K$51,O172*'Insumos - OPEX'!K$76)</f>
        <v>0</v>
      </c>
      <c r="P1123" s="211">
        <f>IF($G1123="PAX",P172*'Insumos - OPEX'!L$51,P172*'Insumos - OPEX'!L$76)</f>
        <v>0</v>
      </c>
      <c r="Q1123" s="211">
        <f>IF($G1123="PAX",Q172*'Insumos - OPEX'!M$51,Q172*'Insumos - OPEX'!M$76)</f>
        <v>0</v>
      </c>
      <c r="R1123" s="211">
        <f>IF($G1123="PAX",R172*'Insumos - OPEX'!N$51,R172*'Insumos - OPEX'!N$76)</f>
        <v>0</v>
      </c>
      <c r="S1123" s="111"/>
    </row>
    <row r="1124" spans="1:19" x14ac:dyDescent="0.2">
      <c r="A1124" s="8"/>
      <c r="B1124" s="8" t="s">
        <v>434</v>
      </c>
      <c r="C1124" s="8" t="s">
        <v>170</v>
      </c>
      <c r="D1124" s="8">
        <v>6270000001</v>
      </c>
      <c r="E1124" s="8" t="s">
        <v>259</v>
      </c>
      <c r="F1124" s="73" t="s">
        <v>23</v>
      </c>
      <c r="G1124" s="73" t="s">
        <v>136</v>
      </c>
      <c r="H1124" s="112" t="s">
        <v>61</v>
      </c>
      <c r="I1124" s="13" t="s">
        <v>22</v>
      </c>
      <c r="J1124" s="40"/>
      <c r="K1124" s="187"/>
      <c r="L1124" s="187"/>
      <c r="M1124" s="188">
        <f>IF($G1124="PAX",M173*'Insumos - OPEX'!I$51,M173*'Insumos - OPEX'!I$76)</f>
        <v>10223.993913314825</v>
      </c>
      <c r="N1124" s="211">
        <f>IF($G1124="PAX",N173*'Insumos - OPEX'!J$51,N173*'Insumos - OPEX'!J$76)</f>
        <v>10343.060160730314</v>
      </c>
      <c r="O1124" s="211">
        <f>IF($G1124="PAX",O173*'Insumos - OPEX'!K$51,O173*'Insumos - OPEX'!K$76)</f>
        <v>10584.069135181389</v>
      </c>
      <c r="P1124" s="211">
        <f>IF($G1124="PAX",P173*'Insumos - OPEX'!L$51,P173*'Insumos - OPEX'!L$76)</f>
        <v>10808.01595734727</v>
      </c>
      <c r="Q1124" s="211">
        <f>IF($G1124="PAX",Q173*'Insumos - OPEX'!M$51,Q173*'Insumos - OPEX'!M$76)</f>
        <v>11196.041935398569</v>
      </c>
      <c r="R1124" s="211">
        <f>IF($G1124="PAX",R173*'Insumos - OPEX'!N$51,R173*'Insumos - OPEX'!N$76)</f>
        <v>11538.875172571637</v>
      </c>
      <c r="S1124" s="111"/>
    </row>
    <row r="1125" spans="1:19" x14ac:dyDescent="0.2">
      <c r="A1125" s="8"/>
      <c r="B1125" s="8" t="s">
        <v>434</v>
      </c>
      <c r="C1125" s="8" t="s">
        <v>170</v>
      </c>
      <c r="D1125" s="8">
        <v>6214000001</v>
      </c>
      <c r="E1125" s="8" t="s">
        <v>256</v>
      </c>
      <c r="F1125" s="73" t="s">
        <v>23</v>
      </c>
      <c r="G1125" s="73" t="s">
        <v>136</v>
      </c>
      <c r="H1125" s="112" t="s">
        <v>61</v>
      </c>
      <c r="I1125" s="13" t="s">
        <v>22</v>
      </c>
      <c r="K1125" s="187"/>
      <c r="L1125" s="187"/>
      <c r="M1125" s="188">
        <f>IF($G1125="PAX",M174*'Insumos - OPEX'!I$51,M174*'Insumos - OPEX'!I$76)</f>
        <v>6610.1037886469476</v>
      </c>
      <c r="N1125" s="211">
        <f>IF($G1125="PAX",N174*'Insumos - OPEX'!J$51,N174*'Insumos - OPEX'!J$76)</f>
        <v>6687.0835149470704</v>
      </c>
      <c r="O1125" s="211">
        <f>IF($G1125="PAX",O174*'Insumos - OPEX'!K$51,O174*'Insumos - OPEX'!K$76)</f>
        <v>6842.9026936969985</v>
      </c>
      <c r="P1125" s="211">
        <f>IF($G1125="PAX",P174*'Insumos - OPEX'!L$51,P174*'Insumos - OPEX'!L$76)</f>
        <v>6987.6907041560307</v>
      </c>
      <c r="Q1125" s="211">
        <f>IF($G1125="PAX",Q174*'Insumos - OPEX'!M$51,Q174*'Insumos - OPEX'!M$76)</f>
        <v>7238.5605706051938</v>
      </c>
      <c r="R1125" s="211">
        <f>IF($G1125="PAX",R174*'Insumos - OPEX'!N$51,R174*'Insumos - OPEX'!N$76)</f>
        <v>7460.2120405811829</v>
      </c>
      <c r="S1125" s="111"/>
    </row>
    <row r="1126" spans="1:19" x14ac:dyDescent="0.2">
      <c r="A1126" s="8"/>
      <c r="B1126" s="8" t="s">
        <v>434</v>
      </c>
      <c r="C1126" s="8" t="s">
        <v>170</v>
      </c>
      <c r="D1126" s="8">
        <v>6270000006</v>
      </c>
      <c r="E1126" s="8" t="s">
        <v>261</v>
      </c>
      <c r="F1126" s="73" t="s">
        <v>23</v>
      </c>
      <c r="G1126" s="73" t="s">
        <v>136</v>
      </c>
      <c r="H1126" s="112" t="s">
        <v>61</v>
      </c>
      <c r="I1126" s="13" t="s">
        <v>22</v>
      </c>
      <c r="K1126" s="187"/>
      <c r="L1126" s="187"/>
      <c r="M1126" s="188">
        <f>IF($G1126="PAX",M175*'Insumos - OPEX'!I$51,M175*'Insumos - OPEX'!I$76)</f>
        <v>5896.1963267611554</v>
      </c>
      <c r="N1126" s="211">
        <f>IF($G1126="PAX",N175*'Insumos - OPEX'!J$51,N175*'Insumos - OPEX'!J$76)</f>
        <v>5964.8620533455751</v>
      </c>
      <c r="O1126" s="211">
        <f>IF($G1126="PAX",O175*'Insumos - OPEX'!K$51,O175*'Insumos - OPEX'!K$76)</f>
        <v>6103.8523776672946</v>
      </c>
      <c r="P1126" s="211">
        <f>IF($G1126="PAX",P175*'Insumos - OPEX'!L$51,P175*'Insumos - OPEX'!L$76)</f>
        <v>6233.0029269966199</v>
      </c>
      <c r="Q1126" s="211">
        <f>IF($G1126="PAX",Q175*'Insumos - OPEX'!M$51,Q175*'Insumos - OPEX'!M$76)</f>
        <v>6456.7782310384637</v>
      </c>
      <c r="R1126" s="211">
        <f>IF($G1126="PAX",R175*'Insumos - OPEX'!N$51,R175*'Insumos - OPEX'!N$76)</f>
        <v>6654.4907972674964</v>
      </c>
      <c r="S1126" s="111"/>
    </row>
    <row r="1127" spans="1:19" x14ac:dyDescent="0.2">
      <c r="A1127" s="8"/>
      <c r="B1127" s="8" t="s">
        <v>434</v>
      </c>
      <c r="C1127" s="8" t="s">
        <v>170</v>
      </c>
      <c r="D1127" s="8">
        <v>6250000003</v>
      </c>
      <c r="E1127" s="8" t="s">
        <v>428</v>
      </c>
      <c r="F1127" s="73" t="s">
        <v>23</v>
      </c>
      <c r="G1127" s="73" t="s">
        <v>136</v>
      </c>
      <c r="H1127" s="112" t="s">
        <v>61</v>
      </c>
      <c r="I1127" s="13" t="s">
        <v>22</v>
      </c>
      <c r="K1127" s="187"/>
      <c r="L1127" s="187"/>
      <c r="M1127" s="188">
        <f>IF($G1127="PAX",M176*'Insumos - OPEX'!I$51,M176*'Insumos - OPEX'!I$76)</f>
        <v>2782.3926321236722</v>
      </c>
      <c r="N1127" s="211">
        <f>IF($G1127="PAX",N176*'Insumos - OPEX'!J$51,N176*'Insumos - OPEX'!J$76)</f>
        <v>2814.7957274651153</v>
      </c>
      <c r="O1127" s="211">
        <f>IF($G1127="PAX",O176*'Insumos - OPEX'!K$51,O176*'Insumos - OPEX'!K$76)</f>
        <v>2880.3847331388229</v>
      </c>
      <c r="P1127" s="211">
        <f>IF($G1127="PAX",P176*'Insumos - OPEX'!L$51,P176*'Insumos - OPEX'!L$76)</f>
        <v>2941.3303863996657</v>
      </c>
      <c r="Q1127" s="211">
        <f>IF($G1127="PAX",Q176*'Insumos - OPEX'!M$51,Q176*'Insumos - OPEX'!M$76)</f>
        <v>3046.9291016919829</v>
      </c>
      <c r="R1127" s="211">
        <f>IF($G1127="PAX",R176*'Insumos - OPEX'!N$51,R176*'Insumos - OPEX'!N$76)</f>
        <v>3140.2289100883067</v>
      </c>
      <c r="S1127" s="111"/>
    </row>
    <row r="1128" spans="1:19" x14ac:dyDescent="0.2">
      <c r="A1128" s="8"/>
      <c r="B1128" s="8" t="s">
        <v>434</v>
      </c>
      <c r="C1128" s="8" t="s">
        <v>170</v>
      </c>
      <c r="D1128" s="8">
        <v>6221000001</v>
      </c>
      <c r="E1128" s="8" t="s">
        <v>257</v>
      </c>
      <c r="F1128" s="73" t="s">
        <v>23</v>
      </c>
      <c r="G1128" s="73" t="s">
        <v>136</v>
      </c>
      <c r="H1128" s="112" t="s">
        <v>61</v>
      </c>
      <c r="I1128" s="13" t="s">
        <v>22</v>
      </c>
      <c r="K1128" s="187"/>
      <c r="L1128" s="187"/>
      <c r="M1128" s="188">
        <f>IF($G1128="PAX",M177*'Insumos - OPEX'!I$51,M177*'Insumos - OPEX'!I$76)</f>
        <v>2450.639969954635</v>
      </c>
      <c r="N1128" s="211">
        <f>IF($G1128="PAX",N177*'Insumos - OPEX'!J$51,N177*'Insumos - OPEX'!J$76)</f>
        <v>2479.1795512046697</v>
      </c>
      <c r="O1128" s="211">
        <f>IF($G1128="PAX",O177*'Insumos - OPEX'!K$51,O177*'Insumos - OPEX'!K$76)</f>
        <v>2536.9481914166327</v>
      </c>
      <c r="P1128" s="211">
        <f>IF($G1128="PAX",P177*'Insumos - OPEX'!L$51,P177*'Insumos - OPEX'!L$76)</f>
        <v>2590.6271194556352</v>
      </c>
      <c r="Q1128" s="211">
        <f>IF($G1128="PAX",Q177*'Insumos - OPEX'!M$51,Q177*'Insumos - OPEX'!M$76)</f>
        <v>2683.6349967348729</v>
      </c>
      <c r="R1128" s="211">
        <f>IF($G1128="PAX",R177*'Insumos - OPEX'!N$51,R177*'Insumos - OPEX'!N$76)</f>
        <v>2765.8104010992188</v>
      </c>
      <c r="S1128" s="111"/>
    </row>
    <row r="1129" spans="1:19" x14ac:dyDescent="0.2">
      <c r="A1129" s="8"/>
      <c r="B1129" s="8" t="s">
        <v>434</v>
      </c>
      <c r="C1129" s="8" t="s">
        <v>170</v>
      </c>
      <c r="D1129" s="8">
        <v>6240000001</v>
      </c>
      <c r="E1129" s="8" t="s">
        <v>265</v>
      </c>
      <c r="F1129" s="73" t="s">
        <v>23</v>
      </c>
      <c r="G1129" s="73" t="s">
        <v>136</v>
      </c>
      <c r="H1129" s="112" t="s">
        <v>61</v>
      </c>
      <c r="I1129" s="13" t="s">
        <v>22</v>
      </c>
      <c r="J1129" s="11"/>
      <c r="K1129" s="187"/>
      <c r="L1129" s="187"/>
      <c r="M1129" s="188">
        <f>IF($G1129="PAX",M178*'Insumos - OPEX'!I$51,M178*'Insumos - OPEX'!I$76)</f>
        <v>1923.4299197533217</v>
      </c>
      <c r="N1129" s="211">
        <f>IF($G1129="PAX",N178*'Insumos - OPEX'!J$51,N178*'Insumos - OPEX'!J$76)</f>
        <v>1945.829735779567</v>
      </c>
      <c r="O1129" s="211">
        <f>IF($G1129="PAX",O178*'Insumos - OPEX'!K$51,O178*'Insumos - OPEX'!K$76)</f>
        <v>1991.1705171140079</v>
      </c>
      <c r="P1129" s="211">
        <f>IF($G1129="PAX",P178*'Insumos - OPEX'!L$51,P178*'Insumos - OPEX'!L$76)</f>
        <v>2033.3014125194293</v>
      </c>
      <c r="Q1129" s="211">
        <f>IF($G1129="PAX",Q178*'Insumos - OPEX'!M$51,Q178*'Insumos - OPEX'!M$76)</f>
        <v>2106.300358151962</v>
      </c>
      <c r="R1129" s="211">
        <f>IF($G1129="PAX",R178*'Insumos - OPEX'!N$51,R178*'Insumos - OPEX'!N$76)</f>
        <v>2170.7972378895179</v>
      </c>
      <c r="S1129" s="111"/>
    </row>
    <row r="1130" spans="1:19" x14ac:dyDescent="0.2">
      <c r="A1130" s="8"/>
      <c r="B1130" s="8" t="s">
        <v>434</v>
      </c>
      <c r="C1130" s="8" t="s">
        <v>170</v>
      </c>
      <c r="D1130" s="8">
        <v>6250000004</v>
      </c>
      <c r="E1130" s="8" t="s">
        <v>264</v>
      </c>
      <c r="F1130" s="73" t="s">
        <v>23</v>
      </c>
      <c r="G1130" s="73" t="s">
        <v>136</v>
      </c>
      <c r="H1130" s="112" t="s">
        <v>61</v>
      </c>
      <c r="I1130" s="13" t="s">
        <v>22</v>
      </c>
      <c r="K1130" s="187"/>
      <c r="L1130" s="187"/>
      <c r="M1130" s="188">
        <f>IF($G1130="PAX",M179*'Insumos - OPEX'!I$51,M179*'Insumos - OPEX'!I$76)</f>
        <v>1698.085097311767</v>
      </c>
      <c r="N1130" s="211">
        <f>IF($G1130="PAX",N179*'Insumos - OPEX'!J$51,N179*'Insumos - OPEX'!J$76)</f>
        <v>1717.8606001185294</v>
      </c>
      <c r="O1130" s="211">
        <f>IF($G1130="PAX",O179*'Insumos - OPEX'!K$51,O179*'Insumos - OPEX'!K$76)</f>
        <v>1757.8893551533681</v>
      </c>
      <c r="P1130" s="211">
        <f>IF($G1130="PAX",P179*'Insumos - OPEX'!L$51,P179*'Insumos - OPEX'!L$76)</f>
        <v>1795.0842874405412</v>
      </c>
      <c r="Q1130" s="211">
        <f>IF($G1130="PAX",Q179*'Insumos - OPEX'!M$51,Q179*'Insumos - OPEX'!M$76)</f>
        <v>1859.5308370262794</v>
      </c>
      <c r="R1130" s="211">
        <f>IF($G1130="PAX",R179*'Insumos - OPEX'!N$51,R179*'Insumos - OPEX'!N$76)</f>
        <v>1916.4714040730366</v>
      </c>
      <c r="S1130" s="111"/>
    </row>
    <row r="1131" spans="1:19" x14ac:dyDescent="0.2">
      <c r="A1131" s="8"/>
      <c r="B1131" s="8" t="s">
        <v>434</v>
      </c>
      <c r="C1131" s="8" t="s">
        <v>170</v>
      </c>
      <c r="D1131" s="8">
        <v>6270000005</v>
      </c>
      <c r="E1131" s="8" t="s">
        <v>430</v>
      </c>
      <c r="F1131" s="73" t="s">
        <v>23</v>
      </c>
      <c r="G1131" s="73" t="s">
        <v>136</v>
      </c>
      <c r="H1131" s="112" t="s">
        <v>61</v>
      </c>
      <c r="I1131" s="13" t="s">
        <v>22</v>
      </c>
      <c r="K1131" s="187"/>
      <c r="L1131" s="187"/>
      <c r="M1131" s="188">
        <f>IF($G1131="PAX",M180*'Insumos - OPEX'!I$51,M180*'Insumos - OPEX'!I$76)</f>
        <v>1190.7707152524754</v>
      </c>
      <c r="N1131" s="211">
        <f>IF($G1131="PAX",N180*'Insumos - OPEX'!J$51,N180*'Insumos - OPEX'!J$76)</f>
        <v>1204.6381531441127</v>
      </c>
      <c r="O1131" s="211">
        <f>IF($G1131="PAX",O180*'Insumos - OPEX'!K$51,O180*'Insumos - OPEX'!K$76)</f>
        <v>1232.7080474850734</v>
      </c>
      <c r="P1131" s="211">
        <f>IF($G1131="PAX",P180*'Insumos - OPEX'!L$51,P180*'Insumos - OPEX'!L$76)</f>
        <v>1258.7907427478021</v>
      </c>
      <c r="Q1131" s="211">
        <f>IF($G1131="PAX",Q180*'Insumos - OPEX'!M$51,Q180*'Insumos - OPEX'!M$76)</f>
        <v>1303.9834507382632</v>
      </c>
      <c r="R1131" s="211">
        <f>IF($G1131="PAX",R180*'Insumos - OPEX'!N$51,R180*'Insumos - OPEX'!N$76)</f>
        <v>1343.912639126105</v>
      </c>
      <c r="S1131" s="111"/>
    </row>
    <row r="1132" spans="1:19" x14ac:dyDescent="0.2">
      <c r="A1132" s="8"/>
      <c r="B1132" s="8" t="s">
        <v>434</v>
      </c>
      <c r="C1132" s="8" t="s">
        <v>170</v>
      </c>
      <c r="D1132" s="8">
        <v>6250000008</v>
      </c>
      <c r="E1132" s="8" t="s">
        <v>267</v>
      </c>
      <c r="F1132" s="73" t="s">
        <v>23</v>
      </c>
      <c r="G1132" s="73" t="s">
        <v>136</v>
      </c>
      <c r="H1132" s="112" t="s">
        <v>61</v>
      </c>
      <c r="I1132" s="13" t="s">
        <v>22</v>
      </c>
      <c r="K1132" s="187"/>
      <c r="L1132" s="187"/>
      <c r="M1132" s="188">
        <f>IF($G1132="PAX",M181*'Insumos - OPEX'!I$51,M181*'Insumos - OPEX'!I$76)</f>
        <v>1142.7256161129699</v>
      </c>
      <c r="N1132" s="211">
        <f>IF($G1132="PAX",N181*'Insumos - OPEX'!J$51,N181*'Insumos - OPEX'!J$76)</f>
        <v>1156.0335319910232</v>
      </c>
      <c r="O1132" s="211">
        <f>IF($G1132="PAX",O181*'Insumos - OPEX'!K$51,O181*'Insumos - OPEX'!K$76)</f>
        <v>1182.9708650091598</v>
      </c>
      <c r="P1132" s="211">
        <f>IF($G1132="PAX",P181*'Insumos - OPEX'!L$51,P181*'Insumos - OPEX'!L$76)</f>
        <v>1208.001178261085</v>
      </c>
      <c r="Q1132" s="211">
        <f>IF($G1132="PAX",Q181*'Insumos - OPEX'!M$51,Q181*'Insumos - OPEX'!M$76)</f>
        <v>1251.3704553357763</v>
      </c>
      <c r="R1132" s="211">
        <f>IF($G1132="PAX",R181*'Insumos - OPEX'!N$51,R181*'Insumos - OPEX'!N$76)</f>
        <v>1289.6885847766007</v>
      </c>
      <c r="S1132" s="111"/>
    </row>
    <row r="1133" spans="1:19" x14ac:dyDescent="0.2">
      <c r="A1133" s="8"/>
      <c r="B1133" s="8" t="s">
        <v>434</v>
      </c>
      <c r="C1133" s="8" t="s">
        <v>170</v>
      </c>
      <c r="D1133" s="8">
        <v>6250000001</v>
      </c>
      <c r="E1133" s="8" t="s">
        <v>262</v>
      </c>
      <c r="F1133" s="73" t="s">
        <v>23</v>
      </c>
      <c r="G1133" s="73" t="s">
        <v>136</v>
      </c>
      <c r="H1133" s="112" t="s">
        <v>61</v>
      </c>
      <c r="I1133" s="13" t="s">
        <v>22</v>
      </c>
      <c r="K1133" s="187"/>
      <c r="L1133" s="187"/>
      <c r="M1133" s="188">
        <f>IF($G1133="PAX",M182*'Insumos - OPEX'!I$51,M182*'Insumos - OPEX'!I$76)</f>
        <v>1050.5930497039762</v>
      </c>
      <c r="N1133" s="211">
        <f>IF($G1133="PAX",N182*'Insumos - OPEX'!J$51,N182*'Insumos - OPEX'!J$76)</f>
        <v>1062.8280112121342</v>
      </c>
      <c r="O1133" s="211">
        <f>IF($G1133="PAX",O182*'Insumos - OPEX'!K$51,O182*'Insumos - OPEX'!K$76)</f>
        <v>1087.5935143629952</v>
      </c>
      <c r="P1133" s="211">
        <f>IF($G1133="PAX",P182*'Insumos - OPEX'!L$51,P182*'Insumos - OPEX'!L$76)</f>
        <v>1110.6057517396589</v>
      </c>
      <c r="Q1133" s="211">
        <f>IF($G1133="PAX",Q182*'Insumos - OPEX'!M$51,Q182*'Insumos - OPEX'!M$76)</f>
        <v>1150.4783689479289</v>
      </c>
      <c r="R1133" s="211">
        <f>IF($G1133="PAX",R182*'Insumos - OPEX'!N$51,R182*'Insumos - OPEX'!N$76)</f>
        <v>1185.7070886865504</v>
      </c>
      <c r="S1133" s="111"/>
    </row>
    <row r="1134" spans="1:19" x14ac:dyDescent="0.2">
      <c r="A1134" s="8"/>
      <c r="B1134" s="8" t="s">
        <v>434</v>
      </c>
      <c r="C1134" s="8" t="s">
        <v>170</v>
      </c>
      <c r="D1134" s="8">
        <v>6250000006</v>
      </c>
      <c r="E1134" s="8" t="s">
        <v>429</v>
      </c>
      <c r="F1134" s="73" t="s">
        <v>23</v>
      </c>
      <c r="G1134" s="73" t="s">
        <v>136</v>
      </c>
      <c r="H1134" s="112" t="s">
        <v>61</v>
      </c>
      <c r="I1134" s="13" t="s">
        <v>22</v>
      </c>
      <c r="K1134" s="187"/>
      <c r="L1134" s="187"/>
      <c r="M1134" s="188">
        <f>IF($G1134="PAX",M183*'Insumos - OPEX'!I$51,M183*'Insumos - OPEX'!I$76)</f>
        <v>832.54815749840998</v>
      </c>
      <c r="N1134" s="211">
        <f>IF($G1134="PAX",N183*'Insumos - OPEX'!J$51,N183*'Insumos - OPEX'!J$76)</f>
        <v>842.24381907122438</v>
      </c>
      <c r="O1134" s="211">
        <f>IF($G1134="PAX",O183*'Insumos - OPEX'!K$51,O183*'Insumos - OPEX'!K$76)</f>
        <v>861.86937629681245</v>
      </c>
      <c r="P1134" s="211">
        <f>IF($G1134="PAX",P183*'Insumos - OPEX'!L$51,P183*'Insumos - OPEX'!L$76)</f>
        <v>880.10554855519138</v>
      </c>
      <c r="Q1134" s="211">
        <f>IF($G1134="PAX",Q183*'Insumos - OPEX'!M$51,Q183*'Insumos - OPEX'!M$76)</f>
        <v>911.70282021117475</v>
      </c>
      <c r="R1134" s="211">
        <f>IF($G1134="PAX",R183*'Insumos - OPEX'!N$51,R183*'Insumos - OPEX'!N$76)</f>
        <v>939.62001014278644</v>
      </c>
      <c r="S1134" s="111"/>
    </row>
    <row r="1135" spans="1:19" x14ac:dyDescent="0.2">
      <c r="A1135" s="8"/>
      <c r="B1135" s="8" t="s">
        <v>434</v>
      </c>
      <c r="C1135" s="8" t="s">
        <v>170</v>
      </c>
      <c r="D1135" s="8">
        <v>6250000005</v>
      </c>
      <c r="E1135" s="8" t="s">
        <v>266</v>
      </c>
      <c r="F1135" s="73" t="s">
        <v>23</v>
      </c>
      <c r="G1135" s="73" t="s">
        <v>136</v>
      </c>
      <c r="H1135" s="112" t="s">
        <v>61</v>
      </c>
      <c r="I1135" s="13" t="s">
        <v>22</v>
      </c>
      <c r="K1135" s="187"/>
      <c r="L1135" s="187"/>
      <c r="M1135" s="188">
        <f>IF($G1135="PAX",M184*'Insumos - OPEX'!I$51,M184*'Insumos - OPEX'!I$76)</f>
        <v>669.88519235152114</v>
      </c>
      <c r="N1135" s="211">
        <f>IF($G1135="PAX",N184*'Insumos - OPEX'!J$51,N184*'Insumos - OPEX'!J$76)</f>
        <v>677.68651898852397</v>
      </c>
      <c r="O1135" s="211">
        <f>IF($G1135="PAX",O184*'Insumos - OPEX'!K$51,O184*'Insumos - OPEX'!K$76)</f>
        <v>693.47764177062447</v>
      </c>
      <c r="P1135" s="211">
        <f>IF($G1135="PAX",P184*'Insumos - OPEX'!L$51,P184*'Insumos - OPEX'!L$76)</f>
        <v>708.15083712999683</v>
      </c>
      <c r="Q1135" s="211">
        <f>IF($G1135="PAX",Q184*'Insumos - OPEX'!M$51,Q184*'Insumos - OPEX'!M$76)</f>
        <v>733.57464500274693</v>
      </c>
      <c r="R1135" s="211">
        <f>IF($G1135="PAX",R184*'Insumos - OPEX'!N$51,R184*'Insumos - OPEX'!N$76)</f>
        <v>756.03738421947207</v>
      </c>
      <c r="S1135" s="111"/>
    </row>
    <row r="1136" spans="1:19" x14ac:dyDescent="0.2">
      <c r="A1136" s="8"/>
      <c r="B1136" s="8" t="s">
        <v>434</v>
      </c>
      <c r="C1136" s="8" t="s">
        <v>170</v>
      </c>
      <c r="D1136" s="8">
        <v>6270000004</v>
      </c>
      <c r="E1136" s="8" t="s">
        <v>431</v>
      </c>
      <c r="F1136" s="73" t="s">
        <v>23</v>
      </c>
      <c r="G1136" s="73" t="s">
        <v>136</v>
      </c>
      <c r="H1136" s="112" t="s">
        <v>61</v>
      </c>
      <c r="I1136" s="13" t="s">
        <v>22</v>
      </c>
      <c r="K1136" s="187"/>
      <c r="L1136" s="187"/>
      <c r="M1136" s="188">
        <f>IF($G1136="PAX",M185*'Insumos - OPEX'!I$51,M185*'Insumos - OPEX'!I$76)</f>
        <v>645.82862966794153</v>
      </c>
      <c r="N1136" s="211">
        <f>IF($G1136="PAX",N185*'Insumos - OPEX'!J$51,N185*'Insumos - OPEX'!J$76)</f>
        <v>653.34979918936574</v>
      </c>
      <c r="O1136" s="211">
        <f>IF($G1136="PAX",O185*'Insumos - OPEX'!K$51,O185*'Insumos - OPEX'!K$76)</f>
        <v>668.57383952302723</v>
      </c>
      <c r="P1136" s="211">
        <f>IF($G1136="PAX",P185*'Insumos - OPEX'!L$51,P185*'Insumos - OPEX'!L$76)</f>
        <v>682.72009885222394</v>
      </c>
      <c r="Q1136" s="211">
        <f>IF($G1136="PAX",Q185*'Insumos - OPEX'!M$51,Q185*'Insumos - OPEX'!M$76)</f>
        <v>707.23090038488874</v>
      </c>
      <c r="R1136" s="211">
        <f>IF($G1136="PAX",R185*'Insumos - OPEX'!N$51,R185*'Insumos - OPEX'!N$76)</f>
        <v>728.88696959280981</v>
      </c>
      <c r="S1136" s="111"/>
    </row>
    <row r="1137" spans="1:19" x14ac:dyDescent="0.2">
      <c r="A1137" s="8"/>
      <c r="B1137" s="8" t="s">
        <v>434</v>
      </c>
      <c r="C1137" s="8" t="s">
        <v>170</v>
      </c>
      <c r="D1137" s="8">
        <v>6270000003</v>
      </c>
      <c r="E1137" s="8" t="s">
        <v>432</v>
      </c>
      <c r="F1137" s="73" t="s">
        <v>23</v>
      </c>
      <c r="G1137" s="73" t="s">
        <v>136</v>
      </c>
      <c r="H1137" s="112" t="s">
        <v>61</v>
      </c>
      <c r="I1137" s="13" t="s">
        <v>22</v>
      </c>
      <c r="K1137" s="187"/>
      <c r="L1137" s="187"/>
      <c r="M1137" s="188">
        <f>IF($G1137="PAX",M186*'Insumos - OPEX'!I$51,M186*'Insumos - OPEX'!I$76)</f>
        <v>526.42231529398555</v>
      </c>
      <c r="N1137" s="211">
        <f>IF($G1137="PAX",N186*'Insumos - OPEX'!J$51,N186*'Insumos - OPEX'!J$76)</f>
        <v>532.55290674085654</v>
      </c>
      <c r="O1137" s="211">
        <f>IF($G1137="PAX",O186*'Insumos - OPEX'!K$51,O186*'Insumos - OPEX'!K$76)</f>
        <v>544.96219643848985</v>
      </c>
      <c r="P1137" s="211">
        <f>IF($G1137="PAX",P186*'Insumos - OPEX'!L$51,P186*'Insumos - OPEX'!L$76)</f>
        <v>556.49297449125879</v>
      </c>
      <c r="Q1137" s="211">
        <f>IF($G1137="PAX",Q186*'Insumos - OPEX'!M$51,Q186*'Insumos - OPEX'!M$76)</f>
        <v>576.47200964052286</v>
      </c>
      <c r="R1137" s="211">
        <f>IF($G1137="PAX",R186*'Insumos - OPEX'!N$51,R186*'Insumos - OPEX'!N$76)</f>
        <v>594.1241197652505</v>
      </c>
      <c r="S1137" s="111"/>
    </row>
    <row r="1138" spans="1:19" x14ac:dyDescent="0.2">
      <c r="A1138" s="8"/>
      <c r="B1138" s="8" t="s">
        <v>434</v>
      </c>
      <c r="C1138" s="8" t="s">
        <v>170</v>
      </c>
      <c r="D1138" s="8">
        <v>6270000007</v>
      </c>
      <c r="E1138" s="8" t="s">
        <v>263</v>
      </c>
      <c r="F1138" s="73" t="s">
        <v>23</v>
      </c>
      <c r="G1138" s="73" t="s">
        <v>136</v>
      </c>
      <c r="H1138" s="112" t="s">
        <v>61</v>
      </c>
      <c r="I1138" s="13" t="s">
        <v>22</v>
      </c>
      <c r="K1138" s="187"/>
      <c r="L1138" s="187"/>
      <c r="M1138" s="188">
        <f>IF($G1138="PAX",M187*'Insumos - OPEX'!I$51,M187*'Insumos - OPEX'!I$76)</f>
        <v>520.82249566952623</v>
      </c>
      <c r="N1138" s="211">
        <f>IF($G1138="PAX",N187*'Insumos - OPEX'!J$51,N187*'Insumos - OPEX'!J$76)</f>
        <v>526.88787292373036</v>
      </c>
      <c r="O1138" s="211">
        <f>IF($G1138="PAX",O187*'Insumos - OPEX'!K$51,O187*'Insumos - OPEX'!K$76)</f>
        <v>539.16515874927177</v>
      </c>
      <c r="P1138" s="211">
        <f>IF($G1138="PAX",P187*'Insumos - OPEX'!L$51,P187*'Insumos - OPEX'!L$76)</f>
        <v>550.57327810131835</v>
      </c>
      <c r="Q1138" s="211">
        <f>IF($G1138="PAX",Q187*'Insumos - OPEX'!M$51,Q187*'Insumos - OPEX'!M$76)</f>
        <v>570.339786178959</v>
      </c>
      <c r="R1138" s="211">
        <f>IF($G1138="PAX",R187*'Insumos - OPEX'!N$51,R187*'Insumos - OPEX'!N$76)</f>
        <v>587.80412190693767</v>
      </c>
      <c r="S1138" s="111"/>
    </row>
    <row r="1139" spans="1:19" x14ac:dyDescent="0.2">
      <c r="A1139" s="8"/>
      <c r="B1139" s="8" t="s">
        <v>434</v>
      </c>
      <c r="C1139" s="8" t="s">
        <v>170</v>
      </c>
      <c r="D1139" s="8">
        <v>6231000001</v>
      </c>
      <c r="E1139" s="8" t="s">
        <v>258</v>
      </c>
      <c r="F1139" s="73" t="s">
        <v>23</v>
      </c>
      <c r="G1139" s="73" t="s">
        <v>136</v>
      </c>
      <c r="H1139" s="112" t="s">
        <v>61</v>
      </c>
      <c r="I1139" s="13" t="s">
        <v>22</v>
      </c>
      <c r="J1139" s="11"/>
      <c r="K1139" s="187"/>
      <c r="L1139" s="187"/>
      <c r="M1139" s="188">
        <f>IF($G1139="PAX",M188*'Insumos - OPEX'!I$51,M188*'Insumos - OPEX'!I$76)</f>
        <v>0</v>
      </c>
      <c r="N1139" s="211">
        <f>IF($G1139="PAX",N188*'Insumos - OPEX'!J$51,N188*'Insumos - OPEX'!J$76)</f>
        <v>0</v>
      </c>
      <c r="O1139" s="211">
        <f>IF($G1139="PAX",O188*'Insumos - OPEX'!K$51,O188*'Insumos - OPEX'!K$76)</f>
        <v>0</v>
      </c>
      <c r="P1139" s="211">
        <f>IF($G1139="PAX",P188*'Insumos - OPEX'!L$51,P188*'Insumos - OPEX'!L$76)</f>
        <v>0</v>
      </c>
      <c r="Q1139" s="211">
        <f>IF($G1139="PAX",Q188*'Insumos - OPEX'!M$51,Q188*'Insumos - OPEX'!M$76)</f>
        <v>0</v>
      </c>
      <c r="R1139" s="211">
        <f>IF($G1139="PAX",R188*'Insumos - OPEX'!N$51,R188*'Insumos - OPEX'!N$76)</f>
        <v>0</v>
      </c>
      <c r="S1139" s="111"/>
    </row>
    <row r="1140" spans="1:19" x14ac:dyDescent="0.2">
      <c r="A1140" s="8"/>
      <c r="B1140" s="8" t="s">
        <v>434</v>
      </c>
      <c r="C1140" s="8" t="s">
        <v>170</v>
      </c>
      <c r="D1140" s="8">
        <v>6250000007</v>
      </c>
      <c r="E1140" s="8" t="s">
        <v>260</v>
      </c>
      <c r="F1140" s="73" t="s">
        <v>23</v>
      </c>
      <c r="G1140" s="73" t="s">
        <v>136</v>
      </c>
      <c r="H1140" s="112" t="s">
        <v>61</v>
      </c>
      <c r="I1140" s="13" t="s">
        <v>22</v>
      </c>
      <c r="J1140" s="11"/>
      <c r="K1140" s="187"/>
      <c r="L1140" s="187"/>
      <c r="M1140" s="188">
        <f>IF($G1140="PAX",M189*'Insumos - OPEX'!I$51,M189*'Insumos - OPEX'!I$76)</f>
        <v>0</v>
      </c>
      <c r="N1140" s="211">
        <f>IF($G1140="PAX",N189*'Insumos - OPEX'!J$51,N189*'Insumos - OPEX'!J$76)</f>
        <v>0</v>
      </c>
      <c r="O1140" s="211">
        <f>IF($G1140="PAX",O189*'Insumos - OPEX'!K$51,O189*'Insumos - OPEX'!K$76)</f>
        <v>0</v>
      </c>
      <c r="P1140" s="211">
        <f>IF($G1140="PAX",P189*'Insumos - OPEX'!L$51,P189*'Insumos - OPEX'!L$76)</f>
        <v>0</v>
      </c>
      <c r="Q1140" s="211">
        <f>IF($G1140="PAX",Q189*'Insumos - OPEX'!M$51,Q189*'Insumos - OPEX'!M$76)</f>
        <v>0</v>
      </c>
      <c r="R1140" s="211">
        <f>IF($G1140="PAX",R189*'Insumos - OPEX'!N$51,R189*'Insumos - OPEX'!N$76)</f>
        <v>0</v>
      </c>
      <c r="S1140" s="111"/>
    </row>
    <row r="1141" spans="1:19" x14ac:dyDescent="0.2">
      <c r="A1141" s="8"/>
      <c r="B1141" s="8" t="s">
        <v>434</v>
      </c>
      <c r="C1141" s="8" t="s">
        <v>170</v>
      </c>
      <c r="D1141" s="8">
        <v>6250000009</v>
      </c>
      <c r="E1141" s="8" t="s">
        <v>433</v>
      </c>
      <c r="F1141" s="73" t="s">
        <v>23</v>
      </c>
      <c r="G1141" s="73" t="s">
        <v>136</v>
      </c>
      <c r="H1141" s="112" t="s">
        <v>61</v>
      </c>
      <c r="I1141" s="13" t="s">
        <v>22</v>
      </c>
      <c r="K1141" s="187"/>
      <c r="L1141" s="187"/>
      <c r="M1141" s="188">
        <f>IF($G1141="PAX",M190*'Insumos - OPEX'!I$51,M190*'Insumos - OPEX'!I$76)</f>
        <v>0</v>
      </c>
      <c r="N1141" s="211">
        <f>IF($G1141="PAX",N190*'Insumos - OPEX'!J$51,N190*'Insumos - OPEX'!J$76)</f>
        <v>0</v>
      </c>
      <c r="O1141" s="211">
        <f>IF($G1141="PAX",O190*'Insumos - OPEX'!K$51,O190*'Insumos - OPEX'!K$76)</f>
        <v>0</v>
      </c>
      <c r="P1141" s="211">
        <f>IF($G1141="PAX",P190*'Insumos - OPEX'!L$51,P190*'Insumos - OPEX'!L$76)</f>
        <v>0</v>
      </c>
      <c r="Q1141" s="211">
        <f>IF($G1141="PAX",Q190*'Insumos - OPEX'!M$51,Q190*'Insumos - OPEX'!M$76)</f>
        <v>0</v>
      </c>
      <c r="R1141" s="211">
        <f>IF($G1141="PAX",R190*'Insumos - OPEX'!N$51,R190*'Insumos - OPEX'!N$76)</f>
        <v>0</v>
      </c>
      <c r="S1141" s="111"/>
    </row>
    <row r="1142" spans="1:19" x14ac:dyDescent="0.2">
      <c r="A1142" s="8"/>
      <c r="B1142" s="8" t="s">
        <v>434</v>
      </c>
      <c r="C1142" s="8" t="s">
        <v>172</v>
      </c>
      <c r="D1142" s="8">
        <v>6381000001</v>
      </c>
      <c r="E1142" s="8" t="s">
        <v>313</v>
      </c>
      <c r="F1142" s="73" t="s">
        <v>23</v>
      </c>
      <c r="G1142" s="73" t="s">
        <v>136</v>
      </c>
      <c r="H1142" s="112" t="s">
        <v>61</v>
      </c>
      <c r="I1142" s="13" t="s">
        <v>22</v>
      </c>
      <c r="K1142" s="187"/>
      <c r="L1142" s="187"/>
      <c r="M1142" s="188">
        <f>IF($G1142="PAX",M191*'Insumos - OPEX'!I$51,M191*'Insumos - OPEX'!I$76)</f>
        <v>75542.307932388489</v>
      </c>
      <c r="N1142" s="211">
        <f>IF($G1142="PAX",N191*'Insumos - OPEX'!J$51,N191*'Insumos - OPEX'!J$76)</f>
        <v>76422.05602328878</v>
      </c>
      <c r="O1142" s="211">
        <f>IF($G1142="PAX",O191*'Insumos - OPEX'!K$51,O191*'Insumos - OPEX'!K$76)</f>
        <v>78202.805729990185</v>
      </c>
      <c r="P1142" s="211">
        <f>IF($G1142="PAX",P191*'Insumos - OPEX'!L$51,P191*'Insumos - OPEX'!L$76)</f>
        <v>79857.487837977635</v>
      </c>
      <c r="Q1142" s="211">
        <f>IF($G1142="PAX",Q191*'Insumos - OPEX'!M$51,Q191*'Insumos - OPEX'!M$76)</f>
        <v>82724.506164499107</v>
      </c>
      <c r="R1142" s="211">
        <f>IF($G1142="PAX",R191*'Insumos - OPEX'!N$51,R191*'Insumos - OPEX'!N$76)</f>
        <v>85257.607630674451</v>
      </c>
      <c r="S1142" s="111"/>
    </row>
    <row r="1143" spans="1:19" x14ac:dyDescent="0.2">
      <c r="A1143" s="8"/>
      <c r="B1143" s="8" t="s">
        <v>434</v>
      </c>
      <c r="C1143" s="8" t="s">
        <v>172</v>
      </c>
      <c r="D1143" s="8">
        <v>6381000006</v>
      </c>
      <c r="E1143" s="8" t="s">
        <v>311</v>
      </c>
      <c r="F1143" s="73" t="s">
        <v>23</v>
      </c>
      <c r="G1143" s="73" t="s">
        <v>136</v>
      </c>
      <c r="H1143" s="112" t="s">
        <v>61</v>
      </c>
      <c r="I1143" s="13" t="s">
        <v>22</v>
      </c>
      <c r="K1143" s="187"/>
      <c r="L1143" s="187"/>
      <c r="M1143" s="188">
        <f>IF($G1143="PAX",M192*'Insumos - OPEX'!I$51,M192*'Insumos - OPEX'!I$76)</f>
        <v>45022.986744795024</v>
      </c>
      <c r="N1143" s="211">
        <f>IF($G1143="PAX",N192*'Insumos - OPEX'!J$51,N192*'Insumos - OPEX'!J$76)</f>
        <v>45547.313942619221</v>
      </c>
      <c r="O1143" s="211">
        <f>IF($G1143="PAX",O192*'Insumos - OPEX'!K$51,O192*'Insumos - OPEX'!K$76)</f>
        <v>46608.635374741374</v>
      </c>
      <c r="P1143" s="211">
        <f>IF($G1143="PAX",P192*'Insumos - OPEX'!L$51,P192*'Insumos - OPEX'!L$76)</f>
        <v>47594.820899830789</v>
      </c>
      <c r="Q1143" s="211">
        <f>IF($G1143="PAX",Q192*'Insumos - OPEX'!M$51,Q192*'Insumos - OPEX'!M$76)</f>
        <v>49303.555139557626</v>
      </c>
      <c r="R1143" s="211">
        <f>IF($G1143="PAX",R192*'Insumos - OPEX'!N$51,R192*'Insumos - OPEX'!N$76)</f>
        <v>50813.275941798769</v>
      </c>
      <c r="S1143" s="111"/>
    </row>
    <row r="1144" spans="1:19" x14ac:dyDescent="0.2">
      <c r="A1144" s="8"/>
      <c r="B1144" s="8" t="s">
        <v>434</v>
      </c>
      <c r="C1144" s="8" t="s">
        <v>172</v>
      </c>
      <c r="D1144" s="8">
        <v>6381000005</v>
      </c>
      <c r="E1144" s="8" t="s">
        <v>316</v>
      </c>
      <c r="F1144" s="73" t="s">
        <v>23</v>
      </c>
      <c r="G1144" s="73" t="s">
        <v>136</v>
      </c>
      <c r="H1144" s="112" t="s">
        <v>61</v>
      </c>
      <c r="I1144" s="13" t="s">
        <v>22</v>
      </c>
      <c r="K1144" s="187"/>
      <c r="L1144" s="187"/>
      <c r="M1144" s="188">
        <f>IF($G1144="PAX",M193*'Insumos - OPEX'!I$51,M193*'Insumos - OPEX'!I$76)</f>
        <v>9060.4727526650331</v>
      </c>
      <c r="N1144" s="211">
        <f>IF($G1144="PAX",N193*'Insumos - OPEX'!J$51,N193*'Insumos - OPEX'!J$76)</f>
        <v>9165.9889041432907</v>
      </c>
      <c r="O1144" s="211">
        <f>IF($G1144="PAX",O193*'Insumos - OPEX'!K$51,O193*'Insumos - OPEX'!K$76)</f>
        <v>9379.5703347149483</v>
      </c>
      <c r="P1144" s="211">
        <f>IF($G1144="PAX",P193*'Insumos - OPEX'!L$51,P193*'Insumos - OPEX'!L$76)</f>
        <v>9578.0313370867716</v>
      </c>
      <c r="Q1144" s="211">
        <f>IF($G1144="PAX",Q193*'Insumos - OPEX'!M$51,Q193*'Insumos - OPEX'!M$76)</f>
        <v>9921.8987954663662</v>
      </c>
      <c r="R1144" s="211">
        <f>IF($G1144="PAX",R193*'Insumos - OPEX'!N$51,R193*'Insumos - OPEX'!N$76)</f>
        <v>10225.71658237538</v>
      </c>
      <c r="S1144" s="111"/>
    </row>
    <row r="1145" spans="1:19" x14ac:dyDescent="0.2">
      <c r="A1145" s="8"/>
      <c r="B1145" s="8" t="s">
        <v>434</v>
      </c>
      <c r="C1145" s="8" t="s">
        <v>172</v>
      </c>
      <c r="D1145" s="8">
        <v>6381000003</v>
      </c>
      <c r="E1145" s="8" t="s">
        <v>315</v>
      </c>
      <c r="F1145" s="73" t="s">
        <v>23</v>
      </c>
      <c r="G1145" s="73" t="s">
        <v>136</v>
      </c>
      <c r="H1145" s="112" t="s">
        <v>61</v>
      </c>
      <c r="I1145" s="13" t="s">
        <v>22</v>
      </c>
      <c r="K1145" s="187"/>
      <c r="L1145" s="187"/>
      <c r="M1145" s="188">
        <f>IF($G1145="PAX",M194*'Insumos - OPEX'!I$51,M194*'Insumos - OPEX'!I$76)</f>
        <v>3330.8018440870051</v>
      </c>
      <c r="N1145" s="211">
        <f>IF($G1145="PAX",N194*'Insumos - OPEX'!J$51,N194*'Insumos - OPEX'!J$76)</f>
        <v>3369.5915851434388</v>
      </c>
      <c r="O1145" s="211">
        <f>IF($G1145="PAX",O194*'Insumos - OPEX'!K$51,O194*'Insumos - OPEX'!K$76)</f>
        <v>3448.1081749760797</v>
      </c>
      <c r="P1145" s="211">
        <f>IF($G1145="PAX",P194*'Insumos - OPEX'!L$51,P194*'Insumos - OPEX'!L$76)</f>
        <v>3521.0662082624763</v>
      </c>
      <c r="Q1145" s="211">
        <f>IF($G1145="PAX",Q194*'Insumos - OPEX'!M$51,Q194*'Insumos - OPEX'!M$76)</f>
        <v>3647.4784160752929</v>
      </c>
      <c r="R1145" s="211">
        <f>IF($G1145="PAX",R194*'Insumos - OPEX'!N$51,R194*'Insumos - OPEX'!N$76)</f>
        <v>3759.167604104176</v>
      </c>
      <c r="S1145" s="111"/>
    </row>
    <row r="1146" spans="1:19" x14ac:dyDescent="0.2">
      <c r="A1146" s="8"/>
      <c r="B1146" s="8" t="s">
        <v>434</v>
      </c>
      <c r="C1146" s="8" t="s">
        <v>172</v>
      </c>
      <c r="D1146" s="8">
        <v>6381000002</v>
      </c>
      <c r="E1146" s="8" t="s">
        <v>302</v>
      </c>
      <c r="F1146" s="73" t="s">
        <v>23</v>
      </c>
      <c r="G1146" s="73" t="s">
        <v>136</v>
      </c>
      <c r="H1146" s="112" t="s">
        <v>61</v>
      </c>
      <c r="I1146" s="13" t="s">
        <v>22</v>
      </c>
      <c r="K1146" s="187"/>
      <c r="L1146" s="187"/>
      <c r="M1146" s="188">
        <f>IF($G1146="PAX",M195*'Insumos - OPEX'!I$51,M195*'Insumos - OPEX'!I$76)</f>
        <v>1926.6826132269987</v>
      </c>
      <c r="N1146" s="211">
        <f>IF($G1146="PAX",N195*'Insumos - OPEX'!J$51,N195*'Insumos - OPEX'!J$76)</f>
        <v>1949.1203093624447</v>
      </c>
      <c r="O1146" s="211">
        <f>IF($G1146="PAX",O195*'Insumos - OPEX'!K$51,O195*'Insumos - OPEX'!K$76)</f>
        <v>1994.5377660475306</v>
      </c>
      <c r="P1146" s="211">
        <f>IF($G1146="PAX",P195*'Insumos - OPEX'!L$51,P195*'Insumos - OPEX'!L$76)</f>
        <v>2036.7399085969821</v>
      </c>
      <c r="Q1146" s="211">
        <f>IF($G1146="PAX",Q195*'Insumos - OPEX'!M$51,Q195*'Insumos - OPEX'!M$76)</f>
        <v>2109.8623020305531</v>
      </c>
      <c r="R1146" s="211">
        <f>IF($G1146="PAX",R195*'Insumos - OPEX'!N$51,R195*'Insumos - OPEX'!N$76)</f>
        <v>2174.4682518088939</v>
      </c>
      <c r="S1146" s="111"/>
    </row>
    <row r="1147" spans="1:19" x14ac:dyDescent="0.2">
      <c r="A1147" s="8"/>
      <c r="B1147" s="8" t="s">
        <v>434</v>
      </c>
      <c r="C1147" s="8" t="s">
        <v>172</v>
      </c>
      <c r="D1147" s="8">
        <v>6380000004</v>
      </c>
      <c r="E1147" s="8" t="s">
        <v>273</v>
      </c>
      <c r="F1147" s="73" t="s">
        <v>23</v>
      </c>
      <c r="G1147" s="73" t="s">
        <v>471</v>
      </c>
      <c r="H1147" s="112" t="s">
        <v>61</v>
      </c>
      <c r="I1147" s="13" t="s">
        <v>22</v>
      </c>
      <c r="K1147" s="187"/>
      <c r="L1147" s="187"/>
      <c r="M1147" s="188">
        <f>IF($G1147="PAX",M196*'Insumos - OPEX'!I$51,M196*'Insumos - OPEX'!I$76)</f>
        <v>684.09497410269148</v>
      </c>
      <c r="N1147" s="211">
        <f>IF($G1147="PAX",N196*'Insumos - OPEX'!J$51,N196*'Insumos - OPEX'!J$76)</f>
        <v>714.95217615306103</v>
      </c>
      <c r="O1147" s="211">
        <f>IF($G1147="PAX",O196*'Insumos - OPEX'!K$51,O196*'Insumos - OPEX'!K$76)</f>
        <v>746.36110439925051</v>
      </c>
      <c r="P1147" s="211">
        <f>IF($G1147="PAX",P196*'Insumos - OPEX'!L$51,P196*'Insumos - OPEX'!L$76)</f>
        <v>778.1783649872101</v>
      </c>
      <c r="Q1147" s="211">
        <f>IF($G1147="PAX",Q196*'Insumos - OPEX'!M$51,Q196*'Insumos - OPEX'!M$76)</f>
        <v>815.55739486443315</v>
      </c>
      <c r="R1147" s="211">
        <f>IF($G1147="PAX",R196*'Insumos - OPEX'!N$51,R196*'Insumos - OPEX'!N$76)</f>
        <v>852.82413685397296</v>
      </c>
      <c r="S1147" s="111"/>
    </row>
    <row r="1148" spans="1:19" x14ac:dyDescent="0.2">
      <c r="A1148" s="8"/>
      <c r="B1148" s="8" t="s">
        <v>434</v>
      </c>
      <c r="C1148" s="8" t="s">
        <v>172</v>
      </c>
      <c r="D1148" s="8">
        <v>6380000020</v>
      </c>
      <c r="E1148" s="8" t="s">
        <v>308</v>
      </c>
      <c r="F1148" s="73" t="s">
        <v>23</v>
      </c>
      <c r="G1148" s="73" t="s">
        <v>136</v>
      </c>
      <c r="H1148" s="112" t="s">
        <v>61</v>
      </c>
      <c r="I1148" s="13" t="s">
        <v>22</v>
      </c>
      <c r="K1148" s="187"/>
      <c r="L1148" s="187"/>
      <c r="M1148" s="188">
        <f>IF($G1148="PAX",M197*'Insumos - OPEX'!I$51,M197*'Insumos - OPEX'!I$76)</f>
        <v>0</v>
      </c>
      <c r="N1148" s="211">
        <f>IF($G1148="PAX",N197*'Insumos - OPEX'!J$51,N197*'Insumos - OPEX'!J$76)</f>
        <v>0</v>
      </c>
      <c r="O1148" s="211">
        <f>IF($G1148="PAX",O197*'Insumos - OPEX'!K$51,O197*'Insumos - OPEX'!K$76)</f>
        <v>0</v>
      </c>
      <c r="P1148" s="211">
        <f>IF($G1148="PAX",P197*'Insumos - OPEX'!L$51,P197*'Insumos - OPEX'!L$76)</f>
        <v>0</v>
      </c>
      <c r="Q1148" s="211">
        <f>IF($G1148="PAX",Q197*'Insumos - OPEX'!M$51,Q197*'Insumos - OPEX'!M$76)</f>
        <v>0</v>
      </c>
      <c r="R1148" s="211">
        <f>IF($G1148="PAX",R197*'Insumos - OPEX'!N$51,R197*'Insumos - OPEX'!N$76)</f>
        <v>0</v>
      </c>
      <c r="S1148" s="111"/>
    </row>
    <row r="1149" spans="1:19" x14ac:dyDescent="0.2">
      <c r="A1149" s="8"/>
      <c r="B1149" s="8" t="s">
        <v>434</v>
      </c>
      <c r="C1149" s="8" t="s">
        <v>172</v>
      </c>
      <c r="D1149" s="8">
        <v>6380000027</v>
      </c>
      <c r="E1149" s="8" t="s">
        <v>318</v>
      </c>
      <c r="F1149" s="73" t="s">
        <v>23</v>
      </c>
      <c r="G1149" s="73" t="s">
        <v>136</v>
      </c>
      <c r="H1149" s="112" t="s">
        <v>61</v>
      </c>
      <c r="I1149" s="13" t="s">
        <v>22</v>
      </c>
      <c r="K1149" s="187"/>
      <c r="L1149" s="187"/>
      <c r="M1149" s="188">
        <f>IF($G1149="PAX",M198*'Insumos - OPEX'!I$51,M198*'Insumos - OPEX'!I$76)</f>
        <v>0</v>
      </c>
      <c r="N1149" s="211">
        <f>IF($G1149="PAX",N198*'Insumos - OPEX'!J$51,N198*'Insumos - OPEX'!J$76)</f>
        <v>0</v>
      </c>
      <c r="O1149" s="211">
        <f>IF($G1149="PAX",O198*'Insumos - OPEX'!K$51,O198*'Insumos - OPEX'!K$76)</f>
        <v>0</v>
      </c>
      <c r="P1149" s="211">
        <f>IF($G1149="PAX",P198*'Insumos - OPEX'!L$51,P198*'Insumos - OPEX'!L$76)</f>
        <v>0</v>
      </c>
      <c r="Q1149" s="211">
        <f>IF($G1149="PAX",Q198*'Insumos - OPEX'!M$51,Q198*'Insumos - OPEX'!M$76)</f>
        <v>0</v>
      </c>
      <c r="R1149" s="211">
        <f>IF($G1149="PAX",R198*'Insumos - OPEX'!N$51,R198*'Insumos - OPEX'!N$76)</f>
        <v>0</v>
      </c>
      <c r="S1149" s="111"/>
    </row>
    <row r="1150" spans="1:19" x14ac:dyDescent="0.2">
      <c r="A1150" s="8"/>
      <c r="B1150" s="8" t="s">
        <v>434</v>
      </c>
      <c r="C1150" s="8" t="s">
        <v>172</v>
      </c>
      <c r="D1150" s="8">
        <v>6380000026</v>
      </c>
      <c r="E1150" s="8" t="s">
        <v>314</v>
      </c>
      <c r="F1150" s="73" t="s">
        <v>23</v>
      </c>
      <c r="G1150" s="73" t="s">
        <v>136</v>
      </c>
      <c r="H1150" s="112" t="s">
        <v>61</v>
      </c>
      <c r="I1150" s="13" t="s">
        <v>22</v>
      </c>
      <c r="J1150" s="11"/>
      <c r="K1150" s="187"/>
      <c r="L1150" s="187"/>
      <c r="M1150" s="188">
        <f>IF($G1150="PAX",M199*'Insumos - OPEX'!I$51,M199*'Insumos - OPEX'!I$76)</f>
        <v>0</v>
      </c>
      <c r="N1150" s="211">
        <f>IF($G1150="PAX",N199*'Insumos - OPEX'!J$51,N199*'Insumos - OPEX'!J$76)</f>
        <v>0</v>
      </c>
      <c r="O1150" s="211">
        <f>IF($G1150="PAX",O199*'Insumos - OPEX'!K$51,O199*'Insumos - OPEX'!K$76)</f>
        <v>0</v>
      </c>
      <c r="P1150" s="211">
        <f>IF($G1150="PAX",P199*'Insumos - OPEX'!L$51,P199*'Insumos - OPEX'!L$76)</f>
        <v>0</v>
      </c>
      <c r="Q1150" s="211">
        <f>IF($G1150="PAX",Q199*'Insumos - OPEX'!M$51,Q199*'Insumos - OPEX'!M$76)</f>
        <v>0</v>
      </c>
      <c r="R1150" s="211">
        <f>IF($G1150="PAX",R199*'Insumos - OPEX'!N$51,R199*'Insumos - OPEX'!N$76)</f>
        <v>0</v>
      </c>
      <c r="S1150" s="111"/>
    </row>
    <row r="1151" spans="1:19" x14ac:dyDescent="0.2">
      <c r="A1151" s="8"/>
      <c r="B1151" s="8" t="s">
        <v>434</v>
      </c>
      <c r="C1151" s="8" t="s">
        <v>172</v>
      </c>
      <c r="D1151" s="8">
        <v>6380000023</v>
      </c>
      <c r="E1151" s="8" t="s">
        <v>307</v>
      </c>
      <c r="F1151" s="73" t="s">
        <v>23</v>
      </c>
      <c r="G1151" s="73" t="s">
        <v>136</v>
      </c>
      <c r="H1151" s="112" t="s">
        <v>61</v>
      </c>
      <c r="I1151" s="13" t="s">
        <v>22</v>
      </c>
      <c r="J1151" s="11"/>
      <c r="K1151" s="187"/>
      <c r="L1151" s="187"/>
      <c r="M1151" s="188">
        <f>IF($G1151="PAX",M200*'Insumos - OPEX'!I$51,M200*'Insumos - OPEX'!I$76)</f>
        <v>0</v>
      </c>
      <c r="N1151" s="211">
        <f>IF($G1151="PAX",N200*'Insumos - OPEX'!J$51,N200*'Insumos - OPEX'!J$76)</f>
        <v>0</v>
      </c>
      <c r="O1151" s="211">
        <f>IF($G1151="PAX",O200*'Insumos - OPEX'!K$51,O200*'Insumos - OPEX'!K$76)</f>
        <v>0</v>
      </c>
      <c r="P1151" s="211">
        <f>IF($G1151="PAX",P200*'Insumos - OPEX'!L$51,P200*'Insumos - OPEX'!L$76)</f>
        <v>0</v>
      </c>
      <c r="Q1151" s="211">
        <f>IF($G1151="PAX",Q200*'Insumos - OPEX'!M$51,Q200*'Insumos - OPEX'!M$76)</f>
        <v>0</v>
      </c>
      <c r="R1151" s="211">
        <f>IF($G1151="PAX",R200*'Insumos - OPEX'!N$51,R200*'Insumos - OPEX'!N$76)</f>
        <v>0</v>
      </c>
      <c r="S1151" s="111"/>
    </row>
    <row r="1152" spans="1:19" x14ac:dyDescent="0.2">
      <c r="A1152" s="8"/>
      <c r="B1152" s="8" t="s">
        <v>434</v>
      </c>
      <c r="C1152" s="8" t="s">
        <v>172</v>
      </c>
      <c r="D1152" s="8">
        <v>6380000028</v>
      </c>
      <c r="E1152" s="8" t="s">
        <v>305</v>
      </c>
      <c r="F1152" s="73" t="s">
        <v>23</v>
      </c>
      <c r="G1152" s="73" t="s">
        <v>136</v>
      </c>
      <c r="H1152" s="112" t="s">
        <v>61</v>
      </c>
      <c r="I1152" s="13" t="s">
        <v>22</v>
      </c>
      <c r="J1152" s="11"/>
      <c r="K1152" s="187"/>
      <c r="L1152" s="187"/>
      <c r="M1152" s="188">
        <f>IF($G1152="PAX",M201*'Insumos - OPEX'!I$51,M201*'Insumos - OPEX'!I$76)</f>
        <v>0</v>
      </c>
      <c r="N1152" s="211">
        <f>IF($G1152="PAX",N201*'Insumos - OPEX'!J$51,N201*'Insumos - OPEX'!J$76)</f>
        <v>0</v>
      </c>
      <c r="O1152" s="211">
        <f>IF($G1152="PAX",O201*'Insumos - OPEX'!K$51,O201*'Insumos - OPEX'!K$76)</f>
        <v>0</v>
      </c>
      <c r="P1152" s="211">
        <f>IF($G1152="PAX",P201*'Insumos - OPEX'!L$51,P201*'Insumos - OPEX'!L$76)</f>
        <v>0</v>
      </c>
      <c r="Q1152" s="211">
        <f>IF($G1152="PAX",Q201*'Insumos - OPEX'!M$51,Q201*'Insumos - OPEX'!M$76)</f>
        <v>0</v>
      </c>
      <c r="R1152" s="211">
        <f>IF($G1152="PAX",R201*'Insumos - OPEX'!N$51,R201*'Insumos - OPEX'!N$76)</f>
        <v>0</v>
      </c>
      <c r="S1152" s="111"/>
    </row>
    <row r="1153" spans="1:19" x14ac:dyDescent="0.2">
      <c r="A1153" s="8"/>
      <c r="B1153" s="8" t="s">
        <v>434</v>
      </c>
      <c r="C1153" s="8" t="s">
        <v>172</v>
      </c>
      <c r="D1153" s="8">
        <v>6380000031</v>
      </c>
      <c r="E1153" s="8" t="s">
        <v>310</v>
      </c>
      <c r="F1153" s="73" t="s">
        <v>23</v>
      </c>
      <c r="G1153" s="73" t="s">
        <v>136</v>
      </c>
      <c r="H1153" s="112" t="s">
        <v>61</v>
      </c>
      <c r="I1153" s="13" t="s">
        <v>22</v>
      </c>
      <c r="K1153" s="187"/>
      <c r="L1153" s="187"/>
      <c r="M1153" s="188">
        <f>IF($G1153="PAX",M202*'Insumos - OPEX'!I$51,M202*'Insumos - OPEX'!I$76)</f>
        <v>0</v>
      </c>
      <c r="N1153" s="211">
        <f>IF($G1153="PAX",N202*'Insumos - OPEX'!J$51,N202*'Insumos - OPEX'!J$76)</f>
        <v>0</v>
      </c>
      <c r="O1153" s="211">
        <f>IF($G1153="PAX",O202*'Insumos - OPEX'!K$51,O202*'Insumos - OPEX'!K$76)</f>
        <v>0</v>
      </c>
      <c r="P1153" s="211">
        <f>IF($G1153="PAX",P202*'Insumos - OPEX'!L$51,P202*'Insumos - OPEX'!L$76)</f>
        <v>0</v>
      </c>
      <c r="Q1153" s="211">
        <f>IF($G1153="PAX",Q202*'Insumos - OPEX'!M$51,Q202*'Insumos - OPEX'!M$76)</f>
        <v>0</v>
      </c>
      <c r="R1153" s="211">
        <f>IF($G1153="PAX",R202*'Insumos - OPEX'!N$51,R202*'Insumos - OPEX'!N$76)</f>
        <v>0</v>
      </c>
      <c r="S1153" s="111"/>
    </row>
    <row r="1154" spans="1:19" x14ac:dyDescent="0.2">
      <c r="A1154" s="8"/>
      <c r="B1154" s="8" t="s">
        <v>434</v>
      </c>
      <c r="C1154" s="8" t="s">
        <v>172</v>
      </c>
      <c r="D1154" s="8">
        <v>6380000018</v>
      </c>
      <c r="E1154" s="8" t="s">
        <v>309</v>
      </c>
      <c r="F1154" s="73" t="s">
        <v>23</v>
      </c>
      <c r="G1154" s="73" t="s">
        <v>136</v>
      </c>
      <c r="H1154" s="112" t="s">
        <v>61</v>
      </c>
      <c r="I1154" s="13" t="s">
        <v>22</v>
      </c>
      <c r="K1154" s="187"/>
      <c r="L1154" s="187"/>
      <c r="M1154" s="188">
        <f>IF($G1154="PAX",M203*'Insumos - OPEX'!I$51,M203*'Insumos - OPEX'!I$76)</f>
        <v>0</v>
      </c>
      <c r="N1154" s="211">
        <f>IF($G1154="PAX",N203*'Insumos - OPEX'!J$51,N203*'Insumos - OPEX'!J$76)</f>
        <v>0</v>
      </c>
      <c r="O1154" s="211">
        <f>IF($G1154="PAX",O203*'Insumos - OPEX'!K$51,O203*'Insumos - OPEX'!K$76)</f>
        <v>0</v>
      </c>
      <c r="P1154" s="211">
        <f>IF($G1154="PAX",P203*'Insumos - OPEX'!L$51,P203*'Insumos - OPEX'!L$76)</f>
        <v>0</v>
      </c>
      <c r="Q1154" s="211">
        <f>IF($G1154="PAX",Q203*'Insumos - OPEX'!M$51,Q203*'Insumos - OPEX'!M$76)</f>
        <v>0</v>
      </c>
      <c r="R1154" s="211">
        <f>IF($G1154="PAX",R203*'Insumos - OPEX'!N$51,R203*'Insumos - OPEX'!N$76)</f>
        <v>0</v>
      </c>
      <c r="S1154" s="111"/>
    </row>
    <row r="1155" spans="1:19" x14ac:dyDescent="0.2">
      <c r="A1155" s="8"/>
      <c r="B1155" s="8" t="s">
        <v>434</v>
      </c>
      <c r="C1155" s="8" t="s">
        <v>172</v>
      </c>
      <c r="D1155" s="8">
        <v>6380000017</v>
      </c>
      <c r="E1155" s="8" t="s">
        <v>317</v>
      </c>
      <c r="F1155" s="73" t="s">
        <v>23</v>
      </c>
      <c r="G1155" s="73" t="s">
        <v>136</v>
      </c>
      <c r="H1155" s="112" t="s">
        <v>61</v>
      </c>
      <c r="I1155" s="13" t="s">
        <v>22</v>
      </c>
      <c r="K1155" s="187"/>
      <c r="L1155" s="187"/>
      <c r="M1155" s="188">
        <f>IF($G1155="PAX",M204*'Insumos - OPEX'!I$51,M204*'Insumos - OPEX'!I$76)</f>
        <v>0</v>
      </c>
      <c r="N1155" s="211">
        <f>IF($G1155="PAX",N204*'Insumos - OPEX'!J$51,N204*'Insumos - OPEX'!J$76)</f>
        <v>0</v>
      </c>
      <c r="O1155" s="211">
        <f>IF($G1155="PAX",O204*'Insumos - OPEX'!K$51,O204*'Insumos - OPEX'!K$76)</f>
        <v>0</v>
      </c>
      <c r="P1155" s="211">
        <f>IF($G1155="PAX",P204*'Insumos - OPEX'!L$51,P204*'Insumos - OPEX'!L$76)</f>
        <v>0</v>
      </c>
      <c r="Q1155" s="211">
        <f>IF($G1155="PAX",Q204*'Insumos - OPEX'!M$51,Q204*'Insumos - OPEX'!M$76)</f>
        <v>0</v>
      </c>
      <c r="R1155" s="211">
        <f>IF($G1155="PAX",R204*'Insumos - OPEX'!N$51,R204*'Insumos - OPEX'!N$76)</f>
        <v>0</v>
      </c>
      <c r="S1155" s="111"/>
    </row>
    <row r="1156" spans="1:19" x14ac:dyDescent="0.2">
      <c r="A1156" s="8"/>
      <c r="B1156" s="8" t="s">
        <v>434</v>
      </c>
      <c r="C1156" s="8" t="s">
        <v>172</v>
      </c>
      <c r="D1156" s="8">
        <v>6380000016</v>
      </c>
      <c r="E1156" s="8" t="s">
        <v>304</v>
      </c>
      <c r="F1156" s="73" t="s">
        <v>23</v>
      </c>
      <c r="G1156" s="73" t="s">
        <v>136</v>
      </c>
      <c r="H1156" s="112" t="s">
        <v>61</v>
      </c>
      <c r="I1156" s="13" t="s">
        <v>22</v>
      </c>
      <c r="K1156" s="187"/>
      <c r="L1156" s="187"/>
      <c r="M1156" s="188">
        <f>IF($G1156="PAX",M205*'Insumos - OPEX'!I$51,M205*'Insumos - OPEX'!I$76)</f>
        <v>0</v>
      </c>
      <c r="N1156" s="211">
        <f>IF($G1156="PAX",N205*'Insumos - OPEX'!J$51,N205*'Insumos - OPEX'!J$76)</f>
        <v>0</v>
      </c>
      <c r="O1156" s="211">
        <f>IF($G1156="PAX",O205*'Insumos - OPEX'!K$51,O205*'Insumos - OPEX'!K$76)</f>
        <v>0</v>
      </c>
      <c r="P1156" s="211">
        <f>IF($G1156="PAX",P205*'Insumos - OPEX'!L$51,P205*'Insumos - OPEX'!L$76)</f>
        <v>0</v>
      </c>
      <c r="Q1156" s="211">
        <f>IF($G1156="PAX",Q205*'Insumos - OPEX'!M$51,Q205*'Insumos - OPEX'!M$76)</f>
        <v>0</v>
      </c>
      <c r="R1156" s="211">
        <f>IF($G1156="PAX",R205*'Insumos - OPEX'!N$51,R205*'Insumos - OPEX'!N$76)</f>
        <v>0</v>
      </c>
      <c r="S1156" s="111"/>
    </row>
    <row r="1157" spans="1:19" x14ac:dyDescent="0.2">
      <c r="A1157" s="8"/>
      <c r="B1157" s="8" t="s">
        <v>434</v>
      </c>
      <c r="C1157" s="8" t="s">
        <v>172</v>
      </c>
      <c r="D1157" s="8">
        <v>6380000014</v>
      </c>
      <c r="E1157" s="8" t="s">
        <v>312</v>
      </c>
      <c r="F1157" s="73" t="s">
        <v>23</v>
      </c>
      <c r="G1157" s="73" t="s">
        <v>136</v>
      </c>
      <c r="H1157" s="112" t="s">
        <v>61</v>
      </c>
      <c r="I1157" s="13" t="s">
        <v>22</v>
      </c>
      <c r="K1157" s="187"/>
      <c r="L1157" s="187"/>
      <c r="M1157" s="188">
        <f>IF($G1157="PAX",M206*'Insumos - OPEX'!I$51,M206*'Insumos - OPEX'!I$76)</f>
        <v>0</v>
      </c>
      <c r="N1157" s="211">
        <f>IF($G1157="PAX",N206*'Insumos - OPEX'!J$51,N206*'Insumos - OPEX'!J$76)</f>
        <v>0</v>
      </c>
      <c r="O1157" s="211">
        <f>IF($G1157="PAX",O206*'Insumos - OPEX'!K$51,O206*'Insumos - OPEX'!K$76)</f>
        <v>0</v>
      </c>
      <c r="P1157" s="211">
        <f>IF($G1157="PAX",P206*'Insumos - OPEX'!L$51,P206*'Insumos - OPEX'!L$76)</f>
        <v>0</v>
      </c>
      <c r="Q1157" s="211">
        <f>IF($G1157="PAX",Q206*'Insumos - OPEX'!M$51,Q206*'Insumos - OPEX'!M$76)</f>
        <v>0</v>
      </c>
      <c r="R1157" s="211">
        <f>IF($G1157="PAX",R206*'Insumos - OPEX'!N$51,R206*'Insumos - OPEX'!N$76)</f>
        <v>0</v>
      </c>
      <c r="S1157" s="111"/>
    </row>
    <row r="1158" spans="1:19" x14ac:dyDescent="0.2">
      <c r="A1158" s="8"/>
      <c r="B1158" s="8" t="s">
        <v>434</v>
      </c>
      <c r="C1158" s="8" t="s">
        <v>172</v>
      </c>
      <c r="D1158" s="8">
        <v>6320000007</v>
      </c>
      <c r="E1158" s="8" t="s">
        <v>303</v>
      </c>
      <c r="F1158" s="73" t="s">
        <v>23</v>
      </c>
      <c r="G1158" s="73" t="s">
        <v>136</v>
      </c>
      <c r="H1158" s="112" t="s">
        <v>61</v>
      </c>
      <c r="I1158" s="13" t="s">
        <v>22</v>
      </c>
      <c r="K1158" s="187"/>
      <c r="L1158" s="187"/>
      <c r="M1158" s="188">
        <f>IF($G1158="PAX",M207*'Insumos - OPEX'!I$51,M207*'Insumos - OPEX'!I$76)</f>
        <v>0</v>
      </c>
      <c r="N1158" s="211">
        <f>IF($G1158="PAX",N207*'Insumos - OPEX'!J$51,N207*'Insumos - OPEX'!J$76)</f>
        <v>0</v>
      </c>
      <c r="O1158" s="211">
        <f>IF($G1158="PAX",O207*'Insumos - OPEX'!K$51,O207*'Insumos - OPEX'!K$76)</f>
        <v>0</v>
      </c>
      <c r="P1158" s="211">
        <f>IF($G1158="PAX",P207*'Insumos - OPEX'!L$51,P207*'Insumos - OPEX'!L$76)</f>
        <v>0</v>
      </c>
      <c r="Q1158" s="211">
        <f>IF($G1158="PAX",Q207*'Insumos - OPEX'!M$51,Q207*'Insumos - OPEX'!M$76)</f>
        <v>0</v>
      </c>
      <c r="R1158" s="211">
        <f>IF($G1158="PAX",R207*'Insumos - OPEX'!N$51,R207*'Insumos - OPEX'!N$76)</f>
        <v>0</v>
      </c>
      <c r="S1158" s="111"/>
    </row>
    <row r="1159" spans="1:19" x14ac:dyDescent="0.2">
      <c r="A1159" s="8"/>
      <c r="B1159" s="8" t="s">
        <v>434</v>
      </c>
      <c r="C1159" s="8" t="s">
        <v>172</v>
      </c>
      <c r="D1159" s="8">
        <v>6380000024</v>
      </c>
      <c r="E1159" s="8" t="s">
        <v>306</v>
      </c>
      <c r="F1159" s="73" t="s">
        <v>23</v>
      </c>
      <c r="G1159" s="73" t="s">
        <v>136</v>
      </c>
      <c r="H1159" s="112" t="s">
        <v>61</v>
      </c>
      <c r="I1159" s="13" t="s">
        <v>22</v>
      </c>
      <c r="K1159" s="187"/>
      <c r="L1159" s="187"/>
      <c r="M1159" s="188">
        <f>IF($G1159="PAX",M208*'Insumos - OPEX'!I$51,M208*'Insumos - OPEX'!I$76)</f>
        <v>0</v>
      </c>
      <c r="N1159" s="211">
        <f>IF($G1159="PAX",N208*'Insumos - OPEX'!J$51,N208*'Insumos - OPEX'!J$76)</f>
        <v>0</v>
      </c>
      <c r="O1159" s="211">
        <f>IF($G1159="PAX",O208*'Insumos - OPEX'!K$51,O208*'Insumos - OPEX'!K$76)</f>
        <v>0</v>
      </c>
      <c r="P1159" s="211">
        <f>IF($G1159="PAX",P208*'Insumos - OPEX'!L$51,P208*'Insumos - OPEX'!L$76)</f>
        <v>0</v>
      </c>
      <c r="Q1159" s="211">
        <f>IF($G1159="PAX",Q208*'Insumos - OPEX'!M$51,Q208*'Insumos - OPEX'!M$76)</f>
        <v>0</v>
      </c>
      <c r="R1159" s="211">
        <f>IF($G1159="PAX",R208*'Insumos - OPEX'!N$51,R208*'Insumos - OPEX'!N$76)</f>
        <v>0</v>
      </c>
      <c r="S1159" s="111"/>
    </row>
    <row r="1160" spans="1:19" x14ac:dyDescent="0.2">
      <c r="A1160" s="8"/>
      <c r="B1160" s="8" t="s">
        <v>434</v>
      </c>
      <c r="C1160" s="8" t="s">
        <v>172</v>
      </c>
      <c r="D1160" s="8">
        <v>6380000025</v>
      </c>
      <c r="E1160" s="8" t="s">
        <v>319</v>
      </c>
      <c r="F1160" s="73" t="s">
        <v>23</v>
      </c>
      <c r="G1160" s="73" t="s">
        <v>136</v>
      </c>
      <c r="H1160" s="112" t="s">
        <v>61</v>
      </c>
      <c r="I1160" s="13" t="s">
        <v>22</v>
      </c>
      <c r="K1160" s="187"/>
      <c r="L1160" s="187"/>
      <c r="M1160" s="188">
        <f>IF($G1160="PAX",M209*'Insumos - OPEX'!I$51,M209*'Insumos - OPEX'!I$76)</f>
        <v>0</v>
      </c>
      <c r="N1160" s="211">
        <f>IF($G1160="PAX",N209*'Insumos - OPEX'!J$51,N209*'Insumos - OPEX'!J$76)</f>
        <v>0</v>
      </c>
      <c r="O1160" s="211">
        <f>IF($G1160="PAX",O209*'Insumos - OPEX'!K$51,O209*'Insumos - OPEX'!K$76)</f>
        <v>0</v>
      </c>
      <c r="P1160" s="211">
        <f>IF($G1160="PAX",P209*'Insumos - OPEX'!L$51,P209*'Insumos - OPEX'!L$76)</f>
        <v>0</v>
      </c>
      <c r="Q1160" s="211">
        <f>IF($G1160="PAX",Q209*'Insumos - OPEX'!M$51,Q209*'Insumos - OPEX'!M$76)</f>
        <v>0</v>
      </c>
      <c r="R1160" s="211">
        <f>IF($G1160="PAX",R209*'Insumos - OPEX'!N$51,R209*'Insumos - OPEX'!N$76)</f>
        <v>0</v>
      </c>
      <c r="S1160" s="111"/>
    </row>
    <row r="1161" spans="1:19" x14ac:dyDescent="0.2">
      <c r="A1161" s="8"/>
      <c r="B1161" s="8" t="s">
        <v>434</v>
      </c>
      <c r="C1161" s="8" t="s">
        <v>171</v>
      </c>
      <c r="D1161" s="8">
        <v>6320000004</v>
      </c>
      <c r="E1161" s="8" t="s">
        <v>340</v>
      </c>
      <c r="F1161" s="73" t="s">
        <v>23</v>
      </c>
      <c r="G1161" s="73" t="s">
        <v>136</v>
      </c>
      <c r="H1161" s="112" t="s">
        <v>61</v>
      </c>
      <c r="I1161" s="13" t="s">
        <v>22</v>
      </c>
      <c r="K1161" s="187"/>
      <c r="L1161" s="187"/>
      <c r="M1161" s="188">
        <f>IF($G1161="PAX",M210*'Insumos - OPEX'!I$51,M210*'Insumos - OPEX'!I$76)</f>
        <v>17346.081259008752</v>
      </c>
      <c r="N1161" s="211">
        <f>IF($G1161="PAX",N210*'Insumos - OPEX'!J$51,N210*'Insumos - OPEX'!J$76)</f>
        <v>17548.089673761879</v>
      </c>
      <c r="O1161" s="211">
        <f>IF($G1161="PAX",O210*'Insumos - OPEX'!K$51,O210*'Insumos - OPEX'!K$76)</f>
        <v>17956.98675355516</v>
      </c>
      <c r="P1161" s="211">
        <f>IF($G1161="PAX",P210*'Insumos - OPEX'!L$51,P210*'Insumos - OPEX'!L$76)</f>
        <v>18336.936097023292</v>
      </c>
      <c r="Q1161" s="211">
        <f>IF($G1161="PAX",Q210*'Insumos - OPEX'!M$51,Q210*'Insumos - OPEX'!M$76)</f>
        <v>18995.262989913816</v>
      </c>
      <c r="R1161" s="211">
        <f>IF($G1161="PAX",R210*'Insumos - OPEX'!N$51,R210*'Insumos - OPEX'!N$76)</f>
        <v>19576.915643535653</v>
      </c>
      <c r="S1161" s="111"/>
    </row>
    <row r="1162" spans="1:19" x14ac:dyDescent="0.2">
      <c r="A1162" s="8"/>
      <c r="B1162" s="8" t="s">
        <v>434</v>
      </c>
      <c r="C1162" s="8" t="s">
        <v>171</v>
      </c>
      <c r="D1162" s="8">
        <v>6380000007</v>
      </c>
      <c r="E1162" s="8" t="s">
        <v>329</v>
      </c>
      <c r="F1162" s="73" t="s">
        <v>23</v>
      </c>
      <c r="G1162" s="73" t="s">
        <v>471</v>
      </c>
      <c r="H1162" s="112" t="s">
        <v>61</v>
      </c>
      <c r="I1162" s="13" t="s">
        <v>22</v>
      </c>
      <c r="K1162" s="187"/>
      <c r="L1162" s="187"/>
      <c r="M1162" s="188">
        <f>IF($G1162="PAX",M211*'Insumos - OPEX'!I$51,M211*'Insumos - OPEX'!I$76)</f>
        <v>3862.9943944807087</v>
      </c>
      <c r="N1162" s="211">
        <f>IF($G1162="PAX",N211*'Insumos - OPEX'!J$51,N211*'Insumos - OPEX'!J$76)</f>
        <v>4037.2409582802584</v>
      </c>
      <c r="O1162" s="211">
        <f>IF($G1162="PAX",O211*'Insumos - OPEX'!K$51,O211*'Insumos - OPEX'!K$76)</f>
        <v>4214.6030473832006</v>
      </c>
      <c r="P1162" s="211">
        <f>IF($G1162="PAX",P211*'Insumos - OPEX'!L$51,P211*'Insumos - OPEX'!L$76)</f>
        <v>4394.2709355448378</v>
      </c>
      <c r="Q1162" s="211">
        <f>IF($G1162="PAX",Q211*'Insumos - OPEX'!M$51,Q211*'Insumos - OPEX'!M$76)</f>
        <v>4605.3454037884294</v>
      </c>
      <c r="R1162" s="211">
        <f>IF($G1162="PAX",R211*'Insumos - OPEX'!N$51,R211*'Insumos - OPEX'!N$76)</f>
        <v>4815.7857970905161</v>
      </c>
      <c r="S1162" s="111"/>
    </row>
    <row r="1163" spans="1:19" x14ac:dyDescent="0.2">
      <c r="A1163" s="8"/>
      <c r="B1163" s="8" t="s">
        <v>434</v>
      </c>
      <c r="C1163" s="8" t="s">
        <v>171</v>
      </c>
      <c r="D1163" s="8">
        <v>6381000004</v>
      </c>
      <c r="E1163" s="8" t="s">
        <v>350</v>
      </c>
      <c r="F1163" s="73" t="s">
        <v>23</v>
      </c>
      <c r="G1163" s="73" t="s">
        <v>136</v>
      </c>
      <c r="H1163" s="112" t="s">
        <v>61</v>
      </c>
      <c r="I1163" s="13" t="s">
        <v>22</v>
      </c>
      <c r="J1163" s="11"/>
      <c r="K1163" s="187"/>
      <c r="L1163" s="187"/>
      <c r="M1163" s="188">
        <f>IF($G1163="PAX",M212*'Insumos - OPEX'!I$51,M212*'Insumos - OPEX'!I$76)</f>
        <v>11706.813118242289</v>
      </c>
      <c r="N1163" s="211">
        <f>IF($G1163="PAX",N212*'Insumos - OPEX'!J$51,N212*'Insumos - OPEX'!J$76)</f>
        <v>11843.147932112655</v>
      </c>
      <c r="O1163" s="211">
        <f>IF($G1163="PAX",O212*'Insumos - OPEX'!K$51,O212*'Insumos - OPEX'!K$76)</f>
        <v>12119.111224700649</v>
      </c>
      <c r="P1163" s="211">
        <f>IF($G1163="PAX",P212*'Insumos - OPEX'!L$51,P212*'Insumos - OPEX'!L$76)</f>
        <v>12375.537785372397</v>
      </c>
      <c r="Q1163" s="211">
        <f>IF($G1163="PAX",Q212*'Insumos - OPEX'!M$51,Q212*'Insumos - OPEX'!M$76)</f>
        <v>12819.840437406838</v>
      </c>
      <c r="R1163" s="211">
        <f>IF($G1163="PAX",R212*'Insumos - OPEX'!N$51,R212*'Insumos - OPEX'!N$76)</f>
        <v>13212.39589785956</v>
      </c>
      <c r="S1163" s="111"/>
    </row>
    <row r="1164" spans="1:19" x14ac:dyDescent="0.2">
      <c r="A1164" s="8"/>
      <c r="B1164" s="8" t="s">
        <v>434</v>
      </c>
      <c r="C1164" s="8" t="s">
        <v>171</v>
      </c>
      <c r="D1164" s="8">
        <v>6380000021</v>
      </c>
      <c r="E1164" s="8" t="s">
        <v>330</v>
      </c>
      <c r="F1164" s="73" t="s">
        <v>23</v>
      </c>
      <c r="G1164" s="73" t="s">
        <v>136</v>
      </c>
      <c r="H1164" s="112" t="s">
        <v>61</v>
      </c>
      <c r="I1164" s="13" t="s">
        <v>22</v>
      </c>
      <c r="K1164" s="187"/>
      <c r="L1164" s="187"/>
      <c r="M1164" s="188">
        <f>IF($G1164="PAX",M213*'Insumos - OPEX'!I$51,M213*'Insumos - OPEX'!I$76)</f>
        <v>7486.4703913372568</v>
      </c>
      <c r="N1164" s="211">
        <f>IF($G1164="PAX",N213*'Insumos - OPEX'!J$51,N213*'Insumos - OPEX'!J$76)</f>
        <v>7573.6560785981655</v>
      </c>
      <c r="O1164" s="211">
        <f>IF($G1164="PAX",O213*'Insumos - OPEX'!K$51,O213*'Insumos - OPEX'!K$76)</f>
        <v>7750.1337414931677</v>
      </c>
      <c r="P1164" s="211">
        <f>IF($G1164="PAX",P213*'Insumos - OPEX'!L$51,P213*'Insumos - OPEX'!L$76)</f>
        <v>7914.1177254033601</v>
      </c>
      <c r="Q1164" s="211">
        <f>IF($G1164="PAX",Q213*'Insumos - OPEX'!M$51,Q213*'Insumos - OPEX'!M$76)</f>
        <v>8198.2478824027312</v>
      </c>
      <c r="R1164" s="211">
        <f>IF($G1164="PAX",R213*'Insumos - OPEX'!N$51,R213*'Insumos - OPEX'!N$76)</f>
        <v>8449.2858721573957</v>
      </c>
      <c r="S1164" s="111"/>
    </row>
    <row r="1165" spans="1:19" x14ac:dyDescent="0.2">
      <c r="A1165" s="8"/>
      <c r="B1165" s="8" t="s">
        <v>434</v>
      </c>
      <c r="C1165" s="8" t="s">
        <v>171</v>
      </c>
      <c r="D1165" s="8">
        <v>6380000030</v>
      </c>
      <c r="E1165" s="8" t="s">
        <v>326</v>
      </c>
      <c r="F1165" s="73" t="s">
        <v>23</v>
      </c>
      <c r="G1165" s="73" t="s">
        <v>136</v>
      </c>
      <c r="H1165" s="112" t="s">
        <v>61</v>
      </c>
      <c r="I1165" s="13" t="s">
        <v>22</v>
      </c>
      <c r="K1165" s="187"/>
      <c r="L1165" s="187"/>
      <c r="M1165" s="188">
        <f>IF($G1165="PAX",M214*'Insumos - OPEX'!I$51,M214*'Insumos - OPEX'!I$76)</f>
        <v>25821.957129215545</v>
      </c>
      <c r="N1165" s="211">
        <f>IF($G1165="PAX",N214*'Insumos - OPEX'!J$51,N214*'Insumos - OPEX'!J$76)</f>
        <v>26122.673616565495</v>
      </c>
      <c r="O1165" s="211">
        <f>IF($G1165="PAX",O214*'Insumos - OPEX'!K$51,O214*'Insumos - OPEX'!K$76)</f>
        <v>26731.371495182895</v>
      </c>
      <c r="P1165" s="211">
        <f>IF($G1165="PAX",P214*'Insumos - OPEX'!L$51,P214*'Insumos - OPEX'!L$76)</f>
        <v>27296.976804636422</v>
      </c>
      <c r="Q1165" s="211">
        <f>IF($G1165="PAX",Q214*'Insumos - OPEX'!M$51,Q214*'Insumos - OPEX'!M$76)</f>
        <v>28276.98425135584</v>
      </c>
      <c r="R1165" s="211">
        <f>IF($G1165="PAX",R214*'Insumos - OPEX'!N$51,R214*'Insumos - OPEX'!N$76)</f>
        <v>29142.851859240887</v>
      </c>
      <c r="S1165" s="111"/>
    </row>
    <row r="1166" spans="1:19" x14ac:dyDescent="0.2">
      <c r="A1166" s="8"/>
      <c r="B1166" s="8" t="s">
        <v>434</v>
      </c>
      <c r="C1166" s="8" t="s">
        <v>171</v>
      </c>
      <c r="D1166" s="8">
        <v>6320000001</v>
      </c>
      <c r="E1166" s="8" t="s">
        <v>324</v>
      </c>
      <c r="F1166" s="73" t="s">
        <v>23</v>
      </c>
      <c r="G1166" s="73" t="s">
        <v>136</v>
      </c>
      <c r="H1166" s="112" t="s">
        <v>61</v>
      </c>
      <c r="I1166" s="13" t="s">
        <v>22</v>
      </c>
      <c r="K1166" s="187"/>
      <c r="L1166" s="187"/>
      <c r="M1166" s="188">
        <f>IF($G1166="PAX",M215*'Insumos - OPEX'!I$51,M215*'Insumos - OPEX'!I$76)</f>
        <v>8490.8274768104839</v>
      </c>
      <c r="N1166" s="211">
        <f>IF($G1166="PAX",N215*'Insumos - OPEX'!J$51,N215*'Insumos - OPEX'!J$76)</f>
        <v>8589.7096723289651</v>
      </c>
      <c r="O1166" s="211">
        <f>IF($G1166="PAX",O215*'Insumos - OPEX'!K$51,O215*'Insumos - OPEX'!K$76)</f>
        <v>8789.8629235708395</v>
      </c>
      <c r="P1166" s="211">
        <f>IF($G1166="PAX",P215*'Insumos - OPEX'!L$51,P215*'Insumos - OPEX'!L$76)</f>
        <v>8975.8463902192398</v>
      </c>
      <c r="Q1166" s="211">
        <f>IF($G1166="PAX",Q215*'Insumos - OPEX'!M$51,Q215*'Insumos - OPEX'!M$76)</f>
        <v>9298.0943946770258</v>
      </c>
      <c r="R1166" s="211">
        <f>IF($G1166="PAX",R215*'Insumos - OPEX'!N$51,R215*'Insumos - OPEX'!N$76)</f>
        <v>9582.8107095373107</v>
      </c>
      <c r="S1166" s="111"/>
    </row>
    <row r="1167" spans="1:19" x14ac:dyDescent="0.2">
      <c r="A1167" s="8"/>
      <c r="B1167" s="8" t="s">
        <v>434</v>
      </c>
      <c r="C1167" s="8" t="s">
        <v>171</v>
      </c>
      <c r="D1167" s="8">
        <v>6360000004</v>
      </c>
      <c r="E1167" s="8" t="s">
        <v>353</v>
      </c>
      <c r="F1167" s="73" t="s">
        <v>23</v>
      </c>
      <c r="G1167" s="73" t="s">
        <v>136</v>
      </c>
      <c r="H1167" s="112" t="s">
        <v>61</v>
      </c>
      <c r="I1167" s="13" t="s">
        <v>22</v>
      </c>
      <c r="K1167" s="187"/>
      <c r="L1167" s="187"/>
      <c r="M1167" s="188">
        <f>IF($G1167="PAX",M216*'Insumos - OPEX'!I$51,M216*'Insumos - OPEX'!I$76)</f>
        <v>3520.3554973355131</v>
      </c>
      <c r="N1167" s="211">
        <f>IF($G1167="PAX",N216*'Insumos - OPEX'!J$51,N216*'Insumos - OPEX'!J$76)</f>
        <v>3561.3527360066314</v>
      </c>
      <c r="O1167" s="211">
        <f>IF($G1167="PAX",O216*'Insumos - OPEX'!K$51,O216*'Insumos - OPEX'!K$76)</f>
        <v>3644.3376512275913</v>
      </c>
      <c r="P1167" s="211">
        <f>IF($G1167="PAX",P216*'Insumos - OPEX'!L$51,P216*'Insumos - OPEX'!L$76)</f>
        <v>3721.4476762536983</v>
      </c>
      <c r="Q1167" s="211">
        <f>IF($G1167="PAX",Q216*'Insumos - OPEX'!M$51,Q216*'Insumos - OPEX'!M$76)</f>
        <v>3855.0539162929199</v>
      </c>
      <c r="R1167" s="211">
        <f>IF($G1167="PAX",R216*'Insumos - OPEX'!N$51,R216*'Insumos - OPEX'!N$76)</f>
        <v>3973.099259569171</v>
      </c>
      <c r="S1167" s="111"/>
    </row>
    <row r="1168" spans="1:19" x14ac:dyDescent="0.2">
      <c r="A1168" s="8"/>
      <c r="B1168" s="8" t="s">
        <v>434</v>
      </c>
      <c r="C1168" s="8" t="s">
        <v>171</v>
      </c>
      <c r="D1168" s="8">
        <v>6360000001</v>
      </c>
      <c r="E1168" s="8" t="s">
        <v>331</v>
      </c>
      <c r="F1168" s="73" t="s">
        <v>23</v>
      </c>
      <c r="G1168" s="73" t="s">
        <v>136</v>
      </c>
      <c r="H1168" s="112" t="s">
        <v>61</v>
      </c>
      <c r="I1168" s="13" t="s">
        <v>22</v>
      </c>
      <c r="J1168" s="11"/>
      <c r="K1168" s="187"/>
      <c r="L1168" s="187"/>
      <c r="M1168" s="188">
        <f>IF($G1168="PAX",M217*'Insumos - OPEX'!I$51,M217*'Insumos - OPEX'!I$76)</f>
        <v>2173.8211960037884</v>
      </c>
      <c r="N1168" s="211">
        <f>IF($G1168="PAX",N217*'Insumos - OPEX'!J$51,N217*'Insumos - OPEX'!J$76)</f>
        <v>2199.1370104061571</v>
      </c>
      <c r="O1168" s="211">
        <f>IF($G1168="PAX",O217*'Insumos - OPEX'!K$51,O217*'Insumos - OPEX'!K$76)</f>
        <v>2250.3802350726532</v>
      </c>
      <c r="P1168" s="211">
        <f>IF($G1168="PAX",P217*'Insumos - OPEX'!L$51,P217*'Insumos - OPEX'!L$76)</f>
        <v>2297.995712246196</v>
      </c>
      <c r="Q1168" s="211">
        <f>IF($G1168="PAX",Q217*'Insumos - OPEX'!M$51,Q217*'Insumos - OPEX'!M$76)</f>
        <v>2380.4976290939276</v>
      </c>
      <c r="R1168" s="211">
        <f>IF($G1168="PAX",R217*'Insumos - OPEX'!N$51,R217*'Insumos - OPEX'!N$76)</f>
        <v>2453.3906847804001</v>
      </c>
      <c r="S1168" s="111"/>
    </row>
    <row r="1169" spans="1:19" x14ac:dyDescent="0.2">
      <c r="A1169" s="8"/>
      <c r="B1169" s="8" t="s">
        <v>434</v>
      </c>
      <c r="C1169" s="8" t="s">
        <v>171</v>
      </c>
      <c r="D1169" s="8">
        <v>6356000002</v>
      </c>
      <c r="E1169" s="8" t="s">
        <v>337</v>
      </c>
      <c r="F1169" s="73" t="s">
        <v>23</v>
      </c>
      <c r="G1169" s="73" t="s">
        <v>136</v>
      </c>
      <c r="H1169" s="112" t="s">
        <v>61</v>
      </c>
      <c r="I1169" s="13" t="s">
        <v>22</v>
      </c>
      <c r="K1169" s="187"/>
      <c r="L1169" s="187"/>
      <c r="M1169" s="188">
        <f>IF($G1169="PAX",M218*'Insumos - OPEX'!I$51,M218*'Insumos - OPEX'!I$76)</f>
        <v>1195.9318077427645</v>
      </c>
      <c r="N1169" s="211">
        <f>IF($G1169="PAX",N218*'Insumos - OPEX'!J$51,N218*'Insumos - OPEX'!J$76)</f>
        <v>1209.859350513238</v>
      </c>
      <c r="O1169" s="211">
        <f>IF($G1169="PAX",O218*'Insumos - OPEX'!K$51,O218*'Insumos - OPEX'!K$76)</f>
        <v>1238.0509066645125</v>
      </c>
      <c r="P1169" s="211">
        <f>IF($G1169="PAX",P218*'Insumos - OPEX'!L$51,P218*'Insumos - OPEX'!L$76)</f>
        <v>1264.2466507290994</v>
      </c>
      <c r="Q1169" s="211">
        <f>IF($G1169="PAX",Q218*'Insumos - OPEX'!M$51,Q218*'Insumos - OPEX'!M$76)</f>
        <v>1309.6352350061015</v>
      </c>
      <c r="R1169" s="211">
        <f>IF($G1169="PAX",R218*'Insumos - OPEX'!N$51,R218*'Insumos - OPEX'!N$76)</f>
        <v>1349.7374862948795</v>
      </c>
      <c r="S1169" s="111"/>
    </row>
    <row r="1170" spans="1:19" x14ac:dyDescent="0.2">
      <c r="A1170" s="8"/>
      <c r="B1170" s="8" t="s">
        <v>434</v>
      </c>
      <c r="C1170" s="8" t="s">
        <v>171</v>
      </c>
      <c r="D1170" s="8">
        <v>6360000002</v>
      </c>
      <c r="E1170" s="8" t="s">
        <v>320</v>
      </c>
      <c r="F1170" s="73" t="s">
        <v>23</v>
      </c>
      <c r="G1170" s="73" t="s">
        <v>471</v>
      </c>
      <c r="H1170" s="112" t="s">
        <v>61</v>
      </c>
      <c r="I1170" s="13" t="s">
        <v>22</v>
      </c>
      <c r="K1170" s="187"/>
      <c r="L1170" s="187"/>
      <c r="M1170" s="188">
        <f>IF($G1170="PAX",M219*'Insumos - OPEX'!I$51,M219*'Insumos - OPEX'!I$76)</f>
        <v>501.51197977314251</v>
      </c>
      <c r="N1170" s="211">
        <f>IF($G1170="PAX",N219*'Insumos - OPEX'!J$51,N219*'Insumos - OPEX'!J$76)</f>
        <v>524.13348274623354</v>
      </c>
      <c r="O1170" s="211">
        <f>IF($G1170="PAX",O219*'Insumos - OPEX'!K$51,O219*'Insumos - OPEX'!K$76)</f>
        <v>547.15945776959995</v>
      </c>
      <c r="P1170" s="211">
        <f>IF($G1170="PAX",P219*'Insumos - OPEX'!L$51,P219*'Insumos - OPEX'!L$76)</f>
        <v>570.4847823992036</v>
      </c>
      <c r="Q1170" s="211">
        <f>IF($G1170="PAX",Q219*'Insumos - OPEX'!M$51,Q219*'Insumos - OPEX'!M$76)</f>
        <v>597.88745598310811</v>
      </c>
      <c r="R1170" s="211">
        <f>IF($G1170="PAX",R219*'Insumos - OPEX'!N$51,R219*'Insumos - OPEX'!N$76)</f>
        <v>625.20781099577823</v>
      </c>
      <c r="S1170" s="111"/>
    </row>
    <row r="1171" spans="1:19" x14ac:dyDescent="0.2">
      <c r="A1171" s="8"/>
      <c r="B1171" s="8" t="s">
        <v>434</v>
      </c>
      <c r="C1171" s="8" t="s">
        <v>171</v>
      </c>
      <c r="D1171" s="8">
        <v>6320000002</v>
      </c>
      <c r="E1171" s="8" t="s">
        <v>346</v>
      </c>
      <c r="F1171" s="73" t="s">
        <v>23</v>
      </c>
      <c r="G1171" s="73" t="s">
        <v>136</v>
      </c>
      <c r="H1171" s="112" t="s">
        <v>61</v>
      </c>
      <c r="I1171" s="13" t="s">
        <v>22</v>
      </c>
      <c r="K1171" s="187"/>
      <c r="L1171" s="187"/>
      <c r="M1171" s="188">
        <f>IF($G1171="PAX",M220*'Insumos - OPEX'!I$51,M220*'Insumos - OPEX'!I$76)</f>
        <v>629.46359221028263</v>
      </c>
      <c r="N1171" s="211">
        <f>IF($G1171="PAX",N220*'Insumos - OPEX'!J$51,N220*'Insumos - OPEX'!J$76)</f>
        <v>636.79417832414435</v>
      </c>
      <c r="O1171" s="211">
        <f>IF($G1171="PAX",O220*'Insumos - OPEX'!K$51,O220*'Insumos - OPEX'!K$76)</f>
        <v>651.6324476051268</v>
      </c>
      <c r="P1171" s="211">
        <f>IF($G1171="PAX",P220*'Insumos - OPEX'!L$51,P220*'Insumos - OPEX'!L$76)</f>
        <v>665.42024641837043</v>
      </c>
      <c r="Q1171" s="211">
        <f>IF($G1171="PAX",Q220*'Insumos - OPEX'!M$51,Q220*'Insumos - OPEX'!M$76)</f>
        <v>689.30995410853154</v>
      </c>
      <c r="R1171" s="211">
        <f>IF($G1171="PAX",R220*'Insumos - OPEX'!N$51,R220*'Insumos - OPEX'!N$76)</f>
        <v>710.4172672417094</v>
      </c>
      <c r="S1171" s="111"/>
    </row>
    <row r="1172" spans="1:19" x14ac:dyDescent="0.2">
      <c r="A1172" s="8"/>
      <c r="B1172" s="8" t="s">
        <v>434</v>
      </c>
      <c r="C1172" s="8" t="s">
        <v>171</v>
      </c>
      <c r="D1172" s="8">
        <v>6360000005</v>
      </c>
      <c r="E1172" s="8" t="s">
        <v>354</v>
      </c>
      <c r="F1172" s="73" t="s">
        <v>23</v>
      </c>
      <c r="G1172" s="73" t="s">
        <v>136</v>
      </c>
      <c r="H1172" s="112" t="s">
        <v>61</v>
      </c>
      <c r="I1172" s="13" t="s">
        <v>22</v>
      </c>
      <c r="K1172" s="187"/>
      <c r="L1172" s="187"/>
      <c r="M1172" s="188">
        <f>IF($G1172="PAX",M221*'Insumos - OPEX'!I$51,M221*'Insumos - OPEX'!I$76)</f>
        <v>231.54947176352618</v>
      </c>
      <c r="N1172" s="211">
        <f>IF($G1172="PAX",N221*'Insumos - OPEX'!J$51,N221*'Insumos - OPEX'!J$76)</f>
        <v>234.24604288120042</v>
      </c>
      <c r="O1172" s="211">
        <f>IF($G1172="PAX",O221*'Insumos - OPEX'!K$51,O221*'Insumos - OPEX'!K$76)</f>
        <v>239.70433063034895</v>
      </c>
      <c r="P1172" s="211">
        <f>IF($G1172="PAX",P221*'Insumos - OPEX'!L$51,P221*'Insumos - OPEX'!L$76)</f>
        <v>244.77620066619659</v>
      </c>
      <c r="Q1172" s="211">
        <f>IF($G1172="PAX",Q221*'Insumos - OPEX'!M$51,Q221*'Insumos - OPEX'!M$76)</f>
        <v>253.56407857477942</v>
      </c>
      <c r="R1172" s="211">
        <f>IF($G1172="PAX",R221*'Insumos - OPEX'!N$51,R221*'Insumos - OPEX'!N$76)</f>
        <v>261.32844694622594</v>
      </c>
      <c r="S1172" s="111"/>
    </row>
    <row r="1173" spans="1:19" ht="14.45" customHeight="1" x14ac:dyDescent="0.2">
      <c r="A1173" s="8"/>
      <c r="B1173" s="8" t="s">
        <v>434</v>
      </c>
      <c r="C1173" s="8" t="s">
        <v>171</v>
      </c>
      <c r="D1173" s="8">
        <v>6360000003</v>
      </c>
      <c r="E1173" s="8" t="s">
        <v>322</v>
      </c>
      <c r="F1173" s="73" t="s">
        <v>23</v>
      </c>
      <c r="G1173" s="73" t="s">
        <v>471</v>
      </c>
      <c r="H1173" s="112" t="s">
        <v>61</v>
      </c>
      <c r="I1173" s="13" t="s">
        <v>22</v>
      </c>
      <c r="K1173" s="187"/>
      <c r="L1173" s="187"/>
      <c r="M1173" s="188">
        <f>IF($G1173="PAX",M222*'Insumos - OPEX'!I$51,M222*'Insumos - OPEX'!I$76)</f>
        <v>69.547007235688483</v>
      </c>
      <c r="N1173" s="211">
        <f>IF($G1173="PAX",N222*'Insumos - OPEX'!J$51,N222*'Insumos - OPEX'!J$76)</f>
        <v>72.684036647554905</v>
      </c>
      <c r="O1173" s="211">
        <f>IF($G1173="PAX",O222*'Insumos - OPEX'!K$51,O222*'Insumos - OPEX'!K$76)</f>
        <v>75.877156086662282</v>
      </c>
      <c r="P1173" s="211">
        <f>IF($G1173="PAX",P222*'Insumos - OPEX'!L$51,P222*'Insumos - OPEX'!L$76)</f>
        <v>79.111787732996305</v>
      </c>
      <c r="Q1173" s="211">
        <f>IF($G1173="PAX",Q222*'Insumos - OPEX'!M$51,Q222*'Insumos - OPEX'!M$76)</f>
        <v>82.911844391421653</v>
      </c>
      <c r="R1173" s="211">
        <f>IF($G1173="PAX",R222*'Insumos - OPEX'!N$51,R222*'Insumos - OPEX'!N$76)</f>
        <v>86.700485549320291</v>
      </c>
      <c r="S1173" s="111"/>
    </row>
    <row r="1174" spans="1:19" x14ac:dyDescent="0.2">
      <c r="A1174" s="8"/>
      <c r="B1174" s="8" t="s">
        <v>434</v>
      </c>
      <c r="C1174" s="8" t="s">
        <v>171</v>
      </c>
      <c r="D1174" s="8">
        <v>6370000003</v>
      </c>
      <c r="E1174" s="8" t="s">
        <v>339</v>
      </c>
      <c r="F1174" s="73" t="s">
        <v>23</v>
      </c>
      <c r="G1174" s="73" t="s">
        <v>136</v>
      </c>
      <c r="H1174" s="112" t="s">
        <v>61</v>
      </c>
      <c r="I1174" s="13" t="s">
        <v>22</v>
      </c>
      <c r="K1174" s="187"/>
      <c r="L1174" s="187"/>
      <c r="M1174" s="188">
        <f>IF($G1174="PAX",M223*'Insumos - OPEX'!I$51,M223*'Insumos - OPEX'!I$76)</f>
        <v>16.078025622269539</v>
      </c>
      <c r="N1174" s="211">
        <f>IF($G1174="PAX",N223*'Insumos - OPEX'!J$51,N223*'Insumos - OPEX'!J$76)</f>
        <v>16.265266556969301</v>
      </c>
      <c r="O1174" s="211">
        <f>IF($G1174="PAX",O223*'Insumos - OPEX'!K$51,O223*'Insumos - OPEX'!K$76)</f>
        <v>16.644271914295942</v>
      </c>
      <c r="P1174" s="211">
        <f>IF($G1174="PAX",P223*'Insumos - OPEX'!L$51,P223*'Insumos - OPEX'!L$76)</f>
        <v>16.996445710107743</v>
      </c>
      <c r="Q1174" s="211">
        <f>IF($G1174="PAX",Q223*'Insumos - OPEX'!M$51,Q223*'Insumos - OPEX'!M$76)</f>
        <v>17.606646740166095</v>
      </c>
      <c r="R1174" s="211">
        <f>IF($G1174="PAX",R223*'Insumos - OPEX'!N$51,R223*'Insumos - OPEX'!N$76)</f>
        <v>18.145778670228744</v>
      </c>
      <c r="S1174" s="111"/>
    </row>
    <row r="1175" spans="1:19" x14ac:dyDescent="0.2">
      <c r="A1175" s="8"/>
      <c r="B1175" s="8" t="s">
        <v>434</v>
      </c>
      <c r="C1175" s="8" t="s">
        <v>171</v>
      </c>
      <c r="D1175" s="8">
        <v>6380000022</v>
      </c>
      <c r="E1175" s="8" t="s">
        <v>328</v>
      </c>
      <c r="F1175" s="73" t="s">
        <v>23</v>
      </c>
      <c r="G1175" s="73" t="s">
        <v>136</v>
      </c>
      <c r="H1175" s="112" t="s">
        <v>61</v>
      </c>
      <c r="I1175" s="13" t="s">
        <v>22</v>
      </c>
      <c r="K1175" s="187"/>
      <c r="L1175" s="187"/>
      <c r="M1175" s="188">
        <f>IF($G1175="PAX",M224*'Insumos - OPEX'!I$51,M224*'Insumos - OPEX'!I$76)</f>
        <v>13.594127586914775</v>
      </c>
      <c r="N1175" s="211">
        <f>IF($G1175="PAX",N224*'Insumos - OPEX'!J$51,N224*'Insumos - OPEX'!J$76)</f>
        <v>13.752441624695393</v>
      </c>
      <c r="O1175" s="211">
        <f>IF($G1175="PAX",O224*'Insumos - OPEX'!K$51,O224*'Insumos - OPEX'!K$76)</f>
        <v>14.072894353448746</v>
      </c>
      <c r="P1175" s="211">
        <f>IF($G1175="PAX",P224*'Insumos - OPEX'!L$51,P224*'Insumos - OPEX'!L$76)</f>
        <v>14.370660735062332</v>
      </c>
      <c r="Q1175" s="211">
        <f>IF($G1175="PAX",Q224*'Insumos - OPEX'!M$51,Q224*'Insumos - OPEX'!M$76)</f>
        <v>14.886591661605358</v>
      </c>
      <c r="R1175" s="211">
        <f>IF($G1175="PAX",R224*'Insumos - OPEX'!N$51,R224*'Insumos - OPEX'!N$76)</f>
        <v>15.342432970459841</v>
      </c>
      <c r="S1175" s="111"/>
    </row>
    <row r="1176" spans="1:19" x14ac:dyDescent="0.2">
      <c r="A1176" s="8"/>
      <c r="B1176" s="8" t="s">
        <v>434</v>
      </c>
      <c r="C1176" s="8" t="s">
        <v>171</v>
      </c>
      <c r="D1176" s="8">
        <v>6380000010</v>
      </c>
      <c r="E1176" s="8" t="s">
        <v>332</v>
      </c>
      <c r="F1176" s="73" t="s">
        <v>23</v>
      </c>
      <c r="G1176" s="73" t="s">
        <v>136</v>
      </c>
      <c r="H1176" s="112" t="s">
        <v>61</v>
      </c>
      <c r="I1176" s="13" t="s">
        <v>22</v>
      </c>
      <c r="K1176" s="187"/>
      <c r="L1176" s="187"/>
      <c r="M1176" s="188">
        <f>IF($G1176="PAX",M225*'Insumos - OPEX'!I$51,M225*'Insumos - OPEX'!I$76)</f>
        <v>11.732099384789471</v>
      </c>
      <c r="N1176" s="211">
        <f>IF($G1176="PAX",N225*'Insumos - OPEX'!J$51,N225*'Insumos - OPEX'!J$76)</f>
        <v>11.86872867661967</v>
      </c>
      <c r="O1176" s="211">
        <f>IF($G1176="PAX",O225*'Insumos - OPEX'!K$51,O225*'Insumos - OPEX'!K$76)</f>
        <v>12.145288039316851</v>
      </c>
      <c r="P1176" s="211">
        <f>IF($G1176="PAX",P225*'Insumos - OPEX'!L$51,P225*'Insumos - OPEX'!L$76)</f>
        <v>12.402268471507467</v>
      </c>
      <c r="Q1176" s="211">
        <f>IF($G1176="PAX",Q225*'Insumos - OPEX'!M$51,Q225*'Insumos - OPEX'!M$76)</f>
        <v>12.847530800199721</v>
      </c>
      <c r="R1176" s="211">
        <f>IF($G1176="PAX",R225*'Insumos - OPEX'!N$51,R225*'Insumos - OPEX'!N$76)</f>
        <v>13.240934165364624</v>
      </c>
      <c r="S1176" s="111"/>
    </row>
    <row r="1177" spans="1:19" x14ac:dyDescent="0.2">
      <c r="A1177" s="8"/>
      <c r="B1177" s="8" t="s">
        <v>434</v>
      </c>
      <c r="C1177" s="8" t="s">
        <v>171</v>
      </c>
      <c r="D1177" s="8">
        <v>6380000012</v>
      </c>
      <c r="E1177" s="8" t="s">
        <v>345</v>
      </c>
      <c r="F1177" s="73" t="s">
        <v>23</v>
      </c>
      <c r="G1177" s="73" t="s">
        <v>136</v>
      </c>
      <c r="H1177" s="112" t="s">
        <v>61</v>
      </c>
      <c r="I1177" s="13" t="s">
        <v>22</v>
      </c>
      <c r="J1177" s="11"/>
      <c r="K1177" s="187"/>
      <c r="L1177" s="187"/>
      <c r="M1177" s="188">
        <f>IF($G1177="PAX",M226*'Insumos - OPEX'!I$51,M226*'Insumos - OPEX'!I$76)</f>
        <v>10.417783519145319</v>
      </c>
      <c r="N1177" s="211">
        <f>IF($G1177="PAX",N226*'Insumos - OPEX'!J$51,N226*'Insumos - OPEX'!J$76)</f>
        <v>10.539106595090832</v>
      </c>
      <c r="O1177" s="211">
        <f>IF($G1177="PAX",O226*'Insumos - OPEX'!K$51,O226*'Insumos - OPEX'!K$76)</f>
        <v>10.784683748529149</v>
      </c>
      <c r="P1177" s="211">
        <f>IF($G1177="PAX",P226*'Insumos - OPEX'!L$51,P226*'Insumos - OPEX'!L$76)</f>
        <v>11.012875346930468</v>
      </c>
      <c r="Q1177" s="211">
        <f>IF($G1177="PAX",Q226*'Insumos - OPEX'!M$51,Q226*'Insumos - OPEX'!M$76)</f>
        <v>11.408256122136001</v>
      </c>
      <c r="R1177" s="211">
        <f>IF($G1177="PAX",R226*'Insumos - OPEX'!N$51,R226*'Insumos - OPEX'!N$76)</f>
        <v>11.757587555460267</v>
      </c>
      <c r="S1177" s="111"/>
    </row>
    <row r="1178" spans="1:19" x14ac:dyDescent="0.2">
      <c r="A1178" s="8"/>
      <c r="B1178" s="8" t="s">
        <v>434</v>
      </c>
      <c r="C1178" s="8" t="s">
        <v>171</v>
      </c>
      <c r="D1178" s="8">
        <v>6311300002</v>
      </c>
      <c r="E1178" s="8" t="s">
        <v>347</v>
      </c>
      <c r="F1178" s="73" t="s">
        <v>23</v>
      </c>
      <c r="G1178" s="73" t="s">
        <v>136</v>
      </c>
      <c r="H1178" s="112" t="s">
        <v>61</v>
      </c>
      <c r="I1178" s="13" t="s">
        <v>22</v>
      </c>
      <c r="J1178" s="11"/>
      <c r="K1178" s="187"/>
      <c r="L1178" s="187"/>
      <c r="M1178" s="188">
        <f>IF($G1178="PAX",M227*'Insumos - OPEX'!I$51,M227*'Insumos - OPEX'!I$76)</f>
        <v>5.8137401940564057</v>
      </c>
      <c r="N1178" s="211">
        <f>IF($G1178="PAX",N227*'Insumos - OPEX'!J$51,N227*'Insumos - OPEX'!J$76)</f>
        <v>5.8814456557599204</v>
      </c>
      <c r="O1178" s="211">
        <f>IF($G1178="PAX",O227*'Insumos - OPEX'!K$51,O227*'Insumos - OPEX'!K$76)</f>
        <v>6.0184922516180981</v>
      </c>
      <c r="P1178" s="211">
        <f>IF($G1178="PAX",P227*'Insumos - OPEX'!L$51,P227*'Insumos - OPEX'!L$76)</f>
        <v>6.1458366781109008</v>
      </c>
      <c r="Q1178" s="211">
        <f>IF($G1178="PAX",Q227*'Insumos - OPEX'!M$51,Q227*'Insumos - OPEX'!M$76)</f>
        <v>6.3664825669936231</v>
      </c>
      <c r="R1178" s="211">
        <f>IF($G1178="PAX",R227*'Insumos - OPEX'!N$51,R227*'Insumos - OPEX'!N$76)</f>
        <v>6.5614301958469472</v>
      </c>
      <c r="S1178" s="111"/>
    </row>
    <row r="1179" spans="1:19" x14ac:dyDescent="0.2">
      <c r="A1179" s="8"/>
      <c r="B1179" s="8" t="s">
        <v>434</v>
      </c>
      <c r="C1179" s="8" t="s">
        <v>171</v>
      </c>
      <c r="D1179" s="8">
        <v>6380000009</v>
      </c>
      <c r="E1179" s="8" t="s">
        <v>321</v>
      </c>
      <c r="F1179" s="73" t="s">
        <v>23</v>
      </c>
      <c r="G1179" s="73" t="s">
        <v>136</v>
      </c>
      <c r="H1179" s="112" t="s">
        <v>61</v>
      </c>
      <c r="I1179" s="13" t="s">
        <v>22</v>
      </c>
      <c r="J1179" s="11"/>
      <c r="K1179" s="187"/>
      <c r="L1179" s="187"/>
      <c r="M1179" s="188">
        <f>IF($G1179="PAX",M228*'Insumos - OPEX'!I$51,M228*'Insumos - OPEX'!I$76)</f>
        <v>0</v>
      </c>
      <c r="N1179" s="211">
        <f>IF($G1179="PAX",N228*'Insumos - OPEX'!J$51,N228*'Insumos - OPEX'!J$76)</f>
        <v>0</v>
      </c>
      <c r="O1179" s="211">
        <f>IF($G1179="PAX",O228*'Insumos - OPEX'!K$51,O228*'Insumos - OPEX'!K$76)</f>
        <v>0</v>
      </c>
      <c r="P1179" s="211">
        <f>IF($G1179="PAX",P228*'Insumos - OPEX'!L$51,P228*'Insumos - OPEX'!L$76)</f>
        <v>0</v>
      </c>
      <c r="Q1179" s="211">
        <f>IF($G1179="PAX",Q228*'Insumos - OPEX'!M$51,Q228*'Insumos - OPEX'!M$76)</f>
        <v>0</v>
      </c>
      <c r="R1179" s="211">
        <f>IF($G1179="PAX",R228*'Insumos - OPEX'!N$51,R228*'Insumos - OPEX'!N$76)</f>
        <v>0</v>
      </c>
      <c r="S1179" s="111"/>
    </row>
    <row r="1180" spans="1:19" x14ac:dyDescent="0.2">
      <c r="A1180" s="8"/>
      <c r="B1180" s="8" t="s">
        <v>434</v>
      </c>
      <c r="C1180" s="8" t="s">
        <v>171</v>
      </c>
      <c r="D1180" s="8">
        <v>6354000001</v>
      </c>
      <c r="E1180" s="8" t="s">
        <v>336</v>
      </c>
      <c r="F1180" s="73" t="s">
        <v>23</v>
      </c>
      <c r="G1180" s="73" t="s">
        <v>136</v>
      </c>
      <c r="H1180" s="112" t="s">
        <v>61</v>
      </c>
      <c r="I1180" s="13" t="s">
        <v>22</v>
      </c>
      <c r="K1180" s="187"/>
      <c r="L1180" s="187"/>
      <c r="M1180" s="188">
        <f>IF($G1180="PAX",M229*'Insumos - OPEX'!I$51,M229*'Insumos - OPEX'!I$76)</f>
        <v>0</v>
      </c>
      <c r="N1180" s="211">
        <f>IF($G1180="PAX",N229*'Insumos - OPEX'!J$51,N229*'Insumos - OPEX'!J$76)</f>
        <v>0</v>
      </c>
      <c r="O1180" s="211">
        <f>IF($G1180="PAX",O229*'Insumos - OPEX'!K$51,O229*'Insumos - OPEX'!K$76)</f>
        <v>0</v>
      </c>
      <c r="P1180" s="211">
        <f>IF($G1180="PAX",P229*'Insumos - OPEX'!L$51,P229*'Insumos - OPEX'!L$76)</f>
        <v>0</v>
      </c>
      <c r="Q1180" s="211">
        <f>IF($G1180="PAX",Q229*'Insumos - OPEX'!M$51,Q229*'Insumos - OPEX'!M$76)</f>
        <v>0</v>
      </c>
      <c r="R1180" s="211">
        <f>IF($G1180="PAX",R229*'Insumos - OPEX'!N$51,R229*'Insumos - OPEX'!N$76)</f>
        <v>0</v>
      </c>
      <c r="S1180" s="111"/>
    </row>
    <row r="1181" spans="1:19" x14ac:dyDescent="0.2">
      <c r="A1181" s="8"/>
      <c r="B1181" s="8" t="s">
        <v>434</v>
      </c>
      <c r="C1181" s="8" t="s">
        <v>171</v>
      </c>
      <c r="D1181" s="8">
        <v>6358000001</v>
      </c>
      <c r="E1181" s="8" t="s">
        <v>335</v>
      </c>
      <c r="F1181" s="73" t="s">
        <v>23</v>
      </c>
      <c r="G1181" s="73" t="s">
        <v>136</v>
      </c>
      <c r="H1181" s="112" t="s">
        <v>61</v>
      </c>
      <c r="I1181" s="13" t="s">
        <v>22</v>
      </c>
      <c r="K1181" s="187"/>
      <c r="L1181" s="187"/>
      <c r="M1181" s="188">
        <f>IF($G1181="PAX",M230*'Insumos - OPEX'!I$51,M230*'Insumos - OPEX'!I$76)</f>
        <v>0</v>
      </c>
      <c r="N1181" s="211">
        <f>IF($G1181="PAX",N230*'Insumos - OPEX'!J$51,N230*'Insumos - OPEX'!J$76)</f>
        <v>0</v>
      </c>
      <c r="O1181" s="211">
        <f>IF($G1181="PAX",O230*'Insumos - OPEX'!K$51,O230*'Insumos - OPEX'!K$76)</f>
        <v>0</v>
      </c>
      <c r="P1181" s="211">
        <f>IF($G1181="PAX",P230*'Insumos - OPEX'!L$51,P230*'Insumos - OPEX'!L$76)</f>
        <v>0</v>
      </c>
      <c r="Q1181" s="211">
        <f>IF($G1181="PAX",Q230*'Insumos - OPEX'!M$51,Q230*'Insumos - OPEX'!M$76)</f>
        <v>0</v>
      </c>
      <c r="R1181" s="211">
        <f>IF($G1181="PAX",R230*'Insumos - OPEX'!N$51,R230*'Insumos - OPEX'!N$76)</f>
        <v>0</v>
      </c>
      <c r="S1181" s="111"/>
    </row>
    <row r="1182" spans="1:19" x14ac:dyDescent="0.2">
      <c r="A1182" s="8"/>
      <c r="B1182" s="8" t="s">
        <v>434</v>
      </c>
      <c r="C1182" s="8" t="s">
        <v>171</v>
      </c>
      <c r="D1182" s="8">
        <v>6370000001</v>
      </c>
      <c r="E1182" s="8" t="s">
        <v>270</v>
      </c>
      <c r="F1182" s="73" t="s">
        <v>23</v>
      </c>
      <c r="G1182" s="73" t="s">
        <v>136</v>
      </c>
      <c r="H1182" s="112" t="s">
        <v>61</v>
      </c>
      <c r="I1182" s="13" t="s">
        <v>22</v>
      </c>
      <c r="K1182" s="187"/>
      <c r="L1182" s="187"/>
      <c r="M1182" s="188">
        <f>IF($G1182="PAX",M231*'Insumos - OPEX'!I$51,M231*'Insumos - OPEX'!I$76)</f>
        <v>0</v>
      </c>
      <c r="N1182" s="211">
        <f>IF($G1182="PAX",N231*'Insumos - OPEX'!J$51,N231*'Insumos - OPEX'!J$76)</f>
        <v>0</v>
      </c>
      <c r="O1182" s="211">
        <f>IF($G1182="PAX",O231*'Insumos - OPEX'!K$51,O231*'Insumos - OPEX'!K$76)</f>
        <v>0</v>
      </c>
      <c r="P1182" s="211">
        <f>IF($G1182="PAX",P231*'Insumos - OPEX'!L$51,P231*'Insumos - OPEX'!L$76)</f>
        <v>0</v>
      </c>
      <c r="Q1182" s="211">
        <f>IF($G1182="PAX",Q231*'Insumos - OPEX'!M$51,Q231*'Insumos - OPEX'!M$76)</f>
        <v>0</v>
      </c>
      <c r="R1182" s="211">
        <f>IF($G1182="PAX",R231*'Insumos - OPEX'!N$51,R231*'Insumos - OPEX'!N$76)</f>
        <v>0</v>
      </c>
      <c r="S1182" s="111"/>
    </row>
    <row r="1183" spans="1:19" x14ac:dyDescent="0.2">
      <c r="A1183" s="8"/>
      <c r="B1183" s="8" t="s">
        <v>434</v>
      </c>
      <c r="C1183" s="8" t="s">
        <v>171</v>
      </c>
      <c r="D1183" s="8">
        <v>6311300001</v>
      </c>
      <c r="E1183" s="8" t="s">
        <v>352</v>
      </c>
      <c r="F1183" s="73" t="s">
        <v>23</v>
      </c>
      <c r="G1183" s="73" t="s">
        <v>136</v>
      </c>
      <c r="H1183" s="112" t="s">
        <v>61</v>
      </c>
      <c r="I1183" s="13" t="s">
        <v>22</v>
      </c>
      <c r="K1183" s="187"/>
      <c r="L1183" s="187"/>
      <c r="M1183" s="188">
        <f>IF($G1183="PAX",M232*'Insumos - OPEX'!I$51,M232*'Insumos - OPEX'!I$76)</f>
        <v>0</v>
      </c>
      <c r="N1183" s="211">
        <f>IF($G1183="PAX",N232*'Insumos - OPEX'!J$51,N232*'Insumos - OPEX'!J$76)</f>
        <v>0</v>
      </c>
      <c r="O1183" s="211">
        <f>IF($G1183="PAX",O232*'Insumos - OPEX'!K$51,O232*'Insumos - OPEX'!K$76)</f>
        <v>0</v>
      </c>
      <c r="P1183" s="211">
        <f>IF($G1183="PAX",P232*'Insumos - OPEX'!L$51,P232*'Insumos - OPEX'!L$76)</f>
        <v>0</v>
      </c>
      <c r="Q1183" s="211">
        <f>IF($G1183="PAX",Q232*'Insumos - OPEX'!M$51,Q232*'Insumos - OPEX'!M$76)</f>
        <v>0</v>
      </c>
      <c r="R1183" s="211">
        <f>IF($G1183="PAX",R232*'Insumos - OPEX'!N$51,R232*'Insumos - OPEX'!N$76)</f>
        <v>0</v>
      </c>
      <c r="S1183" s="111"/>
    </row>
    <row r="1184" spans="1:19" x14ac:dyDescent="0.2">
      <c r="A1184" s="8"/>
      <c r="B1184" s="8" t="s">
        <v>434</v>
      </c>
      <c r="C1184" s="8" t="s">
        <v>171</v>
      </c>
      <c r="D1184" s="8">
        <v>6370000002</v>
      </c>
      <c r="E1184" s="8" t="s">
        <v>338</v>
      </c>
      <c r="F1184" s="73" t="s">
        <v>23</v>
      </c>
      <c r="G1184" s="73" t="s">
        <v>136</v>
      </c>
      <c r="H1184" s="112" t="s">
        <v>61</v>
      </c>
      <c r="I1184" s="13" t="s">
        <v>22</v>
      </c>
      <c r="K1184" s="187"/>
      <c r="L1184" s="187"/>
      <c r="M1184" s="188">
        <f>IF($G1184="PAX",M233*'Insumos - OPEX'!I$51,M233*'Insumos - OPEX'!I$76)</f>
        <v>0</v>
      </c>
      <c r="N1184" s="211">
        <f>IF($G1184="PAX",N233*'Insumos - OPEX'!J$51,N233*'Insumos - OPEX'!J$76)</f>
        <v>0</v>
      </c>
      <c r="O1184" s="211">
        <f>IF($G1184="PAX",O233*'Insumos - OPEX'!K$51,O233*'Insumos - OPEX'!K$76)</f>
        <v>0</v>
      </c>
      <c r="P1184" s="211">
        <f>IF($G1184="PAX",P233*'Insumos - OPEX'!L$51,P233*'Insumos - OPEX'!L$76)</f>
        <v>0</v>
      </c>
      <c r="Q1184" s="211">
        <f>IF($G1184="PAX",Q233*'Insumos - OPEX'!M$51,Q233*'Insumos - OPEX'!M$76)</f>
        <v>0</v>
      </c>
      <c r="R1184" s="211">
        <f>IF($G1184="PAX",R233*'Insumos - OPEX'!N$51,R233*'Insumos - OPEX'!N$76)</f>
        <v>0</v>
      </c>
      <c r="S1184" s="111"/>
    </row>
    <row r="1185" spans="1:19" x14ac:dyDescent="0.2">
      <c r="A1185" s="8"/>
      <c r="B1185" s="8" t="s">
        <v>434</v>
      </c>
      <c r="C1185" s="8" t="s">
        <v>171</v>
      </c>
      <c r="D1185" s="8">
        <v>6320000005</v>
      </c>
      <c r="E1185" s="8" t="s">
        <v>342</v>
      </c>
      <c r="F1185" s="73" t="s">
        <v>23</v>
      </c>
      <c r="G1185" s="73" t="s">
        <v>136</v>
      </c>
      <c r="H1185" s="112" t="s">
        <v>61</v>
      </c>
      <c r="I1185" s="13" t="s">
        <v>22</v>
      </c>
      <c r="K1185" s="187"/>
      <c r="L1185" s="187"/>
      <c r="M1185" s="188">
        <f>IF($G1185="PAX",M234*'Insumos - OPEX'!I$51,M234*'Insumos - OPEX'!I$76)</f>
        <v>0</v>
      </c>
      <c r="N1185" s="211">
        <f>IF($G1185="PAX",N234*'Insumos - OPEX'!J$51,N234*'Insumos - OPEX'!J$76)</f>
        <v>0</v>
      </c>
      <c r="O1185" s="211">
        <f>IF($G1185="PAX",O234*'Insumos - OPEX'!K$51,O234*'Insumos - OPEX'!K$76)</f>
        <v>0</v>
      </c>
      <c r="P1185" s="211">
        <f>IF($G1185="PAX",P234*'Insumos - OPEX'!L$51,P234*'Insumos - OPEX'!L$76)</f>
        <v>0</v>
      </c>
      <c r="Q1185" s="211">
        <f>IF($G1185="PAX",Q234*'Insumos - OPEX'!M$51,Q234*'Insumos - OPEX'!M$76)</f>
        <v>0</v>
      </c>
      <c r="R1185" s="211">
        <f>IF($G1185="PAX",R234*'Insumos - OPEX'!N$51,R234*'Insumos - OPEX'!N$76)</f>
        <v>0</v>
      </c>
      <c r="S1185" s="111"/>
    </row>
    <row r="1186" spans="1:19" x14ac:dyDescent="0.2">
      <c r="A1186" s="8"/>
      <c r="B1186" s="8" t="s">
        <v>434</v>
      </c>
      <c r="C1186" s="8" t="s">
        <v>171</v>
      </c>
      <c r="D1186" s="8">
        <v>6356000001</v>
      </c>
      <c r="E1186" s="8" t="s">
        <v>343</v>
      </c>
      <c r="F1186" s="73" t="s">
        <v>23</v>
      </c>
      <c r="G1186" s="73" t="s">
        <v>136</v>
      </c>
      <c r="H1186" s="112" t="s">
        <v>61</v>
      </c>
      <c r="I1186" s="13" t="s">
        <v>22</v>
      </c>
      <c r="K1186" s="187"/>
      <c r="L1186" s="187"/>
      <c r="M1186" s="188">
        <f>IF($G1186="PAX",M235*'Insumos - OPEX'!I$51,M235*'Insumos - OPEX'!I$76)</f>
        <v>0</v>
      </c>
      <c r="N1186" s="211">
        <f>IF($G1186="PAX",N235*'Insumos - OPEX'!J$51,N235*'Insumos - OPEX'!J$76)</f>
        <v>0</v>
      </c>
      <c r="O1186" s="211">
        <f>IF($G1186="PAX",O235*'Insumos - OPEX'!K$51,O235*'Insumos - OPEX'!K$76)</f>
        <v>0</v>
      </c>
      <c r="P1186" s="211">
        <f>IF($G1186="PAX",P235*'Insumos - OPEX'!L$51,P235*'Insumos - OPEX'!L$76)</f>
        <v>0</v>
      </c>
      <c r="Q1186" s="211">
        <f>IF($G1186="PAX",Q235*'Insumos - OPEX'!M$51,Q235*'Insumos - OPEX'!M$76)</f>
        <v>0</v>
      </c>
      <c r="R1186" s="211">
        <f>IF($G1186="PAX",R235*'Insumos - OPEX'!N$51,R235*'Insumos - OPEX'!N$76)</f>
        <v>0</v>
      </c>
      <c r="S1186" s="111"/>
    </row>
    <row r="1187" spans="1:19" x14ac:dyDescent="0.2">
      <c r="A1187" s="8"/>
      <c r="B1187" s="8" t="s">
        <v>434</v>
      </c>
      <c r="C1187" s="8" t="s">
        <v>171</v>
      </c>
      <c r="D1187" s="8">
        <v>6380000015</v>
      </c>
      <c r="E1187" s="8" t="s">
        <v>327</v>
      </c>
      <c r="F1187" s="73" t="s">
        <v>23</v>
      </c>
      <c r="G1187" s="73" t="s">
        <v>136</v>
      </c>
      <c r="H1187" s="112" t="s">
        <v>61</v>
      </c>
      <c r="I1187" s="13" t="s">
        <v>22</v>
      </c>
      <c r="J1187" s="11"/>
      <c r="K1187" s="187"/>
      <c r="L1187" s="187"/>
      <c r="M1187" s="188">
        <f>IF($G1187="PAX",M236*'Insumos - OPEX'!I$51,M236*'Insumos - OPEX'!I$76)</f>
        <v>0</v>
      </c>
      <c r="N1187" s="211">
        <f>IF($G1187="PAX",N236*'Insumos - OPEX'!J$51,N236*'Insumos - OPEX'!J$76)</f>
        <v>0</v>
      </c>
      <c r="O1187" s="211">
        <f>IF($G1187="PAX",O236*'Insumos - OPEX'!K$51,O236*'Insumos - OPEX'!K$76)</f>
        <v>0</v>
      </c>
      <c r="P1187" s="211">
        <f>IF($G1187="PAX",P236*'Insumos - OPEX'!L$51,P236*'Insumos - OPEX'!L$76)</f>
        <v>0</v>
      </c>
      <c r="Q1187" s="211">
        <f>IF($G1187="PAX",Q236*'Insumos - OPEX'!M$51,Q236*'Insumos - OPEX'!M$76)</f>
        <v>0</v>
      </c>
      <c r="R1187" s="211">
        <f>IF($G1187="PAX",R236*'Insumos - OPEX'!N$51,R236*'Insumos - OPEX'!N$76)</f>
        <v>0</v>
      </c>
      <c r="S1187" s="111"/>
    </row>
    <row r="1188" spans="1:19" ht="12" customHeight="1" x14ac:dyDescent="0.2">
      <c r="A1188" s="8"/>
      <c r="B1188" s="8" t="s">
        <v>434</v>
      </c>
      <c r="C1188" s="8" t="s">
        <v>171</v>
      </c>
      <c r="D1188" s="8">
        <v>6380000029</v>
      </c>
      <c r="E1188" s="8" t="s">
        <v>348</v>
      </c>
      <c r="F1188" s="73" t="s">
        <v>23</v>
      </c>
      <c r="G1188" s="73" t="s">
        <v>136</v>
      </c>
      <c r="H1188" s="112" t="s">
        <v>61</v>
      </c>
      <c r="I1188" s="13" t="s">
        <v>22</v>
      </c>
      <c r="J1188" s="11"/>
      <c r="K1188" s="187"/>
      <c r="L1188" s="187"/>
      <c r="M1188" s="188">
        <f>IF($G1188="PAX",M237*'Insumos - OPEX'!I$51,M237*'Insumos - OPEX'!I$76)</f>
        <v>0</v>
      </c>
      <c r="N1188" s="211">
        <f>IF($G1188="PAX",N237*'Insumos - OPEX'!J$51,N237*'Insumos - OPEX'!J$76)</f>
        <v>0</v>
      </c>
      <c r="O1188" s="211">
        <f>IF($G1188="PAX",O237*'Insumos - OPEX'!K$51,O237*'Insumos - OPEX'!K$76)</f>
        <v>0</v>
      </c>
      <c r="P1188" s="211">
        <f>IF($G1188="PAX",P237*'Insumos - OPEX'!L$51,P237*'Insumos - OPEX'!L$76)</f>
        <v>0</v>
      </c>
      <c r="Q1188" s="211">
        <f>IF($G1188="PAX",Q237*'Insumos - OPEX'!M$51,Q237*'Insumos - OPEX'!M$76)</f>
        <v>0</v>
      </c>
      <c r="R1188" s="211">
        <f>IF($G1188="PAX",R237*'Insumos - OPEX'!N$51,R237*'Insumos - OPEX'!N$76)</f>
        <v>0</v>
      </c>
      <c r="S1188" s="111"/>
    </row>
    <row r="1189" spans="1:19" ht="12" customHeight="1" x14ac:dyDescent="0.2">
      <c r="A1189" s="8"/>
      <c r="B1189" s="8" t="s">
        <v>434</v>
      </c>
      <c r="C1189" s="8" t="s">
        <v>171</v>
      </c>
      <c r="D1189" s="8">
        <v>6320000006</v>
      </c>
      <c r="E1189" s="8" t="s">
        <v>344</v>
      </c>
      <c r="F1189" s="73" t="s">
        <v>23</v>
      </c>
      <c r="G1189" s="73" t="s">
        <v>136</v>
      </c>
      <c r="H1189" s="112" t="s">
        <v>61</v>
      </c>
      <c r="I1189" s="13" t="s">
        <v>22</v>
      </c>
      <c r="K1189" s="187"/>
      <c r="L1189" s="187"/>
      <c r="M1189" s="188">
        <f>IF($G1189="PAX",M238*'Insumos - OPEX'!I$51,M238*'Insumos - OPEX'!I$76)</f>
        <v>0</v>
      </c>
      <c r="N1189" s="211">
        <f>IF($G1189="PAX",N238*'Insumos - OPEX'!J$51,N238*'Insumos - OPEX'!J$76)</f>
        <v>0</v>
      </c>
      <c r="O1189" s="211">
        <f>IF($G1189="PAX",O238*'Insumos - OPEX'!K$51,O238*'Insumos - OPEX'!K$76)</f>
        <v>0</v>
      </c>
      <c r="P1189" s="211">
        <f>IF($G1189="PAX",P238*'Insumos - OPEX'!L$51,P238*'Insumos - OPEX'!L$76)</f>
        <v>0</v>
      </c>
      <c r="Q1189" s="211">
        <f>IF($G1189="PAX",Q238*'Insumos - OPEX'!M$51,Q238*'Insumos - OPEX'!M$76)</f>
        <v>0</v>
      </c>
      <c r="R1189" s="211">
        <f>IF($G1189="PAX",R238*'Insumos - OPEX'!N$51,R238*'Insumos - OPEX'!N$76)</f>
        <v>0</v>
      </c>
      <c r="S1189" s="111"/>
    </row>
    <row r="1190" spans="1:19" ht="12" customHeight="1" x14ac:dyDescent="0.2">
      <c r="A1190" s="8"/>
      <c r="B1190" s="8" t="s">
        <v>434</v>
      </c>
      <c r="C1190" s="8" t="s">
        <v>171</v>
      </c>
      <c r="D1190" s="8">
        <v>6382000002</v>
      </c>
      <c r="E1190" s="8" t="s">
        <v>351</v>
      </c>
      <c r="F1190" s="73" t="s">
        <v>23</v>
      </c>
      <c r="G1190" s="73" t="s">
        <v>136</v>
      </c>
      <c r="H1190" s="112" t="s">
        <v>61</v>
      </c>
      <c r="I1190" s="13" t="s">
        <v>22</v>
      </c>
      <c r="J1190" s="11"/>
      <c r="K1190" s="187"/>
      <c r="L1190" s="187"/>
      <c r="M1190" s="188">
        <f>IF($G1190="PAX",M239*'Insumos - OPEX'!I$51,M239*'Insumos - OPEX'!I$76)</f>
        <v>0</v>
      </c>
      <c r="N1190" s="211">
        <f>IF($G1190="PAX",N239*'Insumos - OPEX'!J$51,N239*'Insumos - OPEX'!J$76)</f>
        <v>0</v>
      </c>
      <c r="O1190" s="211">
        <f>IF($G1190="PAX",O239*'Insumos - OPEX'!K$51,O239*'Insumos - OPEX'!K$76)</f>
        <v>0</v>
      </c>
      <c r="P1190" s="211">
        <f>IF($G1190="PAX",P239*'Insumos - OPEX'!L$51,P239*'Insumos - OPEX'!L$76)</f>
        <v>0</v>
      </c>
      <c r="Q1190" s="211">
        <f>IF($G1190="PAX",Q239*'Insumos - OPEX'!M$51,Q239*'Insumos - OPEX'!M$76)</f>
        <v>0</v>
      </c>
      <c r="R1190" s="211">
        <f>IF($G1190="PAX",R239*'Insumos - OPEX'!N$51,R239*'Insumos - OPEX'!N$76)</f>
        <v>0</v>
      </c>
      <c r="S1190" s="111"/>
    </row>
    <row r="1191" spans="1:19" ht="12" customHeight="1" x14ac:dyDescent="0.2">
      <c r="A1191" s="8"/>
      <c r="B1191" s="8" t="s">
        <v>434</v>
      </c>
      <c r="C1191" s="8" t="s">
        <v>171</v>
      </c>
      <c r="D1191" s="8">
        <v>6357000001</v>
      </c>
      <c r="E1191" s="8" t="s">
        <v>334</v>
      </c>
      <c r="F1191" s="73" t="s">
        <v>23</v>
      </c>
      <c r="G1191" s="73" t="s">
        <v>136</v>
      </c>
      <c r="H1191" s="112" t="s">
        <v>61</v>
      </c>
      <c r="I1191" s="13" t="s">
        <v>22</v>
      </c>
      <c r="K1191" s="187"/>
      <c r="L1191" s="187"/>
      <c r="M1191" s="188">
        <f>IF($G1191="PAX",M240*'Insumos - OPEX'!I$51,M240*'Insumos - OPEX'!I$76)</f>
        <v>0</v>
      </c>
      <c r="N1191" s="211">
        <f>IF($G1191="PAX",N240*'Insumos - OPEX'!J$51,N240*'Insumos - OPEX'!J$76)</f>
        <v>0</v>
      </c>
      <c r="O1191" s="211">
        <f>IF($G1191="PAX",O240*'Insumos - OPEX'!K$51,O240*'Insumos - OPEX'!K$76)</f>
        <v>0</v>
      </c>
      <c r="P1191" s="211">
        <f>IF($G1191="PAX",P240*'Insumos - OPEX'!L$51,P240*'Insumos - OPEX'!L$76)</f>
        <v>0</v>
      </c>
      <c r="Q1191" s="211">
        <f>IF($G1191="PAX",Q240*'Insumos - OPEX'!M$51,Q240*'Insumos - OPEX'!M$76)</f>
        <v>0</v>
      </c>
      <c r="R1191" s="211">
        <f>IF($G1191="PAX",R240*'Insumos - OPEX'!N$51,R240*'Insumos - OPEX'!N$76)</f>
        <v>0</v>
      </c>
      <c r="S1191" s="111"/>
    </row>
    <row r="1192" spans="1:19" ht="12" customHeight="1" x14ac:dyDescent="0.2">
      <c r="A1192" s="8"/>
      <c r="B1192" s="8" t="s">
        <v>434</v>
      </c>
      <c r="C1192" s="8" t="s">
        <v>171</v>
      </c>
      <c r="D1192" s="8">
        <v>6320000003</v>
      </c>
      <c r="E1192" s="8" t="s">
        <v>325</v>
      </c>
      <c r="F1192" s="73" t="s">
        <v>23</v>
      </c>
      <c r="G1192" s="73" t="s">
        <v>136</v>
      </c>
      <c r="H1192" s="112" t="s">
        <v>61</v>
      </c>
      <c r="I1192" s="13" t="s">
        <v>22</v>
      </c>
      <c r="K1192" s="187"/>
      <c r="L1192" s="187"/>
      <c r="M1192" s="188">
        <f>IF($G1192="PAX",M241*'Insumos - OPEX'!I$51,M241*'Insumos - OPEX'!I$76)</f>
        <v>0</v>
      </c>
      <c r="N1192" s="211">
        <f>IF($G1192="PAX",N241*'Insumos - OPEX'!J$51,N241*'Insumos - OPEX'!J$76)</f>
        <v>0</v>
      </c>
      <c r="O1192" s="211">
        <f>IF($G1192="PAX",O241*'Insumos - OPEX'!K$51,O241*'Insumos - OPEX'!K$76)</f>
        <v>0</v>
      </c>
      <c r="P1192" s="211">
        <f>IF($G1192="PAX",P241*'Insumos - OPEX'!L$51,P241*'Insumos - OPEX'!L$76)</f>
        <v>0</v>
      </c>
      <c r="Q1192" s="211">
        <f>IF($G1192="PAX",Q241*'Insumos - OPEX'!M$51,Q241*'Insumos - OPEX'!M$76)</f>
        <v>0</v>
      </c>
      <c r="R1192" s="211">
        <f>IF($G1192="PAX",R241*'Insumos - OPEX'!N$51,R241*'Insumos - OPEX'!N$76)</f>
        <v>0</v>
      </c>
      <c r="S1192" s="111"/>
    </row>
    <row r="1193" spans="1:19" ht="12" customHeight="1" x14ac:dyDescent="0.2">
      <c r="A1193" s="8"/>
      <c r="B1193" s="8" t="s">
        <v>434</v>
      </c>
      <c r="C1193" s="8" t="s">
        <v>171</v>
      </c>
      <c r="D1193" s="8">
        <v>6382000001</v>
      </c>
      <c r="E1193" s="8" t="s">
        <v>349</v>
      </c>
      <c r="F1193" s="73" t="s">
        <v>23</v>
      </c>
      <c r="G1193" s="73" t="s">
        <v>136</v>
      </c>
      <c r="H1193" s="112" t="s">
        <v>61</v>
      </c>
      <c r="I1193" s="13" t="s">
        <v>22</v>
      </c>
      <c r="K1193" s="187"/>
      <c r="L1193" s="187"/>
      <c r="M1193" s="188">
        <f>IF($G1193="PAX",M242*'Insumos - OPEX'!I$51,M242*'Insumos - OPEX'!I$76)</f>
        <v>0</v>
      </c>
      <c r="N1193" s="211">
        <f>IF($G1193="PAX",N242*'Insumos - OPEX'!J$51,N242*'Insumos - OPEX'!J$76)</f>
        <v>0</v>
      </c>
      <c r="O1193" s="211">
        <f>IF($G1193="PAX",O242*'Insumos - OPEX'!K$51,O242*'Insumos - OPEX'!K$76)</f>
        <v>0</v>
      </c>
      <c r="P1193" s="211">
        <f>IF($G1193="PAX",P242*'Insumos - OPEX'!L$51,P242*'Insumos - OPEX'!L$76)</f>
        <v>0</v>
      </c>
      <c r="Q1193" s="211">
        <f>IF($G1193="PAX",Q242*'Insumos - OPEX'!M$51,Q242*'Insumos - OPEX'!M$76)</f>
        <v>0</v>
      </c>
      <c r="R1193" s="211">
        <f>IF($G1193="PAX",R242*'Insumos - OPEX'!N$51,R242*'Insumos - OPEX'!N$76)</f>
        <v>0</v>
      </c>
      <c r="S1193" s="111"/>
    </row>
    <row r="1194" spans="1:19" ht="12" customHeight="1" x14ac:dyDescent="0.2">
      <c r="A1194" s="8"/>
      <c r="B1194" s="8" t="s">
        <v>434</v>
      </c>
      <c r="C1194" s="8" t="s">
        <v>171</v>
      </c>
      <c r="D1194" s="8">
        <v>6380000002</v>
      </c>
      <c r="E1194" s="8" t="s">
        <v>333</v>
      </c>
      <c r="F1194" s="73" t="s">
        <v>23</v>
      </c>
      <c r="G1194" s="73" t="s">
        <v>136</v>
      </c>
      <c r="H1194" s="112" t="s">
        <v>61</v>
      </c>
      <c r="I1194" s="13" t="s">
        <v>22</v>
      </c>
      <c r="K1194" s="187"/>
      <c r="L1194" s="187"/>
      <c r="M1194" s="188">
        <f>IF($G1194="PAX",M243*'Insumos - OPEX'!I$51,M243*'Insumos - OPEX'!I$76)</f>
        <v>0</v>
      </c>
      <c r="N1194" s="211">
        <f>IF($G1194="PAX",N243*'Insumos - OPEX'!J$51,N243*'Insumos - OPEX'!J$76)</f>
        <v>0</v>
      </c>
      <c r="O1194" s="211">
        <f>IF($G1194="PAX",O243*'Insumos - OPEX'!K$51,O243*'Insumos - OPEX'!K$76)</f>
        <v>0</v>
      </c>
      <c r="P1194" s="211">
        <f>IF($G1194="PAX",P243*'Insumos - OPEX'!L$51,P243*'Insumos - OPEX'!L$76)</f>
        <v>0</v>
      </c>
      <c r="Q1194" s="211">
        <f>IF($G1194="PAX",Q243*'Insumos - OPEX'!M$51,Q243*'Insumos - OPEX'!M$76)</f>
        <v>0</v>
      </c>
      <c r="R1194" s="211">
        <f>IF($G1194="PAX",R243*'Insumos - OPEX'!N$51,R243*'Insumos - OPEX'!N$76)</f>
        <v>0</v>
      </c>
      <c r="S1194" s="111"/>
    </row>
    <row r="1195" spans="1:19" ht="12" customHeight="1" x14ac:dyDescent="0.2">
      <c r="A1195" s="8"/>
      <c r="B1195" s="8" t="s">
        <v>434</v>
      </c>
      <c r="C1195" s="8" t="s">
        <v>171</v>
      </c>
      <c r="D1195" s="8">
        <v>6329000003</v>
      </c>
      <c r="E1195" s="8" t="s">
        <v>341</v>
      </c>
      <c r="F1195" s="73" t="s">
        <v>23</v>
      </c>
      <c r="G1195" s="73" t="s">
        <v>136</v>
      </c>
      <c r="H1195" s="112" t="s">
        <v>61</v>
      </c>
      <c r="I1195" s="13" t="s">
        <v>22</v>
      </c>
      <c r="K1195" s="187"/>
      <c r="L1195" s="187"/>
      <c r="M1195" s="188">
        <f>IF($G1195="PAX",M244*'Insumos - OPEX'!I$51,M244*'Insumos - OPEX'!I$76)</f>
        <v>0</v>
      </c>
      <c r="N1195" s="211">
        <f>IF($G1195="PAX",N244*'Insumos - OPEX'!J$51,N244*'Insumos - OPEX'!J$76)</f>
        <v>0</v>
      </c>
      <c r="O1195" s="211">
        <f>IF($G1195="PAX",O244*'Insumos - OPEX'!K$51,O244*'Insumos - OPEX'!K$76)</f>
        <v>0</v>
      </c>
      <c r="P1195" s="211">
        <f>IF($G1195="PAX",P244*'Insumos - OPEX'!L$51,P244*'Insumos - OPEX'!L$76)</f>
        <v>0</v>
      </c>
      <c r="Q1195" s="211">
        <f>IF($G1195="PAX",Q244*'Insumos - OPEX'!M$51,Q244*'Insumos - OPEX'!M$76)</f>
        <v>0</v>
      </c>
      <c r="R1195" s="211">
        <f>IF($G1195="PAX",R244*'Insumos - OPEX'!N$51,R244*'Insumos - OPEX'!N$76)</f>
        <v>0</v>
      </c>
      <c r="S1195" s="111"/>
    </row>
    <row r="1196" spans="1:19" ht="12" customHeight="1" x14ac:dyDescent="0.2">
      <c r="A1196" s="8"/>
      <c r="B1196" s="8" t="s">
        <v>434</v>
      </c>
      <c r="C1196" s="8" t="s">
        <v>171</v>
      </c>
      <c r="D1196" s="8">
        <v>6380000008</v>
      </c>
      <c r="E1196" s="8" t="s">
        <v>323</v>
      </c>
      <c r="F1196" s="73" t="s">
        <v>23</v>
      </c>
      <c r="G1196" s="73" t="s">
        <v>136</v>
      </c>
      <c r="H1196" s="112" t="s">
        <v>61</v>
      </c>
      <c r="I1196" s="13" t="s">
        <v>22</v>
      </c>
      <c r="K1196" s="187"/>
      <c r="L1196" s="187"/>
      <c r="M1196" s="188">
        <f>IF($G1196="PAX",M245*'Insumos - OPEX'!I$51,M245*'Insumos - OPEX'!I$76)</f>
        <v>0</v>
      </c>
      <c r="N1196" s="211">
        <f>IF($G1196="PAX",N245*'Insumos - OPEX'!J$51,N245*'Insumos - OPEX'!J$76)</f>
        <v>0</v>
      </c>
      <c r="O1196" s="211">
        <f>IF($G1196="PAX",O245*'Insumos - OPEX'!K$51,O245*'Insumos - OPEX'!K$76)</f>
        <v>0</v>
      </c>
      <c r="P1196" s="211">
        <f>IF($G1196="PAX",P245*'Insumos - OPEX'!L$51,P245*'Insumos - OPEX'!L$76)</f>
        <v>0</v>
      </c>
      <c r="Q1196" s="211">
        <f>IF($G1196="PAX",Q245*'Insumos - OPEX'!M$51,Q245*'Insumos - OPEX'!M$76)</f>
        <v>0</v>
      </c>
      <c r="R1196" s="211">
        <f>IF($G1196="PAX",R245*'Insumos - OPEX'!N$51,R245*'Insumos - OPEX'!N$76)</f>
        <v>0</v>
      </c>
      <c r="S1196" s="111"/>
    </row>
    <row r="1197" spans="1:19" ht="12" customHeight="1" x14ac:dyDescent="0.2">
      <c r="A1197" s="8"/>
      <c r="B1197" s="8" t="s">
        <v>434</v>
      </c>
      <c r="C1197" s="8" t="s">
        <v>171</v>
      </c>
      <c r="D1197" s="8">
        <v>6380000019</v>
      </c>
      <c r="E1197" s="8" t="s">
        <v>355</v>
      </c>
      <c r="F1197" s="73" t="s">
        <v>23</v>
      </c>
      <c r="G1197" s="73" t="s">
        <v>136</v>
      </c>
      <c r="H1197" s="112" t="s">
        <v>61</v>
      </c>
      <c r="I1197" s="13" t="s">
        <v>22</v>
      </c>
      <c r="K1197" s="187"/>
      <c r="L1197" s="187"/>
      <c r="M1197" s="188">
        <f>IF($G1197="PAX",M246*'Insumos - OPEX'!I$51,M246*'Insumos - OPEX'!I$76)</f>
        <v>0</v>
      </c>
      <c r="N1197" s="211">
        <f>IF($G1197="PAX",N246*'Insumos - OPEX'!J$51,N246*'Insumos - OPEX'!J$76)</f>
        <v>0</v>
      </c>
      <c r="O1197" s="211">
        <f>IF($G1197="PAX",O246*'Insumos - OPEX'!K$51,O246*'Insumos - OPEX'!K$76)</f>
        <v>0</v>
      </c>
      <c r="P1197" s="211">
        <f>IF($G1197="PAX",P246*'Insumos - OPEX'!L$51,P246*'Insumos - OPEX'!L$76)</f>
        <v>0</v>
      </c>
      <c r="Q1197" s="211">
        <f>IF($G1197="PAX",Q246*'Insumos - OPEX'!M$51,Q246*'Insumos - OPEX'!M$76)</f>
        <v>0</v>
      </c>
      <c r="R1197" s="211">
        <f>IF($G1197="PAX",R246*'Insumos - OPEX'!N$51,R246*'Insumos - OPEX'!N$76)</f>
        <v>0</v>
      </c>
      <c r="S1197" s="111"/>
    </row>
    <row r="1198" spans="1:19" ht="12" customHeight="1" x14ac:dyDescent="0.2">
      <c r="A1198" s="8"/>
      <c r="B1198" s="8" t="s">
        <v>434</v>
      </c>
      <c r="C1198" s="8" t="s">
        <v>173</v>
      </c>
      <c r="D1198" s="8">
        <v>6343000001</v>
      </c>
      <c r="E1198" s="8" t="s">
        <v>389</v>
      </c>
      <c r="F1198" s="73" t="s">
        <v>23</v>
      </c>
      <c r="G1198" s="73" t="s">
        <v>136</v>
      </c>
      <c r="H1198" s="112" t="s">
        <v>61</v>
      </c>
      <c r="I1198" s="13" t="s">
        <v>22</v>
      </c>
      <c r="K1198" s="187"/>
      <c r="L1198" s="187"/>
      <c r="M1198" s="188">
        <f>IF($G1198="PAX",M247*'Insumos - OPEX'!I$51,M247*'Insumos - OPEX'!I$76)</f>
        <v>47405.664579296164</v>
      </c>
      <c r="N1198" s="211">
        <f>IF($G1198="PAX",N247*'Insumos - OPEX'!J$51,N247*'Insumos - OPEX'!J$76)</f>
        <v>47957.739887199408</v>
      </c>
      <c r="O1198" s="211">
        <f>IF($G1198="PAX",O247*'Insumos - OPEX'!K$51,O247*'Insumos - OPEX'!K$76)</f>
        <v>49075.227896317716</v>
      </c>
      <c r="P1198" s="211">
        <f>IF($G1198="PAX",P247*'Insumos - OPEX'!L$51,P247*'Insumos - OPEX'!L$76)</f>
        <v>50113.603703776796</v>
      </c>
      <c r="Q1198" s="211">
        <f>IF($G1198="PAX",Q247*'Insumos - OPEX'!M$51,Q247*'Insumos - OPEX'!M$76)</f>
        <v>51912.76648884044</v>
      </c>
      <c r="R1198" s="211">
        <f>IF($G1198="PAX",R247*'Insumos - OPEX'!N$51,R247*'Insumos - OPEX'!N$76)</f>
        <v>53502.38377400874</v>
      </c>
      <c r="S1198" s="111"/>
    </row>
    <row r="1199" spans="1:19" ht="12" customHeight="1" x14ac:dyDescent="0.2">
      <c r="A1199" s="8"/>
      <c r="B1199" s="8" t="s">
        <v>434</v>
      </c>
      <c r="C1199" s="8" t="s">
        <v>173</v>
      </c>
      <c r="D1199" s="8">
        <v>6343100016</v>
      </c>
      <c r="E1199" s="8" t="s">
        <v>415</v>
      </c>
      <c r="F1199" s="73" t="s">
        <v>23</v>
      </c>
      <c r="G1199" s="73" t="s">
        <v>136</v>
      </c>
      <c r="H1199" s="112" t="s">
        <v>61</v>
      </c>
      <c r="I1199" s="13" t="s">
        <v>22</v>
      </c>
      <c r="J1199" s="11"/>
      <c r="K1199" s="187"/>
      <c r="L1199" s="187"/>
      <c r="M1199" s="188">
        <f>IF($G1199="PAX",M248*'Insumos - OPEX'!I$51,M248*'Insumos - OPEX'!I$76)</f>
        <v>9996.5876035731726</v>
      </c>
      <c r="N1199" s="211">
        <f>IF($G1199="PAX",N248*'Insumos - OPEX'!J$51,N248*'Insumos - OPEX'!J$76)</f>
        <v>10113.005530169115</v>
      </c>
      <c r="O1199" s="211">
        <f>IF($G1199="PAX",O248*'Insumos - OPEX'!K$51,O248*'Insumos - OPEX'!K$76)</f>
        <v>10348.653883129291</v>
      </c>
      <c r="P1199" s="211">
        <f>IF($G1199="PAX",P248*'Insumos - OPEX'!L$51,P248*'Insumos - OPEX'!L$76)</f>
        <v>10567.619587266454</v>
      </c>
      <c r="Q1199" s="211">
        <f>IF($G1199="PAX",Q248*'Insumos - OPEX'!M$51,Q248*'Insumos - OPEX'!M$76)</f>
        <v>10947.014930704638</v>
      </c>
      <c r="R1199" s="211">
        <f>IF($G1199="PAX",R248*'Insumos - OPEX'!N$51,R248*'Insumos - OPEX'!N$76)</f>
        <v>11282.222728936396</v>
      </c>
      <c r="S1199" s="111"/>
    </row>
    <row r="1200" spans="1:19" x14ac:dyDescent="0.2">
      <c r="A1200" s="8"/>
      <c r="B1200" s="8" t="s">
        <v>434</v>
      </c>
      <c r="C1200" s="8" t="s">
        <v>173</v>
      </c>
      <c r="D1200" s="8">
        <v>6343100013</v>
      </c>
      <c r="E1200" s="8" t="s">
        <v>404</v>
      </c>
      <c r="F1200" s="73" t="s">
        <v>23</v>
      </c>
      <c r="G1200" s="73" t="s">
        <v>136</v>
      </c>
      <c r="H1200" s="112" t="s">
        <v>61</v>
      </c>
      <c r="I1200" s="13" t="s">
        <v>22</v>
      </c>
      <c r="K1200" s="187"/>
      <c r="L1200" s="187"/>
      <c r="M1200" s="188">
        <f>IF($G1200="PAX",M249*'Insumos - OPEX'!I$51,M249*'Insumos - OPEX'!I$76)</f>
        <v>4481.355120643485</v>
      </c>
      <c r="N1200" s="211">
        <f>IF($G1200="PAX",N249*'Insumos - OPEX'!J$51,N249*'Insumos - OPEX'!J$76)</f>
        <v>4533.543936684966</v>
      </c>
      <c r="O1200" s="211">
        <f>IF($G1200="PAX",O249*'Insumos - OPEX'!K$51,O249*'Insumos - OPEX'!K$76)</f>
        <v>4639.1823800305556</v>
      </c>
      <c r="P1200" s="211">
        <f>IF($G1200="PAX",P249*'Insumos - OPEX'!L$51,P249*'Insumos - OPEX'!L$76)</f>
        <v>4737.3421839950242</v>
      </c>
      <c r="Q1200" s="211">
        <f>IF($G1200="PAX",Q249*'Insumos - OPEX'!M$51,Q249*'Insumos - OPEX'!M$76)</f>
        <v>4907.4207480499499</v>
      </c>
      <c r="R1200" s="211">
        <f>IF($G1200="PAX",R249*'Insumos - OPEX'!N$51,R249*'Insumos - OPEX'!N$76)</f>
        <v>5057.6905443701035</v>
      </c>
      <c r="S1200" s="111"/>
    </row>
    <row r="1201" spans="1:19" x14ac:dyDescent="0.2">
      <c r="A1201" s="8"/>
      <c r="B1201" s="8" t="s">
        <v>434</v>
      </c>
      <c r="C1201" s="8" t="s">
        <v>173</v>
      </c>
      <c r="D1201" s="8">
        <v>6341100008</v>
      </c>
      <c r="E1201" s="8" t="s">
        <v>416</v>
      </c>
      <c r="F1201" s="73" t="s">
        <v>23</v>
      </c>
      <c r="G1201" s="73" t="s">
        <v>136</v>
      </c>
      <c r="H1201" s="112" t="s">
        <v>61</v>
      </c>
      <c r="I1201" s="13" t="s">
        <v>22</v>
      </c>
      <c r="K1201" s="187"/>
      <c r="L1201" s="187"/>
      <c r="M1201" s="188">
        <f>IF($G1201="PAX",M250*'Insumos - OPEX'!I$51,M250*'Insumos - OPEX'!I$76)</f>
        <v>3184.5997092894427</v>
      </c>
      <c r="N1201" s="211">
        <f>IF($G1201="PAX",N250*'Insumos - OPEX'!J$51,N250*'Insumos - OPEX'!J$76)</f>
        <v>3221.6868143992906</v>
      </c>
      <c r="O1201" s="211">
        <f>IF($G1201="PAX",O250*'Insumos - OPEX'!K$51,O250*'Insumos - OPEX'!K$76)</f>
        <v>3296.7569989553967</v>
      </c>
      <c r="P1201" s="211">
        <f>IF($G1201="PAX",P250*'Insumos - OPEX'!L$51,P250*'Insumos - OPEX'!L$76)</f>
        <v>3366.5126141105434</v>
      </c>
      <c r="Q1201" s="211">
        <f>IF($G1201="PAX",Q250*'Insumos - OPEX'!M$51,Q250*'Insumos - OPEX'!M$76)</f>
        <v>3487.3760875609382</v>
      </c>
      <c r="R1201" s="211">
        <f>IF($G1201="PAX",R250*'Insumos - OPEX'!N$51,R250*'Insumos - OPEX'!N$76)</f>
        <v>3594.1627930982204</v>
      </c>
      <c r="S1201" s="111"/>
    </row>
    <row r="1202" spans="1:19" x14ac:dyDescent="0.2">
      <c r="A1202" s="8"/>
      <c r="B1202" s="8" t="s">
        <v>434</v>
      </c>
      <c r="C1202" s="8" t="s">
        <v>173</v>
      </c>
      <c r="D1202" s="8">
        <v>6341100010</v>
      </c>
      <c r="E1202" s="8" t="s">
        <v>393</v>
      </c>
      <c r="F1202" s="73" t="s">
        <v>23</v>
      </c>
      <c r="G1202" s="73" t="s">
        <v>136</v>
      </c>
      <c r="H1202" s="112" t="s">
        <v>61</v>
      </c>
      <c r="I1202" s="13" t="s">
        <v>22</v>
      </c>
      <c r="K1202" s="187"/>
      <c r="L1202" s="187"/>
      <c r="M1202" s="188">
        <f>IF($G1202="PAX",M251*'Insumos - OPEX'!I$51,M251*'Insumos - OPEX'!I$76)</f>
        <v>3003.4508879061314</v>
      </c>
      <c r="N1202" s="211">
        <f>IF($G1202="PAX",N251*'Insumos - OPEX'!J$51,N251*'Insumos - OPEX'!J$76)</f>
        <v>3038.4283761119868</v>
      </c>
      <c r="O1202" s="211">
        <f>IF($G1202="PAX",O251*'Insumos - OPEX'!K$51,O251*'Insumos - OPEX'!K$76)</f>
        <v>3109.2283613668428</v>
      </c>
      <c r="P1202" s="211">
        <f>IF($G1202="PAX",P251*'Insumos - OPEX'!L$51,P251*'Insumos - OPEX'!L$76)</f>
        <v>3175.0160845971859</v>
      </c>
      <c r="Q1202" s="211">
        <f>IF($G1202="PAX",Q251*'Insumos - OPEX'!M$51,Q251*'Insumos - OPEX'!M$76)</f>
        <v>3289.0045100784541</v>
      </c>
      <c r="R1202" s="211">
        <f>IF($G1202="PAX",R251*'Insumos - OPEX'!N$51,R251*'Insumos - OPEX'!N$76)</f>
        <v>3389.7168930592588</v>
      </c>
      <c r="S1202" s="111"/>
    </row>
    <row r="1203" spans="1:19" x14ac:dyDescent="0.2">
      <c r="A1203" s="8"/>
      <c r="B1203" s="8" t="s">
        <v>434</v>
      </c>
      <c r="C1203" s="8" t="s">
        <v>173</v>
      </c>
      <c r="D1203" s="8">
        <v>6343100010</v>
      </c>
      <c r="E1203" s="8" t="s">
        <v>420</v>
      </c>
      <c r="F1203" s="73" t="s">
        <v>23</v>
      </c>
      <c r="G1203" s="73" t="s">
        <v>136</v>
      </c>
      <c r="H1203" s="112" t="s">
        <v>61</v>
      </c>
      <c r="I1203" s="13" t="s">
        <v>22</v>
      </c>
      <c r="K1203" s="187"/>
      <c r="L1203" s="187"/>
      <c r="M1203" s="188">
        <f>IF($G1203="PAX",M252*'Insumos - OPEX'!I$51,M252*'Insumos - OPEX'!I$76)</f>
        <v>2353.2240687048584</v>
      </c>
      <c r="N1203" s="211">
        <f>IF($G1203="PAX",N252*'Insumos - OPEX'!J$51,N252*'Insumos - OPEX'!J$76)</f>
        <v>2380.6291671002714</v>
      </c>
      <c r="O1203" s="211">
        <f>IF($G1203="PAX",O252*'Insumos - OPEX'!K$51,O252*'Insumos - OPEX'!K$76)</f>
        <v>2436.1014340304719</v>
      </c>
      <c r="P1203" s="211">
        <f>IF($G1203="PAX",P252*'Insumos - OPEX'!L$51,P252*'Insumos - OPEX'!L$76)</f>
        <v>2487.6465597904157</v>
      </c>
      <c r="Q1203" s="211">
        <f>IF($G1203="PAX",Q252*'Insumos - OPEX'!M$51,Q252*'Insumos - OPEX'!M$76)</f>
        <v>2576.9572615156881</v>
      </c>
      <c r="R1203" s="211">
        <f>IF($G1203="PAX",R252*'Insumos - OPEX'!N$51,R252*'Insumos - OPEX'!N$76)</f>
        <v>2655.8660942192182</v>
      </c>
      <c r="S1203" s="111"/>
    </row>
    <row r="1204" spans="1:19" x14ac:dyDescent="0.2">
      <c r="A1204" s="8"/>
      <c r="B1204" s="8" t="s">
        <v>434</v>
      </c>
      <c r="C1204" s="8" t="s">
        <v>173</v>
      </c>
      <c r="D1204" s="8">
        <v>6341100002</v>
      </c>
      <c r="E1204" s="8" t="s">
        <v>398</v>
      </c>
      <c r="F1204" s="73" t="s">
        <v>23</v>
      </c>
      <c r="G1204" s="73" t="s">
        <v>136</v>
      </c>
      <c r="H1204" s="112" t="s">
        <v>61</v>
      </c>
      <c r="I1204" s="13" t="s">
        <v>22</v>
      </c>
      <c r="K1204" s="187"/>
      <c r="L1204" s="187"/>
      <c r="M1204" s="188">
        <f>IF($G1204="PAX",M253*'Insumos - OPEX'!I$51,M253*'Insumos - OPEX'!I$76)</f>
        <v>2126.2909270450673</v>
      </c>
      <c r="N1204" s="211">
        <f>IF($G1204="PAX",N253*'Insumos - OPEX'!J$51,N253*'Insumos - OPEX'!J$76)</f>
        <v>2151.0532150260055</v>
      </c>
      <c r="O1204" s="211">
        <f>IF($G1204="PAX",O253*'Insumos - OPEX'!K$51,O253*'Insumos - OPEX'!K$76)</f>
        <v>2201.1760143993874</v>
      </c>
      <c r="P1204" s="211">
        <f>IF($G1204="PAX",P253*'Insumos - OPEX'!L$51,P253*'Insumos - OPEX'!L$76)</f>
        <v>2247.7503864255445</v>
      </c>
      <c r="Q1204" s="211">
        <f>IF($G1204="PAX",Q253*'Insumos - OPEX'!M$51,Q253*'Insumos - OPEX'!M$76)</f>
        <v>2328.4484114423421</v>
      </c>
      <c r="R1204" s="211">
        <f>IF($G1204="PAX",R253*'Insumos - OPEX'!N$51,R253*'Insumos - OPEX'!N$76)</f>
        <v>2399.7476715818893</v>
      </c>
      <c r="S1204" s="111"/>
    </row>
    <row r="1205" spans="1:19" x14ac:dyDescent="0.2">
      <c r="A1205" s="8"/>
      <c r="B1205" s="8" t="s">
        <v>434</v>
      </c>
      <c r="C1205" s="8" t="s">
        <v>173</v>
      </c>
      <c r="D1205" s="8">
        <v>6343000002</v>
      </c>
      <c r="E1205" s="8" t="s">
        <v>391</v>
      </c>
      <c r="F1205" s="73" t="s">
        <v>23</v>
      </c>
      <c r="G1205" s="73" t="s">
        <v>136</v>
      </c>
      <c r="H1205" s="112" t="s">
        <v>61</v>
      </c>
      <c r="I1205" s="13" t="s">
        <v>22</v>
      </c>
      <c r="K1205" s="187"/>
      <c r="L1205" s="187"/>
      <c r="M1205" s="188">
        <f>IF($G1205="PAX",M254*'Insumos - OPEX'!I$51,M254*'Insumos - OPEX'!I$76)</f>
        <v>1717.3261483156957</v>
      </c>
      <c r="N1205" s="211">
        <f>IF($G1205="PAX",N254*'Insumos - OPEX'!J$51,N254*'Insumos - OPEX'!J$76)</f>
        <v>1737.3257279126826</v>
      </c>
      <c r="O1205" s="211">
        <f>IF($G1205="PAX",O254*'Insumos - OPEX'!K$51,O254*'Insumos - OPEX'!K$76)</f>
        <v>1777.8080499203829</v>
      </c>
      <c r="P1205" s="211">
        <f>IF($G1205="PAX",P254*'Insumos - OPEX'!L$51,P254*'Insumos - OPEX'!L$76)</f>
        <v>1815.4244390534805</v>
      </c>
      <c r="Q1205" s="211">
        <f>IF($G1205="PAX",Q254*'Insumos - OPEX'!M$51,Q254*'Insumos - OPEX'!M$76)</f>
        <v>1880.601234343377</v>
      </c>
      <c r="R1205" s="211">
        <f>IF($G1205="PAX",R254*'Insumos - OPEX'!N$51,R254*'Insumos - OPEX'!N$76)</f>
        <v>1938.1869965905832</v>
      </c>
      <c r="S1205" s="111"/>
    </row>
    <row r="1206" spans="1:19" x14ac:dyDescent="0.2">
      <c r="A1206" s="8"/>
      <c r="B1206" s="8" t="s">
        <v>434</v>
      </c>
      <c r="C1206" s="8" t="s">
        <v>173</v>
      </c>
      <c r="D1206" s="8">
        <v>6343100014</v>
      </c>
      <c r="E1206" s="8" t="s">
        <v>413</v>
      </c>
      <c r="F1206" s="73" t="s">
        <v>23</v>
      </c>
      <c r="G1206" s="73" t="s">
        <v>136</v>
      </c>
      <c r="H1206" s="112" t="s">
        <v>61</v>
      </c>
      <c r="I1206" s="13" t="s">
        <v>22</v>
      </c>
      <c r="J1206" s="52"/>
      <c r="K1206" s="187"/>
      <c r="L1206" s="187"/>
      <c r="M1206" s="188">
        <f>IF($G1206="PAX",M255*'Insumos - OPEX'!I$51,M255*'Insumos - OPEX'!I$76)</f>
        <v>1523.436712680312</v>
      </c>
      <c r="N1206" s="211">
        <f>IF($G1206="PAX",N255*'Insumos - OPEX'!J$51,N255*'Insumos - OPEX'!J$76)</f>
        <v>1541.1783011526611</v>
      </c>
      <c r="O1206" s="211">
        <f>IF($G1206="PAX",O255*'Insumos - OPEX'!K$51,O255*'Insumos - OPEX'!K$76)</f>
        <v>1577.0900908971798</v>
      </c>
      <c r="P1206" s="211">
        <f>IF($G1206="PAX",P255*'Insumos - OPEX'!L$51,P255*'Insumos - OPEX'!L$76)</f>
        <v>1610.4595171183046</v>
      </c>
      <c r="Q1206" s="211">
        <f>IF($G1206="PAX",Q255*'Insumos - OPEX'!M$51,Q255*'Insumos - OPEX'!M$76)</f>
        <v>1668.2777264647711</v>
      </c>
      <c r="R1206" s="211">
        <f>IF($G1206="PAX",R255*'Insumos - OPEX'!N$51,R255*'Insumos - OPEX'!N$76)</f>
        <v>1719.361945045566</v>
      </c>
      <c r="S1206" s="111"/>
    </row>
    <row r="1207" spans="1:19" x14ac:dyDescent="0.2">
      <c r="A1207" s="8"/>
      <c r="B1207" s="8" t="s">
        <v>434</v>
      </c>
      <c r="C1207" s="8" t="s">
        <v>173</v>
      </c>
      <c r="D1207" s="8">
        <v>6343100012</v>
      </c>
      <c r="E1207" s="8" t="s">
        <v>423</v>
      </c>
      <c r="F1207" s="73" t="s">
        <v>23</v>
      </c>
      <c r="G1207" s="73" t="s">
        <v>136</v>
      </c>
      <c r="H1207" s="112" t="s">
        <v>61</v>
      </c>
      <c r="I1207" s="13" t="s">
        <v>22</v>
      </c>
      <c r="K1207" s="187"/>
      <c r="L1207" s="187"/>
      <c r="M1207" s="188">
        <f>IF($G1207="PAX",M256*'Insumos - OPEX'!I$51,M256*'Insumos - OPEX'!I$76)</f>
        <v>1419.2745500811182</v>
      </c>
      <c r="N1207" s="211">
        <f>IF($G1207="PAX",N256*'Insumos - OPEX'!J$51,N256*'Insumos - OPEX'!J$76)</f>
        <v>1435.8030903133645</v>
      </c>
      <c r="O1207" s="211">
        <f>IF($G1207="PAX",O256*'Insumos - OPEX'!K$51,O256*'Insumos - OPEX'!K$76)</f>
        <v>1469.2594779716253</v>
      </c>
      <c r="P1207" s="211">
        <f>IF($G1207="PAX",P256*'Insumos - OPEX'!L$51,P256*'Insumos - OPEX'!L$76)</f>
        <v>1500.3473315019025</v>
      </c>
      <c r="Q1207" s="211">
        <f>IF($G1207="PAX",Q256*'Insumos - OPEX'!M$51,Q256*'Insumos - OPEX'!M$76)</f>
        <v>1554.2123279101399</v>
      </c>
      <c r="R1207" s="211">
        <f>IF($G1207="PAX",R256*'Insumos - OPEX'!N$51,R256*'Insumos - OPEX'!N$76)</f>
        <v>1601.8037576945405</v>
      </c>
      <c r="S1207" s="111"/>
    </row>
    <row r="1208" spans="1:19" x14ac:dyDescent="0.2">
      <c r="A1208" s="8"/>
      <c r="B1208" s="8" t="s">
        <v>434</v>
      </c>
      <c r="C1208" s="8" t="s">
        <v>173</v>
      </c>
      <c r="D1208" s="8">
        <v>6343100006</v>
      </c>
      <c r="E1208" s="8" t="s">
        <v>425</v>
      </c>
      <c r="F1208" s="73" t="s">
        <v>23</v>
      </c>
      <c r="G1208" s="73" t="s">
        <v>136</v>
      </c>
      <c r="H1208" s="112" t="s">
        <v>61</v>
      </c>
      <c r="I1208" s="13" t="s">
        <v>22</v>
      </c>
      <c r="J1208" s="40"/>
      <c r="K1208" s="187"/>
      <c r="L1208" s="187"/>
      <c r="M1208" s="188">
        <f>IF($G1208="PAX",M257*'Insumos - OPEX'!I$51,M257*'Insumos - OPEX'!I$76)</f>
        <v>1099.5212157932467</v>
      </c>
      <c r="N1208" s="211">
        <f>IF($G1208="PAX",N257*'Insumos - OPEX'!J$51,N257*'Insumos - OPEX'!J$76)</f>
        <v>1112.3259833066277</v>
      </c>
      <c r="O1208" s="211">
        <f>IF($G1208="PAX",O257*'Insumos - OPEX'!K$51,O257*'Insumos - OPEX'!K$76)</f>
        <v>1138.2448642109309</v>
      </c>
      <c r="P1208" s="211">
        <f>IF($G1208="PAX",P257*'Insumos - OPEX'!L$51,P257*'Insumos - OPEX'!L$76)</f>
        <v>1162.328826336553</v>
      </c>
      <c r="Q1208" s="211">
        <f>IF($G1208="PAX",Q257*'Insumos - OPEX'!M$51,Q257*'Insumos - OPEX'!M$76)</f>
        <v>1204.0583890459661</v>
      </c>
      <c r="R1208" s="211">
        <f>IF($G1208="PAX",R257*'Insumos - OPEX'!N$51,R257*'Insumos - OPEX'!N$76)</f>
        <v>1240.9277789289115</v>
      </c>
      <c r="S1208" s="111"/>
    </row>
    <row r="1209" spans="1:19" x14ac:dyDescent="0.2">
      <c r="A1209" s="8"/>
      <c r="B1209" s="8" t="s">
        <v>434</v>
      </c>
      <c r="C1209" s="8" t="s">
        <v>173</v>
      </c>
      <c r="D1209" s="8">
        <v>6341100003</v>
      </c>
      <c r="E1209" s="8" t="s">
        <v>392</v>
      </c>
      <c r="F1209" s="73" t="s">
        <v>23</v>
      </c>
      <c r="G1209" s="73" t="s">
        <v>136</v>
      </c>
      <c r="H1209" s="112" t="s">
        <v>61</v>
      </c>
      <c r="I1209" s="13" t="s">
        <v>22</v>
      </c>
      <c r="K1209" s="187"/>
      <c r="L1209" s="187"/>
      <c r="M1209" s="188">
        <f>IF($G1209="PAX",M258*'Insumos - OPEX'!I$51,M258*'Insumos - OPEX'!I$76)</f>
        <v>2045.7811933370128</v>
      </c>
      <c r="N1209" s="211">
        <f>IF($G1209="PAX",N258*'Insumos - OPEX'!J$51,N258*'Insumos - OPEX'!J$76)</f>
        <v>2069.6058837455821</v>
      </c>
      <c r="O1209" s="211">
        <f>IF($G1209="PAX",O258*'Insumos - OPEX'!K$51,O258*'Insumos - OPEX'!K$76)</f>
        <v>2117.8308368840367</v>
      </c>
      <c r="P1209" s="211">
        <f>IF($G1209="PAX",P258*'Insumos - OPEX'!L$51,P258*'Insumos - OPEX'!L$76)</f>
        <v>2162.6417200847682</v>
      </c>
      <c r="Q1209" s="211">
        <f>IF($G1209="PAX",Q258*'Insumos - OPEX'!M$51,Q258*'Insumos - OPEX'!M$76)</f>
        <v>2240.284200621631</v>
      </c>
      <c r="R1209" s="211">
        <f>IF($G1209="PAX",R258*'Insumos - OPEX'!N$51,R258*'Insumos - OPEX'!N$76)</f>
        <v>2308.8837904694028</v>
      </c>
      <c r="S1209" s="111"/>
    </row>
    <row r="1210" spans="1:19" x14ac:dyDescent="0.2">
      <c r="A1210" s="8"/>
      <c r="B1210" s="8" t="s">
        <v>434</v>
      </c>
      <c r="C1210" s="8" t="s">
        <v>173</v>
      </c>
      <c r="D1210" s="8">
        <v>6341100001</v>
      </c>
      <c r="E1210" s="8" t="s">
        <v>399</v>
      </c>
      <c r="F1210" s="73" t="s">
        <v>23</v>
      </c>
      <c r="G1210" s="73" t="s">
        <v>136</v>
      </c>
      <c r="H1210" s="112" t="s">
        <v>61</v>
      </c>
      <c r="I1210" s="13" t="s">
        <v>22</v>
      </c>
      <c r="K1210" s="187"/>
      <c r="L1210" s="187"/>
      <c r="M1210" s="188">
        <f>IF($G1210="PAX",M259*'Insumos - OPEX'!I$51,M259*'Insumos - OPEX'!I$76)</f>
        <v>931.59951227597799</v>
      </c>
      <c r="N1210" s="211">
        <f>IF($G1210="PAX",N259*'Insumos - OPEX'!J$51,N259*'Insumos - OPEX'!J$76)</f>
        <v>942.44870281357669</v>
      </c>
      <c r="O1210" s="211">
        <f>IF($G1210="PAX",O259*'Insumos - OPEX'!K$51,O259*'Insumos - OPEX'!K$76)</f>
        <v>964.40918566953337</v>
      </c>
      <c r="P1210" s="211">
        <f>IF($G1210="PAX",P259*'Insumos - OPEX'!L$51,P259*'Insumos - OPEX'!L$76)</f>
        <v>984.81498325454459</v>
      </c>
      <c r="Q1210" s="211">
        <f>IF($G1210="PAX",Q259*'Insumos - OPEX'!M$51,Q259*'Insumos - OPEX'!M$76)</f>
        <v>1020.1714999903609</v>
      </c>
      <c r="R1210" s="211">
        <f>IF($G1210="PAX",R259*'Insumos - OPEX'!N$51,R259*'Insumos - OPEX'!N$76)</f>
        <v>1051.4101019741206</v>
      </c>
      <c r="S1210" s="111"/>
    </row>
    <row r="1211" spans="1:19" x14ac:dyDescent="0.2">
      <c r="A1211" s="8"/>
      <c r="B1211" s="8" t="s">
        <v>434</v>
      </c>
      <c r="C1211" s="8" t="s">
        <v>173</v>
      </c>
      <c r="D1211" s="8">
        <v>6341100005</v>
      </c>
      <c r="E1211" s="8" t="s">
        <v>411</v>
      </c>
      <c r="F1211" s="73" t="s">
        <v>23</v>
      </c>
      <c r="G1211" s="73" t="s">
        <v>136</v>
      </c>
      <c r="H1211" s="112" t="s">
        <v>61</v>
      </c>
      <c r="I1211" s="13" t="s">
        <v>22</v>
      </c>
      <c r="K1211" s="187"/>
      <c r="L1211" s="187"/>
      <c r="M1211" s="188">
        <f>IF($G1211="PAX",M260*'Insumos - OPEX'!I$51,M260*'Insumos - OPEX'!I$76)</f>
        <v>925.11260758306082</v>
      </c>
      <c r="N1211" s="211">
        <f>IF($G1211="PAX",N260*'Insumos - OPEX'!J$51,N260*'Insumos - OPEX'!J$76)</f>
        <v>935.88625314228068</v>
      </c>
      <c r="O1211" s="211">
        <f>IF($G1211="PAX",O260*'Insumos - OPEX'!K$51,O260*'Insumos - OPEX'!K$76)</f>
        <v>957.6938209769005</v>
      </c>
      <c r="P1211" s="211">
        <f>IF($G1211="PAX",P260*'Insumos - OPEX'!L$51,P260*'Insumos - OPEX'!L$76)</f>
        <v>977.95752910998226</v>
      </c>
      <c r="Q1211" s="211">
        <f>IF($G1211="PAX",Q260*'Insumos - OPEX'!M$51,Q260*'Insumos - OPEX'!M$76)</f>
        <v>1013.0678516912113</v>
      </c>
      <c r="R1211" s="211">
        <f>IF($G1211="PAX",R260*'Insumos - OPEX'!N$51,R260*'Insumos - OPEX'!N$76)</f>
        <v>1044.0889333444661</v>
      </c>
      <c r="S1211" s="111"/>
    </row>
    <row r="1212" spans="1:19" x14ac:dyDescent="0.2">
      <c r="A1212" s="8"/>
      <c r="B1212" s="8" t="s">
        <v>434</v>
      </c>
      <c r="C1212" s="8" t="s">
        <v>173</v>
      </c>
      <c r="D1212" s="8">
        <v>6343100005</v>
      </c>
      <c r="E1212" s="8" t="s">
        <v>424</v>
      </c>
      <c r="F1212" s="73" t="s">
        <v>23</v>
      </c>
      <c r="G1212" s="73" t="s">
        <v>136</v>
      </c>
      <c r="H1212" s="112" t="s">
        <v>61</v>
      </c>
      <c r="I1212" s="13" t="s">
        <v>22</v>
      </c>
      <c r="K1212" s="187"/>
      <c r="L1212" s="187"/>
      <c r="M1212" s="188">
        <f>IF($G1212="PAX",M261*'Insumos - OPEX'!I$51,M261*'Insumos - OPEX'!I$76)</f>
        <v>760.94879773876266</v>
      </c>
      <c r="N1212" s="211">
        <f>IF($G1212="PAX",N261*'Insumos - OPEX'!J$51,N261*'Insumos - OPEX'!J$76)</f>
        <v>769.81062987503662</v>
      </c>
      <c r="O1212" s="211">
        <f>IF($G1212="PAX",O261*'Insumos - OPEX'!K$51,O261*'Insumos - OPEX'!K$76)</f>
        <v>787.74838403527338</v>
      </c>
      <c r="P1212" s="211">
        <f>IF($G1212="PAX",P261*'Insumos - OPEX'!L$51,P261*'Insumos - OPEX'!L$76)</f>
        <v>804.4162406996453</v>
      </c>
      <c r="Q1212" s="211">
        <f>IF($G1212="PAX",Q261*'Insumos - OPEX'!M$51,Q261*'Insumos - OPEX'!M$76)</f>
        <v>833.29613871142078</v>
      </c>
      <c r="R1212" s="211">
        <f>IF($G1212="PAX",R261*'Insumos - OPEX'!N$51,R261*'Insumos - OPEX'!N$76)</f>
        <v>858.81244299168736</v>
      </c>
      <c r="S1212" s="111"/>
    </row>
    <row r="1213" spans="1:19" x14ac:dyDescent="0.2">
      <c r="A1213" s="8"/>
      <c r="B1213" s="8" t="s">
        <v>434</v>
      </c>
      <c r="C1213" s="8" t="s">
        <v>173</v>
      </c>
      <c r="D1213" s="8">
        <v>6343100003</v>
      </c>
      <c r="E1213" s="8" t="s">
        <v>406</v>
      </c>
      <c r="F1213" s="73" t="s">
        <v>23</v>
      </c>
      <c r="G1213" s="73" t="s">
        <v>136</v>
      </c>
      <c r="H1213" s="112" t="s">
        <v>61</v>
      </c>
      <c r="I1213" s="13" t="s">
        <v>22</v>
      </c>
      <c r="K1213" s="187"/>
      <c r="L1213" s="187"/>
      <c r="M1213" s="188">
        <f>IF($G1213="PAX",M262*'Insumos - OPEX'!I$51,M262*'Insumos - OPEX'!I$76)</f>
        <v>602.93000814805225</v>
      </c>
      <c r="N1213" s="211">
        <f>IF($G1213="PAX",N262*'Insumos - OPEX'!J$51,N262*'Insumos - OPEX'!J$76)</f>
        <v>609.9515903333554</v>
      </c>
      <c r="O1213" s="211">
        <f>IF($G1213="PAX",O262*'Insumos - OPEX'!K$51,O262*'Insumos - OPEX'!K$76)</f>
        <v>624.16438663992403</v>
      </c>
      <c r="P1213" s="211">
        <f>IF($G1213="PAX",P262*'Insumos - OPEX'!L$51,P262*'Insumos - OPEX'!L$76)</f>
        <v>637.3709926353913</v>
      </c>
      <c r="Q1213" s="211">
        <f>IF($G1213="PAX",Q262*'Insumos - OPEX'!M$51,Q262*'Insumos - OPEX'!M$76)</f>
        <v>660.25368486816421</v>
      </c>
      <c r="R1213" s="211">
        <f>IF($G1213="PAX",R262*'Insumos - OPEX'!N$51,R262*'Insumos - OPEX'!N$76)</f>
        <v>680.47126796091106</v>
      </c>
      <c r="S1213" s="111"/>
    </row>
    <row r="1214" spans="1:19" x14ac:dyDescent="0.2">
      <c r="A1214" s="8"/>
      <c r="B1214" s="8" t="s">
        <v>434</v>
      </c>
      <c r="C1214" s="8" t="s">
        <v>173</v>
      </c>
      <c r="D1214" s="8">
        <v>6341100007</v>
      </c>
      <c r="E1214" s="8" t="s">
        <v>414</v>
      </c>
      <c r="F1214" s="73" t="s">
        <v>23</v>
      </c>
      <c r="G1214" s="73" t="s">
        <v>136</v>
      </c>
      <c r="H1214" s="112" t="s">
        <v>61</v>
      </c>
      <c r="I1214" s="13" t="s">
        <v>22</v>
      </c>
      <c r="K1214" s="187"/>
      <c r="L1214" s="187"/>
      <c r="M1214" s="188">
        <f>IF($G1214="PAX",M263*'Insumos - OPEX'!I$51,M263*'Insumos - OPEX'!I$76)</f>
        <v>597.24428296342569</v>
      </c>
      <c r="N1214" s="211">
        <f>IF($G1214="PAX",N263*'Insumos - OPEX'!J$51,N263*'Insumos - OPEX'!J$76)</f>
        <v>604.19965051995371</v>
      </c>
      <c r="O1214" s="211">
        <f>IF($G1214="PAX",O263*'Insumos - OPEX'!K$51,O263*'Insumos - OPEX'!K$76)</f>
        <v>618.27841791302956</v>
      </c>
      <c r="P1214" s="211">
        <f>IF($G1214="PAX",P263*'Insumos - OPEX'!L$51,P263*'Insumos - OPEX'!L$76)</f>
        <v>631.3604835285239</v>
      </c>
      <c r="Q1214" s="211">
        <f>IF($G1214="PAX",Q263*'Insumos - OPEX'!M$51,Q263*'Insumos - OPEX'!M$76)</f>
        <v>654.02738836016954</v>
      </c>
      <c r="R1214" s="211">
        <f>IF($G1214="PAX",R263*'Insumos - OPEX'!N$51,R263*'Insumos - OPEX'!N$76)</f>
        <v>674.05431645182296</v>
      </c>
      <c r="S1214" s="111"/>
    </row>
    <row r="1215" spans="1:19" x14ac:dyDescent="0.2">
      <c r="A1215" s="8"/>
      <c r="B1215" s="8" t="s">
        <v>434</v>
      </c>
      <c r="C1215" s="8" t="s">
        <v>173</v>
      </c>
      <c r="D1215" s="8">
        <v>6341100004</v>
      </c>
      <c r="E1215" s="8" t="s">
        <v>400</v>
      </c>
      <c r="F1215" s="73" t="s">
        <v>23</v>
      </c>
      <c r="G1215" s="73" t="s">
        <v>136</v>
      </c>
      <c r="H1215" s="112" t="s">
        <v>61</v>
      </c>
      <c r="I1215" s="13" t="s">
        <v>22</v>
      </c>
      <c r="K1215" s="187"/>
      <c r="L1215" s="187"/>
      <c r="M1215" s="188">
        <f>IF($G1215="PAX",M264*'Insumos - OPEX'!I$51,M264*'Insumos - OPEX'!I$76)</f>
        <v>594.10851196079545</v>
      </c>
      <c r="N1215" s="211">
        <f>IF($G1215="PAX",N264*'Insumos - OPEX'!J$51,N264*'Insumos - OPEX'!J$76)</f>
        <v>601.02736105993756</v>
      </c>
      <c r="O1215" s="211">
        <f>IF($G1215="PAX",O264*'Insumos - OPEX'!K$51,O264*'Insumos - OPEX'!K$76)</f>
        <v>615.03220930166572</v>
      </c>
      <c r="P1215" s="211">
        <f>IF($G1215="PAX",P264*'Insumos - OPEX'!L$51,P264*'Insumos - OPEX'!L$76)</f>
        <v>628.04558884818994</v>
      </c>
      <c r="Q1215" s="211">
        <f>IF($G1215="PAX",Q264*'Insumos - OPEX'!M$51,Q264*'Insumos - OPEX'!M$76)</f>
        <v>650.59348337715369</v>
      </c>
      <c r="R1215" s="211">
        <f>IF($G1215="PAX",R264*'Insumos - OPEX'!N$51,R264*'Insumos - OPEX'!N$76)</f>
        <v>670.51526209831854</v>
      </c>
      <c r="S1215" s="111"/>
    </row>
    <row r="1216" spans="1:19" x14ac:dyDescent="0.2">
      <c r="A1216" s="8"/>
      <c r="B1216" s="8" t="s">
        <v>434</v>
      </c>
      <c r="C1216" s="8" t="s">
        <v>173</v>
      </c>
      <c r="D1216" s="8">
        <v>6342000002</v>
      </c>
      <c r="E1216" s="8" t="s">
        <v>412</v>
      </c>
      <c r="F1216" s="73" t="s">
        <v>23</v>
      </c>
      <c r="G1216" s="73" t="s">
        <v>136</v>
      </c>
      <c r="H1216" s="112" t="s">
        <v>61</v>
      </c>
      <c r="I1216" s="13" t="s">
        <v>22</v>
      </c>
      <c r="K1216" s="187"/>
      <c r="L1216" s="187"/>
      <c r="M1216" s="188">
        <f>IF($G1216="PAX",M265*'Insumos - OPEX'!I$51,M265*'Insumos - OPEX'!I$76)</f>
        <v>565.42305545578222</v>
      </c>
      <c r="N1216" s="211">
        <f>IF($G1216="PAX",N265*'Insumos - OPEX'!J$51,N265*'Insumos - OPEX'!J$76)</f>
        <v>572.00784042202179</v>
      </c>
      <c r="O1216" s="211">
        <f>IF($G1216="PAX",O265*'Insumos - OPEX'!K$51,O265*'Insumos - OPEX'!K$76)</f>
        <v>585.33648985997991</v>
      </c>
      <c r="P1216" s="211">
        <f>IF($G1216="PAX",P265*'Insumos - OPEX'!L$51,P265*'Insumos - OPEX'!L$76)</f>
        <v>597.7215418780313</v>
      </c>
      <c r="Q1216" s="211">
        <f>IF($G1216="PAX",Q265*'Insumos - OPEX'!M$51,Q265*'Insumos - OPEX'!M$76)</f>
        <v>619.18075204249146</v>
      </c>
      <c r="R1216" s="211">
        <f>IF($G1216="PAX",R265*'Insumos - OPEX'!N$51,R265*'Insumos - OPEX'!N$76)</f>
        <v>638.14064365801232</v>
      </c>
      <c r="S1216" s="111"/>
    </row>
    <row r="1217" spans="1:19" x14ac:dyDescent="0.2">
      <c r="A1217" s="8"/>
      <c r="B1217" s="8" t="s">
        <v>434</v>
      </c>
      <c r="C1217" s="8" t="s">
        <v>173</v>
      </c>
      <c r="D1217" s="8">
        <v>6344000003</v>
      </c>
      <c r="E1217" s="8" t="s">
        <v>419</v>
      </c>
      <c r="F1217" s="73" t="s">
        <v>23</v>
      </c>
      <c r="G1217" s="73" t="s">
        <v>136</v>
      </c>
      <c r="H1217" s="112" t="s">
        <v>61</v>
      </c>
      <c r="I1217" s="13" t="s">
        <v>22</v>
      </c>
      <c r="K1217" s="187"/>
      <c r="L1217" s="187"/>
      <c r="M1217" s="188">
        <f>IF($G1217="PAX",M266*'Insumos - OPEX'!I$51,M266*'Insumos - OPEX'!I$76)</f>
        <v>380.94778458340852</v>
      </c>
      <c r="N1217" s="211">
        <f>IF($G1217="PAX",N266*'Insumos - OPEX'!J$51,N266*'Insumos - OPEX'!J$76)</f>
        <v>385.38421359110981</v>
      </c>
      <c r="O1217" s="211">
        <f>IF($G1217="PAX",O266*'Insumos - OPEX'!K$51,O266*'Insumos - OPEX'!K$76)</f>
        <v>394.36424973552579</v>
      </c>
      <c r="P1217" s="211">
        <f>IF($G1217="PAX",P266*'Insumos - OPEX'!L$51,P266*'Insumos - OPEX'!L$76)</f>
        <v>402.70854712966678</v>
      </c>
      <c r="Q1217" s="211">
        <f>IF($G1217="PAX",Q266*'Insumos - OPEX'!M$51,Q266*'Insumos - OPEX'!M$76)</f>
        <v>417.1664622998772</v>
      </c>
      <c r="R1217" s="211">
        <f>IF($G1217="PAX",R266*'Insumos - OPEX'!N$51,R266*'Insumos - OPEX'!N$76)</f>
        <v>429.94048811502904</v>
      </c>
      <c r="S1217" s="111"/>
    </row>
    <row r="1218" spans="1:19" x14ac:dyDescent="0.2">
      <c r="A1218" s="8"/>
      <c r="B1218" s="8" t="s">
        <v>434</v>
      </c>
      <c r="C1218" s="8" t="s">
        <v>173</v>
      </c>
      <c r="D1218" s="8">
        <v>6343100002</v>
      </c>
      <c r="E1218" s="8" t="s">
        <v>396</v>
      </c>
      <c r="F1218" s="73" t="s">
        <v>23</v>
      </c>
      <c r="G1218" s="73" t="s">
        <v>136</v>
      </c>
      <c r="H1218" s="112" t="s">
        <v>61</v>
      </c>
      <c r="I1218" s="13" t="s">
        <v>22</v>
      </c>
      <c r="K1218" s="187"/>
      <c r="L1218" s="187"/>
      <c r="M1218" s="188">
        <f>IF($G1218="PAX",M267*'Insumos - OPEX'!I$51,M267*'Insumos - OPEX'!I$76)</f>
        <v>267.59520441469965</v>
      </c>
      <c r="N1218" s="211">
        <f>IF($G1218="PAX",N267*'Insumos - OPEX'!J$51,N267*'Insumos - OPEX'!J$76)</f>
        <v>270.71155572380457</v>
      </c>
      <c r="O1218" s="211">
        <f>IF($G1218="PAX",O267*'Insumos - OPEX'!K$51,O267*'Insumos - OPEX'!K$76)</f>
        <v>277.01954517790847</v>
      </c>
      <c r="P1218" s="211">
        <f>IF($G1218="PAX",P267*'Insumos - OPEX'!L$51,P267*'Insumos - OPEX'!L$76)</f>
        <v>282.88096256172139</v>
      </c>
      <c r="Q1218" s="211">
        <f>IF($G1218="PAX",Q267*'Insumos - OPEX'!M$51,Q267*'Insumos - OPEX'!M$76)</f>
        <v>293.03686560658014</v>
      </c>
      <c r="R1218" s="211">
        <f>IF($G1218="PAX",R267*'Insumos - OPEX'!N$51,R267*'Insumos - OPEX'!N$76)</f>
        <v>302.00992749993731</v>
      </c>
      <c r="S1218" s="111"/>
    </row>
    <row r="1219" spans="1:19" x14ac:dyDescent="0.2">
      <c r="A1219" s="8"/>
      <c r="B1219" s="8" t="s">
        <v>434</v>
      </c>
      <c r="C1219" s="8" t="s">
        <v>173</v>
      </c>
      <c r="D1219" s="8">
        <v>6343100001</v>
      </c>
      <c r="E1219" s="8" t="s">
        <v>397</v>
      </c>
      <c r="F1219" s="73" t="s">
        <v>23</v>
      </c>
      <c r="G1219" s="73" t="s">
        <v>136</v>
      </c>
      <c r="H1219" s="112" t="s">
        <v>61</v>
      </c>
      <c r="I1219" s="13" t="s">
        <v>22</v>
      </c>
      <c r="K1219" s="187"/>
      <c r="L1219" s="187"/>
      <c r="M1219" s="188">
        <f>IF($G1219="PAX",M268*'Insumos - OPEX'!I$51,M268*'Insumos - OPEX'!I$76)</f>
        <v>158.78517526140007</v>
      </c>
      <c r="N1219" s="211">
        <f>IF($G1219="PAX",N268*'Insumos - OPEX'!J$51,N268*'Insumos - OPEX'!J$76)</f>
        <v>160.63435036106094</v>
      </c>
      <c r="O1219" s="211">
        <f>IF($G1219="PAX",O268*'Insumos - OPEX'!K$51,O268*'Insumos - OPEX'!K$76)</f>
        <v>164.37737413163913</v>
      </c>
      <c r="P1219" s="211">
        <f>IF($G1219="PAX",P268*'Insumos - OPEX'!L$51,P268*'Insumos - OPEX'!L$76)</f>
        <v>167.85541174671766</v>
      </c>
      <c r="Q1219" s="211">
        <f>IF($G1219="PAX",Q268*'Insumos - OPEX'!M$51,Q268*'Insumos - OPEX'!M$76)</f>
        <v>173.88170376657231</v>
      </c>
      <c r="R1219" s="211">
        <f>IF($G1219="PAX",R268*'Insumos - OPEX'!N$51,R268*'Insumos - OPEX'!N$76)</f>
        <v>179.20612356880491</v>
      </c>
      <c r="S1219" s="111"/>
    </row>
    <row r="1220" spans="1:19" x14ac:dyDescent="0.2">
      <c r="A1220" s="8"/>
      <c r="B1220" s="8" t="s">
        <v>434</v>
      </c>
      <c r="C1220" s="8" t="s">
        <v>173</v>
      </c>
      <c r="D1220" s="8">
        <v>6344000002</v>
      </c>
      <c r="E1220" s="8" t="s">
        <v>409</v>
      </c>
      <c r="F1220" s="73" t="s">
        <v>23</v>
      </c>
      <c r="G1220" s="73" t="s">
        <v>136</v>
      </c>
      <c r="H1220" s="112" t="s">
        <v>61</v>
      </c>
      <c r="I1220" s="13" t="s">
        <v>22</v>
      </c>
      <c r="K1220" s="187"/>
      <c r="L1220" s="187"/>
      <c r="M1220" s="188">
        <f>IF($G1220="PAX",M269*'Insumos - OPEX'!I$51,M269*'Insumos - OPEX'!I$76)</f>
        <v>142.23097129660951</v>
      </c>
      <c r="N1220" s="211">
        <f>IF($G1220="PAX",N269*'Insumos - OPEX'!J$51,N269*'Insumos - OPEX'!J$76)</f>
        <v>143.88735999970655</v>
      </c>
      <c r="O1220" s="211">
        <f>IF($G1220="PAX",O269*'Insumos - OPEX'!K$51,O269*'Insumos - OPEX'!K$76)</f>
        <v>147.24015351836604</v>
      </c>
      <c r="P1220" s="211">
        <f>IF($G1220="PAX",P269*'Insumos - OPEX'!L$51,P269*'Insumos - OPEX'!L$76)</f>
        <v>150.35558710581768</v>
      </c>
      <c r="Q1220" s="211">
        <f>IF($G1220="PAX",Q269*'Insumos - OPEX'!M$51,Q269*'Insumos - OPEX'!M$76)</f>
        <v>155.75360594409963</v>
      </c>
      <c r="R1220" s="211">
        <f>IF($G1220="PAX",R269*'Insumos - OPEX'!N$51,R269*'Insumos - OPEX'!N$76)</f>
        <v>160.52292649821143</v>
      </c>
      <c r="S1220" s="111"/>
    </row>
    <row r="1221" spans="1:19" x14ac:dyDescent="0.2">
      <c r="A1221" s="8"/>
      <c r="B1221" s="8" t="s">
        <v>434</v>
      </c>
      <c r="C1221" s="8" t="s">
        <v>173</v>
      </c>
      <c r="D1221" s="8">
        <v>6343100015</v>
      </c>
      <c r="E1221" s="8" t="s">
        <v>401</v>
      </c>
      <c r="F1221" s="73" t="s">
        <v>23</v>
      </c>
      <c r="G1221" s="73" t="s">
        <v>136</v>
      </c>
      <c r="H1221" s="112" t="s">
        <v>61</v>
      </c>
      <c r="I1221" s="13" t="s">
        <v>22</v>
      </c>
      <c r="J1221" s="1"/>
      <c r="K1221" s="187"/>
      <c r="L1221" s="187"/>
      <c r="M1221" s="188">
        <f>IF($G1221="PAX",M270*'Insumos - OPEX'!I$51,M270*'Insumos - OPEX'!I$76)</f>
        <v>108.70853665769005</v>
      </c>
      <c r="N1221" s="211">
        <f>IF($G1221="PAX",N270*'Insumos - OPEX'!J$51,N270*'Insumos - OPEX'!J$76)</f>
        <v>109.97453090921282</v>
      </c>
      <c r="O1221" s="211">
        <f>IF($G1221="PAX",O270*'Insumos - OPEX'!K$51,O270*'Insumos - OPEX'!K$76)</f>
        <v>112.53710412239001</v>
      </c>
      <c r="P1221" s="211">
        <f>IF($G1221="PAX",P270*'Insumos - OPEX'!L$51,P270*'Insumos - OPEX'!L$76)</f>
        <v>114.91826079493927</v>
      </c>
      <c r="Q1221" s="211">
        <f>IF($G1221="PAX",Q270*'Insumos - OPEX'!M$51,Q270*'Insumos - OPEX'!M$76)</f>
        <v>119.04401992750215</v>
      </c>
      <c r="R1221" s="211">
        <f>IF($G1221="PAX",R270*'Insumos - OPEX'!N$51,R270*'Insumos - OPEX'!N$76)</f>
        <v>122.68925874969739</v>
      </c>
      <c r="S1221" s="111"/>
    </row>
    <row r="1222" spans="1:19" x14ac:dyDescent="0.2">
      <c r="A1222" s="8"/>
      <c r="B1222" s="8" t="s">
        <v>434</v>
      </c>
      <c r="C1222" s="8" t="s">
        <v>173</v>
      </c>
      <c r="D1222" s="8">
        <v>6345000001</v>
      </c>
      <c r="E1222" s="8" t="s">
        <v>405</v>
      </c>
      <c r="F1222" s="73" t="s">
        <v>23</v>
      </c>
      <c r="G1222" s="73" t="s">
        <v>136</v>
      </c>
      <c r="H1222" s="112" t="s">
        <v>61</v>
      </c>
      <c r="I1222" s="13" t="s">
        <v>22</v>
      </c>
      <c r="K1222" s="187"/>
      <c r="L1222" s="187"/>
      <c r="M1222" s="188">
        <f>IF($G1222="PAX",M271*'Insumos - OPEX'!I$51,M271*'Insumos - OPEX'!I$76)</f>
        <v>87.221837668005847</v>
      </c>
      <c r="N1222" s="211">
        <f>IF($G1222="PAX",N271*'Insumos - OPEX'!J$51,N271*'Insumos - OPEX'!J$76)</f>
        <v>88.237602836868831</v>
      </c>
      <c r="O1222" s="211">
        <f>IF($G1222="PAX",O271*'Insumos - OPEX'!K$51,O271*'Insumos - OPEX'!K$76)</f>
        <v>90.293672688272807</v>
      </c>
      <c r="P1222" s="211">
        <f>IF($G1222="PAX",P271*'Insumos - OPEX'!L$51,P271*'Insumos - OPEX'!L$76)</f>
        <v>92.204183740492823</v>
      </c>
      <c r="Q1222" s="211">
        <f>IF($G1222="PAX",Q271*'Insumos - OPEX'!M$51,Q271*'Insumos - OPEX'!M$76)</f>
        <v>95.514469246872466</v>
      </c>
      <c r="R1222" s="211">
        <f>IF($G1222="PAX",R271*'Insumos - OPEX'!N$51,R271*'Insumos - OPEX'!N$76)</f>
        <v>98.439211301047976</v>
      </c>
      <c r="S1222" s="111"/>
    </row>
    <row r="1223" spans="1:19" x14ac:dyDescent="0.2">
      <c r="A1223" s="8"/>
      <c r="B1223" s="8" t="s">
        <v>434</v>
      </c>
      <c r="C1223" s="8" t="s">
        <v>173</v>
      </c>
      <c r="D1223" s="8">
        <v>6348000001</v>
      </c>
      <c r="E1223" s="8" t="s">
        <v>402</v>
      </c>
      <c r="F1223" s="73" t="s">
        <v>23</v>
      </c>
      <c r="G1223" s="73" t="s">
        <v>136</v>
      </c>
      <c r="H1223" s="112" t="s">
        <v>61</v>
      </c>
      <c r="I1223" s="13" t="s">
        <v>22</v>
      </c>
      <c r="K1223" s="187"/>
      <c r="L1223" s="187"/>
      <c r="M1223" s="188">
        <f>IF($G1223="PAX",M272*'Insumos - OPEX'!I$51,M272*'Insumos - OPEX'!I$76)</f>
        <v>68.845712130933293</v>
      </c>
      <c r="N1223" s="211">
        <f>IF($G1223="PAX",N272*'Insumos - OPEX'!J$51,N272*'Insumos - OPEX'!J$76)</f>
        <v>69.647473229734615</v>
      </c>
      <c r="O1223" s="211">
        <f>IF($G1223="PAX",O272*'Insumos - OPEX'!K$51,O272*'Insumos - OPEX'!K$76)</f>
        <v>71.270364891908017</v>
      </c>
      <c r="P1223" s="211">
        <f>IF($G1223="PAX",P272*'Insumos - OPEX'!L$51,P272*'Insumos - OPEX'!L$76)</f>
        <v>72.77836446450074</v>
      </c>
      <c r="Q1223" s="211">
        <f>IF($G1223="PAX",Q272*'Insumos - OPEX'!M$51,Q272*'Insumos - OPEX'!M$76)</f>
        <v>75.391230337733887</v>
      </c>
      <c r="R1223" s="211">
        <f>IF($G1223="PAX",R272*'Insumos - OPEX'!N$51,R272*'Insumos - OPEX'!N$76)</f>
        <v>77.699780064528525</v>
      </c>
      <c r="S1223" s="111"/>
    </row>
    <row r="1224" spans="1:19" x14ac:dyDescent="0.2">
      <c r="A1224" s="8"/>
      <c r="B1224" s="8" t="s">
        <v>434</v>
      </c>
      <c r="C1224" s="8" t="s">
        <v>173</v>
      </c>
      <c r="D1224" s="8">
        <v>6342000001</v>
      </c>
      <c r="E1224" s="8" t="s">
        <v>410</v>
      </c>
      <c r="F1224" s="73" t="s">
        <v>23</v>
      </c>
      <c r="G1224" s="73" t="s">
        <v>136</v>
      </c>
      <c r="H1224" s="112" t="s">
        <v>61</v>
      </c>
      <c r="I1224" s="13" t="s">
        <v>22</v>
      </c>
      <c r="K1224" s="187"/>
      <c r="L1224" s="187"/>
      <c r="M1224" s="188">
        <f>IF($G1224="PAX",M273*'Insumos - OPEX'!I$51,M273*'Insumos - OPEX'!I$76)</f>
        <v>66.631923778612034</v>
      </c>
      <c r="N1224" s="211">
        <f>IF($G1224="PAX",N273*'Insumos - OPEX'!J$51,N273*'Insumos - OPEX'!J$76)</f>
        <v>67.407903614834566</v>
      </c>
      <c r="O1224" s="211">
        <f>IF($G1224="PAX",O273*'Insumos - OPEX'!K$51,O273*'Insumos - OPEX'!K$76)</f>
        <v>68.978609911389754</v>
      </c>
      <c r="P1224" s="211">
        <f>IF($G1224="PAX",P273*'Insumos - OPEX'!L$51,P273*'Insumos - OPEX'!L$76)</f>
        <v>70.438118564420762</v>
      </c>
      <c r="Q1224" s="211">
        <f>IF($G1224="PAX",Q273*'Insumos - OPEX'!M$51,Q273*'Insumos - OPEX'!M$76)</f>
        <v>72.966965667896076</v>
      </c>
      <c r="R1224" s="211">
        <f>IF($G1224="PAX",R273*'Insumos - OPEX'!N$51,R273*'Insumos - OPEX'!N$76)</f>
        <v>75.201282151432054</v>
      </c>
      <c r="S1224" s="111"/>
    </row>
    <row r="1225" spans="1:19" x14ac:dyDescent="0.2">
      <c r="A1225" s="8"/>
      <c r="B1225" s="8" t="s">
        <v>434</v>
      </c>
      <c r="C1225" s="8" t="s">
        <v>173</v>
      </c>
      <c r="D1225" s="8">
        <v>6343100017</v>
      </c>
      <c r="E1225" s="8" t="s">
        <v>403</v>
      </c>
      <c r="F1225" s="73" t="s">
        <v>23</v>
      </c>
      <c r="G1225" s="73" t="s">
        <v>136</v>
      </c>
      <c r="H1225" s="112" t="s">
        <v>61</v>
      </c>
      <c r="I1225" s="13" t="s">
        <v>22</v>
      </c>
      <c r="K1225" s="187"/>
      <c r="L1225" s="187"/>
      <c r="M1225" s="188">
        <f>IF($G1225="PAX",M274*'Insumos - OPEX'!I$51,M274*'Insumos - OPEX'!I$76)</f>
        <v>1.9885797600647757</v>
      </c>
      <c r="N1225" s="211">
        <f>IF($G1225="PAX",N274*'Insumos - OPEX'!J$51,N274*'Insumos - OPEX'!J$76)</f>
        <v>2.0117382959290193</v>
      </c>
      <c r="O1225" s="211">
        <f>IF($G1225="PAX",O274*'Insumos - OPEX'!K$51,O274*'Insumos - OPEX'!K$76)</f>
        <v>2.058614846585336</v>
      </c>
      <c r="P1225" s="211">
        <f>IF($G1225="PAX",P274*'Insumos - OPEX'!L$51,P274*'Insumos - OPEX'!L$76)</f>
        <v>2.102172787020915</v>
      </c>
      <c r="Q1225" s="211">
        <f>IF($G1225="PAX",Q274*'Insumos - OPEX'!M$51,Q274*'Insumos - OPEX'!M$76)</f>
        <v>2.1776443310060172</v>
      </c>
      <c r="R1225" s="211">
        <f>IF($G1225="PAX",R274*'Insumos - OPEX'!N$51,R274*'Insumos - OPEX'!N$76)</f>
        <v>2.2443258296747515</v>
      </c>
      <c r="S1225" s="111"/>
    </row>
    <row r="1226" spans="1:19" x14ac:dyDescent="0.2">
      <c r="A1226" s="8"/>
      <c r="B1226" s="8" t="s">
        <v>434</v>
      </c>
      <c r="C1226" s="8" t="s">
        <v>173</v>
      </c>
      <c r="D1226" s="8">
        <v>6343100007</v>
      </c>
      <c r="E1226" s="8" t="s">
        <v>390</v>
      </c>
      <c r="F1226" s="73" t="s">
        <v>23</v>
      </c>
      <c r="G1226" s="73" t="s">
        <v>136</v>
      </c>
      <c r="H1226" s="112" t="s">
        <v>61</v>
      </c>
      <c r="I1226" s="13" t="s">
        <v>22</v>
      </c>
      <c r="K1226" s="187"/>
      <c r="L1226" s="187"/>
      <c r="M1226" s="188">
        <f>IF($G1226="PAX",M275*'Insumos - OPEX'!I$51,M275*'Insumos - OPEX'!I$76)</f>
        <v>0</v>
      </c>
      <c r="N1226" s="211">
        <f>IF($G1226="PAX",N275*'Insumos - OPEX'!J$51,N275*'Insumos - OPEX'!J$76)</f>
        <v>0</v>
      </c>
      <c r="O1226" s="211">
        <f>IF($G1226="PAX",O275*'Insumos - OPEX'!K$51,O275*'Insumos - OPEX'!K$76)</f>
        <v>0</v>
      </c>
      <c r="P1226" s="211">
        <f>IF($G1226="PAX",P275*'Insumos - OPEX'!L$51,P275*'Insumos - OPEX'!L$76)</f>
        <v>0</v>
      </c>
      <c r="Q1226" s="211">
        <f>IF($G1226="PAX",Q275*'Insumos - OPEX'!M$51,Q275*'Insumos - OPEX'!M$76)</f>
        <v>0</v>
      </c>
      <c r="R1226" s="211">
        <f>IF($G1226="PAX",R275*'Insumos - OPEX'!N$51,R275*'Insumos - OPEX'!N$76)</f>
        <v>0</v>
      </c>
      <c r="S1226" s="111"/>
    </row>
    <row r="1227" spans="1:19" x14ac:dyDescent="0.2">
      <c r="A1227" s="8"/>
      <c r="B1227" s="8" t="s">
        <v>434</v>
      </c>
      <c r="C1227" s="8" t="s">
        <v>173</v>
      </c>
      <c r="D1227" s="8">
        <v>6343100009</v>
      </c>
      <c r="E1227" s="8" t="s">
        <v>418</v>
      </c>
      <c r="F1227" s="73" t="s">
        <v>23</v>
      </c>
      <c r="G1227" s="73" t="s">
        <v>136</v>
      </c>
      <c r="H1227" s="112" t="s">
        <v>61</v>
      </c>
      <c r="I1227" s="13" t="s">
        <v>22</v>
      </c>
      <c r="K1227" s="187"/>
      <c r="L1227" s="187"/>
      <c r="M1227" s="188">
        <f>IF($G1227="PAX",M276*'Insumos - OPEX'!I$51,M276*'Insumos - OPEX'!I$76)</f>
        <v>0</v>
      </c>
      <c r="N1227" s="211">
        <f>IF($G1227="PAX",N276*'Insumos - OPEX'!J$51,N276*'Insumos - OPEX'!J$76)</f>
        <v>0</v>
      </c>
      <c r="O1227" s="211">
        <f>IF($G1227="PAX",O276*'Insumos - OPEX'!K$51,O276*'Insumos - OPEX'!K$76)</f>
        <v>0</v>
      </c>
      <c r="P1227" s="211">
        <f>IF($G1227="PAX",P276*'Insumos - OPEX'!L$51,P276*'Insumos - OPEX'!L$76)</f>
        <v>0</v>
      </c>
      <c r="Q1227" s="211">
        <f>IF($G1227="PAX",Q276*'Insumos - OPEX'!M$51,Q276*'Insumos - OPEX'!M$76)</f>
        <v>0</v>
      </c>
      <c r="R1227" s="211">
        <f>IF($G1227="PAX",R276*'Insumos - OPEX'!N$51,R276*'Insumos - OPEX'!N$76)</f>
        <v>0</v>
      </c>
      <c r="S1227" s="111"/>
    </row>
    <row r="1228" spans="1:19" x14ac:dyDescent="0.2">
      <c r="A1228" s="8"/>
      <c r="B1228" s="8" t="s">
        <v>434</v>
      </c>
      <c r="C1228" s="8" t="s">
        <v>173</v>
      </c>
      <c r="D1228" s="8">
        <v>6343100008</v>
      </c>
      <c r="E1228" s="8" t="s">
        <v>395</v>
      </c>
      <c r="F1228" s="73" t="s">
        <v>23</v>
      </c>
      <c r="G1228" s="73" t="s">
        <v>136</v>
      </c>
      <c r="H1228" s="112" t="s">
        <v>61</v>
      </c>
      <c r="I1228" s="13" t="s">
        <v>22</v>
      </c>
      <c r="K1228" s="187"/>
      <c r="L1228" s="187"/>
      <c r="M1228" s="188">
        <f>IF($G1228="PAX",M277*'Insumos - OPEX'!I$51,M277*'Insumos - OPEX'!I$76)</f>
        <v>0</v>
      </c>
      <c r="N1228" s="211">
        <f>IF($G1228="PAX",N277*'Insumos - OPEX'!J$51,N277*'Insumos - OPEX'!J$76)</f>
        <v>0</v>
      </c>
      <c r="O1228" s="211">
        <f>IF($G1228="PAX",O277*'Insumos - OPEX'!K$51,O277*'Insumos - OPEX'!K$76)</f>
        <v>0</v>
      </c>
      <c r="P1228" s="211">
        <f>IF($G1228="PAX",P277*'Insumos - OPEX'!L$51,P277*'Insumos - OPEX'!L$76)</f>
        <v>0</v>
      </c>
      <c r="Q1228" s="211">
        <f>IF($G1228="PAX",Q277*'Insumos - OPEX'!M$51,Q277*'Insumos - OPEX'!M$76)</f>
        <v>0</v>
      </c>
      <c r="R1228" s="211">
        <f>IF($G1228="PAX",R277*'Insumos - OPEX'!N$51,R277*'Insumos - OPEX'!N$76)</f>
        <v>0</v>
      </c>
      <c r="S1228" s="111"/>
    </row>
    <row r="1229" spans="1:19" x14ac:dyDescent="0.2">
      <c r="A1229" s="8"/>
      <c r="B1229" s="8" t="s">
        <v>434</v>
      </c>
      <c r="C1229" s="8" t="s">
        <v>173</v>
      </c>
      <c r="D1229" s="8">
        <v>6347000001</v>
      </c>
      <c r="E1229" s="8" t="s">
        <v>394</v>
      </c>
      <c r="F1229" s="73" t="s">
        <v>23</v>
      </c>
      <c r="G1229" s="73" t="s">
        <v>136</v>
      </c>
      <c r="H1229" s="112" t="s">
        <v>61</v>
      </c>
      <c r="I1229" s="13" t="s">
        <v>22</v>
      </c>
      <c r="K1229" s="187"/>
      <c r="L1229" s="187"/>
      <c r="M1229" s="188">
        <f>IF($G1229="PAX",M278*'Insumos - OPEX'!I$51,M278*'Insumos - OPEX'!I$76)</f>
        <v>0</v>
      </c>
      <c r="N1229" s="211">
        <f>IF($G1229="PAX",N278*'Insumos - OPEX'!J$51,N278*'Insumos - OPEX'!J$76)</f>
        <v>0</v>
      </c>
      <c r="O1229" s="211">
        <f>IF($G1229="PAX",O278*'Insumos - OPEX'!K$51,O278*'Insumos - OPEX'!K$76)</f>
        <v>0</v>
      </c>
      <c r="P1229" s="211">
        <f>IF($G1229="PAX",P278*'Insumos - OPEX'!L$51,P278*'Insumos - OPEX'!L$76)</f>
        <v>0</v>
      </c>
      <c r="Q1229" s="211">
        <f>IF($G1229="PAX",Q278*'Insumos - OPEX'!M$51,Q278*'Insumos - OPEX'!M$76)</f>
        <v>0</v>
      </c>
      <c r="R1229" s="211">
        <f>IF($G1229="PAX",R278*'Insumos - OPEX'!N$51,R278*'Insumos - OPEX'!N$76)</f>
        <v>0</v>
      </c>
      <c r="S1229" s="111"/>
    </row>
    <row r="1230" spans="1:19" x14ac:dyDescent="0.2">
      <c r="A1230" s="8"/>
      <c r="B1230" s="8" t="s">
        <v>434</v>
      </c>
      <c r="C1230" s="8" t="s">
        <v>173</v>
      </c>
      <c r="D1230" s="8">
        <v>6346000001</v>
      </c>
      <c r="E1230" s="8" t="s">
        <v>421</v>
      </c>
      <c r="F1230" s="73" t="s">
        <v>23</v>
      </c>
      <c r="G1230" s="73" t="s">
        <v>136</v>
      </c>
      <c r="H1230" s="112" t="s">
        <v>61</v>
      </c>
      <c r="I1230" s="13" t="s">
        <v>22</v>
      </c>
      <c r="K1230" s="187"/>
      <c r="L1230" s="187"/>
      <c r="M1230" s="188">
        <f>IF($G1230="PAX",M279*'Insumos - OPEX'!I$51,M279*'Insumos - OPEX'!I$76)</f>
        <v>0</v>
      </c>
      <c r="N1230" s="211">
        <f>IF($G1230="PAX",N279*'Insumos - OPEX'!J$51,N279*'Insumos - OPEX'!J$76)</f>
        <v>0</v>
      </c>
      <c r="O1230" s="211">
        <f>IF($G1230="PAX",O279*'Insumos - OPEX'!K$51,O279*'Insumos - OPEX'!K$76)</f>
        <v>0</v>
      </c>
      <c r="P1230" s="211">
        <f>IF($G1230="PAX",P279*'Insumos - OPEX'!L$51,P279*'Insumos - OPEX'!L$76)</f>
        <v>0</v>
      </c>
      <c r="Q1230" s="211">
        <f>IF($G1230="PAX",Q279*'Insumos - OPEX'!M$51,Q279*'Insumos - OPEX'!M$76)</f>
        <v>0</v>
      </c>
      <c r="R1230" s="211">
        <f>IF($G1230="PAX",R279*'Insumos - OPEX'!N$51,R279*'Insumos - OPEX'!N$76)</f>
        <v>0</v>
      </c>
      <c r="S1230" s="111"/>
    </row>
    <row r="1231" spans="1:19" x14ac:dyDescent="0.2">
      <c r="A1231" s="8"/>
      <c r="B1231" s="8" t="s">
        <v>434</v>
      </c>
      <c r="C1231" s="8" t="s">
        <v>173</v>
      </c>
      <c r="D1231" s="8">
        <v>6344000001</v>
      </c>
      <c r="E1231" s="8" t="s">
        <v>417</v>
      </c>
      <c r="F1231" s="73" t="s">
        <v>23</v>
      </c>
      <c r="G1231" s="73" t="s">
        <v>136</v>
      </c>
      <c r="H1231" s="112" t="s">
        <v>61</v>
      </c>
      <c r="I1231" s="13" t="s">
        <v>22</v>
      </c>
      <c r="K1231" s="187"/>
      <c r="L1231" s="187"/>
      <c r="M1231" s="188">
        <f>IF($G1231="PAX",M280*'Insumos - OPEX'!I$51,M280*'Insumos - OPEX'!I$76)</f>
        <v>0</v>
      </c>
      <c r="N1231" s="211">
        <f>IF($G1231="PAX",N280*'Insumos - OPEX'!J$51,N280*'Insumos - OPEX'!J$76)</f>
        <v>0</v>
      </c>
      <c r="O1231" s="211">
        <f>IF($G1231="PAX",O280*'Insumos - OPEX'!K$51,O280*'Insumos - OPEX'!K$76)</f>
        <v>0</v>
      </c>
      <c r="P1231" s="211">
        <f>IF($G1231="PAX",P280*'Insumos - OPEX'!L$51,P280*'Insumos - OPEX'!L$76)</f>
        <v>0</v>
      </c>
      <c r="Q1231" s="211">
        <f>IF($G1231="PAX",Q280*'Insumos - OPEX'!M$51,Q280*'Insumos - OPEX'!M$76)</f>
        <v>0</v>
      </c>
      <c r="R1231" s="211">
        <f>IF($G1231="PAX",R280*'Insumos - OPEX'!N$51,R280*'Insumos - OPEX'!N$76)</f>
        <v>0</v>
      </c>
      <c r="S1231" s="111"/>
    </row>
    <row r="1232" spans="1:19" x14ac:dyDescent="0.2">
      <c r="A1232" s="8"/>
      <c r="B1232" s="8" t="s">
        <v>434</v>
      </c>
      <c r="C1232" s="8" t="s">
        <v>173</v>
      </c>
      <c r="D1232" s="8">
        <v>6343100004</v>
      </c>
      <c r="E1232" s="8" t="s">
        <v>408</v>
      </c>
      <c r="F1232" s="73" t="s">
        <v>23</v>
      </c>
      <c r="G1232" s="73" t="s">
        <v>136</v>
      </c>
      <c r="H1232" s="112" t="s">
        <v>61</v>
      </c>
      <c r="I1232" s="13" t="s">
        <v>22</v>
      </c>
      <c r="K1232" s="187"/>
      <c r="L1232" s="187"/>
      <c r="M1232" s="188">
        <f>IF($G1232="PAX",M281*'Insumos - OPEX'!I$51,M281*'Insumos - OPEX'!I$76)</f>
        <v>0</v>
      </c>
      <c r="N1232" s="211">
        <f>IF($G1232="PAX",N281*'Insumos - OPEX'!J$51,N281*'Insumos - OPEX'!J$76)</f>
        <v>0</v>
      </c>
      <c r="O1232" s="211">
        <f>IF($G1232="PAX",O281*'Insumos - OPEX'!K$51,O281*'Insumos - OPEX'!K$76)</f>
        <v>0</v>
      </c>
      <c r="P1232" s="211">
        <f>IF($G1232="PAX",P281*'Insumos - OPEX'!L$51,P281*'Insumos - OPEX'!L$76)</f>
        <v>0</v>
      </c>
      <c r="Q1232" s="211">
        <f>IF($G1232="PAX",Q281*'Insumos - OPEX'!M$51,Q281*'Insumos - OPEX'!M$76)</f>
        <v>0</v>
      </c>
      <c r="R1232" s="211">
        <f>IF($G1232="PAX",R281*'Insumos - OPEX'!N$51,R281*'Insumos - OPEX'!N$76)</f>
        <v>0</v>
      </c>
      <c r="S1232" s="111"/>
    </row>
    <row r="1233" spans="1:19" x14ac:dyDescent="0.2">
      <c r="A1233" s="8"/>
      <c r="B1233" s="8" t="s">
        <v>434</v>
      </c>
      <c r="C1233" s="8" t="s">
        <v>173</v>
      </c>
      <c r="D1233" s="8">
        <v>6341100009</v>
      </c>
      <c r="E1233" s="8" t="s">
        <v>407</v>
      </c>
      <c r="F1233" s="73" t="s">
        <v>23</v>
      </c>
      <c r="G1233" s="73" t="s">
        <v>136</v>
      </c>
      <c r="H1233" s="112" t="s">
        <v>61</v>
      </c>
      <c r="I1233" s="13" t="s">
        <v>22</v>
      </c>
      <c r="K1233" s="187"/>
      <c r="L1233" s="187"/>
      <c r="M1233" s="188">
        <f>IF($G1233="PAX",M282*'Insumos - OPEX'!I$51,M282*'Insumos - OPEX'!I$76)</f>
        <v>0</v>
      </c>
      <c r="N1233" s="211">
        <f>IF($G1233="PAX",N282*'Insumos - OPEX'!J$51,N282*'Insumos - OPEX'!J$76)</f>
        <v>0</v>
      </c>
      <c r="O1233" s="211">
        <f>IF($G1233="PAX",O282*'Insumos - OPEX'!K$51,O282*'Insumos - OPEX'!K$76)</f>
        <v>0</v>
      </c>
      <c r="P1233" s="211">
        <f>IF($G1233="PAX",P282*'Insumos - OPEX'!L$51,P282*'Insumos - OPEX'!L$76)</f>
        <v>0</v>
      </c>
      <c r="Q1233" s="211">
        <f>IF($G1233="PAX",Q282*'Insumos - OPEX'!M$51,Q282*'Insumos - OPEX'!M$76)</f>
        <v>0</v>
      </c>
      <c r="R1233" s="211">
        <f>IF($G1233="PAX",R282*'Insumos - OPEX'!N$51,R282*'Insumos - OPEX'!N$76)</f>
        <v>0</v>
      </c>
      <c r="S1233" s="111"/>
    </row>
    <row r="1234" spans="1:19" x14ac:dyDescent="0.2">
      <c r="A1234" s="8"/>
      <c r="B1234" s="8" t="s">
        <v>434</v>
      </c>
      <c r="C1234" s="8" t="s">
        <v>173</v>
      </c>
      <c r="D1234" s="8">
        <v>6343100011</v>
      </c>
      <c r="E1234" s="8" t="s">
        <v>422</v>
      </c>
      <c r="F1234" s="73" t="s">
        <v>23</v>
      </c>
      <c r="G1234" s="73" t="s">
        <v>136</v>
      </c>
      <c r="H1234" s="112" t="s">
        <v>61</v>
      </c>
      <c r="I1234" s="13" t="s">
        <v>22</v>
      </c>
      <c r="J1234" s="1"/>
      <c r="K1234" s="187"/>
      <c r="L1234" s="187"/>
      <c r="M1234" s="188">
        <f>IF($G1234="PAX",M283*'Insumos - OPEX'!I$51,M283*'Insumos - OPEX'!I$76)</f>
        <v>0</v>
      </c>
      <c r="N1234" s="211">
        <f>IF($G1234="PAX",N283*'Insumos - OPEX'!J$51,N283*'Insumos - OPEX'!J$76)</f>
        <v>0</v>
      </c>
      <c r="O1234" s="211">
        <f>IF($G1234="PAX",O283*'Insumos - OPEX'!K$51,O283*'Insumos - OPEX'!K$76)</f>
        <v>0</v>
      </c>
      <c r="P1234" s="211">
        <f>IF($G1234="PAX",P283*'Insumos - OPEX'!L$51,P283*'Insumos - OPEX'!L$76)</f>
        <v>0</v>
      </c>
      <c r="Q1234" s="211">
        <f>IF($G1234="PAX",Q283*'Insumos - OPEX'!M$51,Q283*'Insumos - OPEX'!M$76)</f>
        <v>0</v>
      </c>
      <c r="R1234" s="211">
        <f>IF($G1234="PAX",R283*'Insumos - OPEX'!N$51,R283*'Insumos - OPEX'!N$76)</f>
        <v>0</v>
      </c>
      <c r="S1234" s="111"/>
    </row>
    <row r="1235" spans="1:19" x14ac:dyDescent="0.2">
      <c r="A1235" s="8"/>
      <c r="B1235" s="8" t="s">
        <v>434</v>
      </c>
      <c r="C1235" s="8" t="s">
        <v>174</v>
      </c>
      <c r="D1235" s="8">
        <v>6561000003</v>
      </c>
      <c r="E1235" s="8" t="s">
        <v>269</v>
      </c>
      <c r="F1235" s="73" t="s">
        <v>23</v>
      </c>
      <c r="G1235" s="73" t="s">
        <v>136</v>
      </c>
      <c r="H1235" s="112" t="s">
        <v>61</v>
      </c>
      <c r="I1235" s="13" t="s">
        <v>22</v>
      </c>
      <c r="K1235" s="187"/>
      <c r="L1235" s="187"/>
      <c r="M1235" s="188">
        <f>IF($G1235="PAX",M284*'Insumos - OPEX'!I$51,M284*'Insumos - OPEX'!I$76)</f>
        <v>14678.776843384227</v>
      </c>
      <c r="N1235" s="211">
        <f>IF($G1235="PAX",N284*'Insumos - OPEX'!J$51,N284*'Insumos - OPEX'!J$76)</f>
        <v>14849.722453310209</v>
      </c>
      <c r="O1235" s="211">
        <f>IF($G1235="PAX",O284*'Insumos - OPEX'!K$51,O284*'Insumos - OPEX'!K$76)</f>
        <v>15195.743488065817</v>
      </c>
      <c r="P1235" s="211">
        <f>IF($G1235="PAX",P284*'Insumos - OPEX'!L$51,P284*'Insumos - OPEX'!L$76)</f>
        <v>15517.268075739619</v>
      </c>
      <c r="Q1235" s="211">
        <f>IF($G1235="PAX",Q284*'Insumos - OPEX'!M$51,Q284*'Insumos - OPEX'!M$76)</f>
        <v>16074.364137175382</v>
      </c>
      <c r="R1235" s="211">
        <f>IF($G1235="PAX",R284*'Insumos - OPEX'!N$51,R284*'Insumos - OPEX'!N$76)</f>
        <v>16566.576146066036</v>
      </c>
      <c r="S1235" s="111"/>
    </row>
    <row r="1236" spans="1:19" x14ac:dyDescent="0.2">
      <c r="A1236" s="8"/>
      <c r="B1236" s="8" t="s">
        <v>434</v>
      </c>
      <c r="C1236" s="8" t="s">
        <v>174</v>
      </c>
      <c r="D1236" s="8">
        <v>6561000004</v>
      </c>
      <c r="E1236" s="8" t="s">
        <v>359</v>
      </c>
      <c r="F1236" s="73" t="s">
        <v>23</v>
      </c>
      <c r="G1236" s="73" t="s">
        <v>136</v>
      </c>
      <c r="H1236" s="112" t="s">
        <v>61</v>
      </c>
      <c r="I1236" s="13" t="s">
        <v>22</v>
      </c>
      <c r="K1236" s="187"/>
      <c r="L1236" s="187"/>
      <c r="M1236" s="188">
        <f>IF($G1236="PAX",M285*'Insumos - OPEX'!I$51,M285*'Insumos - OPEX'!I$76)</f>
        <v>5384.1078671164278</v>
      </c>
      <c r="N1236" s="211">
        <f>IF($G1236="PAX",N285*'Insumos - OPEX'!J$51,N285*'Insumos - OPEX'!J$76)</f>
        <v>5446.8099309921608</v>
      </c>
      <c r="O1236" s="211">
        <f>IF($G1236="PAX",O285*'Insumos - OPEX'!K$51,O285*'Insumos - OPEX'!K$76)</f>
        <v>5573.7288558653254</v>
      </c>
      <c r="P1236" s="211">
        <f>IF($G1236="PAX",P285*'Insumos - OPEX'!L$51,P285*'Insumos - OPEX'!L$76)</f>
        <v>5691.6625965602179</v>
      </c>
      <c r="Q1236" s="211">
        <f>IF($G1236="PAX",Q285*'Insumos - OPEX'!M$51,Q285*'Insumos - OPEX'!M$76)</f>
        <v>5896.0028708977052</v>
      </c>
      <c r="R1236" s="211">
        <f>IF($G1236="PAX",R285*'Insumos - OPEX'!N$51,R285*'Insumos - OPEX'!N$76)</f>
        <v>6076.543973036727</v>
      </c>
      <c r="S1236" s="111"/>
    </row>
    <row r="1237" spans="1:19" x14ac:dyDescent="0.2">
      <c r="A1237" s="8"/>
      <c r="B1237" s="8" t="s">
        <v>434</v>
      </c>
      <c r="C1237" s="8" t="s">
        <v>174</v>
      </c>
      <c r="D1237" s="8">
        <v>6561000002</v>
      </c>
      <c r="E1237" s="8" t="s">
        <v>356</v>
      </c>
      <c r="F1237" s="73" t="s">
        <v>23</v>
      </c>
      <c r="G1237" s="73" t="s">
        <v>136</v>
      </c>
      <c r="H1237" s="112" t="s">
        <v>61</v>
      </c>
      <c r="I1237" s="13" t="s">
        <v>22</v>
      </c>
      <c r="K1237" s="187"/>
      <c r="L1237" s="187"/>
      <c r="M1237" s="188">
        <f>IF($G1237="PAX",M286*'Insumos - OPEX'!I$51,M286*'Insumos - OPEX'!I$76)</f>
        <v>4208.7853149548155</v>
      </c>
      <c r="N1237" s="211">
        <f>IF($G1237="PAX",N286*'Insumos - OPEX'!J$51,N286*'Insumos - OPEX'!J$76)</f>
        <v>4257.7998466415447</v>
      </c>
      <c r="O1237" s="211">
        <f>IF($G1237="PAX",O286*'Insumos - OPEX'!K$51,O286*'Insumos - OPEX'!K$76)</f>
        <v>4357.0130348576486</v>
      </c>
      <c r="P1237" s="211">
        <f>IF($G1237="PAX",P286*'Insumos - OPEX'!L$51,P286*'Insumos - OPEX'!L$76)</f>
        <v>4449.2024575484302</v>
      </c>
      <c r="Q1237" s="211">
        <f>IF($G1237="PAX",Q286*'Insumos - OPEX'!M$51,Q286*'Insumos - OPEX'!M$76)</f>
        <v>4608.9363200770904</v>
      </c>
      <c r="R1237" s="211">
        <f>IF($G1237="PAX",R286*'Insumos - OPEX'!N$51,R286*'Insumos - OPEX'!N$76)</f>
        <v>4750.0662450678819</v>
      </c>
      <c r="S1237" s="111"/>
    </row>
    <row r="1238" spans="1:19" x14ac:dyDescent="0.2">
      <c r="A1238" s="8"/>
      <c r="B1238" s="8" t="s">
        <v>434</v>
      </c>
      <c r="C1238" s="8" t="s">
        <v>174</v>
      </c>
      <c r="D1238" s="8">
        <v>6510000001</v>
      </c>
      <c r="E1238" s="8" t="s">
        <v>182</v>
      </c>
      <c r="F1238" s="73" t="s">
        <v>23</v>
      </c>
      <c r="G1238" s="73" t="s">
        <v>480</v>
      </c>
      <c r="H1238" s="112" t="s">
        <v>61</v>
      </c>
      <c r="I1238" s="13" t="s">
        <v>22</v>
      </c>
      <c r="K1238" s="187"/>
      <c r="L1238" s="187"/>
      <c r="M1238" s="188">
        <f>IF($G1238="PAX",M287*'Insumos - OPEX'!I$51,M287*'Insumos - OPEX'!I$76)</f>
        <v>787.79688788404405</v>
      </c>
      <c r="N1238" s="211">
        <f>IF($G1238="PAX",N287*'Insumos - OPEX'!J$51,N287*'Insumos - OPEX'!J$76)</f>
        <v>795.0342243845887</v>
      </c>
      <c r="O1238" s="211">
        <f>IF($G1238="PAX",O287*'Insumos - OPEX'!K$51,O287*'Insumos - OPEX'!K$76)</f>
        <v>808.14304745308402</v>
      </c>
      <c r="P1238" s="211">
        <f>IF($G1238="PAX",P287*'Insumos - OPEX'!L$51,P287*'Insumos - OPEX'!L$76)</f>
        <v>820.02633865635312</v>
      </c>
      <c r="Q1238" s="211">
        <f>IF($G1238="PAX",Q287*'Insumos - OPEX'!M$51,Q287*'Insumos - OPEX'!M$76)</f>
        <v>834.66790532900393</v>
      </c>
      <c r="R1238" s="211">
        <f>IF($G1238="PAX",R287*'Insumos - OPEX'!N$51,R287*'Insumos - OPEX'!N$76)</f>
        <v>848.94163654171643</v>
      </c>
      <c r="S1238" s="111"/>
    </row>
    <row r="1239" spans="1:19" x14ac:dyDescent="0.2">
      <c r="A1239" s="8"/>
      <c r="B1239" s="8" t="s">
        <v>434</v>
      </c>
      <c r="C1239" s="8" t="s">
        <v>174</v>
      </c>
      <c r="D1239" s="8">
        <v>6310000001</v>
      </c>
      <c r="E1239" s="8" t="s">
        <v>371</v>
      </c>
      <c r="F1239" s="73" t="s">
        <v>23</v>
      </c>
      <c r="G1239" s="73" t="s">
        <v>136</v>
      </c>
      <c r="H1239" s="112" t="s">
        <v>61</v>
      </c>
      <c r="I1239" s="13" t="s">
        <v>22</v>
      </c>
      <c r="K1239" s="187"/>
      <c r="L1239" s="187"/>
      <c r="M1239" s="188">
        <f>IF($G1239="PAX",M288*'Insumos - OPEX'!I$51,M288*'Insumos - OPEX'!I$76)</f>
        <v>1754.1938714295516</v>
      </c>
      <c r="N1239" s="211">
        <f>IF($G1239="PAX",N288*'Insumos - OPEX'!J$51,N288*'Insumos - OPEX'!J$76)</f>
        <v>1774.6228039270911</v>
      </c>
      <c r="O1239" s="211">
        <f>IF($G1239="PAX",O288*'Insumos - OPEX'!K$51,O288*'Insumos - OPEX'!K$76)</f>
        <v>1815.9742043217072</v>
      </c>
      <c r="P1239" s="211">
        <f>IF($G1239="PAX",P288*'Insumos - OPEX'!L$51,P288*'Insumos - OPEX'!L$76)</f>
        <v>1854.3981457188067</v>
      </c>
      <c r="Q1239" s="211">
        <f>IF($G1239="PAX",Q288*'Insumos - OPEX'!M$51,Q288*'Insumos - OPEX'!M$76)</f>
        <v>1920.9741627258786</v>
      </c>
      <c r="R1239" s="211">
        <f>IF($G1239="PAX",R288*'Insumos - OPEX'!N$51,R288*'Insumos - OPEX'!N$76)</f>
        <v>1979.7961816619566</v>
      </c>
      <c r="S1239" s="111"/>
    </row>
    <row r="1240" spans="1:19" x14ac:dyDescent="0.2">
      <c r="A1240" s="8"/>
      <c r="B1240" s="8" t="s">
        <v>434</v>
      </c>
      <c r="C1240" s="8" t="s">
        <v>174</v>
      </c>
      <c r="D1240" s="8">
        <v>6430000001</v>
      </c>
      <c r="E1240" s="8" t="s">
        <v>275</v>
      </c>
      <c r="F1240" s="73" t="s">
        <v>23</v>
      </c>
      <c r="G1240" s="73" t="s">
        <v>480</v>
      </c>
      <c r="H1240" s="112" t="s">
        <v>61</v>
      </c>
      <c r="I1240" s="13" t="s">
        <v>22</v>
      </c>
      <c r="K1240" s="187"/>
      <c r="L1240" s="187"/>
      <c r="M1240" s="188">
        <f>IF($G1240="PAX",M289*'Insumos - OPEX'!I$51,M289*'Insumos - OPEX'!I$76)</f>
        <v>289.78924072301027</v>
      </c>
      <c r="N1240" s="211">
        <f>IF($G1240="PAX",N289*'Insumos - OPEX'!J$51,N289*'Insumos - OPEX'!J$76)</f>
        <v>292.45147800981005</v>
      </c>
      <c r="O1240" s="211">
        <f>IF($G1240="PAX",O289*'Insumos - OPEX'!K$51,O289*'Insumos - OPEX'!K$76)</f>
        <v>297.27352788359775</v>
      </c>
      <c r="P1240" s="211">
        <f>IF($G1240="PAX",P289*'Insumos - OPEX'!L$51,P289*'Insumos - OPEX'!L$76)</f>
        <v>301.64476873012501</v>
      </c>
      <c r="Q1240" s="211">
        <f>IF($G1240="PAX",Q289*'Insumos - OPEX'!M$51,Q289*'Insumos - OPEX'!M$76)</f>
        <v>307.03063475005689</v>
      </c>
      <c r="R1240" s="211">
        <f>IF($G1240="PAX",R289*'Insumos - OPEX'!N$51,R289*'Insumos - OPEX'!N$76)</f>
        <v>312.28119335727126</v>
      </c>
      <c r="S1240" s="111"/>
    </row>
    <row r="1241" spans="1:19" x14ac:dyDescent="0.2">
      <c r="A1241" s="8"/>
      <c r="B1241" s="8" t="s">
        <v>434</v>
      </c>
      <c r="C1241" s="8" t="s">
        <v>174</v>
      </c>
      <c r="D1241" s="8">
        <v>6410000001</v>
      </c>
      <c r="E1241" s="8" t="s">
        <v>361</v>
      </c>
      <c r="F1241" s="73" t="s">
        <v>23</v>
      </c>
      <c r="G1241" s="73" t="s">
        <v>136</v>
      </c>
      <c r="H1241" s="112" t="s">
        <v>61</v>
      </c>
      <c r="I1241" s="13" t="s">
        <v>22</v>
      </c>
      <c r="K1241" s="187"/>
      <c r="L1241" s="187"/>
      <c r="M1241" s="188">
        <f>IF($G1241="PAX",M290*'Insumos - OPEX'!I$51,M290*'Insumos - OPEX'!I$76)</f>
        <v>953.48458631738447</v>
      </c>
      <c r="N1241" s="211">
        <f>IF($G1241="PAX",N290*'Insumos - OPEX'!J$51,N290*'Insumos - OPEX'!J$76)</f>
        <v>964.58864532053713</v>
      </c>
      <c r="O1241" s="211">
        <f>IF($G1241="PAX",O290*'Insumos - OPEX'!K$51,O290*'Insumos - OPEX'!K$76)</f>
        <v>987.06502238527617</v>
      </c>
      <c r="P1241" s="211">
        <f>IF($G1241="PAX",P290*'Insumos - OPEX'!L$51,P290*'Insumos - OPEX'!L$76)</f>
        <v>1007.9501916156535</v>
      </c>
      <c r="Q1241" s="211">
        <f>IF($G1241="PAX",Q290*'Insumos - OPEX'!M$51,Q290*'Insumos - OPEX'!M$76)</f>
        <v>1044.137301300922</v>
      </c>
      <c r="R1241" s="211">
        <f>IF($G1241="PAX",R290*'Insumos - OPEX'!N$51,R290*'Insumos - OPEX'!N$76)</f>
        <v>1076.1097584535135</v>
      </c>
      <c r="S1241" s="111"/>
    </row>
    <row r="1242" spans="1:19" x14ac:dyDescent="0.2">
      <c r="A1242" s="8"/>
      <c r="B1242" s="8" t="s">
        <v>434</v>
      </c>
      <c r="C1242" s="8" t="s">
        <v>174</v>
      </c>
      <c r="D1242" s="8">
        <v>6561000001</v>
      </c>
      <c r="E1242" s="8" t="s">
        <v>358</v>
      </c>
      <c r="F1242" s="73" t="s">
        <v>23</v>
      </c>
      <c r="G1242" s="73" t="s">
        <v>136</v>
      </c>
      <c r="H1242" s="112" t="s">
        <v>61</v>
      </c>
      <c r="I1242" s="13" t="s">
        <v>22</v>
      </c>
      <c r="K1242" s="187"/>
      <c r="L1242" s="187"/>
      <c r="M1242" s="188">
        <f>IF($G1242="PAX",M291*'Insumos - OPEX'!I$51,M291*'Insumos - OPEX'!I$76)</f>
        <v>737.07040146176303</v>
      </c>
      <c r="N1242" s="211">
        <f>IF($G1242="PAX",N291*'Insumos - OPEX'!J$51,N291*'Insumos - OPEX'!J$76)</f>
        <v>745.65415136685544</v>
      </c>
      <c r="O1242" s="211">
        <f>IF($G1242="PAX",O291*'Insumos - OPEX'!K$51,O291*'Insumos - OPEX'!K$76)</f>
        <v>763.02902297385037</v>
      </c>
      <c r="P1242" s="211">
        <f>IF($G1242="PAX",P291*'Insumos - OPEX'!L$51,P291*'Insumos - OPEX'!L$76)</f>
        <v>779.17384617302343</v>
      </c>
      <c r="Q1242" s="211">
        <f>IF($G1242="PAX",Q291*'Insumos - OPEX'!M$51,Q291*'Insumos - OPEX'!M$76)</f>
        <v>807.14749970262915</v>
      </c>
      <c r="R1242" s="211">
        <f>IF($G1242="PAX",R291*'Insumos - OPEX'!N$51,R291*'Insumos - OPEX'!N$76)</f>
        <v>831.86310828965156</v>
      </c>
      <c r="S1242" s="111"/>
    </row>
    <row r="1243" spans="1:19" x14ac:dyDescent="0.2">
      <c r="A1243" s="8"/>
      <c r="B1243" s="8" t="s">
        <v>434</v>
      </c>
      <c r="C1243" s="8" t="s">
        <v>174</v>
      </c>
      <c r="D1243" s="8">
        <v>6530000002</v>
      </c>
      <c r="E1243" s="8" t="s">
        <v>271</v>
      </c>
      <c r="F1243" s="73" t="s">
        <v>23</v>
      </c>
      <c r="G1243" s="73" t="s">
        <v>136</v>
      </c>
      <c r="H1243" s="112" t="s">
        <v>61</v>
      </c>
      <c r="I1243" s="13" t="s">
        <v>22</v>
      </c>
      <c r="K1243" s="187"/>
      <c r="L1243" s="187"/>
      <c r="M1243" s="188">
        <f>IF($G1243="PAX",M292*'Insumos - OPEX'!I$51,M292*'Insumos - OPEX'!I$76)</f>
        <v>429.44193181345435</v>
      </c>
      <c r="N1243" s="211">
        <f>IF($G1243="PAX",N292*'Insumos - OPEX'!J$51,N292*'Insumos - OPEX'!J$76)</f>
        <v>434.44311234401948</v>
      </c>
      <c r="O1243" s="211">
        <f>IF($G1243="PAX",O292*'Insumos - OPEX'!K$51,O292*'Insumos - OPEX'!K$76)</f>
        <v>444.56629516769675</v>
      </c>
      <c r="P1243" s="211">
        <f>IF($G1243="PAX",P292*'Insumos - OPEX'!L$51,P292*'Insumos - OPEX'!L$76)</f>
        <v>453.97281054219764</v>
      </c>
      <c r="Q1243" s="211">
        <f>IF($G1243="PAX",Q292*'Insumos - OPEX'!M$51,Q292*'Insumos - OPEX'!M$76)</f>
        <v>470.2711991192042</v>
      </c>
      <c r="R1243" s="211">
        <f>IF($G1243="PAX",R292*'Insumos - OPEX'!N$51,R292*'Insumos - OPEX'!N$76)</f>
        <v>484.67134146178984</v>
      </c>
      <c r="S1243" s="111"/>
    </row>
    <row r="1244" spans="1:19" x14ac:dyDescent="0.2">
      <c r="A1244" s="8"/>
      <c r="B1244" s="8" t="s">
        <v>434</v>
      </c>
      <c r="C1244" s="8" t="s">
        <v>174</v>
      </c>
      <c r="D1244" s="8">
        <v>6430000002</v>
      </c>
      <c r="E1244" s="8" t="s">
        <v>362</v>
      </c>
      <c r="F1244" s="73" t="s">
        <v>23</v>
      </c>
      <c r="G1244" s="73" t="s">
        <v>480</v>
      </c>
      <c r="H1244" s="112" t="s">
        <v>61</v>
      </c>
      <c r="I1244" s="13" t="s">
        <v>22</v>
      </c>
      <c r="K1244" s="187"/>
      <c r="L1244" s="187"/>
      <c r="M1244" s="188">
        <f>IF($G1244="PAX",M293*'Insumos - OPEX'!I$51,M293*'Insumos - OPEX'!I$76)</f>
        <v>21.749957601556581</v>
      </c>
      <c r="N1244" s="211">
        <f>IF($G1244="PAX",N293*'Insumos - OPEX'!J$51,N293*'Insumos - OPEX'!J$76)</f>
        <v>21.949770223891051</v>
      </c>
      <c r="O1244" s="211">
        <f>IF($G1244="PAX",O293*'Insumos - OPEX'!K$51,O293*'Insumos - OPEX'!K$76)</f>
        <v>22.311686284148511</v>
      </c>
      <c r="P1244" s="211">
        <f>IF($G1244="PAX",P293*'Insumos - OPEX'!L$51,P293*'Insumos - OPEX'!L$76)</f>
        <v>22.639767143330701</v>
      </c>
      <c r="Q1244" s="211">
        <f>IF($G1244="PAX",Q293*'Insumos - OPEX'!M$51,Q293*'Insumos - OPEX'!M$76)</f>
        <v>23.044000086171913</v>
      </c>
      <c r="R1244" s="211">
        <f>IF($G1244="PAX",R293*'Insumos - OPEX'!N$51,R293*'Insumos - OPEX'!N$76)</f>
        <v>23.438077612330165</v>
      </c>
      <c r="S1244" s="111"/>
    </row>
    <row r="1245" spans="1:19" x14ac:dyDescent="0.2">
      <c r="A1245" s="8"/>
      <c r="B1245" s="8" t="s">
        <v>434</v>
      </c>
      <c r="C1245" s="8" t="s">
        <v>174</v>
      </c>
      <c r="D1245" s="8">
        <v>6590000002</v>
      </c>
      <c r="E1245" s="8" t="s">
        <v>360</v>
      </c>
      <c r="F1245" s="73" t="s">
        <v>23</v>
      </c>
      <c r="G1245" s="73" t="s">
        <v>136</v>
      </c>
      <c r="H1245" s="112" t="s">
        <v>61</v>
      </c>
      <c r="I1245" s="13" t="s">
        <v>22</v>
      </c>
      <c r="K1245" s="187"/>
      <c r="L1245" s="187"/>
      <c r="M1245" s="188">
        <f>IF($G1245="PAX",M294*'Insumos - OPEX'!I$51,M294*'Insumos - OPEX'!I$76)</f>
        <v>51.243318899704562</v>
      </c>
      <c r="N1245" s="211">
        <f>IF($G1245="PAX",N294*'Insumos - OPEX'!J$51,N294*'Insumos - OPEX'!J$76)</f>
        <v>51.84008663433292</v>
      </c>
      <c r="O1245" s="211">
        <f>IF($G1245="PAX",O294*'Insumos - OPEX'!K$51,O294*'Insumos - OPEX'!K$76)</f>
        <v>53.048039205529541</v>
      </c>
      <c r="P1245" s="211">
        <f>IF($G1245="PAX",P294*'Insumos - OPEX'!L$51,P294*'Insumos - OPEX'!L$76)</f>
        <v>54.170475165695414</v>
      </c>
      <c r="Q1245" s="211">
        <f>IF($G1245="PAX",Q294*'Insumos - OPEX'!M$51,Q294*'Insumos - OPEX'!M$76)</f>
        <v>56.115286469696464</v>
      </c>
      <c r="R1245" s="211">
        <f>IF($G1245="PAX",R294*'Insumos - OPEX'!N$51,R294*'Insumos - OPEX'!N$76)</f>
        <v>57.833588832826656</v>
      </c>
      <c r="S1245" s="111"/>
    </row>
    <row r="1246" spans="1:19" x14ac:dyDescent="0.2">
      <c r="A1246" s="8"/>
      <c r="B1246" s="8" t="s">
        <v>434</v>
      </c>
      <c r="C1246" s="8" t="s">
        <v>174</v>
      </c>
      <c r="D1246" s="8">
        <v>6530000001</v>
      </c>
      <c r="E1246" s="8" t="s">
        <v>364</v>
      </c>
      <c r="F1246" s="73" t="s">
        <v>23</v>
      </c>
      <c r="G1246" s="73" t="s">
        <v>136</v>
      </c>
      <c r="H1246" s="112" t="s">
        <v>61</v>
      </c>
      <c r="I1246" s="13" t="s">
        <v>22</v>
      </c>
      <c r="K1246" s="187"/>
      <c r="L1246" s="187"/>
      <c r="M1246" s="188">
        <f>IF($G1246="PAX",M295*'Insumos - OPEX'!I$51,M295*'Insumos - OPEX'!I$76)</f>
        <v>36.599321054454592</v>
      </c>
      <c r="N1246" s="211">
        <f>IF($G1246="PAX",N295*'Insumos - OPEX'!J$51,N295*'Insumos - OPEX'!J$76)</f>
        <v>37.025548207253799</v>
      </c>
      <c r="O1246" s="211">
        <f>IF($G1246="PAX",O295*'Insumos - OPEX'!K$51,O295*'Insumos - OPEX'!K$76)</f>
        <v>37.88829958481989</v>
      </c>
      <c r="P1246" s="211">
        <f>IF($G1246="PAX",P295*'Insumos - OPEX'!L$51,P295*'Insumos - OPEX'!L$76)</f>
        <v>38.689972758050146</v>
      </c>
      <c r="Q1246" s="211">
        <f>IF($G1246="PAX",Q295*'Insumos - OPEX'!M$51,Q295*'Insumos - OPEX'!M$76)</f>
        <v>40.079007950028647</v>
      </c>
      <c r="R1246" s="211">
        <f>IF($G1246="PAX",R295*'Insumos - OPEX'!N$51,R295*'Insumos - OPEX'!N$76)</f>
        <v>41.306264521366629</v>
      </c>
      <c r="S1246" s="111"/>
    </row>
    <row r="1247" spans="1:19" x14ac:dyDescent="0.2">
      <c r="A1247" s="8"/>
      <c r="B1247" s="8" t="s">
        <v>434</v>
      </c>
      <c r="C1247" s="8" t="s">
        <v>174</v>
      </c>
      <c r="D1247" s="8">
        <v>6561000005</v>
      </c>
      <c r="E1247" s="8" t="s">
        <v>365</v>
      </c>
      <c r="F1247" s="73" t="s">
        <v>23</v>
      </c>
      <c r="G1247" s="73" t="s">
        <v>136</v>
      </c>
      <c r="H1247" s="112" t="s">
        <v>61</v>
      </c>
      <c r="I1247" s="13" t="s">
        <v>22</v>
      </c>
      <c r="J1247" s="1"/>
      <c r="K1247" s="187"/>
      <c r="L1247" s="187"/>
      <c r="M1247" s="188">
        <f>IF($G1247="PAX",M296*'Insumos - OPEX'!I$51,M296*'Insumos - OPEX'!I$76)</f>
        <v>30.420853182363217</v>
      </c>
      <c r="N1247" s="211">
        <f>IF($G1247="PAX",N296*'Insumos - OPEX'!J$51,N296*'Insumos - OPEX'!J$76)</f>
        <v>30.775127340027225</v>
      </c>
      <c r="O1247" s="211">
        <f>IF($G1247="PAX",O296*'Insumos - OPEX'!K$51,O296*'Insumos - OPEX'!K$76)</f>
        <v>31.492234440204577</v>
      </c>
      <c r="P1247" s="211">
        <f>IF($G1247="PAX",P296*'Insumos - OPEX'!L$51,P296*'Insumos - OPEX'!L$76)</f>
        <v>32.158574175490692</v>
      </c>
      <c r="Q1247" s="211">
        <f>IF($G1247="PAX",Q296*'Insumos - OPEX'!M$51,Q296*'Insumos - OPEX'!M$76)</f>
        <v>33.313121156770571</v>
      </c>
      <c r="R1247" s="211">
        <f>IF($G1247="PAX",R296*'Insumos - OPEX'!N$51,R296*'Insumos - OPEX'!N$76)</f>
        <v>34.333199969659347</v>
      </c>
      <c r="S1247" s="111"/>
    </row>
    <row r="1248" spans="1:19" x14ac:dyDescent="0.2">
      <c r="A1248" s="8"/>
      <c r="B1248" s="8" t="s">
        <v>434</v>
      </c>
      <c r="C1248" s="8" t="s">
        <v>174</v>
      </c>
      <c r="D1248" s="8">
        <v>6540000001</v>
      </c>
      <c r="E1248" s="8" t="s">
        <v>276</v>
      </c>
      <c r="F1248" s="73" t="s">
        <v>23</v>
      </c>
      <c r="G1248" s="73" t="s">
        <v>136</v>
      </c>
      <c r="H1248" s="112" t="s">
        <v>61</v>
      </c>
      <c r="I1248" s="13" t="s">
        <v>22</v>
      </c>
      <c r="J1248" s="1"/>
      <c r="K1248" s="187"/>
      <c r="L1248" s="187"/>
      <c r="M1248" s="188">
        <f>IF($G1248="PAX",M297*'Insumos - OPEX'!I$51,M297*'Insumos - OPEX'!I$76)</f>
        <v>19.157415289829782</v>
      </c>
      <c r="N1248" s="211">
        <f>IF($G1248="PAX",N297*'Insumos - OPEX'!J$51,N297*'Insumos - OPEX'!J$76)</f>
        <v>19.380518078043455</v>
      </c>
      <c r="O1248" s="211">
        <f>IF($G1248="PAX",O297*'Insumos - OPEX'!K$51,O297*'Insumos - OPEX'!K$76)</f>
        <v>19.832113516311697</v>
      </c>
      <c r="P1248" s="211">
        <f>IF($G1248="PAX",P297*'Insumos - OPEX'!L$51,P297*'Insumos - OPEX'!L$76)</f>
        <v>20.251738401796242</v>
      </c>
      <c r="Q1248" s="211">
        <f>IF($G1248="PAX",Q297*'Insumos - OPEX'!M$51,Q297*'Insumos - OPEX'!M$76)</f>
        <v>20.978809922749548</v>
      </c>
      <c r="R1248" s="211">
        <f>IF($G1248="PAX",R297*'Insumos - OPEX'!N$51,R297*'Insumos - OPEX'!N$76)</f>
        <v>21.621200631837098</v>
      </c>
      <c r="S1248" s="111"/>
    </row>
    <row r="1249" spans="1:19" x14ac:dyDescent="0.2">
      <c r="A1249" s="8"/>
      <c r="B1249" s="8" t="s">
        <v>434</v>
      </c>
      <c r="C1249" s="8" t="s">
        <v>174</v>
      </c>
      <c r="D1249" s="8">
        <v>6562000003</v>
      </c>
      <c r="E1249" s="8" t="s">
        <v>366</v>
      </c>
      <c r="F1249" s="73" t="s">
        <v>23</v>
      </c>
      <c r="G1249" s="73" t="s">
        <v>136</v>
      </c>
      <c r="H1249" s="112" t="s">
        <v>61</v>
      </c>
      <c r="I1249" s="13" t="s">
        <v>22</v>
      </c>
      <c r="K1249" s="187"/>
      <c r="L1249" s="187"/>
      <c r="M1249" s="188">
        <f>IF($G1249="PAX",M298*'Insumos - OPEX'!I$51,M298*'Insumos - OPEX'!I$76)</f>
        <v>11.746466353267584</v>
      </c>
      <c r="N1249" s="211">
        <f>IF($G1249="PAX",N298*'Insumos - OPEX'!J$51,N298*'Insumos - OPEX'!J$76)</f>
        <v>11.883262959460245</v>
      </c>
      <c r="O1249" s="211">
        <f>IF($G1249="PAX",O298*'Insumos - OPEX'!K$51,O298*'Insumos - OPEX'!K$76)</f>
        <v>12.160160992971223</v>
      </c>
      <c r="P1249" s="211">
        <f>IF($G1249="PAX",P298*'Insumos - OPEX'!L$51,P298*'Insumos - OPEX'!L$76)</f>
        <v>12.417456119885067</v>
      </c>
      <c r="Q1249" s="211">
        <f>IF($G1249="PAX",Q298*'Insumos - OPEX'!M$51,Q298*'Insumos - OPEX'!M$76)</f>
        <v>12.863263710736378</v>
      </c>
      <c r="R1249" s="211">
        <f>IF($G1249="PAX",R298*'Insumos - OPEX'!N$51,R298*'Insumos - OPEX'!N$76)</f>
        <v>13.257148832282736</v>
      </c>
      <c r="S1249" s="111"/>
    </row>
    <row r="1250" spans="1:19" x14ac:dyDescent="0.2">
      <c r="A1250" s="8"/>
      <c r="B1250" s="8" t="s">
        <v>434</v>
      </c>
      <c r="C1250" s="8" t="s">
        <v>174</v>
      </c>
      <c r="D1250" s="8">
        <v>6590000004</v>
      </c>
      <c r="E1250" s="8" t="s">
        <v>380</v>
      </c>
      <c r="F1250" s="73" t="s">
        <v>23</v>
      </c>
      <c r="G1250" s="73" t="s">
        <v>136</v>
      </c>
      <c r="H1250" s="112" t="s">
        <v>61</v>
      </c>
      <c r="I1250" s="13" t="s">
        <v>22</v>
      </c>
      <c r="K1250" s="187"/>
      <c r="L1250" s="187"/>
      <c r="M1250" s="188">
        <f>IF($G1250="PAX",M299*'Insumos - OPEX'!I$51,M299*'Insumos - OPEX'!I$76)</f>
        <v>3.5399936329023358</v>
      </c>
      <c r="N1250" s="211">
        <f>IF($G1250="PAX",N299*'Insumos - OPEX'!J$51,N299*'Insumos - OPEX'!J$76)</f>
        <v>3.5812195727178406</v>
      </c>
      <c r="O1250" s="211">
        <f>IF($G1250="PAX",O299*'Insumos - OPEX'!K$51,O299*'Insumos - OPEX'!K$76)</f>
        <v>3.6646674153381338</v>
      </c>
      <c r="P1250" s="211">
        <f>IF($G1250="PAX",P299*'Insumos - OPEX'!L$51,P299*'Insumos - OPEX'!L$76)</f>
        <v>3.7422075949682774</v>
      </c>
      <c r="Q1250" s="211">
        <f>IF($G1250="PAX",Q299*'Insumos - OPEX'!M$51,Q299*'Insumos - OPEX'!M$76)</f>
        <v>3.8765591510576676</v>
      </c>
      <c r="R1250" s="211">
        <f>IF($G1250="PAX",R299*'Insumos - OPEX'!N$51,R299*'Insumos - OPEX'!N$76)</f>
        <v>3.9952630046622208</v>
      </c>
      <c r="S1250" s="111"/>
    </row>
    <row r="1251" spans="1:19" x14ac:dyDescent="0.2">
      <c r="A1251" s="8"/>
      <c r="B1251" s="8" t="s">
        <v>434</v>
      </c>
      <c r="C1251" s="8" t="s">
        <v>174</v>
      </c>
      <c r="D1251" s="8">
        <v>6562000005</v>
      </c>
      <c r="E1251" s="8" t="s">
        <v>367</v>
      </c>
      <c r="F1251" s="73" t="s">
        <v>23</v>
      </c>
      <c r="G1251" s="73" t="s">
        <v>136</v>
      </c>
      <c r="H1251" s="112" t="s">
        <v>61</v>
      </c>
      <c r="I1251" s="13" t="s">
        <v>22</v>
      </c>
      <c r="K1251" s="187"/>
      <c r="L1251" s="187"/>
      <c r="M1251" s="188">
        <f>IF($G1251="PAX",M300*'Insumos - OPEX'!I$51,M300*'Insumos - OPEX'!I$76)</f>
        <v>9.5648884829488447E-3</v>
      </c>
      <c r="N1251" s="211">
        <f>IF($G1251="PAX",N300*'Insumos - OPEX'!J$51,N300*'Insumos - OPEX'!J$76)</f>
        <v>9.676278942320031E-3</v>
      </c>
      <c r="O1251" s="211">
        <f>IF($G1251="PAX",O300*'Insumos - OPEX'!K$51,O300*'Insumos - OPEX'!K$76)</f>
        <v>9.9017509040171415E-3</v>
      </c>
      <c r="P1251" s="211">
        <f>IF($G1251="PAX",P300*'Insumos - OPEX'!L$51,P300*'Insumos - OPEX'!L$76)</f>
        <v>1.0111260651214647E-2</v>
      </c>
      <c r="Q1251" s="211">
        <f>IF($G1251="PAX",Q300*'Insumos - OPEX'!M$51,Q300*'Insumos - OPEX'!M$76)</f>
        <v>1.0474271940150803E-2</v>
      </c>
      <c r="R1251" s="211">
        <f>IF($G1251="PAX",R300*'Insumos - OPEX'!N$51,R300*'Insumos - OPEX'!N$76)</f>
        <v>1.079500390748289E-2</v>
      </c>
      <c r="S1251" s="111"/>
    </row>
    <row r="1252" spans="1:19" x14ac:dyDescent="0.2">
      <c r="A1252" s="8"/>
      <c r="B1252" s="8" t="s">
        <v>434</v>
      </c>
      <c r="C1252" s="8" t="s">
        <v>174</v>
      </c>
      <c r="D1252" s="8">
        <v>6380000005</v>
      </c>
      <c r="E1252" s="8" t="s">
        <v>274</v>
      </c>
      <c r="F1252" s="73" t="s">
        <v>23</v>
      </c>
      <c r="G1252" s="73" t="s">
        <v>136</v>
      </c>
      <c r="H1252" s="112" t="s">
        <v>61</v>
      </c>
      <c r="I1252" s="13" t="s">
        <v>22</v>
      </c>
      <c r="K1252" s="187"/>
      <c r="L1252" s="187"/>
      <c r="M1252" s="188">
        <f>IF($G1252="PAX",M301*'Insumos - OPEX'!I$51,M301*'Insumos - OPEX'!I$76)</f>
        <v>0</v>
      </c>
      <c r="N1252" s="211">
        <f>IF($G1252="PAX",N301*'Insumos - OPEX'!J$51,N301*'Insumos - OPEX'!J$76)</f>
        <v>0</v>
      </c>
      <c r="O1252" s="211">
        <f>IF($G1252="PAX",O301*'Insumos - OPEX'!K$51,O301*'Insumos - OPEX'!K$76)</f>
        <v>0</v>
      </c>
      <c r="P1252" s="211">
        <f>IF($G1252="PAX",P301*'Insumos - OPEX'!L$51,P301*'Insumos - OPEX'!L$76)</f>
        <v>0</v>
      </c>
      <c r="Q1252" s="211">
        <f>IF($G1252="PAX",Q301*'Insumos - OPEX'!M$51,Q301*'Insumos - OPEX'!M$76)</f>
        <v>0</v>
      </c>
      <c r="R1252" s="211">
        <f>IF($G1252="PAX",R301*'Insumos - OPEX'!N$51,R301*'Insumos - OPEX'!N$76)</f>
        <v>0</v>
      </c>
      <c r="S1252" s="111"/>
    </row>
    <row r="1253" spans="1:19" x14ac:dyDescent="0.2">
      <c r="A1253" s="8"/>
      <c r="B1253" s="8" t="s">
        <v>434</v>
      </c>
      <c r="C1253" s="8" t="s">
        <v>174</v>
      </c>
      <c r="D1253" s="8">
        <v>6563000005</v>
      </c>
      <c r="E1253" s="8" t="s">
        <v>376</v>
      </c>
      <c r="F1253" s="73" t="s">
        <v>23</v>
      </c>
      <c r="G1253" s="73" t="s">
        <v>136</v>
      </c>
      <c r="H1253" s="112" t="s">
        <v>61</v>
      </c>
      <c r="I1253" s="13" t="s">
        <v>22</v>
      </c>
      <c r="K1253" s="187"/>
      <c r="L1253" s="187"/>
      <c r="M1253" s="188">
        <f>IF($G1253="PAX",M302*'Insumos - OPEX'!I$51,M302*'Insumos - OPEX'!I$76)</f>
        <v>0</v>
      </c>
      <c r="N1253" s="211">
        <f>IF($G1253="PAX",N302*'Insumos - OPEX'!J$51,N302*'Insumos - OPEX'!J$76)</f>
        <v>0</v>
      </c>
      <c r="O1253" s="211">
        <f>IF($G1253="PAX",O302*'Insumos - OPEX'!K$51,O302*'Insumos - OPEX'!K$76)</f>
        <v>0</v>
      </c>
      <c r="P1253" s="211">
        <f>IF($G1253="PAX",P302*'Insumos - OPEX'!L$51,P302*'Insumos - OPEX'!L$76)</f>
        <v>0</v>
      </c>
      <c r="Q1253" s="211">
        <f>IF($G1253="PAX",Q302*'Insumos - OPEX'!M$51,Q302*'Insumos - OPEX'!M$76)</f>
        <v>0</v>
      </c>
      <c r="R1253" s="211">
        <f>IF($G1253="PAX",R302*'Insumos - OPEX'!N$51,R302*'Insumos - OPEX'!N$76)</f>
        <v>0</v>
      </c>
      <c r="S1253" s="111"/>
    </row>
    <row r="1254" spans="1:19" x14ac:dyDescent="0.2">
      <c r="A1254" s="8"/>
      <c r="B1254" s="8" t="s">
        <v>434</v>
      </c>
      <c r="C1254" s="8" t="s">
        <v>174</v>
      </c>
      <c r="D1254" s="8">
        <v>6563000003</v>
      </c>
      <c r="E1254" s="8" t="s">
        <v>387</v>
      </c>
      <c r="F1254" s="73" t="s">
        <v>23</v>
      </c>
      <c r="G1254" s="73" t="s">
        <v>136</v>
      </c>
      <c r="H1254" s="112" t="s">
        <v>61</v>
      </c>
      <c r="I1254" s="13" t="s">
        <v>22</v>
      </c>
      <c r="K1254" s="187"/>
      <c r="L1254" s="187"/>
      <c r="M1254" s="188">
        <f>IF($G1254="PAX",M303*'Insumos - OPEX'!I$51,M303*'Insumos - OPEX'!I$76)</f>
        <v>0</v>
      </c>
      <c r="N1254" s="211">
        <f>IF($G1254="PAX",N303*'Insumos - OPEX'!J$51,N303*'Insumos - OPEX'!J$76)</f>
        <v>0</v>
      </c>
      <c r="O1254" s="211">
        <f>IF($G1254="PAX",O303*'Insumos - OPEX'!K$51,O303*'Insumos - OPEX'!K$76)</f>
        <v>0</v>
      </c>
      <c r="P1254" s="211">
        <f>IF($G1254="PAX",P303*'Insumos - OPEX'!L$51,P303*'Insumos - OPEX'!L$76)</f>
        <v>0</v>
      </c>
      <c r="Q1254" s="211">
        <f>IF($G1254="PAX",Q303*'Insumos - OPEX'!M$51,Q303*'Insumos - OPEX'!M$76)</f>
        <v>0</v>
      </c>
      <c r="R1254" s="211">
        <f>IF($G1254="PAX",R303*'Insumos - OPEX'!N$51,R303*'Insumos - OPEX'!N$76)</f>
        <v>0</v>
      </c>
      <c r="S1254" s="111"/>
    </row>
    <row r="1255" spans="1:19" x14ac:dyDescent="0.2">
      <c r="A1255" s="8"/>
      <c r="B1255" s="8" t="s">
        <v>434</v>
      </c>
      <c r="C1255" s="8" t="s">
        <v>174</v>
      </c>
      <c r="D1255" s="8">
        <v>6430000003</v>
      </c>
      <c r="E1255" s="8" t="s">
        <v>386</v>
      </c>
      <c r="F1255" s="73" t="s">
        <v>23</v>
      </c>
      <c r="G1255" s="73" t="s">
        <v>136</v>
      </c>
      <c r="H1255" s="112" t="s">
        <v>61</v>
      </c>
      <c r="I1255" s="13" t="s">
        <v>22</v>
      </c>
      <c r="K1255" s="187"/>
      <c r="L1255" s="187"/>
      <c r="M1255" s="188">
        <f>IF($G1255="PAX",M304*'Insumos - OPEX'!I$51,M304*'Insumos - OPEX'!I$76)</f>
        <v>0</v>
      </c>
      <c r="N1255" s="211">
        <f>IF($G1255="PAX",N304*'Insumos - OPEX'!J$51,N304*'Insumos - OPEX'!J$76)</f>
        <v>0</v>
      </c>
      <c r="O1255" s="211">
        <f>IF($G1255="PAX",O304*'Insumos - OPEX'!K$51,O304*'Insumos - OPEX'!K$76)</f>
        <v>0</v>
      </c>
      <c r="P1255" s="211">
        <f>IF($G1255="PAX",P304*'Insumos - OPEX'!L$51,P304*'Insumos - OPEX'!L$76)</f>
        <v>0</v>
      </c>
      <c r="Q1255" s="211">
        <f>IF($G1255="PAX",Q304*'Insumos - OPEX'!M$51,Q304*'Insumos - OPEX'!M$76)</f>
        <v>0</v>
      </c>
      <c r="R1255" s="211">
        <f>IF($G1255="PAX",R304*'Insumos - OPEX'!N$51,R304*'Insumos - OPEX'!N$76)</f>
        <v>0</v>
      </c>
      <c r="S1255" s="111"/>
    </row>
    <row r="1256" spans="1:19" x14ac:dyDescent="0.2">
      <c r="A1256" s="8"/>
      <c r="B1256" s="8" t="s">
        <v>434</v>
      </c>
      <c r="C1256" s="8" t="s">
        <v>174</v>
      </c>
      <c r="D1256" s="8">
        <v>6391000003</v>
      </c>
      <c r="E1256" s="8" t="s">
        <v>378</v>
      </c>
      <c r="F1256" s="73" t="s">
        <v>23</v>
      </c>
      <c r="G1256" s="73" t="s">
        <v>136</v>
      </c>
      <c r="H1256" s="112" t="s">
        <v>61</v>
      </c>
      <c r="I1256" s="13" t="s">
        <v>22</v>
      </c>
      <c r="K1256" s="187"/>
      <c r="L1256" s="187"/>
      <c r="M1256" s="188">
        <f>IF($G1256="PAX",M305*'Insumos - OPEX'!I$51,M305*'Insumos - OPEX'!I$76)</f>
        <v>0</v>
      </c>
      <c r="N1256" s="211">
        <f>IF($G1256="PAX",N305*'Insumos - OPEX'!J$51,N305*'Insumos - OPEX'!J$76)</f>
        <v>0</v>
      </c>
      <c r="O1256" s="211">
        <f>IF($G1256="PAX",O305*'Insumos - OPEX'!K$51,O305*'Insumos - OPEX'!K$76)</f>
        <v>0</v>
      </c>
      <c r="P1256" s="211">
        <f>IF($G1256="PAX",P305*'Insumos - OPEX'!L$51,P305*'Insumos - OPEX'!L$76)</f>
        <v>0</v>
      </c>
      <c r="Q1256" s="211">
        <f>IF($G1256="PAX",Q305*'Insumos - OPEX'!M$51,Q305*'Insumos - OPEX'!M$76)</f>
        <v>0</v>
      </c>
      <c r="R1256" s="211">
        <f>IF($G1256="PAX",R305*'Insumos - OPEX'!N$51,R305*'Insumos - OPEX'!N$76)</f>
        <v>0</v>
      </c>
      <c r="S1256" s="111"/>
    </row>
    <row r="1257" spans="1:19" x14ac:dyDescent="0.2">
      <c r="A1257" s="8"/>
      <c r="B1257" s="8" t="s">
        <v>434</v>
      </c>
      <c r="C1257" s="8" t="s">
        <v>174</v>
      </c>
      <c r="D1257" s="8">
        <v>6391000001</v>
      </c>
      <c r="E1257" s="8" t="s">
        <v>363</v>
      </c>
      <c r="F1257" s="73" t="s">
        <v>23</v>
      </c>
      <c r="G1257" s="73" t="s">
        <v>136</v>
      </c>
      <c r="H1257" s="112" t="s">
        <v>61</v>
      </c>
      <c r="I1257" s="13" t="s">
        <v>22</v>
      </c>
      <c r="K1257" s="187"/>
      <c r="L1257" s="187"/>
      <c r="M1257" s="188">
        <f>IF($G1257="PAX",M306*'Insumos - OPEX'!I$51,M306*'Insumos - OPEX'!I$76)</f>
        <v>0</v>
      </c>
      <c r="N1257" s="211">
        <f>IF($G1257="PAX",N306*'Insumos - OPEX'!J$51,N306*'Insumos - OPEX'!J$76)</f>
        <v>0</v>
      </c>
      <c r="O1257" s="211">
        <f>IF($G1257="PAX",O306*'Insumos - OPEX'!K$51,O306*'Insumos - OPEX'!K$76)</f>
        <v>0</v>
      </c>
      <c r="P1257" s="211">
        <f>IF($G1257="PAX",P306*'Insumos - OPEX'!L$51,P306*'Insumos - OPEX'!L$76)</f>
        <v>0</v>
      </c>
      <c r="Q1257" s="211">
        <f>IF($G1257="PAX",Q306*'Insumos - OPEX'!M$51,Q306*'Insumos - OPEX'!M$76)</f>
        <v>0</v>
      </c>
      <c r="R1257" s="211">
        <f>IF($G1257="PAX",R306*'Insumos - OPEX'!N$51,R306*'Insumos - OPEX'!N$76)</f>
        <v>0</v>
      </c>
      <c r="S1257" s="111"/>
    </row>
    <row r="1258" spans="1:19" x14ac:dyDescent="0.2">
      <c r="A1258" s="8"/>
      <c r="B1258" s="8" t="s">
        <v>434</v>
      </c>
      <c r="C1258" s="8" t="s">
        <v>174</v>
      </c>
      <c r="D1258" s="8">
        <v>6590000006</v>
      </c>
      <c r="E1258" s="8" t="s">
        <v>272</v>
      </c>
      <c r="F1258" s="73" t="s">
        <v>23</v>
      </c>
      <c r="G1258" s="73" t="s">
        <v>136</v>
      </c>
      <c r="H1258" s="112" t="s">
        <v>61</v>
      </c>
      <c r="I1258" s="13" t="s">
        <v>22</v>
      </c>
      <c r="K1258" s="187"/>
      <c r="L1258" s="187"/>
      <c r="M1258" s="188">
        <f>IF($G1258="PAX",M307*'Insumos - OPEX'!I$51,M307*'Insumos - OPEX'!I$76)</f>
        <v>0</v>
      </c>
      <c r="N1258" s="211">
        <f>IF($G1258="PAX",N307*'Insumos - OPEX'!J$51,N307*'Insumos - OPEX'!J$76)</f>
        <v>0</v>
      </c>
      <c r="O1258" s="211">
        <f>IF($G1258="PAX",O307*'Insumos - OPEX'!K$51,O307*'Insumos - OPEX'!K$76)</f>
        <v>0</v>
      </c>
      <c r="P1258" s="211">
        <f>IF($G1258="PAX",P307*'Insumos - OPEX'!L$51,P307*'Insumos - OPEX'!L$76)</f>
        <v>0</v>
      </c>
      <c r="Q1258" s="211">
        <f>IF($G1258="PAX",Q307*'Insumos - OPEX'!M$51,Q307*'Insumos - OPEX'!M$76)</f>
        <v>0</v>
      </c>
      <c r="R1258" s="211">
        <f>IF($G1258="PAX",R307*'Insumos - OPEX'!N$51,R307*'Insumos - OPEX'!N$76)</f>
        <v>0</v>
      </c>
      <c r="S1258" s="111"/>
    </row>
    <row r="1259" spans="1:19" s="3" customFormat="1" x14ac:dyDescent="0.2">
      <c r="A1259" s="8"/>
      <c r="B1259" s="8" t="s">
        <v>434</v>
      </c>
      <c r="C1259" s="8" t="s">
        <v>174</v>
      </c>
      <c r="D1259" s="8">
        <v>6562000001</v>
      </c>
      <c r="E1259" s="8" t="s">
        <v>373</v>
      </c>
      <c r="F1259" s="73" t="s">
        <v>23</v>
      </c>
      <c r="G1259" s="73" t="s">
        <v>136</v>
      </c>
      <c r="H1259" s="112" t="s">
        <v>61</v>
      </c>
      <c r="I1259" s="13" t="s">
        <v>22</v>
      </c>
      <c r="J1259" s="11"/>
      <c r="K1259" s="187"/>
      <c r="L1259" s="187"/>
      <c r="M1259" s="188">
        <f>IF($G1259="PAX",M308*'Insumos - OPEX'!I$51,M308*'Insumos - OPEX'!I$76)</f>
        <v>0</v>
      </c>
      <c r="N1259" s="211">
        <f>IF($G1259="PAX",N308*'Insumos - OPEX'!J$51,N308*'Insumos - OPEX'!J$76)</f>
        <v>0</v>
      </c>
      <c r="O1259" s="211">
        <f>IF($G1259="PAX",O308*'Insumos - OPEX'!K$51,O308*'Insumos - OPEX'!K$76)</f>
        <v>0</v>
      </c>
      <c r="P1259" s="211">
        <f>IF($G1259="PAX",P308*'Insumos - OPEX'!L$51,P308*'Insumos - OPEX'!L$76)</f>
        <v>0</v>
      </c>
      <c r="Q1259" s="211">
        <f>IF($G1259="PAX",Q308*'Insumos - OPEX'!M$51,Q308*'Insumos - OPEX'!M$76)</f>
        <v>0</v>
      </c>
      <c r="R1259" s="211">
        <f>IF($G1259="PAX",R308*'Insumos - OPEX'!N$51,R308*'Insumos - OPEX'!N$76)</f>
        <v>0</v>
      </c>
      <c r="S1259" s="111"/>
    </row>
    <row r="1260" spans="1:19" x14ac:dyDescent="0.2">
      <c r="A1260" s="8"/>
      <c r="B1260" s="8" t="s">
        <v>434</v>
      </c>
      <c r="C1260" s="8" t="s">
        <v>174</v>
      </c>
      <c r="D1260" s="8">
        <v>6563000004</v>
      </c>
      <c r="E1260" s="8" t="s">
        <v>370</v>
      </c>
      <c r="F1260" s="73" t="s">
        <v>23</v>
      </c>
      <c r="G1260" s="73" t="s">
        <v>136</v>
      </c>
      <c r="H1260" s="112" t="s">
        <v>61</v>
      </c>
      <c r="I1260" s="13" t="s">
        <v>22</v>
      </c>
      <c r="K1260" s="187"/>
      <c r="L1260" s="187"/>
      <c r="M1260" s="188">
        <f>IF($G1260="PAX",M309*'Insumos - OPEX'!I$51,M309*'Insumos - OPEX'!I$76)</f>
        <v>0</v>
      </c>
      <c r="N1260" s="211">
        <f>IF($G1260="PAX",N309*'Insumos - OPEX'!J$51,N309*'Insumos - OPEX'!J$76)</f>
        <v>0</v>
      </c>
      <c r="O1260" s="211">
        <f>IF($G1260="PAX",O309*'Insumos - OPEX'!K$51,O309*'Insumos - OPEX'!K$76)</f>
        <v>0</v>
      </c>
      <c r="P1260" s="211">
        <f>IF($G1260="PAX",P309*'Insumos - OPEX'!L$51,P309*'Insumos - OPEX'!L$76)</f>
        <v>0</v>
      </c>
      <c r="Q1260" s="211">
        <f>IF($G1260="PAX",Q309*'Insumos - OPEX'!M$51,Q309*'Insumos - OPEX'!M$76)</f>
        <v>0</v>
      </c>
      <c r="R1260" s="211">
        <f>IF($G1260="PAX",R309*'Insumos - OPEX'!N$51,R309*'Insumos - OPEX'!N$76)</f>
        <v>0</v>
      </c>
      <c r="S1260" s="111"/>
    </row>
    <row r="1261" spans="1:19" x14ac:dyDescent="0.2">
      <c r="A1261" s="8"/>
      <c r="B1261" s="8" t="s">
        <v>434</v>
      </c>
      <c r="C1261" s="8" t="s">
        <v>174</v>
      </c>
      <c r="D1261" s="8">
        <v>6410000002</v>
      </c>
      <c r="E1261" s="8" t="s">
        <v>357</v>
      </c>
      <c r="F1261" s="73" t="s">
        <v>23</v>
      </c>
      <c r="G1261" s="73" t="s">
        <v>136</v>
      </c>
      <c r="H1261" s="112" t="s">
        <v>61</v>
      </c>
      <c r="I1261" s="13" t="s">
        <v>22</v>
      </c>
      <c r="K1261" s="187"/>
      <c r="L1261" s="187"/>
      <c r="M1261" s="188">
        <f>IF($G1261="PAX",M310*'Insumos - OPEX'!I$51,M310*'Insumos - OPEX'!I$76)</f>
        <v>0</v>
      </c>
      <c r="N1261" s="211">
        <f>IF($G1261="PAX",N310*'Insumos - OPEX'!J$51,N310*'Insumos - OPEX'!J$76)</f>
        <v>0</v>
      </c>
      <c r="O1261" s="211">
        <f>IF($G1261="PAX",O310*'Insumos - OPEX'!K$51,O310*'Insumos - OPEX'!K$76)</f>
        <v>0</v>
      </c>
      <c r="P1261" s="211">
        <f>IF($G1261="PAX",P310*'Insumos - OPEX'!L$51,P310*'Insumos - OPEX'!L$76)</f>
        <v>0</v>
      </c>
      <c r="Q1261" s="211">
        <f>IF($G1261="PAX",Q310*'Insumos - OPEX'!M$51,Q310*'Insumos - OPEX'!M$76)</f>
        <v>0</v>
      </c>
      <c r="R1261" s="211">
        <f>IF($G1261="PAX",R310*'Insumos - OPEX'!N$51,R310*'Insumos - OPEX'!N$76)</f>
        <v>0</v>
      </c>
      <c r="S1261" s="111"/>
    </row>
    <row r="1262" spans="1:19" x14ac:dyDescent="0.2">
      <c r="A1262" s="8"/>
      <c r="B1262" s="8" t="s">
        <v>434</v>
      </c>
      <c r="C1262" s="8" t="s">
        <v>174</v>
      </c>
      <c r="D1262" s="8">
        <v>6590000001</v>
      </c>
      <c r="E1262" s="8" t="s">
        <v>369</v>
      </c>
      <c r="F1262" s="73" t="s">
        <v>23</v>
      </c>
      <c r="G1262" s="73" t="s">
        <v>136</v>
      </c>
      <c r="H1262" s="112" t="s">
        <v>61</v>
      </c>
      <c r="I1262" s="13" t="s">
        <v>22</v>
      </c>
      <c r="K1262" s="187"/>
      <c r="L1262" s="187"/>
      <c r="M1262" s="188">
        <f>IF($G1262="PAX",M311*'Insumos - OPEX'!I$51,M311*'Insumos - OPEX'!I$76)</f>
        <v>0</v>
      </c>
      <c r="N1262" s="211">
        <f>IF($G1262="PAX",N311*'Insumos - OPEX'!J$51,N311*'Insumos - OPEX'!J$76)</f>
        <v>0</v>
      </c>
      <c r="O1262" s="211">
        <f>IF($G1262="PAX",O311*'Insumos - OPEX'!K$51,O311*'Insumos - OPEX'!K$76)</f>
        <v>0</v>
      </c>
      <c r="P1262" s="211">
        <f>IF($G1262="PAX",P311*'Insumos - OPEX'!L$51,P311*'Insumos - OPEX'!L$76)</f>
        <v>0</v>
      </c>
      <c r="Q1262" s="211">
        <f>IF($G1262="PAX",Q311*'Insumos - OPEX'!M$51,Q311*'Insumos - OPEX'!M$76)</f>
        <v>0</v>
      </c>
      <c r="R1262" s="211">
        <f>IF($G1262="PAX",R311*'Insumos - OPEX'!N$51,R311*'Insumos - OPEX'!N$76)</f>
        <v>0</v>
      </c>
      <c r="S1262" s="111"/>
    </row>
    <row r="1263" spans="1:19" x14ac:dyDescent="0.2">
      <c r="A1263" s="8"/>
      <c r="B1263" s="8" t="s">
        <v>434</v>
      </c>
      <c r="C1263" s="8" t="s">
        <v>174</v>
      </c>
      <c r="D1263" s="8">
        <v>6562000004</v>
      </c>
      <c r="E1263" s="8" t="s">
        <v>377</v>
      </c>
      <c r="F1263" s="73" t="s">
        <v>23</v>
      </c>
      <c r="G1263" s="73" t="s">
        <v>136</v>
      </c>
      <c r="H1263" s="112" t="s">
        <v>61</v>
      </c>
      <c r="I1263" s="13" t="s">
        <v>22</v>
      </c>
      <c r="K1263" s="187"/>
      <c r="L1263" s="187"/>
      <c r="M1263" s="188">
        <f>IF($G1263="PAX",M312*'Insumos - OPEX'!I$51,M312*'Insumos - OPEX'!I$76)</f>
        <v>0</v>
      </c>
      <c r="N1263" s="211">
        <f>IF($G1263="PAX",N312*'Insumos - OPEX'!J$51,N312*'Insumos - OPEX'!J$76)</f>
        <v>0</v>
      </c>
      <c r="O1263" s="211">
        <f>IF($G1263="PAX",O312*'Insumos - OPEX'!K$51,O312*'Insumos - OPEX'!K$76)</f>
        <v>0</v>
      </c>
      <c r="P1263" s="211">
        <f>IF($G1263="PAX",P312*'Insumos - OPEX'!L$51,P312*'Insumos - OPEX'!L$76)</f>
        <v>0</v>
      </c>
      <c r="Q1263" s="211">
        <f>IF($G1263="PAX",Q312*'Insumos - OPEX'!M$51,Q312*'Insumos - OPEX'!M$76)</f>
        <v>0</v>
      </c>
      <c r="R1263" s="211">
        <f>IF($G1263="PAX",R312*'Insumos - OPEX'!N$51,R312*'Insumos - OPEX'!N$76)</f>
        <v>0</v>
      </c>
      <c r="S1263" s="111"/>
    </row>
    <row r="1264" spans="1:19" x14ac:dyDescent="0.2">
      <c r="A1264" s="8"/>
      <c r="B1264" s="8" t="s">
        <v>434</v>
      </c>
      <c r="C1264" s="8" t="s">
        <v>174</v>
      </c>
      <c r="D1264" s="8">
        <v>6590000003</v>
      </c>
      <c r="E1264" s="8" t="s">
        <v>372</v>
      </c>
      <c r="F1264" s="73" t="s">
        <v>23</v>
      </c>
      <c r="G1264" s="73" t="s">
        <v>136</v>
      </c>
      <c r="H1264" s="112" t="s">
        <v>61</v>
      </c>
      <c r="I1264" s="13" t="s">
        <v>22</v>
      </c>
      <c r="K1264" s="187"/>
      <c r="L1264" s="187"/>
      <c r="M1264" s="188">
        <f>IF($G1264="PAX",M313*'Insumos - OPEX'!I$51,M313*'Insumos - OPEX'!I$76)</f>
        <v>0</v>
      </c>
      <c r="N1264" s="211">
        <f>IF($G1264="PAX",N313*'Insumos - OPEX'!J$51,N313*'Insumos - OPEX'!J$76)</f>
        <v>0</v>
      </c>
      <c r="O1264" s="211">
        <f>IF($G1264="PAX",O313*'Insumos - OPEX'!K$51,O313*'Insumos - OPEX'!K$76)</f>
        <v>0</v>
      </c>
      <c r="P1264" s="211">
        <f>IF($G1264="PAX",P313*'Insumos - OPEX'!L$51,P313*'Insumos - OPEX'!L$76)</f>
        <v>0</v>
      </c>
      <c r="Q1264" s="211">
        <f>IF($G1264="PAX",Q313*'Insumos - OPEX'!M$51,Q313*'Insumos - OPEX'!M$76)</f>
        <v>0</v>
      </c>
      <c r="R1264" s="211">
        <f>IF($G1264="PAX",R313*'Insumos - OPEX'!N$51,R313*'Insumos - OPEX'!N$76)</f>
        <v>0</v>
      </c>
      <c r="S1264" s="111"/>
    </row>
    <row r="1265" spans="1:19" x14ac:dyDescent="0.2">
      <c r="A1265" s="8"/>
      <c r="B1265" s="8" t="s">
        <v>434</v>
      </c>
      <c r="C1265" s="8" t="s">
        <v>174</v>
      </c>
      <c r="D1265" s="8">
        <v>6590000007</v>
      </c>
      <c r="E1265" s="8" t="s">
        <v>382</v>
      </c>
      <c r="F1265" s="73" t="s">
        <v>23</v>
      </c>
      <c r="G1265" s="73" t="s">
        <v>136</v>
      </c>
      <c r="H1265" s="112" t="s">
        <v>61</v>
      </c>
      <c r="I1265" s="13" t="s">
        <v>22</v>
      </c>
      <c r="K1265" s="187"/>
      <c r="L1265" s="187"/>
      <c r="M1265" s="188">
        <f>IF($G1265="PAX",M314*'Insumos - OPEX'!I$51,M314*'Insumos - OPEX'!I$76)</f>
        <v>0</v>
      </c>
      <c r="N1265" s="211">
        <f>IF($G1265="PAX",N314*'Insumos - OPEX'!J$51,N314*'Insumos - OPEX'!J$76)</f>
        <v>0</v>
      </c>
      <c r="O1265" s="211">
        <f>IF($G1265="PAX",O314*'Insumos - OPEX'!K$51,O314*'Insumos - OPEX'!K$76)</f>
        <v>0</v>
      </c>
      <c r="P1265" s="211">
        <f>IF($G1265="PAX",P314*'Insumos - OPEX'!L$51,P314*'Insumos - OPEX'!L$76)</f>
        <v>0</v>
      </c>
      <c r="Q1265" s="211">
        <f>IF($G1265="PAX",Q314*'Insumos - OPEX'!M$51,Q314*'Insumos - OPEX'!M$76)</f>
        <v>0</v>
      </c>
      <c r="R1265" s="211">
        <f>IF($G1265="PAX",R314*'Insumos - OPEX'!N$51,R314*'Insumos - OPEX'!N$76)</f>
        <v>0</v>
      </c>
      <c r="S1265" s="111"/>
    </row>
    <row r="1266" spans="1:19" x14ac:dyDescent="0.2">
      <c r="A1266" s="8"/>
      <c r="B1266" s="8" t="s">
        <v>434</v>
      </c>
      <c r="C1266" s="8" t="s">
        <v>174</v>
      </c>
      <c r="D1266" s="8">
        <v>6590000005</v>
      </c>
      <c r="E1266" s="8" t="s">
        <v>379</v>
      </c>
      <c r="F1266" s="73" t="s">
        <v>23</v>
      </c>
      <c r="G1266" s="73" t="s">
        <v>136</v>
      </c>
      <c r="H1266" s="112" t="s">
        <v>61</v>
      </c>
      <c r="I1266" s="13" t="s">
        <v>22</v>
      </c>
      <c r="K1266" s="187"/>
      <c r="L1266" s="187"/>
      <c r="M1266" s="188">
        <f>IF($G1266="PAX",M315*'Insumos - OPEX'!I$51,M315*'Insumos - OPEX'!I$76)</f>
        <v>0</v>
      </c>
      <c r="N1266" s="211">
        <f>IF($G1266="PAX",N315*'Insumos - OPEX'!J$51,N315*'Insumos - OPEX'!J$76)</f>
        <v>0</v>
      </c>
      <c r="O1266" s="211">
        <f>IF($G1266="PAX",O315*'Insumos - OPEX'!K$51,O315*'Insumos - OPEX'!K$76)</f>
        <v>0</v>
      </c>
      <c r="P1266" s="211">
        <f>IF($G1266="PAX",P315*'Insumos - OPEX'!L$51,P315*'Insumos - OPEX'!L$76)</f>
        <v>0</v>
      </c>
      <c r="Q1266" s="211">
        <f>IF($G1266="PAX",Q315*'Insumos - OPEX'!M$51,Q315*'Insumos - OPEX'!M$76)</f>
        <v>0</v>
      </c>
      <c r="R1266" s="211">
        <f>IF($G1266="PAX",R315*'Insumos - OPEX'!N$51,R315*'Insumos - OPEX'!N$76)</f>
        <v>0</v>
      </c>
      <c r="S1266" s="111"/>
    </row>
    <row r="1267" spans="1:19" x14ac:dyDescent="0.2">
      <c r="A1267" s="8"/>
      <c r="B1267" s="8" t="s">
        <v>434</v>
      </c>
      <c r="C1267" s="8" t="s">
        <v>174</v>
      </c>
      <c r="D1267" s="8">
        <v>6590000010</v>
      </c>
      <c r="E1267" s="8" t="s">
        <v>381</v>
      </c>
      <c r="F1267" s="73" t="s">
        <v>23</v>
      </c>
      <c r="G1267" s="73" t="s">
        <v>136</v>
      </c>
      <c r="H1267" s="112" t="s">
        <v>61</v>
      </c>
      <c r="I1267" s="13" t="s">
        <v>22</v>
      </c>
      <c r="K1267" s="187"/>
      <c r="L1267" s="187"/>
      <c r="M1267" s="188">
        <f>IF($G1267="PAX",M316*'Insumos - OPEX'!I$51,M316*'Insumos - OPEX'!I$76)</f>
        <v>0</v>
      </c>
      <c r="N1267" s="211">
        <f>IF($G1267="PAX",N316*'Insumos - OPEX'!J$51,N316*'Insumos - OPEX'!J$76)</f>
        <v>0</v>
      </c>
      <c r="O1267" s="211">
        <f>IF($G1267="PAX",O316*'Insumos - OPEX'!K$51,O316*'Insumos - OPEX'!K$76)</f>
        <v>0</v>
      </c>
      <c r="P1267" s="211">
        <f>IF($G1267="PAX",P316*'Insumos - OPEX'!L$51,P316*'Insumos - OPEX'!L$76)</f>
        <v>0</v>
      </c>
      <c r="Q1267" s="211">
        <f>IF($G1267="PAX",Q316*'Insumos - OPEX'!M$51,Q316*'Insumos - OPEX'!M$76)</f>
        <v>0</v>
      </c>
      <c r="R1267" s="211">
        <f>IF($G1267="PAX",R316*'Insumos - OPEX'!N$51,R316*'Insumos - OPEX'!N$76)</f>
        <v>0</v>
      </c>
      <c r="S1267" s="111"/>
    </row>
    <row r="1268" spans="1:19" x14ac:dyDescent="0.2">
      <c r="A1268" s="8"/>
      <c r="B1268" s="8" t="s">
        <v>434</v>
      </c>
      <c r="C1268" s="8" t="s">
        <v>174</v>
      </c>
      <c r="D1268" s="8">
        <v>6390000001</v>
      </c>
      <c r="E1268" s="8" t="s">
        <v>368</v>
      </c>
      <c r="F1268" s="73" t="s">
        <v>23</v>
      </c>
      <c r="G1268" s="73" t="s">
        <v>136</v>
      </c>
      <c r="H1268" s="112" t="s">
        <v>61</v>
      </c>
      <c r="I1268" s="13" t="s">
        <v>22</v>
      </c>
      <c r="K1268" s="187"/>
      <c r="L1268" s="187"/>
      <c r="M1268" s="188">
        <f>IF($G1268="PAX",M317*'Insumos - OPEX'!I$51,M317*'Insumos - OPEX'!I$76)</f>
        <v>0</v>
      </c>
      <c r="N1268" s="211">
        <f>IF($G1268="PAX",N317*'Insumos - OPEX'!J$51,N317*'Insumos - OPEX'!J$76)</f>
        <v>0</v>
      </c>
      <c r="O1268" s="211">
        <f>IF($G1268="PAX",O317*'Insumos - OPEX'!K$51,O317*'Insumos - OPEX'!K$76)</f>
        <v>0</v>
      </c>
      <c r="P1268" s="211">
        <f>IF($G1268="PAX",P317*'Insumos - OPEX'!L$51,P317*'Insumos - OPEX'!L$76)</f>
        <v>0</v>
      </c>
      <c r="Q1268" s="211">
        <f>IF($G1268="PAX",Q317*'Insumos - OPEX'!M$51,Q317*'Insumos - OPEX'!M$76)</f>
        <v>0</v>
      </c>
      <c r="R1268" s="211">
        <f>IF($G1268="PAX",R317*'Insumos - OPEX'!N$51,R317*'Insumos - OPEX'!N$76)</f>
        <v>0</v>
      </c>
      <c r="S1268" s="111"/>
    </row>
    <row r="1269" spans="1:19" s="3" customFormat="1" x14ac:dyDescent="0.2">
      <c r="A1269" s="8"/>
      <c r="B1269" s="8" t="s">
        <v>434</v>
      </c>
      <c r="C1269" s="8" t="s">
        <v>174</v>
      </c>
      <c r="D1269" s="8">
        <v>6840000001</v>
      </c>
      <c r="E1269" s="8" t="s">
        <v>374</v>
      </c>
      <c r="F1269" s="73" t="s">
        <v>23</v>
      </c>
      <c r="G1269" s="73" t="s">
        <v>136</v>
      </c>
      <c r="H1269" s="112" t="s">
        <v>61</v>
      </c>
      <c r="I1269" s="13" t="s">
        <v>22</v>
      </c>
      <c r="J1269" s="11"/>
      <c r="K1269" s="187"/>
      <c r="L1269" s="187"/>
      <c r="M1269" s="188">
        <f>IF($G1269="PAX",M318*'Insumos - OPEX'!I$51,M318*'Insumos - OPEX'!I$76)</f>
        <v>0</v>
      </c>
      <c r="N1269" s="211">
        <f>IF($G1269="PAX",N318*'Insumos - OPEX'!J$51,N318*'Insumos - OPEX'!J$76)</f>
        <v>0</v>
      </c>
      <c r="O1269" s="211">
        <f>IF($G1269="PAX",O318*'Insumos - OPEX'!K$51,O318*'Insumos - OPEX'!K$76)</f>
        <v>0</v>
      </c>
      <c r="P1269" s="211">
        <f>IF($G1269="PAX",P318*'Insumos - OPEX'!L$51,P318*'Insumos - OPEX'!L$76)</f>
        <v>0</v>
      </c>
      <c r="Q1269" s="211">
        <f>IF($G1269="PAX",Q318*'Insumos - OPEX'!M$51,Q318*'Insumos - OPEX'!M$76)</f>
        <v>0</v>
      </c>
      <c r="R1269" s="211">
        <f>IF($G1269="PAX",R318*'Insumos - OPEX'!N$51,R318*'Insumos - OPEX'!N$76)</f>
        <v>0</v>
      </c>
      <c r="S1269" s="111"/>
    </row>
    <row r="1270" spans="1:19" x14ac:dyDescent="0.2">
      <c r="A1270" s="8"/>
      <c r="B1270" s="8" t="s">
        <v>434</v>
      </c>
      <c r="C1270" s="8" t="s">
        <v>174</v>
      </c>
      <c r="D1270" s="8">
        <v>6590000011</v>
      </c>
      <c r="E1270" s="8" t="s">
        <v>384</v>
      </c>
      <c r="F1270" s="73" t="s">
        <v>23</v>
      </c>
      <c r="G1270" s="73" t="s">
        <v>136</v>
      </c>
      <c r="H1270" s="112" t="s">
        <v>61</v>
      </c>
      <c r="I1270" s="13" t="s">
        <v>22</v>
      </c>
      <c r="K1270" s="187"/>
      <c r="L1270" s="187"/>
      <c r="M1270" s="188">
        <f>IF($G1270="PAX",M319*'Insumos - OPEX'!I$51,M319*'Insumos - OPEX'!I$76)</f>
        <v>0</v>
      </c>
      <c r="N1270" s="211">
        <f>IF($G1270="PAX",N319*'Insumos - OPEX'!J$51,N319*'Insumos - OPEX'!J$76)</f>
        <v>0</v>
      </c>
      <c r="O1270" s="211">
        <f>IF($G1270="PAX",O319*'Insumos - OPEX'!K$51,O319*'Insumos - OPEX'!K$76)</f>
        <v>0</v>
      </c>
      <c r="P1270" s="211">
        <f>IF($G1270="PAX",P319*'Insumos - OPEX'!L$51,P319*'Insumos - OPEX'!L$76)</f>
        <v>0</v>
      </c>
      <c r="Q1270" s="211">
        <f>IF($G1270="PAX",Q319*'Insumos - OPEX'!M$51,Q319*'Insumos - OPEX'!M$76)</f>
        <v>0</v>
      </c>
      <c r="R1270" s="211">
        <f>IF($G1270="PAX",R319*'Insumos - OPEX'!N$51,R319*'Insumos - OPEX'!N$76)</f>
        <v>0</v>
      </c>
      <c r="S1270" s="111"/>
    </row>
    <row r="1271" spans="1:19" s="3" customFormat="1" x14ac:dyDescent="0.2">
      <c r="A1271" s="8"/>
      <c r="B1271" s="8" t="s">
        <v>434</v>
      </c>
      <c r="C1271" s="8" t="s">
        <v>174</v>
      </c>
      <c r="D1271" s="8">
        <v>6563000001</v>
      </c>
      <c r="E1271" s="8" t="s">
        <v>383</v>
      </c>
      <c r="F1271" s="73" t="s">
        <v>23</v>
      </c>
      <c r="G1271" s="73" t="s">
        <v>136</v>
      </c>
      <c r="H1271" s="112" t="s">
        <v>61</v>
      </c>
      <c r="I1271" s="13" t="s">
        <v>22</v>
      </c>
      <c r="J1271" s="11"/>
      <c r="K1271" s="187"/>
      <c r="L1271" s="187"/>
      <c r="M1271" s="188">
        <f>IF($G1271="PAX",M320*'Insumos - OPEX'!I$51,M320*'Insumos - OPEX'!I$76)</f>
        <v>0</v>
      </c>
      <c r="N1271" s="211">
        <f>IF($G1271="PAX",N320*'Insumos - OPEX'!J$51,N320*'Insumos - OPEX'!J$76)</f>
        <v>0</v>
      </c>
      <c r="O1271" s="211">
        <f>IF($G1271="PAX",O320*'Insumos - OPEX'!K$51,O320*'Insumos - OPEX'!K$76)</f>
        <v>0</v>
      </c>
      <c r="P1271" s="211">
        <f>IF($G1271="PAX",P320*'Insumos - OPEX'!L$51,P320*'Insumos - OPEX'!L$76)</f>
        <v>0</v>
      </c>
      <c r="Q1271" s="211">
        <f>IF($G1271="PAX",Q320*'Insumos - OPEX'!M$51,Q320*'Insumos - OPEX'!M$76)</f>
        <v>0</v>
      </c>
      <c r="R1271" s="211">
        <f>IF($G1271="PAX",R320*'Insumos - OPEX'!N$51,R320*'Insumos - OPEX'!N$76)</f>
        <v>0</v>
      </c>
      <c r="S1271" s="111"/>
    </row>
    <row r="1272" spans="1:19" x14ac:dyDescent="0.2">
      <c r="A1272" s="8"/>
      <c r="B1272" s="8" t="s">
        <v>434</v>
      </c>
      <c r="C1272" s="8" t="s">
        <v>174</v>
      </c>
      <c r="D1272" s="8">
        <v>6380000003</v>
      </c>
      <c r="E1272" s="8" t="s">
        <v>375</v>
      </c>
      <c r="F1272" s="73" t="s">
        <v>23</v>
      </c>
      <c r="G1272" s="73" t="s">
        <v>136</v>
      </c>
      <c r="H1272" s="112" t="s">
        <v>61</v>
      </c>
      <c r="I1272" s="13" t="s">
        <v>22</v>
      </c>
      <c r="K1272" s="187"/>
      <c r="L1272" s="187"/>
      <c r="M1272" s="188">
        <f>IF($G1272="PAX",M321*'Insumos - OPEX'!I$51,M321*'Insumos - OPEX'!I$76)</f>
        <v>0</v>
      </c>
      <c r="N1272" s="211">
        <f>IF($G1272="PAX",N321*'Insumos - OPEX'!J$51,N321*'Insumos - OPEX'!J$76)</f>
        <v>0</v>
      </c>
      <c r="O1272" s="211">
        <f>IF($G1272="PAX",O321*'Insumos - OPEX'!K$51,O321*'Insumos - OPEX'!K$76)</f>
        <v>0</v>
      </c>
      <c r="P1272" s="211">
        <f>IF($G1272="PAX",P321*'Insumos - OPEX'!L$51,P321*'Insumos - OPEX'!L$76)</f>
        <v>0</v>
      </c>
      <c r="Q1272" s="211">
        <f>IF($G1272="PAX",Q321*'Insumos - OPEX'!M$51,Q321*'Insumos - OPEX'!M$76)</f>
        <v>0</v>
      </c>
      <c r="R1272" s="211">
        <f>IF($G1272="PAX",R321*'Insumos - OPEX'!N$51,R321*'Insumos - OPEX'!N$76)</f>
        <v>0</v>
      </c>
      <c r="S1272" s="111"/>
    </row>
    <row r="1273" spans="1:19" x14ac:dyDescent="0.2">
      <c r="A1273" s="8"/>
      <c r="B1273" s="8" t="s">
        <v>434</v>
      </c>
      <c r="C1273" s="8" t="s">
        <v>174</v>
      </c>
      <c r="D1273" s="8">
        <v>6563000002</v>
      </c>
      <c r="E1273" s="8" t="s">
        <v>385</v>
      </c>
      <c r="F1273" s="73" t="s">
        <v>23</v>
      </c>
      <c r="G1273" s="73" t="s">
        <v>136</v>
      </c>
      <c r="H1273" s="112" t="s">
        <v>61</v>
      </c>
      <c r="I1273" s="13" t="s">
        <v>22</v>
      </c>
      <c r="K1273" s="187"/>
      <c r="L1273" s="187"/>
      <c r="M1273" s="188">
        <f>IF($G1273="PAX",M322*'Insumos - OPEX'!I$51,M322*'Insumos - OPEX'!I$76)</f>
        <v>0</v>
      </c>
      <c r="N1273" s="211">
        <f>IF($G1273="PAX",N322*'Insumos - OPEX'!J$51,N322*'Insumos - OPEX'!J$76)</f>
        <v>0</v>
      </c>
      <c r="O1273" s="211">
        <f>IF($G1273="PAX",O322*'Insumos - OPEX'!K$51,O322*'Insumos - OPEX'!K$76)</f>
        <v>0</v>
      </c>
      <c r="P1273" s="211">
        <f>IF($G1273="PAX",P322*'Insumos - OPEX'!L$51,P322*'Insumos - OPEX'!L$76)</f>
        <v>0</v>
      </c>
      <c r="Q1273" s="211">
        <f>IF($G1273="PAX",Q322*'Insumos - OPEX'!M$51,Q322*'Insumos - OPEX'!M$76)</f>
        <v>0</v>
      </c>
      <c r="R1273" s="211">
        <f>IF($G1273="PAX",R322*'Insumos - OPEX'!N$51,R322*'Insumos - OPEX'!N$76)</f>
        <v>0</v>
      </c>
      <c r="S1273" s="111"/>
    </row>
    <row r="1274" spans="1:19" x14ac:dyDescent="0.2">
      <c r="A1274" s="8"/>
      <c r="B1274" s="8" t="s">
        <v>434</v>
      </c>
      <c r="C1274" s="8" t="s">
        <v>174</v>
      </c>
      <c r="D1274" s="8">
        <v>6562000002</v>
      </c>
      <c r="E1274" s="8" t="s">
        <v>388</v>
      </c>
      <c r="F1274" s="73" t="s">
        <v>23</v>
      </c>
      <c r="G1274" s="73" t="s">
        <v>136</v>
      </c>
      <c r="H1274" s="112" t="s">
        <v>61</v>
      </c>
      <c r="I1274" s="13" t="s">
        <v>22</v>
      </c>
      <c r="K1274" s="187"/>
      <c r="L1274" s="187"/>
      <c r="M1274" s="188">
        <f>IF($G1274="PAX",M323*'Insumos - OPEX'!I$51,M323*'Insumos - OPEX'!I$76)</f>
        <v>0</v>
      </c>
      <c r="N1274" s="211">
        <f>IF($G1274="PAX",N323*'Insumos - OPEX'!J$51,N323*'Insumos - OPEX'!J$76)</f>
        <v>0</v>
      </c>
      <c r="O1274" s="211">
        <f>IF($G1274="PAX",O323*'Insumos - OPEX'!K$51,O323*'Insumos - OPEX'!K$76)</f>
        <v>0</v>
      </c>
      <c r="P1274" s="211">
        <f>IF($G1274="PAX",P323*'Insumos - OPEX'!L$51,P323*'Insumos - OPEX'!L$76)</f>
        <v>0</v>
      </c>
      <c r="Q1274" s="211">
        <f>IF($G1274="PAX",Q323*'Insumos - OPEX'!M$51,Q323*'Insumos - OPEX'!M$76)</f>
        <v>0</v>
      </c>
      <c r="R1274" s="211">
        <f>IF($G1274="PAX",R323*'Insumos - OPEX'!N$51,R323*'Insumos - OPEX'!N$76)</f>
        <v>0</v>
      </c>
      <c r="S1274" s="111"/>
    </row>
    <row r="1275" spans="1:19" x14ac:dyDescent="0.2">
      <c r="A1275" s="8"/>
      <c r="B1275" s="8" t="s">
        <v>435</v>
      </c>
      <c r="C1275" s="8" t="s">
        <v>170</v>
      </c>
      <c r="D1275" s="8">
        <v>6211000001</v>
      </c>
      <c r="E1275" s="8" t="s">
        <v>253</v>
      </c>
      <c r="F1275" s="73" t="s">
        <v>23</v>
      </c>
      <c r="G1275" s="73" t="s">
        <v>136</v>
      </c>
      <c r="H1275" s="112" t="s">
        <v>61</v>
      </c>
      <c r="I1275" s="13" t="s">
        <v>22</v>
      </c>
      <c r="K1275" s="187"/>
      <c r="L1275" s="187"/>
      <c r="M1275" s="188">
        <f>IF($G1275="PAX",M324*'Insumos - OPEX'!I$51,M324*'Insumos - OPEX'!I$76)</f>
        <v>66803.712312913354</v>
      </c>
      <c r="N1275" s="211">
        <f>IF($G1275="PAX",N324*'Insumos - OPEX'!J$51,N324*'Insumos - OPEX'!J$76)</f>
        <v>65258.943201310612</v>
      </c>
      <c r="O1275" s="211">
        <f>IF($G1275="PAX",O324*'Insumos - OPEX'!K$51,O324*'Insumos - OPEX'!K$76)</f>
        <v>65024.057219338938</v>
      </c>
      <c r="P1275" s="211">
        <f>IF($G1275="PAX",P324*'Insumos - OPEX'!L$51,P324*'Insumos - OPEX'!L$76)</f>
        <v>64621.462176922701</v>
      </c>
      <c r="Q1275" s="211">
        <f>IF($G1275="PAX",Q324*'Insumos - OPEX'!M$51,Q324*'Insumos - OPEX'!M$76)</f>
        <v>65013.845463742487</v>
      </c>
      <c r="R1275" s="211">
        <f>IF($G1275="PAX",R324*'Insumos - OPEX'!N$51,R324*'Insumos - OPEX'!N$76)</f>
        <v>65172.439825121372</v>
      </c>
      <c r="S1275" s="111"/>
    </row>
    <row r="1276" spans="1:19" x14ac:dyDescent="0.2">
      <c r="A1276" s="8"/>
      <c r="B1276" s="8" t="s">
        <v>435</v>
      </c>
      <c r="C1276" s="8" t="s">
        <v>170</v>
      </c>
      <c r="D1276" s="8">
        <v>6212000001</v>
      </c>
      <c r="E1276" s="8" t="s">
        <v>254</v>
      </c>
      <c r="F1276" s="73" t="s">
        <v>23</v>
      </c>
      <c r="G1276" s="73" t="s">
        <v>136</v>
      </c>
      <c r="H1276" s="112" t="s">
        <v>61</v>
      </c>
      <c r="I1276" s="13" t="s">
        <v>22</v>
      </c>
      <c r="K1276" s="187"/>
      <c r="L1276" s="187"/>
      <c r="M1276" s="188">
        <f>IF($G1276="PAX",M325*'Insumos - OPEX'!I$51,M325*'Insumos - OPEX'!I$76)</f>
        <v>16111.290762875789</v>
      </c>
      <c r="N1276" s="211">
        <f>IF($G1276="PAX",N325*'Insumos - OPEX'!J$51,N325*'Insumos - OPEX'!J$76)</f>
        <v>15738.733258856208</v>
      </c>
      <c r="O1276" s="211">
        <f>IF($G1276="PAX",O325*'Insumos - OPEX'!K$51,O325*'Insumos - OPEX'!K$76)</f>
        <v>15682.084964612568</v>
      </c>
      <c r="P1276" s="211">
        <f>IF($G1276="PAX",P325*'Insumos - OPEX'!L$51,P325*'Insumos - OPEX'!L$76)</f>
        <v>15584.989675092162</v>
      </c>
      <c r="Q1276" s="211">
        <f>IF($G1276="PAX",Q325*'Insumos - OPEX'!M$51,Q325*'Insumos - OPEX'!M$76)</f>
        <v>15679.62215891035</v>
      </c>
      <c r="R1276" s="211">
        <f>IF($G1276="PAX",R325*'Insumos - OPEX'!N$51,R325*'Insumos - OPEX'!N$76)</f>
        <v>15717.870929540928</v>
      </c>
      <c r="S1276" s="111"/>
    </row>
    <row r="1277" spans="1:19" x14ac:dyDescent="0.2">
      <c r="A1277" s="8"/>
      <c r="B1277" s="8" t="s">
        <v>435</v>
      </c>
      <c r="C1277" s="8" t="s">
        <v>170</v>
      </c>
      <c r="D1277" s="8">
        <v>6250000005</v>
      </c>
      <c r="E1277" s="8" t="s">
        <v>266</v>
      </c>
      <c r="F1277" s="73" t="s">
        <v>23</v>
      </c>
      <c r="G1277" s="73" t="s">
        <v>136</v>
      </c>
      <c r="H1277" s="112" t="s">
        <v>61</v>
      </c>
      <c r="I1277" s="13" t="s">
        <v>22</v>
      </c>
      <c r="K1277" s="187"/>
      <c r="L1277" s="187"/>
      <c r="M1277" s="188">
        <f>IF($G1277="PAX",M326*'Insumos - OPEX'!I$51,M326*'Insumos - OPEX'!I$76)</f>
        <v>6991.9582495438963</v>
      </c>
      <c r="N1277" s="211">
        <f>IF($G1277="PAX",N326*'Insumos - OPEX'!J$51,N326*'Insumos - OPEX'!J$76)</f>
        <v>6830.2761998560154</v>
      </c>
      <c r="O1277" s="211">
        <f>IF($G1277="PAX",O326*'Insumos - OPEX'!K$51,O326*'Insumos - OPEX'!K$76)</f>
        <v>6805.6920424418831</v>
      </c>
      <c r="P1277" s="211">
        <f>IF($G1277="PAX",P326*'Insumos - OPEX'!L$51,P326*'Insumos - OPEX'!L$76)</f>
        <v>6763.5547475133862</v>
      </c>
      <c r="Q1277" s="211">
        <f>IF($G1277="PAX",Q326*'Insumos - OPEX'!M$51,Q326*'Insumos - OPEX'!M$76)</f>
        <v>6804.6232370370208</v>
      </c>
      <c r="R1277" s="211">
        <f>IF($G1277="PAX",R326*'Insumos - OPEX'!N$51,R326*'Insumos - OPEX'!N$76)</f>
        <v>6821.2223917094452</v>
      </c>
      <c r="S1277" s="111"/>
    </row>
    <row r="1278" spans="1:19" x14ac:dyDescent="0.2">
      <c r="A1278" s="8"/>
      <c r="B1278" s="8" t="s">
        <v>435</v>
      </c>
      <c r="C1278" s="8" t="s">
        <v>170</v>
      </c>
      <c r="D1278" s="8">
        <v>6290000001</v>
      </c>
      <c r="E1278" s="8" t="s">
        <v>426</v>
      </c>
      <c r="F1278" s="73" t="s">
        <v>23</v>
      </c>
      <c r="G1278" s="73" t="s">
        <v>136</v>
      </c>
      <c r="H1278" s="112" t="s">
        <v>61</v>
      </c>
      <c r="I1278" s="13" t="s">
        <v>22</v>
      </c>
      <c r="K1278" s="187"/>
      <c r="L1278" s="187"/>
      <c r="M1278" s="188">
        <f>IF($G1278="PAX",M327*'Insumos - OPEX'!I$51,M327*'Insumos - OPEX'!I$76)</f>
        <v>6941.5220913233907</v>
      </c>
      <c r="N1278" s="211">
        <f>IF($G1278="PAX",N327*'Insumos - OPEX'!J$51,N327*'Insumos - OPEX'!J$76)</f>
        <v>6781.0063274095983</v>
      </c>
      <c r="O1278" s="211">
        <f>IF($G1278="PAX",O327*'Insumos - OPEX'!K$51,O327*'Insumos - OPEX'!K$76)</f>
        <v>6756.5995066454871</v>
      </c>
      <c r="P1278" s="211">
        <f>IF($G1278="PAX",P327*'Insumos - OPEX'!L$51,P327*'Insumos - OPEX'!L$76)</f>
        <v>6714.7661670894549</v>
      </c>
      <c r="Q1278" s="211">
        <f>IF($G1278="PAX",Q327*'Insumos - OPEX'!M$51,Q327*'Insumos - OPEX'!M$76)</f>
        <v>6755.5384110175692</v>
      </c>
      <c r="R1278" s="211">
        <f>IF($G1278="PAX",R327*'Insumos - OPEX'!N$51,R327*'Insumos - OPEX'!N$76)</f>
        <v>6772.0178284773992</v>
      </c>
      <c r="S1278" s="111"/>
    </row>
    <row r="1279" spans="1:19" x14ac:dyDescent="0.2">
      <c r="A1279" s="8"/>
      <c r="B1279" s="8" t="s">
        <v>435</v>
      </c>
      <c r="C1279" s="8" t="s">
        <v>170</v>
      </c>
      <c r="D1279" s="8">
        <v>6213000001</v>
      </c>
      <c r="E1279" s="8" t="s">
        <v>255</v>
      </c>
      <c r="F1279" s="73" t="s">
        <v>23</v>
      </c>
      <c r="G1279" s="73" t="s">
        <v>136</v>
      </c>
      <c r="H1279" s="112" t="s">
        <v>61</v>
      </c>
      <c r="I1279" s="13" t="s">
        <v>22</v>
      </c>
      <c r="K1279" s="187"/>
      <c r="L1279" s="187"/>
      <c r="M1279" s="188">
        <f>IF($G1279="PAX",M328*'Insumos - OPEX'!I$51,M328*'Insumos - OPEX'!I$76)</f>
        <v>6015.9302861398664</v>
      </c>
      <c r="N1279" s="211">
        <f>IF($G1279="PAX",N328*'Insumos - OPEX'!J$51,N328*'Insumos - OPEX'!J$76)</f>
        <v>5876.8179080723985</v>
      </c>
      <c r="O1279" s="211">
        <f>IF($G1279="PAX",O328*'Insumos - OPEX'!K$51,O328*'Insumos - OPEX'!K$76)</f>
        <v>5855.6655253108802</v>
      </c>
      <c r="P1279" s="211">
        <f>IF($G1279="PAX",P328*'Insumos - OPEX'!L$51,P328*'Insumos - OPEX'!L$76)</f>
        <v>5819.4102989938629</v>
      </c>
      <c r="Q1279" s="211">
        <f>IF($G1279="PAX",Q328*'Insumos - OPEX'!M$51,Q328*'Insumos - OPEX'!M$76)</f>
        <v>5854.7459175878912</v>
      </c>
      <c r="R1279" s="211">
        <f>IF($G1279="PAX",R328*'Insumos - OPEX'!N$51,R328*'Insumos - OPEX'!N$76)</f>
        <v>5869.0279475649259</v>
      </c>
      <c r="S1279" s="111"/>
    </row>
    <row r="1280" spans="1:19" x14ac:dyDescent="0.2">
      <c r="A1280" s="8"/>
      <c r="B1280" s="8" t="s">
        <v>435</v>
      </c>
      <c r="C1280" s="8" t="s">
        <v>170</v>
      </c>
      <c r="D1280" s="8">
        <v>6270000002</v>
      </c>
      <c r="E1280" s="8" t="s">
        <v>427</v>
      </c>
      <c r="F1280" s="73" t="s">
        <v>23</v>
      </c>
      <c r="G1280" s="73" t="s">
        <v>136</v>
      </c>
      <c r="H1280" s="112" t="s">
        <v>61</v>
      </c>
      <c r="I1280" s="13" t="s">
        <v>22</v>
      </c>
      <c r="K1280" s="187"/>
      <c r="L1280" s="187"/>
      <c r="M1280" s="188">
        <f>IF($G1280="PAX",M329*'Insumos - OPEX'!I$51,M329*'Insumos - OPEX'!I$76)</f>
        <v>5753.9291558094528</v>
      </c>
      <c r="N1280" s="211">
        <f>IF($G1280="PAX",N329*'Insumos - OPEX'!J$51,N329*'Insumos - OPEX'!J$76)</f>
        <v>5620.8752921467476</v>
      </c>
      <c r="O1280" s="211">
        <f>IF($G1280="PAX",O329*'Insumos - OPEX'!K$51,O329*'Insumos - OPEX'!K$76)</f>
        <v>5600.6441215551031</v>
      </c>
      <c r="P1280" s="211">
        <f>IF($G1280="PAX",P329*'Insumos - OPEX'!L$51,P329*'Insumos - OPEX'!L$76)</f>
        <v>5565.9678547378862</v>
      </c>
      <c r="Q1280" s="211">
        <f>IF($G1280="PAX",Q329*'Insumos - OPEX'!M$51,Q329*'Insumos - OPEX'!M$76)</f>
        <v>5599.764563874488</v>
      </c>
      <c r="R1280" s="211">
        <f>IF($G1280="PAX",R329*'Insumos - OPEX'!N$51,R329*'Insumos - OPEX'!N$76)</f>
        <v>5613.4245939580042</v>
      </c>
      <c r="S1280" s="111"/>
    </row>
    <row r="1281" spans="1:19" s="3" customFormat="1" x14ac:dyDescent="0.2">
      <c r="A1281" s="8"/>
      <c r="B1281" s="8" t="s">
        <v>435</v>
      </c>
      <c r="C1281" s="8" t="s">
        <v>170</v>
      </c>
      <c r="D1281" s="8">
        <v>8710000001</v>
      </c>
      <c r="E1281" s="8" t="s">
        <v>268</v>
      </c>
      <c r="F1281" s="73" t="s">
        <v>23</v>
      </c>
      <c r="G1281" s="73" t="s">
        <v>136</v>
      </c>
      <c r="H1281" s="112" t="s">
        <v>61</v>
      </c>
      <c r="I1281" s="13" t="s">
        <v>22</v>
      </c>
      <c r="J1281" s="11"/>
      <c r="K1281" s="187"/>
      <c r="L1281" s="187"/>
      <c r="M1281" s="188">
        <f>IF($G1281="PAX",M330*'Insumos - OPEX'!I$51,M330*'Insumos - OPEX'!I$76)</f>
        <v>0</v>
      </c>
      <c r="N1281" s="211">
        <f>IF($G1281="PAX",N330*'Insumos - OPEX'!J$51,N330*'Insumos - OPEX'!J$76)</f>
        <v>0</v>
      </c>
      <c r="O1281" s="211">
        <f>IF($G1281="PAX",O330*'Insumos - OPEX'!K$51,O330*'Insumos - OPEX'!K$76)</f>
        <v>0</v>
      </c>
      <c r="P1281" s="211">
        <f>IF($G1281="PAX",P330*'Insumos - OPEX'!L$51,P330*'Insumos - OPEX'!L$76)</f>
        <v>0</v>
      </c>
      <c r="Q1281" s="211">
        <f>IF($G1281="PAX",Q330*'Insumos - OPEX'!M$51,Q330*'Insumos - OPEX'!M$76)</f>
        <v>0</v>
      </c>
      <c r="R1281" s="211">
        <f>IF($G1281="PAX",R330*'Insumos - OPEX'!N$51,R330*'Insumos - OPEX'!N$76)</f>
        <v>0</v>
      </c>
      <c r="S1281" s="111"/>
    </row>
    <row r="1282" spans="1:19" x14ac:dyDescent="0.2">
      <c r="A1282" s="8"/>
      <c r="B1282" s="8" t="s">
        <v>435</v>
      </c>
      <c r="C1282" s="8" t="s">
        <v>170</v>
      </c>
      <c r="D1282" s="8">
        <v>6250000009</v>
      </c>
      <c r="E1282" s="8" t="s">
        <v>433</v>
      </c>
      <c r="F1282" s="73" t="s">
        <v>23</v>
      </c>
      <c r="G1282" s="73" t="s">
        <v>136</v>
      </c>
      <c r="H1282" s="112" t="s">
        <v>61</v>
      </c>
      <c r="I1282" s="13" t="s">
        <v>22</v>
      </c>
      <c r="K1282" s="187"/>
      <c r="L1282" s="187"/>
      <c r="M1282" s="188">
        <f>IF($G1282="PAX",M331*'Insumos - OPEX'!I$51,M331*'Insumos - OPEX'!I$76)</f>
        <v>2570.1305090244678</v>
      </c>
      <c r="N1282" s="211">
        <f>IF($G1282="PAX",N331*'Insumos - OPEX'!J$51,N331*'Insumos - OPEX'!J$76)</f>
        <v>2510.698808514594</v>
      </c>
      <c r="O1282" s="211">
        <f>IF($G1282="PAX",O331*'Insumos - OPEX'!K$51,O331*'Insumos - OPEX'!K$76)</f>
        <v>2501.6620707719389</v>
      </c>
      <c r="P1282" s="211">
        <f>IF($G1282="PAX",P331*'Insumos - OPEX'!L$51,P331*'Insumos - OPEX'!L$76)</f>
        <v>2486.1730842250649</v>
      </c>
      <c r="Q1282" s="211">
        <f>IF($G1282="PAX",Q331*'Insumos - OPEX'!M$51,Q331*'Insumos - OPEX'!M$76)</f>
        <v>2501.2691952310379</v>
      </c>
      <c r="R1282" s="211">
        <f>IF($G1282="PAX",R331*'Insumos - OPEX'!N$51,R331*'Insumos - OPEX'!N$76)</f>
        <v>2507.3707754071493</v>
      </c>
      <c r="S1282" s="111"/>
    </row>
    <row r="1283" spans="1:19" x14ac:dyDescent="0.2">
      <c r="A1283" s="8"/>
      <c r="B1283" s="8" t="s">
        <v>435</v>
      </c>
      <c r="C1283" s="8" t="s">
        <v>170</v>
      </c>
      <c r="D1283" s="8">
        <v>6250000007</v>
      </c>
      <c r="E1283" s="8" t="s">
        <v>260</v>
      </c>
      <c r="F1283" s="73" t="s">
        <v>23</v>
      </c>
      <c r="G1283" s="73" t="s">
        <v>136</v>
      </c>
      <c r="H1283" s="112" t="s">
        <v>61</v>
      </c>
      <c r="I1283" s="13" t="s">
        <v>22</v>
      </c>
      <c r="K1283" s="187"/>
      <c r="L1283" s="187"/>
      <c r="M1283" s="188">
        <f>IF($G1283="PAX",M332*'Insumos - OPEX'!I$51,M332*'Insumos - OPEX'!I$76)</f>
        <v>2032.972376120676</v>
      </c>
      <c r="N1283" s="211">
        <f>IF($G1283="PAX",N332*'Insumos - OPEX'!J$51,N332*'Insumos - OPEX'!J$76)</f>
        <v>1985.9619208234815</v>
      </c>
      <c r="O1283" s="211">
        <f>IF($G1283="PAX",O332*'Insumos - OPEX'!K$51,O332*'Insumos - OPEX'!K$76)</f>
        <v>1978.8138642806102</v>
      </c>
      <c r="P1283" s="211">
        <f>IF($G1283="PAX",P332*'Insumos - OPEX'!L$51,P332*'Insumos - OPEX'!L$76)</f>
        <v>1966.5620810838684</v>
      </c>
      <c r="Q1283" s="211">
        <f>IF($G1283="PAX",Q332*'Insumos - OPEX'!M$51,Q332*'Insumos - OPEX'!M$76)</f>
        <v>1978.5030998586872</v>
      </c>
      <c r="R1283" s="211">
        <f>IF($G1283="PAX",R332*'Insumos - OPEX'!N$51,R332*'Insumos - OPEX'!N$76)</f>
        <v>1983.3294477445879</v>
      </c>
      <c r="S1283" s="111"/>
    </row>
    <row r="1284" spans="1:19" x14ac:dyDescent="0.2">
      <c r="A1284" s="8"/>
      <c r="B1284" s="8" t="s">
        <v>435</v>
      </c>
      <c r="C1284" s="8" t="s">
        <v>170</v>
      </c>
      <c r="D1284" s="8">
        <v>6270000006</v>
      </c>
      <c r="E1284" s="8" t="s">
        <v>261</v>
      </c>
      <c r="F1284" s="73" t="s">
        <v>23</v>
      </c>
      <c r="G1284" s="73" t="s">
        <v>136</v>
      </c>
      <c r="H1284" s="112" t="s">
        <v>61</v>
      </c>
      <c r="I1284" s="13" t="s">
        <v>22</v>
      </c>
      <c r="K1284" s="187"/>
      <c r="L1284" s="187"/>
      <c r="M1284" s="188">
        <f>IF($G1284="PAX",M333*'Insumos - OPEX'!I$51,M333*'Insumos - OPEX'!I$76)</f>
        <v>1867.5186299452726</v>
      </c>
      <c r="N1284" s="211">
        <f>IF($G1284="PAX",N333*'Insumos - OPEX'!J$51,N333*'Insumos - OPEX'!J$76)</f>
        <v>1824.3341272432501</v>
      </c>
      <c r="O1284" s="211">
        <f>IF($G1284="PAX",O333*'Insumos - OPEX'!K$51,O333*'Insumos - OPEX'!K$76)</f>
        <v>1817.767816299475</v>
      </c>
      <c r="P1284" s="211">
        <f>IF($G1284="PAX",P333*'Insumos - OPEX'!L$51,P333*'Insumos - OPEX'!L$76)</f>
        <v>1806.5131462219472</v>
      </c>
      <c r="Q1284" s="211">
        <f>IF($G1284="PAX",Q333*'Insumos - OPEX'!M$51,Q333*'Insumos - OPEX'!M$76)</f>
        <v>1817.4823434842594</v>
      </c>
      <c r="R1284" s="211">
        <f>IF($G1284="PAX",R333*'Insumos - OPEX'!N$51,R333*'Insumos - OPEX'!N$76)</f>
        <v>1821.9158983605519</v>
      </c>
      <c r="S1284" s="111"/>
    </row>
    <row r="1285" spans="1:19" x14ac:dyDescent="0.2">
      <c r="A1285" s="8"/>
      <c r="B1285" s="8" t="s">
        <v>435</v>
      </c>
      <c r="C1285" s="8" t="s">
        <v>170</v>
      </c>
      <c r="D1285" s="8">
        <v>6270000001</v>
      </c>
      <c r="E1285" s="8" t="s">
        <v>259</v>
      </c>
      <c r="F1285" s="73" t="s">
        <v>23</v>
      </c>
      <c r="G1285" s="73" t="s">
        <v>136</v>
      </c>
      <c r="H1285" s="112" t="s">
        <v>61</v>
      </c>
      <c r="I1285" s="13" t="s">
        <v>22</v>
      </c>
      <c r="K1285" s="187"/>
      <c r="L1285" s="187"/>
      <c r="M1285" s="188">
        <f>IF($G1285="PAX",M334*'Insumos - OPEX'!I$51,M334*'Insumos - OPEX'!I$76)</f>
        <v>1721.5571823543742</v>
      </c>
      <c r="N1285" s="211">
        <f>IF($G1285="PAX",N334*'Insumos - OPEX'!J$51,N334*'Insumos - OPEX'!J$76)</f>
        <v>1681.7478923151914</v>
      </c>
      <c r="O1285" s="211">
        <f>IF($G1285="PAX",O334*'Insumos - OPEX'!K$51,O334*'Insumos - OPEX'!K$76)</f>
        <v>1675.6947908437701</v>
      </c>
      <c r="P1285" s="211">
        <f>IF($G1285="PAX",P334*'Insumos - OPEX'!L$51,P334*'Insumos - OPEX'!L$76)</f>
        <v>1665.3197628272815</v>
      </c>
      <c r="Q1285" s="211">
        <f>IF($G1285="PAX",Q334*'Insumos - OPEX'!M$51,Q334*'Insumos - OPEX'!M$76)</f>
        <v>1675.4316300016128</v>
      </c>
      <c r="R1285" s="211">
        <f>IF($G1285="PAX",R334*'Insumos - OPEX'!N$51,R334*'Insumos - OPEX'!N$76)</f>
        <v>1679.5186672703476</v>
      </c>
      <c r="S1285" s="111"/>
    </row>
    <row r="1286" spans="1:19" x14ac:dyDescent="0.2">
      <c r="A1286" s="8"/>
      <c r="B1286" s="8" t="s">
        <v>435</v>
      </c>
      <c r="C1286" s="8" t="s">
        <v>170</v>
      </c>
      <c r="D1286" s="8">
        <v>6221000001</v>
      </c>
      <c r="E1286" s="8" t="s">
        <v>257</v>
      </c>
      <c r="F1286" s="73" t="s">
        <v>23</v>
      </c>
      <c r="G1286" s="73" t="s">
        <v>136</v>
      </c>
      <c r="H1286" s="112" t="s">
        <v>61</v>
      </c>
      <c r="I1286" s="13" t="s">
        <v>22</v>
      </c>
      <c r="K1286" s="187"/>
      <c r="L1286" s="187"/>
      <c r="M1286" s="188">
        <f>IF($G1286="PAX",M335*'Insumos - OPEX'!I$51,M335*'Insumos - OPEX'!I$76)</f>
        <v>1659.7260136854889</v>
      </c>
      <c r="N1286" s="211">
        <f>IF($G1286="PAX",N335*'Insumos - OPEX'!J$51,N335*'Insumos - OPEX'!J$76)</f>
        <v>1621.3465076536168</v>
      </c>
      <c r="O1286" s="211">
        <f>IF($G1286="PAX",O335*'Insumos - OPEX'!K$51,O335*'Insumos - OPEX'!K$76)</f>
        <v>1615.5108083933364</v>
      </c>
      <c r="P1286" s="211">
        <f>IF($G1286="PAX",P335*'Insumos - OPEX'!L$51,P335*'Insumos - OPEX'!L$76)</f>
        <v>1605.5084082011263</v>
      </c>
      <c r="Q1286" s="211">
        <f>IF($G1286="PAX",Q335*'Insumos - OPEX'!M$51,Q335*'Insumos - OPEX'!M$76)</f>
        <v>1615.2570991933233</v>
      </c>
      <c r="R1286" s="211">
        <f>IF($G1286="PAX",R335*'Insumos - OPEX'!N$51,R335*'Insumos - OPEX'!N$76)</f>
        <v>1619.1973470940898</v>
      </c>
      <c r="S1286" s="111"/>
    </row>
    <row r="1287" spans="1:19" x14ac:dyDescent="0.2">
      <c r="A1287" s="8"/>
      <c r="B1287" s="8" t="s">
        <v>435</v>
      </c>
      <c r="C1287" s="8" t="s">
        <v>170</v>
      </c>
      <c r="D1287" s="8">
        <v>6250000003</v>
      </c>
      <c r="E1287" s="8" t="s">
        <v>428</v>
      </c>
      <c r="F1287" s="73" t="s">
        <v>23</v>
      </c>
      <c r="G1287" s="73" t="s">
        <v>136</v>
      </c>
      <c r="H1287" s="112" t="s">
        <v>61</v>
      </c>
      <c r="I1287" s="13" t="s">
        <v>22</v>
      </c>
      <c r="K1287" s="187"/>
      <c r="L1287" s="187"/>
      <c r="M1287" s="188">
        <f>IF($G1287="PAX",M336*'Insumos - OPEX'!I$51,M336*'Insumos - OPEX'!I$76)</f>
        <v>972.11084088469761</v>
      </c>
      <c r="N1287" s="211">
        <f>IF($G1287="PAX",N336*'Insumos - OPEX'!J$51,N336*'Insumos - OPEX'!J$76)</f>
        <v>949.63174880941222</v>
      </c>
      <c r="O1287" s="211">
        <f>IF($G1287="PAX",O336*'Insumos - OPEX'!K$51,O336*'Insumos - OPEX'!K$76)</f>
        <v>946.21374700171361</v>
      </c>
      <c r="P1287" s="211">
        <f>IF($G1287="PAX",P336*'Insumos - OPEX'!L$51,P336*'Insumos - OPEX'!L$76)</f>
        <v>940.35528507393838</v>
      </c>
      <c r="Q1287" s="211">
        <f>IF($G1287="PAX",Q336*'Insumos - OPEX'!M$51,Q336*'Insumos - OPEX'!M$76)</f>
        <v>946.06514809940609</v>
      </c>
      <c r="R1287" s="211">
        <f>IF($G1287="PAX",R336*'Insumos - OPEX'!N$51,R336*'Insumos - OPEX'!N$76)</f>
        <v>948.37297340823704</v>
      </c>
      <c r="S1287" s="111"/>
    </row>
    <row r="1288" spans="1:19" x14ac:dyDescent="0.2">
      <c r="A1288" s="8"/>
      <c r="B1288" s="8" t="s">
        <v>435</v>
      </c>
      <c r="C1288" s="8" t="s">
        <v>170</v>
      </c>
      <c r="D1288" s="8">
        <v>6240000001</v>
      </c>
      <c r="E1288" s="8" t="s">
        <v>265</v>
      </c>
      <c r="F1288" s="73" t="s">
        <v>23</v>
      </c>
      <c r="G1288" s="73" t="s">
        <v>136</v>
      </c>
      <c r="H1288" s="112" t="s">
        <v>61</v>
      </c>
      <c r="I1288" s="13" t="s">
        <v>22</v>
      </c>
      <c r="K1288" s="187"/>
      <c r="L1288" s="187"/>
      <c r="M1288" s="188">
        <f>IF($G1288="PAX",M337*'Insumos - OPEX'!I$51,M337*'Insumos - OPEX'!I$76)</f>
        <v>680.76287647839251</v>
      </c>
      <c r="N1288" s="211">
        <f>IF($G1288="PAX",N337*'Insumos - OPEX'!J$51,N337*'Insumos - OPEX'!J$76)</f>
        <v>665.02091502894802</v>
      </c>
      <c r="O1288" s="211">
        <f>IF($G1288="PAX",O337*'Insumos - OPEX'!K$51,O337*'Insumos - OPEX'!K$76)</f>
        <v>662.62731067381139</v>
      </c>
      <c r="P1288" s="211">
        <f>IF($G1288="PAX",P337*'Insumos - OPEX'!L$51,P337*'Insumos - OPEX'!L$76)</f>
        <v>658.5246680265368</v>
      </c>
      <c r="Q1288" s="211">
        <f>IF($G1288="PAX",Q337*'Insumos - OPEX'!M$51,Q337*'Insumos - OPEX'!M$76)</f>
        <v>662.52324783249549</v>
      </c>
      <c r="R1288" s="211">
        <f>IF($G1288="PAX",R337*'Insumos - OPEX'!N$51,R337*'Insumos - OPEX'!N$76)</f>
        <v>664.13940283208342</v>
      </c>
      <c r="S1288" s="111"/>
    </row>
    <row r="1289" spans="1:19" x14ac:dyDescent="0.2">
      <c r="A1289" s="8"/>
      <c r="B1289" s="8" t="s">
        <v>435</v>
      </c>
      <c r="C1289" s="8" t="s">
        <v>170</v>
      </c>
      <c r="D1289" s="8">
        <v>6250000008</v>
      </c>
      <c r="E1289" s="8" t="s">
        <v>267</v>
      </c>
      <c r="F1289" s="73" t="s">
        <v>23</v>
      </c>
      <c r="G1289" s="73" t="s">
        <v>136</v>
      </c>
      <c r="H1289" s="112" t="s">
        <v>61</v>
      </c>
      <c r="I1289" s="13" t="s">
        <v>22</v>
      </c>
      <c r="K1289" s="187"/>
      <c r="L1289" s="187"/>
      <c r="M1289" s="188">
        <f>IF($G1289="PAX",M338*'Insumos - OPEX'!I$51,M338*'Insumos - OPEX'!I$76)</f>
        <v>456.38371985033922</v>
      </c>
      <c r="N1289" s="211">
        <f>IF($G1289="PAX",N338*'Insumos - OPEX'!J$51,N338*'Insumos - OPEX'!J$76)</f>
        <v>445.83030224742424</v>
      </c>
      <c r="O1289" s="211">
        <f>IF($G1289="PAX",O338*'Insumos - OPEX'!K$51,O338*'Insumos - OPEX'!K$76)</f>
        <v>444.22562887701616</v>
      </c>
      <c r="P1289" s="211">
        <f>IF($G1289="PAX",P338*'Insumos - OPEX'!L$51,P338*'Insumos - OPEX'!L$76)</f>
        <v>441.47521551389974</v>
      </c>
      <c r="Q1289" s="211">
        <f>IF($G1289="PAX",Q338*'Insumos - OPEX'!M$51,Q338*'Insumos - OPEX'!M$76)</f>
        <v>444.15586510425641</v>
      </c>
      <c r="R1289" s="211">
        <f>IF($G1289="PAX",R338*'Insumos - OPEX'!N$51,R338*'Insumos - OPEX'!N$76)</f>
        <v>445.23933609841845</v>
      </c>
      <c r="S1289" s="111"/>
    </row>
    <row r="1290" spans="1:19" x14ac:dyDescent="0.2">
      <c r="A1290" s="8"/>
      <c r="B1290" s="8" t="s">
        <v>435</v>
      </c>
      <c r="C1290" s="8" t="s">
        <v>170</v>
      </c>
      <c r="D1290" s="8">
        <v>6270000005</v>
      </c>
      <c r="E1290" s="8" t="s">
        <v>430</v>
      </c>
      <c r="F1290" s="73" t="s">
        <v>23</v>
      </c>
      <c r="G1290" s="73" t="s">
        <v>136</v>
      </c>
      <c r="H1290" s="112" t="s">
        <v>61</v>
      </c>
      <c r="I1290" s="13" t="s">
        <v>22</v>
      </c>
      <c r="K1290" s="187"/>
      <c r="L1290" s="187"/>
      <c r="M1290" s="188">
        <f>IF($G1290="PAX",M339*'Insumos - OPEX'!I$51,M339*'Insumos - OPEX'!I$76)</f>
        <v>343.77909960416906</v>
      </c>
      <c r="N1290" s="211">
        <f>IF($G1290="PAX",N339*'Insumos - OPEX'!J$51,N339*'Insumos - OPEX'!J$76)</f>
        <v>335.82955135458076</v>
      </c>
      <c r="O1290" s="211">
        <f>IF($G1290="PAX",O339*'Insumos - OPEX'!K$51,O339*'Insumos - OPEX'!K$76)</f>
        <v>334.62080278962628</v>
      </c>
      <c r="P1290" s="211">
        <f>IF($G1290="PAX",P339*'Insumos - OPEX'!L$51,P339*'Insumos - OPEX'!L$76)</f>
        <v>332.54900533413962</v>
      </c>
      <c r="Q1290" s="211">
        <f>IF($G1290="PAX",Q339*'Insumos - OPEX'!M$51,Q339*'Insumos - OPEX'!M$76)</f>
        <v>334.56825199532489</v>
      </c>
      <c r="R1290" s="211">
        <f>IF($G1290="PAX",R339*'Insumos - OPEX'!N$51,R339*'Insumos - OPEX'!N$76)</f>
        <v>335.38439566263713</v>
      </c>
      <c r="S1290" s="111"/>
    </row>
    <row r="1291" spans="1:19" x14ac:dyDescent="0.2">
      <c r="A1291" s="8"/>
      <c r="B1291" s="8" t="s">
        <v>435</v>
      </c>
      <c r="C1291" s="8" t="s">
        <v>170</v>
      </c>
      <c r="D1291" s="8">
        <v>6250000006</v>
      </c>
      <c r="E1291" s="8" t="s">
        <v>429</v>
      </c>
      <c r="F1291" s="73" t="s">
        <v>23</v>
      </c>
      <c r="G1291" s="73" t="s">
        <v>136</v>
      </c>
      <c r="H1291" s="112" t="s">
        <v>61</v>
      </c>
      <c r="I1291" s="13" t="s">
        <v>22</v>
      </c>
      <c r="K1291" s="187"/>
      <c r="L1291" s="187"/>
      <c r="M1291" s="188">
        <f>IF($G1291="PAX",M340*'Insumos - OPEX'!I$51,M340*'Insumos - OPEX'!I$76)</f>
        <v>290.87542156301566</v>
      </c>
      <c r="N1291" s="211">
        <f>IF($G1291="PAX",N340*'Insumos - OPEX'!J$51,N340*'Insumos - OPEX'!J$76)</f>
        <v>284.14921801836448</v>
      </c>
      <c r="O1291" s="211">
        <f>IF($G1291="PAX",O340*'Insumos - OPEX'!K$51,O340*'Insumos - OPEX'!K$76)</f>
        <v>283.12648205564994</v>
      </c>
      <c r="P1291" s="211">
        <f>IF($G1291="PAX",P340*'Insumos - OPEX'!L$51,P340*'Insumos - OPEX'!L$76)</f>
        <v>281.37351057206718</v>
      </c>
      <c r="Q1291" s="211">
        <f>IF($G1291="PAX",Q340*'Insumos - OPEX'!M$51,Q340*'Insumos - OPEX'!M$76)</f>
        <v>283.08201822854846</v>
      </c>
      <c r="R1291" s="211">
        <f>IF($G1291="PAX",R340*'Insumos - OPEX'!N$51,R340*'Insumos - OPEX'!N$76)</f>
        <v>283.77256670447031</v>
      </c>
      <c r="S1291" s="111"/>
    </row>
    <row r="1292" spans="1:19" x14ac:dyDescent="0.2">
      <c r="A1292" s="8"/>
      <c r="B1292" s="8" t="s">
        <v>435</v>
      </c>
      <c r="C1292" s="8" t="s">
        <v>170</v>
      </c>
      <c r="D1292" s="8">
        <v>6250000001</v>
      </c>
      <c r="E1292" s="8" t="s">
        <v>262</v>
      </c>
      <c r="F1292" s="73" t="s">
        <v>23</v>
      </c>
      <c r="G1292" s="73" t="s">
        <v>136</v>
      </c>
      <c r="H1292" s="112" t="s">
        <v>61</v>
      </c>
      <c r="I1292" s="13" t="s">
        <v>22</v>
      </c>
      <c r="K1292" s="187"/>
      <c r="L1292" s="187"/>
      <c r="M1292" s="188">
        <f>IF($G1292="PAX",M341*'Insumos - OPEX'!I$51,M341*'Insumos - OPEX'!I$76)</f>
        <v>251.9077979947952</v>
      </c>
      <c r="N1292" s="211">
        <f>IF($G1292="PAX",N341*'Insumos - OPEX'!J$51,N341*'Insumos - OPEX'!J$76)</f>
        <v>246.08268181724705</v>
      </c>
      <c r="O1292" s="211">
        <f>IF($G1292="PAX",O341*'Insumos - OPEX'!K$51,O341*'Insumos - OPEX'!K$76)</f>
        <v>245.19695842778668</v>
      </c>
      <c r="P1292" s="211">
        <f>IF($G1292="PAX",P341*'Insumos - OPEX'!L$51,P341*'Insumos - OPEX'!L$76)</f>
        <v>243.67882676852122</v>
      </c>
      <c r="Q1292" s="211">
        <f>IF($G1292="PAX",Q341*'Insumos - OPEX'!M$51,Q341*'Insumos - OPEX'!M$76)</f>
        <v>245.15845127336522</v>
      </c>
      <c r="R1292" s="211">
        <f>IF($G1292="PAX",R341*'Insumos - OPEX'!N$51,R341*'Insumos - OPEX'!N$76)</f>
        <v>245.75648924110882</v>
      </c>
      <c r="S1292" s="111"/>
    </row>
    <row r="1293" spans="1:19" x14ac:dyDescent="0.2">
      <c r="A1293" s="8"/>
      <c r="B1293" s="8" t="s">
        <v>435</v>
      </c>
      <c r="C1293" s="8" t="s">
        <v>170</v>
      </c>
      <c r="D1293" s="8">
        <v>6214000001</v>
      </c>
      <c r="E1293" s="8" t="s">
        <v>256</v>
      </c>
      <c r="F1293" s="73" t="s">
        <v>23</v>
      </c>
      <c r="G1293" s="73" t="s">
        <v>136</v>
      </c>
      <c r="H1293" s="112" t="s">
        <v>61</v>
      </c>
      <c r="I1293" s="13" t="s">
        <v>22</v>
      </c>
      <c r="K1293" s="187"/>
      <c r="L1293" s="187"/>
      <c r="M1293" s="188">
        <f>IF($G1293="PAX",M342*'Insumos - OPEX'!I$51,M342*'Insumos - OPEX'!I$76)</f>
        <v>195.64341087970894</v>
      </c>
      <c r="N1293" s="211">
        <f>IF($G1293="PAX",N342*'Insumos - OPEX'!J$51,N342*'Insumos - OPEX'!J$76)</f>
        <v>191.11935244714849</v>
      </c>
      <c r="O1293" s="211">
        <f>IF($G1293="PAX",O342*'Insumos - OPEX'!K$51,O342*'Insumos - OPEX'!K$76)</f>
        <v>190.43145812077458</v>
      </c>
      <c r="P1293" s="211">
        <f>IF($G1293="PAX",P342*'Insumos - OPEX'!L$51,P342*'Insumos - OPEX'!L$76)</f>
        <v>189.25240587091409</v>
      </c>
      <c r="Q1293" s="211">
        <f>IF($G1293="PAX",Q342*'Insumos - OPEX'!M$51,Q342*'Insumos - OPEX'!M$76)</f>
        <v>190.40155165859173</v>
      </c>
      <c r="R1293" s="211">
        <f>IF($G1293="PAX",R342*'Insumos - OPEX'!N$51,R342*'Insumos - OPEX'!N$76)</f>
        <v>190.86601599346457</v>
      </c>
      <c r="S1293" s="111"/>
    </row>
    <row r="1294" spans="1:19" x14ac:dyDescent="0.2">
      <c r="A1294" s="8"/>
      <c r="B1294" s="8" t="s">
        <v>435</v>
      </c>
      <c r="C1294" s="8" t="s">
        <v>170</v>
      </c>
      <c r="D1294" s="8">
        <v>6270000004</v>
      </c>
      <c r="E1294" s="8" t="s">
        <v>431</v>
      </c>
      <c r="F1294" s="73" t="s">
        <v>23</v>
      </c>
      <c r="G1294" s="73" t="s">
        <v>136</v>
      </c>
      <c r="H1294" s="112" t="s">
        <v>61</v>
      </c>
      <c r="I1294" s="13" t="s">
        <v>22</v>
      </c>
      <c r="K1294" s="187"/>
      <c r="L1294" s="187"/>
      <c r="M1294" s="188">
        <f>IF($G1294="PAX",M343*'Insumos - OPEX'!I$51,M343*'Insumos - OPEX'!I$76)</f>
        <v>186.45290382922232</v>
      </c>
      <c r="N1294" s="211">
        <f>IF($G1294="PAX",N343*'Insumos - OPEX'!J$51,N343*'Insumos - OPEX'!J$76)</f>
        <v>182.14136669106327</v>
      </c>
      <c r="O1294" s="211">
        <f>IF($G1294="PAX",O343*'Insumos - OPEX'!K$51,O343*'Insumos - OPEX'!K$76)</f>
        <v>181.48578675559116</v>
      </c>
      <c r="P1294" s="211">
        <f>IF($G1294="PAX",P343*'Insumos - OPEX'!L$51,P343*'Insumos - OPEX'!L$76)</f>
        <v>180.36212143630252</v>
      </c>
      <c r="Q1294" s="211">
        <f>IF($G1294="PAX",Q343*'Insumos - OPEX'!M$51,Q343*'Insumos - OPEX'!M$76)</f>
        <v>181.45728517359473</v>
      </c>
      <c r="R1294" s="211">
        <f>IF($G1294="PAX",R343*'Insumos - OPEX'!N$51,R343*'Insumos - OPEX'!N$76)</f>
        <v>181.89993092165625</v>
      </c>
      <c r="S1294" s="111"/>
    </row>
    <row r="1295" spans="1:19" x14ac:dyDescent="0.2">
      <c r="A1295" s="8"/>
      <c r="B1295" s="8" t="s">
        <v>435</v>
      </c>
      <c r="C1295" s="8" t="s">
        <v>170</v>
      </c>
      <c r="D1295" s="8">
        <v>6270000003</v>
      </c>
      <c r="E1295" s="8" t="s">
        <v>432</v>
      </c>
      <c r="F1295" s="73" t="s">
        <v>23</v>
      </c>
      <c r="G1295" s="73" t="s">
        <v>136</v>
      </c>
      <c r="H1295" s="112" t="s">
        <v>61</v>
      </c>
      <c r="I1295" s="13" t="s">
        <v>22</v>
      </c>
      <c r="K1295" s="187"/>
      <c r="L1295" s="187"/>
      <c r="M1295" s="188">
        <f>IF($G1295="PAX",M344*'Insumos - OPEX'!I$51,M344*'Insumos - OPEX'!I$76)</f>
        <v>151.97955705001146</v>
      </c>
      <c r="N1295" s="211">
        <f>IF($G1295="PAX",N344*'Insumos - OPEX'!J$51,N344*'Insumos - OPEX'!J$76)</f>
        <v>148.4651816179063</v>
      </c>
      <c r="O1295" s="211">
        <f>IF($G1295="PAX",O344*'Insumos - OPEX'!K$51,O344*'Insumos - OPEX'!K$76)</f>
        <v>147.93081210068394</v>
      </c>
      <c r="P1295" s="211">
        <f>IF($G1295="PAX",P344*'Insumos - OPEX'!L$51,P344*'Insumos - OPEX'!L$76)</f>
        <v>147.01490168046132</v>
      </c>
      <c r="Q1295" s="211">
        <f>IF($G1295="PAX",Q344*'Insumos - OPEX'!M$51,Q344*'Insumos - OPEX'!M$76)</f>
        <v>147.90758018678997</v>
      </c>
      <c r="R1295" s="211">
        <f>IF($G1295="PAX",R344*'Insumos - OPEX'!N$51,R344*'Insumos - OPEX'!N$76)</f>
        <v>148.26838499775752</v>
      </c>
      <c r="S1295" s="111"/>
    </row>
    <row r="1296" spans="1:19" x14ac:dyDescent="0.2">
      <c r="A1296" s="8"/>
      <c r="B1296" s="8" t="s">
        <v>435</v>
      </c>
      <c r="C1296" s="8" t="s">
        <v>170</v>
      </c>
      <c r="D1296" s="8">
        <v>6250000004</v>
      </c>
      <c r="E1296" s="8" t="s">
        <v>264</v>
      </c>
      <c r="F1296" s="73" t="s">
        <v>23</v>
      </c>
      <c r="G1296" s="73" t="s">
        <v>136</v>
      </c>
      <c r="H1296" s="112" t="s">
        <v>61</v>
      </c>
      <c r="I1296" s="13" t="s">
        <v>22</v>
      </c>
      <c r="K1296" s="187"/>
      <c r="L1296" s="187"/>
      <c r="M1296" s="188">
        <f>IF($G1296="PAX",M345*'Insumos - OPEX'!I$51,M345*'Insumos - OPEX'!I$76)</f>
        <v>150.10659255287996</v>
      </c>
      <c r="N1296" s="211">
        <f>IF($G1296="PAX",N345*'Insumos - OPEX'!J$51,N345*'Insumos - OPEX'!J$76)</f>
        <v>146.63552755371515</v>
      </c>
      <c r="O1296" s="211">
        <f>IF($G1296="PAX",O345*'Insumos - OPEX'!K$51,O345*'Insumos - OPEX'!K$76)</f>
        <v>146.10774349544224</v>
      </c>
      <c r="P1296" s="211">
        <f>IF($G1296="PAX",P345*'Insumos - OPEX'!L$51,P345*'Insumos - OPEX'!L$76)</f>
        <v>145.20312056501714</v>
      </c>
      <c r="Q1296" s="211">
        <f>IF($G1296="PAX",Q345*'Insumos - OPEX'!M$51,Q345*'Insumos - OPEX'!M$76)</f>
        <v>146.08479788683016</v>
      </c>
      <c r="R1296" s="211">
        <f>IF($G1296="PAX",R345*'Insumos - OPEX'!N$51,R345*'Insumos - OPEX'!N$76)</f>
        <v>146.44115621424132</v>
      </c>
      <c r="S1296" s="111"/>
    </row>
    <row r="1297" spans="1:19" x14ac:dyDescent="0.2">
      <c r="A1297" s="8"/>
      <c r="B1297" s="8" t="s">
        <v>435</v>
      </c>
      <c r="C1297" s="8" t="s">
        <v>170</v>
      </c>
      <c r="D1297" s="8">
        <v>6231000001</v>
      </c>
      <c r="E1297" s="8" t="s">
        <v>258</v>
      </c>
      <c r="F1297" s="73" t="s">
        <v>23</v>
      </c>
      <c r="G1297" s="73" t="s">
        <v>136</v>
      </c>
      <c r="H1297" s="112" t="s">
        <v>61</v>
      </c>
      <c r="I1297" s="13" t="s">
        <v>22</v>
      </c>
      <c r="K1297" s="187"/>
      <c r="L1297" s="187"/>
      <c r="M1297" s="188">
        <f>IF($G1297="PAX",M346*'Insumos - OPEX'!I$51,M346*'Insumos - OPEX'!I$76)</f>
        <v>0</v>
      </c>
      <c r="N1297" s="211">
        <f>IF($G1297="PAX",N346*'Insumos - OPEX'!J$51,N346*'Insumos - OPEX'!J$76)</f>
        <v>0</v>
      </c>
      <c r="O1297" s="211">
        <f>IF($G1297="PAX",O346*'Insumos - OPEX'!K$51,O346*'Insumos - OPEX'!K$76)</f>
        <v>0</v>
      </c>
      <c r="P1297" s="211">
        <f>IF($G1297="PAX",P346*'Insumos - OPEX'!L$51,P346*'Insumos - OPEX'!L$76)</f>
        <v>0</v>
      </c>
      <c r="Q1297" s="211">
        <f>IF($G1297="PAX",Q346*'Insumos - OPEX'!M$51,Q346*'Insumos - OPEX'!M$76)</f>
        <v>0</v>
      </c>
      <c r="R1297" s="211">
        <f>IF($G1297="PAX",R346*'Insumos - OPEX'!N$51,R346*'Insumos - OPEX'!N$76)</f>
        <v>0</v>
      </c>
      <c r="S1297" s="111"/>
    </row>
    <row r="1298" spans="1:19" x14ac:dyDescent="0.2">
      <c r="A1298" s="8"/>
      <c r="B1298" s="8" t="s">
        <v>435</v>
      </c>
      <c r="C1298" s="8" t="s">
        <v>170</v>
      </c>
      <c r="D1298" s="8">
        <v>6270000007</v>
      </c>
      <c r="E1298" s="8" t="s">
        <v>263</v>
      </c>
      <c r="F1298" s="73" t="s">
        <v>23</v>
      </c>
      <c r="G1298" s="73" t="s">
        <v>136</v>
      </c>
      <c r="H1298" s="112" t="s">
        <v>61</v>
      </c>
      <c r="I1298" s="13" t="s">
        <v>22</v>
      </c>
      <c r="K1298" s="187"/>
      <c r="L1298" s="187"/>
      <c r="M1298" s="188">
        <f>IF($G1298="PAX",M347*'Insumos - OPEX'!I$51,M347*'Insumos - OPEX'!I$76)</f>
        <v>0</v>
      </c>
      <c r="N1298" s="211">
        <f>IF($G1298="PAX",N347*'Insumos - OPEX'!J$51,N347*'Insumos - OPEX'!J$76)</f>
        <v>0</v>
      </c>
      <c r="O1298" s="211">
        <f>IF($G1298="PAX",O347*'Insumos - OPEX'!K$51,O347*'Insumos - OPEX'!K$76)</f>
        <v>0</v>
      </c>
      <c r="P1298" s="211">
        <f>IF($G1298="PAX",P347*'Insumos - OPEX'!L$51,P347*'Insumos - OPEX'!L$76)</f>
        <v>0</v>
      </c>
      <c r="Q1298" s="211">
        <f>IF($G1298="PAX",Q347*'Insumos - OPEX'!M$51,Q347*'Insumos - OPEX'!M$76)</f>
        <v>0</v>
      </c>
      <c r="R1298" s="211">
        <f>IF($G1298="PAX",R347*'Insumos - OPEX'!N$51,R347*'Insumos - OPEX'!N$76)</f>
        <v>0</v>
      </c>
      <c r="S1298" s="111"/>
    </row>
    <row r="1299" spans="1:19" x14ac:dyDescent="0.2">
      <c r="A1299" s="8"/>
      <c r="B1299" s="8" t="s">
        <v>435</v>
      </c>
      <c r="C1299" s="8" t="s">
        <v>171</v>
      </c>
      <c r="D1299" s="8">
        <v>6320000001</v>
      </c>
      <c r="E1299" s="8" t="s">
        <v>324</v>
      </c>
      <c r="F1299" s="73" t="s">
        <v>23</v>
      </c>
      <c r="G1299" s="73" t="s">
        <v>136</v>
      </c>
      <c r="H1299" s="112" t="s">
        <v>61</v>
      </c>
      <c r="I1299" s="13" t="s">
        <v>22</v>
      </c>
      <c r="K1299" s="187"/>
      <c r="L1299" s="187"/>
      <c r="M1299" s="188">
        <f>IF($G1299="PAX",M348*'Insumos - OPEX'!I$51,M348*'Insumos - OPEX'!I$76)</f>
        <v>54985.777470881359</v>
      </c>
      <c r="N1299" s="211">
        <f>IF($G1299="PAX",N348*'Insumos - OPEX'!J$51,N348*'Insumos - OPEX'!J$76)</f>
        <v>53714.286296609287</v>
      </c>
      <c r="O1299" s="211">
        <f>IF($G1299="PAX",O348*'Insumos - OPEX'!K$51,O348*'Insumos - OPEX'!K$76)</f>
        <v>53520.952904069258</v>
      </c>
      <c r="P1299" s="211">
        <f>IF($G1299="PAX",P348*'Insumos - OPEX'!L$51,P348*'Insumos - OPEX'!L$76)</f>
        <v>53189.579082963508</v>
      </c>
      <c r="Q1299" s="211">
        <f>IF($G1299="PAX",Q348*'Insumos - OPEX'!M$51,Q348*'Insumos - OPEX'!M$76)</f>
        <v>53512.547662782912</v>
      </c>
      <c r="R1299" s="211">
        <f>IF($G1299="PAX",R348*'Insumos - OPEX'!N$51,R348*'Insumos - OPEX'!N$76)</f>
        <v>53643.085831411459</v>
      </c>
      <c r="S1299" s="111"/>
    </row>
    <row r="1300" spans="1:19" x14ac:dyDescent="0.2">
      <c r="A1300" s="8"/>
      <c r="B1300" s="8" t="s">
        <v>435</v>
      </c>
      <c r="C1300" s="8" t="s">
        <v>171</v>
      </c>
      <c r="D1300" s="8">
        <v>6320000004</v>
      </c>
      <c r="E1300" s="8" t="s">
        <v>340</v>
      </c>
      <c r="F1300" s="73" t="s">
        <v>23</v>
      </c>
      <c r="G1300" s="73" t="s">
        <v>136</v>
      </c>
      <c r="H1300" s="112" t="s">
        <v>61</v>
      </c>
      <c r="I1300" s="13" t="s">
        <v>22</v>
      </c>
      <c r="K1300" s="187"/>
      <c r="L1300" s="187"/>
      <c r="M1300" s="188">
        <f>IF($G1300="PAX",M349*'Insumos - OPEX'!I$51,M349*'Insumos - OPEX'!I$76)</f>
        <v>22226.069824011607</v>
      </c>
      <c r="N1300" s="211">
        <f>IF($G1300="PAX",N349*'Insumos - OPEX'!J$51,N349*'Insumos - OPEX'!J$76)</f>
        <v>21712.114162750815</v>
      </c>
      <c r="O1300" s="211">
        <f>IF($G1300="PAX",O349*'Insumos - OPEX'!K$51,O349*'Insumos - OPEX'!K$76)</f>
        <v>21633.965927342422</v>
      </c>
      <c r="P1300" s="211">
        <f>IF($G1300="PAX",P349*'Insumos - OPEX'!L$51,P349*'Insumos - OPEX'!L$76)</f>
        <v>21500.019695707415</v>
      </c>
      <c r="Q1300" s="211">
        <f>IF($G1300="PAX",Q349*'Insumos - OPEX'!M$51,Q349*'Insumos - OPEX'!M$76)</f>
        <v>21630.568403686117</v>
      </c>
      <c r="R1300" s="211">
        <f>IF($G1300="PAX",R349*'Insumos - OPEX'!N$51,R349*'Insumos - OPEX'!N$76)</f>
        <v>21683.333874760399</v>
      </c>
      <c r="S1300" s="111"/>
    </row>
    <row r="1301" spans="1:19" x14ac:dyDescent="0.2">
      <c r="A1301" s="8"/>
      <c r="B1301" s="8" t="s">
        <v>435</v>
      </c>
      <c r="C1301" s="8" t="s">
        <v>171</v>
      </c>
      <c r="D1301" s="8">
        <v>6380000030</v>
      </c>
      <c r="E1301" s="8" t="s">
        <v>326</v>
      </c>
      <c r="F1301" s="73" t="s">
        <v>23</v>
      </c>
      <c r="G1301" s="73" t="s">
        <v>136</v>
      </c>
      <c r="H1301" s="112" t="s">
        <v>61</v>
      </c>
      <c r="I1301" s="13" t="s">
        <v>22</v>
      </c>
      <c r="K1301" s="187"/>
      <c r="L1301" s="187"/>
      <c r="M1301" s="188">
        <f>IF($G1301="PAX",M350*'Insumos - OPEX'!I$51,M350*'Insumos - OPEX'!I$76)</f>
        <v>42231.063757978649</v>
      </c>
      <c r="N1301" s="211">
        <f>IF($G1301="PAX",N350*'Insumos - OPEX'!J$51,N350*'Insumos - OPEX'!J$76)</f>
        <v>41254.512596601933</v>
      </c>
      <c r="O1301" s="211">
        <f>IF($G1301="PAX",O350*'Insumos - OPEX'!K$51,O350*'Insumos - OPEX'!K$76)</f>
        <v>41106.025565910626</v>
      </c>
      <c r="P1301" s="211">
        <f>IF($G1301="PAX",P350*'Insumos - OPEX'!L$51,P350*'Insumos - OPEX'!L$76)</f>
        <v>40851.518498619393</v>
      </c>
      <c r="Q1301" s="211">
        <f>IF($G1301="PAX",Q350*'Insumos - OPEX'!M$51,Q350*'Insumos - OPEX'!M$76)</f>
        <v>41099.570036917641</v>
      </c>
      <c r="R1301" s="211">
        <f>IF($G1301="PAX",R350*'Insumos - OPEX'!N$51,R350*'Insumos - OPEX'!N$76)</f>
        <v>41199.828066825852</v>
      </c>
      <c r="S1301" s="111"/>
    </row>
    <row r="1302" spans="1:19" x14ac:dyDescent="0.2">
      <c r="A1302" s="8"/>
      <c r="B1302" s="8" t="s">
        <v>435</v>
      </c>
      <c r="C1302" s="8" t="s">
        <v>171</v>
      </c>
      <c r="D1302" s="8">
        <v>6356000001</v>
      </c>
      <c r="E1302" s="8" t="s">
        <v>343</v>
      </c>
      <c r="F1302" s="73" t="s">
        <v>23</v>
      </c>
      <c r="G1302" s="73" t="s">
        <v>136</v>
      </c>
      <c r="H1302" s="112" t="s">
        <v>61</v>
      </c>
      <c r="I1302" s="13" t="s">
        <v>22</v>
      </c>
      <c r="K1302" s="187"/>
      <c r="L1302" s="187"/>
      <c r="M1302" s="188">
        <f>IF($G1302="PAX",M351*'Insumos - OPEX'!I$51,M351*'Insumos - OPEX'!I$76)</f>
        <v>8252.7207889157617</v>
      </c>
      <c r="N1302" s="211">
        <f>IF($G1302="PAX",N351*'Insumos - OPEX'!J$51,N351*'Insumos - OPEX'!J$76)</f>
        <v>8061.8848649826159</v>
      </c>
      <c r="O1302" s="211">
        <f>IF($G1302="PAX",O351*'Insumos - OPEX'!K$51,O351*'Insumos - OPEX'!K$76)</f>
        <v>8032.8677885458637</v>
      </c>
      <c r="P1302" s="211">
        <f>IF($G1302="PAX",P351*'Insumos - OPEX'!L$51,P351*'Insumos - OPEX'!L$76)</f>
        <v>7983.1324615553522</v>
      </c>
      <c r="Q1302" s="211">
        <f>IF($G1302="PAX",Q351*'Insumos - OPEX'!M$51,Q351*'Insumos - OPEX'!M$76)</f>
        <v>8031.6062603345672</v>
      </c>
      <c r="R1302" s="211">
        <f>IF($G1302="PAX",R351*'Insumos - OPEX'!N$51,R351*'Insumos - OPEX'!N$76)</f>
        <v>8051.1985095949931</v>
      </c>
      <c r="S1302" s="111"/>
    </row>
    <row r="1303" spans="1:19" x14ac:dyDescent="0.2">
      <c r="A1303" s="8"/>
      <c r="B1303" s="8" t="s">
        <v>435</v>
      </c>
      <c r="C1303" s="8" t="s">
        <v>171</v>
      </c>
      <c r="D1303" s="8">
        <v>6354000001</v>
      </c>
      <c r="E1303" s="8" t="s">
        <v>336</v>
      </c>
      <c r="F1303" s="73" t="s">
        <v>23</v>
      </c>
      <c r="G1303" s="73" t="s">
        <v>136</v>
      </c>
      <c r="H1303" s="112" t="s">
        <v>61</v>
      </c>
      <c r="I1303" s="13" t="s">
        <v>22</v>
      </c>
      <c r="K1303" s="187"/>
      <c r="L1303" s="187"/>
      <c r="M1303" s="188">
        <f>IF($G1303="PAX",M352*'Insumos - OPEX'!I$51,M352*'Insumos - OPEX'!I$76)</f>
        <v>8244.6098628882319</v>
      </c>
      <c r="N1303" s="211">
        <f>IF($G1303="PAX",N352*'Insumos - OPEX'!J$51,N352*'Insumos - OPEX'!J$76)</f>
        <v>8053.961496016811</v>
      </c>
      <c r="O1303" s="211">
        <f>IF($G1303="PAX",O352*'Insumos - OPEX'!K$51,O352*'Insumos - OPEX'!K$76)</f>
        <v>8024.9729380973513</v>
      </c>
      <c r="P1303" s="211">
        <f>IF($G1303="PAX",P352*'Insumos - OPEX'!L$51,P352*'Insumos - OPEX'!L$76)</f>
        <v>7975.2864919024569</v>
      </c>
      <c r="Q1303" s="211">
        <f>IF($G1303="PAX",Q352*'Insumos - OPEX'!M$51,Q352*'Insumos - OPEX'!M$76)</f>
        <v>8023.7126497392201</v>
      </c>
      <c r="R1303" s="211">
        <f>IF($G1303="PAX",R352*'Insumos - OPEX'!N$51,R352*'Insumos - OPEX'!N$76)</f>
        <v>8043.2856433761344</v>
      </c>
      <c r="S1303" s="111"/>
    </row>
    <row r="1304" spans="1:19" x14ac:dyDescent="0.2">
      <c r="A1304" s="8"/>
      <c r="B1304" s="8" t="s">
        <v>435</v>
      </c>
      <c r="C1304" s="8" t="s">
        <v>171</v>
      </c>
      <c r="D1304" s="8">
        <v>6370000001</v>
      </c>
      <c r="E1304" s="8" t="s">
        <v>270</v>
      </c>
      <c r="F1304" s="73" t="s">
        <v>23</v>
      </c>
      <c r="G1304" s="73" t="s">
        <v>136</v>
      </c>
      <c r="H1304" s="112" t="s">
        <v>61</v>
      </c>
      <c r="I1304" s="13" t="s">
        <v>22</v>
      </c>
      <c r="K1304" s="187"/>
      <c r="L1304" s="187"/>
      <c r="M1304" s="188">
        <f>IF($G1304="PAX",M353*'Insumos - OPEX'!I$51,M353*'Insumos - OPEX'!I$76)</f>
        <v>5164.1244003943902</v>
      </c>
      <c r="N1304" s="211">
        <f>IF($G1304="PAX",N353*'Insumos - OPEX'!J$51,N353*'Insumos - OPEX'!J$76)</f>
        <v>5044.7091824969675</v>
      </c>
      <c r="O1304" s="211">
        <f>IF($G1304="PAX",O353*'Insumos - OPEX'!K$51,O353*'Insumos - OPEX'!K$76)</f>
        <v>5026.5518018842122</v>
      </c>
      <c r="P1304" s="211">
        <f>IF($G1304="PAX",P353*'Insumos - OPEX'!L$51,P353*'Insumos - OPEX'!L$76)</f>
        <v>4995.4300152343776</v>
      </c>
      <c r="Q1304" s="211">
        <f>IF($G1304="PAX",Q353*'Insumos - OPEX'!M$51,Q353*'Insumos - OPEX'!M$76)</f>
        <v>5025.7624029957278</v>
      </c>
      <c r="R1304" s="211">
        <f>IF($G1304="PAX",R353*'Insumos - OPEX'!N$51,R353*'Insumos - OPEX'!N$76)</f>
        <v>5038.0222158565075</v>
      </c>
      <c r="S1304" s="111"/>
    </row>
    <row r="1305" spans="1:19" x14ac:dyDescent="0.2">
      <c r="A1305" s="8"/>
      <c r="B1305" s="8" t="s">
        <v>435</v>
      </c>
      <c r="C1305" s="8" t="s">
        <v>171</v>
      </c>
      <c r="D1305" s="8">
        <v>6382000001</v>
      </c>
      <c r="E1305" s="8" t="s">
        <v>349</v>
      </c>
      <c r="F1305" s="73" t="s">
        <v>23</v>
      </c>
      <c r="G1305" s="73" t="s">
        <v>136</v>
      </c>
      <c r="H1305" s="112" t="s">
        <v>61</v>
      </c>
      <c r="I1305" s="13" t="s">
        <v>22</v>
      </c>
      <c r="K1305" s="187"/>
      <c r="L1305" s="187"/>
      <c r="M1305" s="188">
        <f>IF($G1305="PAX",M354*'Insumos - OPEX'!I$51,M354*'Insumos - OPEX'!I$76)</f>
        <v>5206.3687847804476</v>
      </c>
      <c r="N1305" s="211">
        <f>IF($G1305="PAX",N354*'Insumos - OPEX'!J$51,N354*'Insumos - OPEX'!J$76)</f>
        <v>5085.9767076954304</v>
      </c>
      <c r="O1305" s="211">
        <f>IF($G1305="PAX",O354*'Insumos - OPEX'!K$51,O354*'Insumos - OPEX'!K$76)</f>
        <v>5067.6707932158333</v>
      </c>
      <c r="P1305" s="211">
        <f>IF($G1305="PAX",P354*'Insumos - OPEX'!L$51,P354*'Insumos - OPEX'!L$76)</f>
        <v>5036.2944192214491</v>
      </c>
      <c r="Q1305" s="211">
        <f>IF($G1305="PAX",Q354*'Insumos - OPEX'!M$51,Q354*'Insumos - OPEX'!M$76)</f>
        <v>5066.8749367621358</v>
      </c>
      <c r="R1305" s="211">
        <f>IF($G1305="PAX",R354*'Insumos - OPEX'!N$51,R354*'Insumos - OPEX'!N$76)</f>
        <v>5079.2350392764638</v>
      </c>
      <c r="S1305" s="111"/>
    </row>
    <row r="1306" spans="1:19" x14ac:dyDescent="0.2">
      <c r="A1306" s="8"/>
      <c r="B1306" s="8" t="s">
        <v>435</v>
      </c>
      <c r="C1306" s="8" t="s">
        <v>171</v>
      </c>
      <c r="D1306" s="8">
        <v>6380000021</v>
      </c>
      <c r="E1306" s="8" t="s">
        <v>330</v>
      </c>
      <c r="F1306" s="73" t="s">
        <v>23</v>
      </c>
      <c r="G1306" s="73" t="s">
        <v>136</v>
      </c>
      <c r="H1306" s="112" t="s">
        <v>61</v>
      </c>
      <c r="I1306" s="13" t="s">
        <v>22</v>
      </c>
      <c r="K1306" s="187"/>
      <c r="L1306" s="187"/>
      <c r="M1306" s="188">
        <f>IF($G1306="PAX",M355*'Insumos - OPEX'!I$51,M355*'Insumos - OPEX'!I$76)</f>
        <v>2248.2154828458956</v>
      </c>
      <c r="N1306" s="211">
        <f>IF($G1306="PAX",N355*'Insumos - OPEX'!J$51,N355*'Insumos - OPEX'!J$76)</f>
        <v>2196.2277457294354</v>
      </c>
      <c r="O1306" s="211">
        <f>IF($G1306="PAX",O355*'Insumos - OPEX'!K$51,O355*'Insumos - OPEX'!K$76)</f>
        <v>2188.3228811180402</v>
      </c>
      <c r="P1306" s="211">
        <f>IF($G1306="PAX",P355*'Insumos - OPEX'!L$51,P355*'Insumos - OPEX'!L$76)</f>
        <v>2174.7739273796979</v>
      </c>
      <c r="Q1306" s="211">
        <f>IF($G1306="PAX",Q355*'Insumos - OPEX'!M$51,Q355*'Insumos - OPEX'!M$76)</f>
        <v>2187.9792141833127</v>
      </c>
      <c r="R1306" s="211">
        <f>IF($G1306="PAX",R355*'Insumos - OPEX'!N$51,R355*'Insumos - OPEX'!N$76)</f>
        <v>2193.3165567710116</v>
      </c>
      <c r="S1306" s="111"/>
    </row>
    <row r="1307" spans="1:19" x14ac:dyDescent="0.2">
      <c r="A1307" s="8"/>
      <c r="B1307" s="8" t="s">
        <v>435</v>
      </c>
      <c r="C1307" s="8" t="s">
        <v>171</v>
      </c>
      <c r="D1307" s="8">
        <v>6380000007</v>
      </c>
      <c r="E1307" s="8" t="s">
        <v>329</v>
      </c>
      <c r="F1307" s="73" t="s">
        <v>23</v>
      </c>
      <c r="G1307" s="73" t="s">
        <v>471</v>
      </c>
      <c r="H1307" s="112" t="s">
        <v>61</v>
      </c>
      <c r="I1307" s="13" t="s">
        <v>22</v>
      </c>
      <c r="J1307" s="11"/>
      <c r="K1307" s="187"/>
      <c r="L1307" s="187"/>
      <c r="M1307" s="188">
        <f>IF($G1307="PAX",M356*'Insumos - OPEX'!I$51,M356*'Insumos - OPEX'!I$76)</f>
        <v>367.15732416373038</v>
      </c>
      <c r="N1307" s="211">
        <f>IF($G1307="PAX",N356*'Insumos - OPEX'!J$51,N356*'Insumos - OPEX'!J$76)</f>
        <v>370.53032695731793</v>
      </c>
      <c r="O1307" s="211">
        <f>IF($G1307="PAX",O356*'Insumos - OPEX'!K$51,O356*'Insumos - OPEX'!K$76)</f>
        <v>376.63977023487627</v>
      </c>
      <c r="P1307" s="211">
        <f>IF($G1307="PAX",P356*'Insumos - OPEX'!L$51,P356*'Insumos - OPEX'!L$76)</f>
        <v>382.17804725469216</v>
      </c>
      <c r="Q1307" s="211">
        <f>IF($G1307="PAX",Q356*'Insumos - OPEX'!M$51,Q356*'Insumos - OPEX'!M$76)</f>
        <v>389.00183460873222</v>
      </c>
      <c r="R1307" s="211">
        <f>IF($G1307="PAX",R356*'Insumos - OPEX'!N$51,R356*'Insumos - OPEX'!N$76)</f>
        <v>395.65419010605837</v>
      </c>
      <c r="S1307" s="111"/>
    </row>
    <row r="1308" spans="1:19" x14ac:dyDescent="0.2">
      <c r="A1308" s="8"/>
      <c r="B1308" s="8" t="s">
        <v>435</v>
      </c>
      <c r="C1308" s="8" t="s">
        <v>171</v>
      </c>
      <c r="D1308" s="8">
        <v>6320000002</v>
      </c>
      <c r="E1308" s="8" t="s">
        <v>346</v>
      </c>
      <c r="F1308" s="73" t="s">
        <v>23</v>
      </c>
      <c r="G1308" s="73" t="s">
        <v>136</v>
      </c>
      <c r="H1308" s="112" t="s">
        <v>61</v>
      </c>
      <c r="I1308" s="13" t="s">
        <v>22</v>
      </c>
      <c r="K1308" s="187"/>
      <c r="L1308" s="187"/>
      <c r="M1308" s="188">
        <f>IF($G1308="PAX",M357*'Insumos - OPEX'!I$51,M357*'Insumos - OPEX'!I$76)</f>
        <v>1150.7135371829072</v>
      </c>
      <c r="N1308" s="211">
        <f>IF($G1308="PAX",N357*'Insumos - OPEX'!J$51,N357*'Insumos - OPEX'!J$76)</f>
        <v>1124.1044361764102</v>
      </c>
      <c r="O1308" s="211">
        <f>IF($G1308="PAX",O357*'Insumos - OPEX'!K$51,O357*'Insumos - OPEX'!K$76)</f>
        <v>1120.0584562481799</v>
      </c>
      <c r="P1308" s="211">
        <f>IF($G1308="PAX",P357*'Insumos - OPEX'!L$51,P357*'Insumos - OPEX'!L$76)</f>
        <v>1113.1236385670743</v>
      </c>
      <c r="Q1308" s="211">
        <f>IF($G1308="PAX",Q357*'Insumos - OPEX'!M$51,Q357*'Insumos - OPEX'!M$76)</f>
        <v>1119.8825557630664</v>
      </c>
      <c r="R1308" s="211">
        <f>IF($G1308="PAX",R357*'Insumos - OPEX'!N$51,R357*'Insumos - OPEX'!N$76)</f>
        <v>1122.6143901513221</v>
      </c>
      <c r="S1308" s="111"/>
    </row>
    <row r="1309" spans="1:19" x14ac:dyDescent="0.2">
      <c r="A1309" s="8"/>
      <c r="B1309" s="8" t="s">
        <v>435</v>
      </c>
      <c r="C1309" s="8" t="s">
        <v>171</v>
      </c>
      <c r="D1309" s="8">
        <v>6360000001</v>
      </c>
      <c r="E1309" s="8" t="s">
        <v>331</v>
      </c>
      <c r="F1309" s="73" t="s">
        <v>23</v>
      </c>
      <c r="G1309" s="73" t="s">
        <v>136</v>
      </c>
      <c r="H1309" s="112" t="s">
        <v>61</v>
      </c>
      <c r="I1309" s="13" t="s">
        <v>22</v>
      </c>
      <c r="K1309" s="187"/>
      <c r="L1309" s="187"/>
      <c r="M1309" s="188">
        <f>IF($G1309="PAX",M358*'Insumos - OPEX'!I$51,M358*'Insumos - OPEX'!I$76)</f>
        <v>827.39024318316547</v>
      </c>
      <c r="N1309" s="211">
        <f>IF($G1309="PAX",N358*'Insumos - OPEX'!J$51,N358*'Insumos - OPEX'!J$76)</f>
        <v>808.25767035661352</v>
      </c>
      <c r="O1309" s="211">
        <f>IF($G1309="PAX",O358*'Insumos - OPEX'!K$51,O358*'Insumos - OPEX'!K$76)</f>
        <v>805.34851511635463</v>
      </c>
      <c r="P1309" s="211">
        <f>IF($G1309="PAX",P358*'Insumos - OPEX'!L$51,P358*'Insumos - OPEX'!L$76)</f>
        <v>800.36221722187793</v>
      </c>
      <c r="Q1309" s="211">
        <f>IF($G1309="PAX",Q358*'Insumos - OPEX'!M$51,Q358*'Insumos - OPEX'!M$76)</f>
        <v>805.22203850818801</v>
      </c>
      <c r="R1309" s="211">
        <f>IF($G1309="PAX",R358*'Insumos - OPEX'!N$51,R358*'Insumos - OPEX'!N$76)</f>
        <v>807.18629203071862</v>
      </c>
      <c r="S1309" s="111"/>
    </row>
    <row r="1310" spans="1:19" x14ac:dyDescent="0.2">
      <c r="A1310" s="8"/>
      <c r="B1310" s="8" t="s">
        <v>435</v>
      </c>
      <c r="C1310" s="8" t="s">
        <v>171</v>
      </c>
      <c r="D1310" s="8">
        <v>6360000002</v>
      </c>
      <c r="E1310" s="8" t="s">
        <v>320</v>
      </c>
      <c r="F1310" s="73" t="s">
        <v>23</v>
      </c>
      <c r="G1310" s="73" t="s">
        <v>471</v>
      </c>
      <c r="H1310" s="112" t="s">
        <v>61</v>
      </c>
      <c r="I1310" s="13" t="s">
        <v>22</v>
      </c>
      <c r="K1310" s="187"/>
      <c r="L1310" s="187"/>
      <c r="M1310" s="188">
        <f>IF($G1310="PAX",M359*'Insumos - OPEX'!I$51,M359*'Insumos - OPEX'!I$76)</f>
        <v>390.94702729322023</v>
      </c>
      <c r="N1310" s="211">
        <f>IF($G1310="PAX",N359*'Insumos - OPEX'!J$51,N359*'Insumos - OPEX'!J$76)</f>
        <v>394.5385814538468</v>
      </c>
      <c r="O1310" s="211">
        <f>IF($G1310="PAX",O359*'Insumos - OPEX'!K$51,O359*'Insumos - OPEX'!K$76)</f>
        <v>401.043881853936</v>
      </c>
      <c r="P1310" s="211">
        <f>IF($G1310="PAX",P359*'Insumos - OPEX'!L$51,P359*'Insumos - OPEX'!L$76)</f>
        <v>406.94100767637457</v>
      </c>
      <c r="Q1310" s="211">
        <f>IF($G1310="PAX",Q359*'Insumos - OPEX'!M$51,Q359*'Insumos - OPEX'!M$76)</f>
        <v>414.20693757990927</v>
      </c>
      <c r="R1310" s="211">
        <f>IF($G1310="PAX",R359*'Insumos - OPEX'!N$51,R359*'Insumos - OPEX'!N$76)</f>
        <v>421.29032781896001</v>
      </c>
      <c r="S1310" s="111"/>
    </row>
    <row r="1311" spans="1:19" x14ac:dyDescent="0.2">
      <c r="A1311" s="8"/>
      <c r="B1311" s="8" t="s">
        <v>435</v>
      </c>
      <c r="C1311" s="8" t="s">
        <v>171</v>
      </c>
      <c r="D1311" s="8">
        <v>6382000002</v>
      </c>
      <c r="E1311" s="8" t="s">
        <v>351</v>
      </c>
      <c r="F1311" s="73" t="s">
        <v>23</v>
      </c>
      <c r="G1311" s="73" t="s">
        <v>136</v>
      </c>
      <c r="H1311" s="112" t="s">
        <v>61</v>
      </c>
      <c r="I1311" s="13" t="s">
        <v>22</v>
      </c>
      <c r="K1311" s="187"/>
      <c r="L1311" s="187"/>
      <c r="M1311" s="188">
        <f>IF($G1311="PAX",M360*'Insumos - OPEX'!I$51,M360*'Insumos - OPEX'!I$76)</f>
        <v>534.87090261216281</v>
      </c>
      <c r="N1311" s="211">
        <f>IF($G1311="PAX",N360*'Insumos - OPEX'!J$51,N360*'Insumos - OPEX'!J$76)</f>
        <v>522.50254731507812</v>
      </c>
      <c r="O1311" s="211">
        <f>IF($G1311="PAX",O360*'Insumos - OPEX'!K$51,O360*'Insumos - OPEX'!K$76)</f>
        <v>520.62190815838483</v>
      </c>
      <c r="P1311" s="211">
        <f>IF($G1311="PAX",P360*'Insumos - OPEX'!L$51,P360*'Insumos - OPEX'!L$76)</f>
        <v>517.39848888617871</v>
      </c>
      <c r="Q1311" s="211">
        <f>IF($G1311="PAX",Q360*'Insumos - OPEX'!M$51,Q360*'Insumos - OPEX'!M$76)</f>
        <v>520.54014667022773</v>
      </c>
      <c r="R1311" s="211">
        <f>IF($G1311="PAX",R360*'Insumos - OPEX'!N$51,R360*'Insumos - OPEX'!N$76)</f>
        <v>521.80994899532288</v>
      </c>
      <c r="S1311" s="111"/>
    </row>
    <row r="1312" spans="1:19" x14ac:dyDescent="0.2">
      <c r="A1312" s="8"/>
      <c r="B1312" s="8" t="s">
        <v>435</v>
      </c>
      <c r="C1312" s="8" t="s">
        <v>171</v>
      </c>
      <c r="D1312" s="8">
        <v>6370000003</v>
      </c>
      <c r="E1312" s="8" t="s">
        <v>339</v>
      </c>
      <c r="F1312" s="73" t="s">
        <v>23</v>
      </c>
      <c r="G1312" s="73" t="s">
        <v>136</v>
      </c>
      <c r="H1312" s="112" t="s">
        <v>61</v>
      </c>
      <c r="I1312" s="13" t="s">
        <v>22</v>
      </c>
      <c r="K1312" s="187"/>
      <c r="L1312" s="187"/>
      <c r="M1312" s="188">
        <f>IF($G1312="PAX",M361*'Insumos - OPEX'!I$51,M361*'Insumos - OPEX'!I$76)</f>
        <v>426.91535490263061</v>
      </c>
      <c r="N1312" s="211">
        <f>IF($G1312="PAX",N361*'Insumos - OPEX'!J$51,N361*'Insumos - OPEX'!J$76)</f>
        <v>417.04336380079735</v>
      </c>
      <c r="O1312" s="211">
        <f>IF($G1312="PAX",O361*'Insumos - OPEX'!K$51,O361*'Insumos - OPEX'!K$76)</f>
        <v>415.54230302313596</v>
      </c>
      <c r="P1312" s="211">
        <f>IF($G1312="PAX",P361*'Insumos - OPEX'!L$51,P361*'Insumos - OPEX'!L$76)</f>
        <v>412.96948185101161</v>
      </c>
      <c r="Q1312" s="211">
        <f>IF($G1312="PAX",Q361*'Insumos - OPEX'!M$51,Q361*'Insumos - OPEX'!M$76)</f>
        <v>415.47704384645704</v>
      </c>
      <c r="R1312" s="211">
        <f>IF($G1312="PAX",R361*'Insumos - OPEX'!N$51,R361*'Insumos - OPEX'!N$76)</f>
        <v>416.49055590633304</v>
      </c>
      <c r="S1312" s="111"/>
    </row>
    <row r="1313" spans="1:19" x14ac:dyDescent="0.2">
      <c r="A1313" s="8"/>
      <c r="B1313" s="8" t="s">
        <v>435</v>
      </c>
      <c r="C1313" s="8" t="s">
        <v>171</v>
      </c>
      <c r="D1313" s="8">
        <v>6380000012</v>
      </c>
      <c r="E1313" s="8" t="s">
        <v>345</v>
      </c>
      <c r="F1313" s="73" t="s">
        <v>23</v>
      </c>
      <c r="G1313" s="73" t="s">
        <v>136</v>
      </c>
      <c r="H1313" s="112" t="s">
        <v>61</v>
      </c>
      <c r="I1313" s="13" t="s">
        <v>22</v>
      </c>
      <c r="K1313" s="187"/>
      <c r="L1313" s="187"/>
      <c r="M1313" s="188">
        <f>IF($G1313="PAX",M362*'Insumos - OPEX'!I$51,M362*'Insumos - OPEX'!I$76)</f>
        <v>161.51012759337587</v>
      </c>
      <c r="N1313" s="211">
        <f>IF($G1313="PAX",N362*'Insumos - OPEX'!J$51,N362*'Insumos - OPEX'!J$76)</f>
        <v>157.77536723831344</v>
      </c>
      <c r="O1313" s="211">
        <f>IF($G1313="PAX",O362*'Insumos - OPEX'!K$51,O362*'Insumos - OPEX'!K$76)</f>
        <v>157.20748764592724</v>
      </c>
      <c r="P1313" s="211">
        <f>IF($G1313="PAX",P362*'Insumos - OPEX'!L$51,P362*'Insumos - OPEX'!L$76)</f>
        <v>156.23414088991865</v>
      </c>
      <c r="Q1313" s="211">
        <f>IF($G1313="PAX",Q362*'Insumos - OPEX'!M$51,Q362*'Insumos - OPEX'!M$76)</f>
        <v>157.18279886902801</v>
      </c>
      <c r="R1313" s="211">
        <f>IF($G1313="PAX",R362*'Insumos - OPEX'!N$51,R362*'Insumos - OPEX'!N$76)</f>
        <v>157.56622958949328</v>
      </c>
      <c r="S1313" s="111"/>
    </row>
    <row r="1314" spans="1:19" x14ac:dyDescent="0.2">
      <c r="A1314" s="8"/>
      <c r="B1314" s="8" t="s">
        <v>435</v>
      </c>
      <c r="C1314" s="8" t="s">
        <v>171</v>
      </c>
      <c r="D1314" s="8">
        <v>6360000003</v>
      </c>
      <c r="E1314" s="8" t="s">
        <v>322</v>
      </c>
      <c r="F1314" s="73" t="s">
        <v>23</v>
      </c>
      <c r="G1314" s="73" t="s">
        <v>471</v>
      </c>
      <c r="H1314" s="112" t="s">
        <v>61</v>
      </c>
      <c r="I1314" s="13" t="s">
        <v>22</v>
      </c>
      <c r="K1314" s="187"/>
      <c r="L1314" s="187"/>
      <c r="M1314" s="188">
        <f>IF($G1314="PAX",M363*'Insumos - OPEX'!I$51,M363*'Insumos - OPEX'!I$76)</f>
        <v>47.241540328891269</v>
      </c>
      <c r="N1314" s="211">
        <f>IF($G1314="PAX",N363*'Insumos - OPEX'!J$51,N363*'Insumos - OPEX'!J$76)</f>
        <v>47.675539154505515</v>
      </c>
      <c r="O1314" s="211">
        <f>IF($G1314="PAX",O363*'Insumos - OPEX'!K$51,O363*'Insumos - OPEX'!K$76)</f>
        <v>48.461631360731367</v>
      </c>
      <c r="P1314" s="211">
        <f>IF($G1314="PAX",P363*'Insumos - OPEX'!L$51,P363*'Insumos - OPEX'!L$76)</f>
        <v>49.174232526403685</v>
      </c>
      <c r="Q1314" s="211">
        <f>IF($G1314="PAX",Q363*'Insumos - OPEX'!M$51,Q363*'Insumos - OPEX'!M$76)</f>
        <v>50.052238232039315</v>
      </c>
      <c r="R1314" s="211">
        <f>IF($G1314="PAX",R363*'Insumos - OPEX'!N$51,R363*'Insumos - OPEX'!N$76)</f>
        <v>50.908186077352923</v>
      </c>
      <c r="S1314" s="111"/>
    </row>
    <row r="1315" spans="1:19" x14ac:dyDescent="0.2">
      <c r="A1315" s="8"/>
      <c r="B1315" s="8" t="s">
        <v>435</v>
      </c>
      <c r="C1315" s="8" t="s">
        <v>171</v>
      </c>
      <c r="D1315" s="8">
        <v>6380000010</v>
      </c>
      <c r="E1315" s="8" t="s">
        <v>332</v>
      </c>
      <c r="F1315" s="73" t="s">
        <v>23</v>
      </c>
      <c r="G1315" s="73" t="s">
        <v>136</v>
      </c>
      <c r="H1315" s="112" t="s">
        <v>61</v>
      </c>
      <c r="I1315" s="13" t="s">
        <v>22</v>
      </c>
      <c r="K1315" s="187"/>
      <c r="L1315" s="187"/>
      <c r="M1315" s="188">
        <f>IF($G1315="PAX",M364*'Insumos - OPEX'!I$51,M364*'Insumos - OPEX'!I$76)</f>
        <v>83.328359599598201</v>
      </c>
      <c r="N1315" s="211">
        <f>IF($G1315="PAX",N364*'Insumos - OPEX'!J$51,N364*'Insumos - OPEX'!J$76)</f>
        <v>81.401474527298063</v>
      </c>
      <c r="O1315" s="211">
        <f>IF($G1315="PAX",O364*'Insumos - OPEX'!K$51,O364*'Insumos - OPEX'!K$76)</f>
        <v>81.108486863993349</v>
      </c>
      <c r="P1315" s="211">
        <f>IF($G1315="PAX",P364*'Insumos - OPEX'!L$51,P364*'Insumos - OPEX'!L$76)</f>
        <v>80.606305423681533</v>
      </c>
      <c r="Q1315" s="211">
        <f>IF($G1315="PAX",Q364*'Insumos - OPEX'!M$51,Q364*'Insumos - OPEX'!M$76)</f>
        <v>81.095749116149378</v>
      </c>
      <c r="R1315" s="211">
        <f>IF($G1315="PAX",R364*'Insumos - OPEX'!N$51,R364*'Insumos - OPEX'!N$76)</f>
        <v>81.293573571077062</v>
      </c>
      <c r="S1315" s="111"/>
    </row>
    <row r="1316" spans="1:19" x14ac:dyDescent="0.2">
      <c r="A1316" s="8"/>
      <c r="B1316" s="8" t="s">
        <v>435</v>
      </c>
      <c r="C1316" s="8" t="s">
        <v>171</v>
      </c>
      <c r="D1316" s="8">
        <v>6357000001</v>
      </c>
      <c r="E1316" s="8" t="s">
        <v>334</v>
      </c>
      <c r="F1316" s="73" t="s">
        <v>23</v>
      </c>
      <c r="G1316" s="73" t="s">
        <v>136</v>
      </c>
      <c r="H1316" s="112" t="s">
        <v>61</v>
      </c>
      <c r="I1316" s="13" t="s">
        <v>22</v>
      </c>
      <c r="K1316" s="187"/>
      <c r="L1316" s="187"/>
      <c r="M1316" s="188">
        <f>IF($G1316="PAX",M365*'Insumos - OPEX'!I$51,M365*'Insumos - OPEX'!I$76)</f>
        <v>71.401648460645006</v>
      </c>
      <c r="N1316" s="211">
        <f>IF($G1316="PAX",N365*'Insumos - OPEX'!J$51,N365*'Insumos - OPEX'!J$76)</f>
        <v>69.750556668876399</v>
      </c>
      <c r="O1316" s="211">
        <f>IF($G1316="PAX",O365*'Insumos - OPEX'!K$51,O365*'Insumos - OPEX'!K$76)</f>
        <v>69.499504059187331</v>
      </c>
      <c r="P1316" s="211">
        <f>IF($G1316="PAX",P365*'Insumos - OPEX'!L$51,P365*'Insumos - OPEX'!L$76)</f>
        <v>69.069199384561557</v>
      </c>
      <c r="Q1316" s="211">
        <f>IF($G1316="PAX",Q365*'Insumos - OPEX'!M$51,Q365*'Insumos - OPEX'!M$76)</f>
        <v>69.488589453426385</v>
      </c>
      <c r="R1316" s="211">
        <f>IF($G1316="PAX",R365*'Insumos - OPEX'!N$51,R365*'Insumos - OPEX'!N$76)</f>
        <v>69.658099476851035</v>
      </c>
      <c r="S1316" s="111"/>
    </row>
    <row r="1317" spans="1:19" x14ac:dyDescent="0.2">
      <c r="A1317" s="8"/>
      <c r="B1317" s="8" t="s">
        <v>435</v>
      </c>
      <c r="C1317" s="8" t="s">
        <v>171</v>
      </c>
      <c r="D1317" s="8">
        <v>6311300001</v>
      </c>
      <c r="E1317" s="8" t="s">
        <v>352</v>
      </c>
      <c r="F1317" s="73" t="s">
        <v>23</v>
      </c>
      <c r="G1317" s="73" t="s">
        <v>136</v>
      </c>
      <c r="H1317" s="112" t="s">
        <v>61</v>
      </c>
      <c r="I1317" s="13" t="s">
        <v>22</v>
      </c>
      <c r="K1317" s="187"/>
      <c r="L1317" s="187"/>
      <c r="M1317" s="188">
        <f>IF($G1317="PAX",M366*'Insumos - OPEX'!I$51,M366*'Insumos - OPEX'!I$76)</f>
        <v>18.629783171164764</v>
      </c>
      <c r="N1317" s="211">
        <f>IF($G1317="PAX",N366*'Insumos - OPEX'!J$51,N366*'Insumos - OPEX'!J$76)</f>
        <v>18.19898804612934</v>
      </c>
      <c r="O1317" s="211">
        <f>IF($G1317="PAX",O366*'Insumos - OPEX'!K$51,O366*'Insumos - OPEX'!K$76)</f>
        <v>18.133484576897249</v>
      </c>
      <c r="P1317" s="211">
        <f>IF($G1317="PAX",P366*'Insumos - OPEX'!L$51,P366*'Insumos - OPEX'!L$76)</f>
        <v>18.021211499753441</v>
      </c>
      <c r="Q1317" s="211">
        <f>IF($G1317="PAX",Q366*'Insumos - OPEX'!M$51,Q366*'Insumos - OPEX'!M$76)</f>
        <v>18.130636789162526</v>
      </c>
      <c r="R1317" s="211">
        <f>IF($G1317="PAX",R366*'Insumos - OPEX'!N$51,R366*'Insumos - OPEX'!N$76)</f>
        <v>18.174864549302839</v>
      </c>
      <c r="S1317" s="111"/>
    </row>
    <row r="1318" spans="1:19" x14ac:dyDescent="0.2">
      <c r="A1318" s="8"/>
      <c r="B1318" s="8" t="s">
        <v>435</v>
      </c>
      <c r="C1318" s="8" t="s">
        <v>171</v>
      </c>
      <c r="D1318" s="8">
        <v>6380000022</v>
      </c>
      <c r="E1318" s="8" t="s">
        <v>328</v>
      </c>
      <c r="F1318" s="73" t="s">
        <v>23</v>
      </c>
      <c r="G1318" s="73" t="s">
        <v>136</v>
      </c>
      <c r="H1318" s="112" t="s">
        <v>61</v>
      </c>
      <c r="I1318" s="13" t="s">
        <v>22</v>
      </c>
      <c r="K1318" s="187"/>
      <c r="L1318" s="187"/>
      <c r="M1318" s="188">
        <f>IF($G1318="PAX",M367*'Insumos - OPEX'!I$51,M367*'Insumos - OPEX'!I$76)</f>
        <v>10.596934491512695</v>
      </c>
      <c r="N1318" s="211">
        <f>IF($G1318="PAX",N367*'Insumos - OPEX'!J$51,N367*'Insumos - OPEX'!J$76)</f>
        <v>10.351890967531734</v>
      </c>
      <c r="O1318" s="211">
        <f>IF($G1318="PAX",O367*'Insumos - OPEX'!K$51,O367*'Insumos - OPEX'!K$76)</f>
        <v>10.314631490808802</v>
      </c>
      <c r="P1318" s="211">
        <f>IF($G1318="PAX",P367*'Insumos - OPEX'!L$51,P367*'Insumos - OPEX'!L$76)</f>
        <v>10.250768673258946</v>
      </c>
      <c r="Q1318" s="211">
        <f>IF($G1318="PAX",Q367*'Insumos - OPEX'!M$51,Q367*'Insumos - OPEX'!M$76)</f>
        <v>10.313011621173533</v>
      </c>
      <c r="R1318" s="211">
        <f>IF($G1318="PAX",R367*'Insumos - OPEX'!N$51,R367*'Insumos - OPEX'!N$76)</f>
        <v>10.338169116169968</v>
      </c>
      <c r="S1318" s="111"/>
    </row>
    <row r="1319" spans="1:19" x14ac:dyDescent="0.2">
      <c r="A1319" s="8"/>
      <c r="B1319" s="8" t="s">
        <v>435</v>
      </c>
      <c r="C1319" s="8" t="s">
        <v>171</v>
      </c>
      <c r="D1319" s="8">
        <v>6311300002</v>
      </c>
      <c r="E1319" s="8" t="s">
        <v>347</v>
      </c>
      <c r="F1319" s="73" t="s">
        <v>23</v>
      </c>
      <c r="G1319" s="73" t="s">
        <v>136</v>
      </c>
      <c r="H1319" s="112" t="s">
        <v>61</v>
      </c>
      <c r="I1319" s="13" t="s">
        <v>22</v>
      </c>
      <c r="K1319" s="187"/>
      <c r="L1319" s="187"/>
      <c r="M1319" s="188">
        <f>IF($G1319="PAX",M368*'Insumos - OPEX'!I$51,M368*'Insumos - OPEX'!I$76)</f>
        <v>10.20496040646341</v>
      </c>
      <c r="N1319" s="211">
        <f>IF($G1319="PAX",N368*'Insumos - OPEX'!J$51,N368*'Insumos - OPEX'!J$76)</f>
        <v>9.9689808916245859</v>
      </c>
      <c r="O1319" s="211">
        <f>IF($G1319="PAX",O368*'Insumos - OPEX'!K$51,O368*'Insumos - OPEX'!K$76)</f>
        <v>9.9330996200146124</v>
      </c>
      <c r="P1319" s="211">
        <f>IF($G1319="PAX",P368*'Insumos - OPEX'!L$51,P368*'Insumos - OPEX'!L$76)</f>
        <v>9.871599048782107</v>
      </c>
      <c r="Q1319" s="211">
        <f>IF($G1319="PAX",Q368*'Insumos - OPEX'!M$51,Q368*'Insumos - OPEX'!M$76)</f>
        <v>9.9315396683602177</v>
      </c>
      <c r="R1319" s="211">
        <f>IF($G1319="PAX",R368*'Insumos - OPEX'!N$51,R368*'Insumos - OPEX'!N$76)</f>
        <v>9.955766603099697</v>
      </c>
      <c r="S1319" s="111"/>
    </row>
    <row r="1320" spans="1:19" x14ac:dyDescent="0.2">
      <c r="A1320" s="8"/>
      <c r="B1320" s="8" t="s">
        <v>435</v>
      </c>
      <c r="C1320" s="8" t="s">
        <v>171</v>
      </c>
      <c r="D1320" s="8">
        <v>6380000015</v>
      </c>
      <c r="E1320" s="8" t="s">
        <v>327</v>
      </c>
      <c r="F1320" s="73" t="s">
        <v>23</v>
      </c>
      <c r="G1320" s="73" t="s">
        <v>136</v>
      </c>
      <c r="H1320" s="112" t="s">
        <v>61</v>
      </c>
      <c r="I1320" s="13" t="s">
        <v>22</v>
      </c>
      <c r="K1320" s="187"/>
      <c r="L1320" s="187"/>
      <c r="M1320" s="188">
        <f>IF($G1320="PAX",M369*'Insumos - OPEX'!I$51,M369*'Insumos - OPEX'!I$76)</f>
        <v>0</v>
      </c>
      <c r="N1320" s="211">
        <f>IF($G1320="PAX",N369*'Insumos - OPEX'!J$51,N369*'Insumos - OPEX'!J$76)</f>
        <v>0</v>
      </c>
      <c r="O1320" s="211">
        <f>IF($G1320="PAX",O369*'Insumos - OPEX'!K$51,O369*'Insumos - OPEX'!K$76)</f>
        <v>0</v>
      </c>
      <c r="P1320" s="211">
        <f>IF($G1320="PAX",P369*'Insumos - OPEX'!L$51,P369*'Insumos - OPEX'!L$76)</f>
        <v>0</v>
      </c>
      <c r="Q1320" s="211">
        <f>IF($G1320="PAX",Q369*'Insumos - OPEX'!M$51,Q369*'Insumos - OPEX'!M$76)</f>
        <v>0</v>
      </c>
      <c r="R1320" s="211">
        <f>IF($G1320="PAX",R369*'Insumos - OPEX'!N$51,R369*'Insumos - OPEX'!N$76)</f>
        <v>0</v>
      </c>
      <c r="S1320" s="111"/>
    </row>
    <row r="1321" spans="1:19" x14ac:dyDescent="0.2">
      <c r="A1321" s="8"/>
      <c r="B1321" s="8" t="s">
        <v>435</v>
      </c>
      <c r="C1321" s="8" t="s">
        <v>171</v>
      </c>
      <c r="D1321" s="8">
        <v>6320000003</v>
      </c>
      <c r="E1321" s="8" t="s">
        <v>325</v>
      </c>
      <c r="F1321" s="73" t="s">
        <v>23</v>
      </c>
      <c r="G1321" s="73" t="s">
        <v>136</v>
      </c>
      <c r="H1321" s="112" t="s">
        <v>61</v>
      </c>
      <c r="I1321" s="13" t="s">
        <v>22</v>
      </c>
      <c r="K1321" s="187"/>
      <c r="L1321" s="187"/>
      <c r="M1321" s="188">
        <f>IF($G1321="PAX",M370*'Insumos - OPEX'!I$51,M370*'Insumos - OPEX'!I$76)</f>
        <v>0</v>
      </c>
      <c r="N1321" s="211">
        <f>IF($G1321="PAX",N370*'Insumos - OPEX'!J$51,N370*'Insumos - OPEX'!J$76)</f>
        <v>0</v>
      </c>
      <c r="O1321" s="211">
        <f>IF($G1321="PAX",O370*'Insumos - OPEX'!K$51,O370*'Insumos - OPEX'!K$76)</f>
        <v>0</v>
      </c>
      <c r="P1321" s="211">
        <f>IF($G1321="PAX",P370*'Insumos - OPEX'!L$51,P370*'Insumos - OPEX'!L$76)</f>
        <v>0</v>
      </c>
      <c r="Q1321" s="211">
        <f>IF($G1321="PAX",Q370*'Insumos - OPEX'!M$51,Q370*'Insumos - OPEX'!M$76)</f>
        <v>0</v>
      </c>
      <c r="R1321" s="211">
        <f>IF($G1321="PAX",R370*'Insumos - OPEX'!N$51,R370*'Insumos - OPEX'!N$76)</f>
        <v>0</v>
      </c>
      <c r="S1321" s="111"/>
    </row>
    <row r="1322" spans="1:19" x14ac:dyDescent="0.2">
      <c r="A1322" s="8"/>
      <c r="B1322" s="8" t="s">
        <v>435</v>
      </c>
      <c r="C1322" s="8" t="s">
        <v>171</v>
      </c>
      <c r="D1322" s="8">
        <v>6356000002</v>
      </c>
      <c r="E1322" s="8" t="s">
        <v>337</v>
      </c>
      <c r="F1322" s="73" t="s">
        <v>23</v>
      </c>
      <c r="G1322" s="73" t="s">
        <v>136</v>
      </c>
      <c r="H1322" s="112" t="s">
        <v>61</v>
      </c>
      <c r="I1322" s="13" t="s">
        <v>22</v>
      </c>
      <c r="K1322" s="187"/>
      <c r="L1322" s="187"/>
      <c r="M1322" s="188">
        <f>IF($G1322="PAX",M371*'Insumos - OPEX'!I$51,M371*'Insumos - OPEX'!I$76)</f>
        <v>0</v>
      </c>
      <c r="N1322" s="211">
        <f>IF($G1322="PAX",N371*'Insumos - OPEX'!J$51,N371*'Insumos - OPEX'!J$76)</f>
        <v>0</v>
      </c>
      <c r="O1322" s="211">
        <f>IF($G1322="PAX",O371*'Insumos - OPEX'!K$51,O371*'Insumos - OPEX'!K$76)</f>
        <v>0</v>
      </c>
      <c r="P1322" s="211">
        <f>IF($G1322="PAX",P371*'Insumos - OPEX'!L$51,P371*'Insumos - OPEX'!L$76)</f>
        <v>0</v>
      </c>
      <c r="Q1322" s="211">
        <f>IF($G1322="PAX",Q371*'Insumos - OPEX'!M$51,Q371*'Insumos - OPEX'!M$76)</f>
        <v>0</v>
      </c>
      <c r="R1322" s="211">
        <f>IF($G1322="PAX",R371*'Insumos - OPEX'!N$51,R371*'Insumos - OPEX'!N$76)</f>
        <v>0</v>
      </c>
      <c r="S1322" s="111"/>
    </row>
    <row r="1323" spans="1:19" x14ac:dyDescent="0.2">
      <c r="A1323" s="8"/>
      <c r="B1323" s="8" t="s">
        <v>435</v>
      </c>
      <c r="C1323" s="8" t="s">
        <v>171</v>
      </c>
      <c r="D1323" s="8">
        <v>6380000002</v>
      </c>
      <c r="E1323" s="8" t="s">
        <v>333</v>
      </c>
      <c r="F1323" s="73" t="s">
        <v>23</v>
      </c>
      <c r="G1323" s="73" t="s">
        <v>136</v>
      </c>
      <c r="H1323" s="112" t="s">
        <v>61</v>
      </c>
      <c r="I1323" s="13" t="s">
        <v>22</v>
      </c>
      <c r="K1323" s="187"/>
      <c r="L1323" s="187"/>
      <c r="M1323" s="188">
        <f>IF($G1323="PAX",M372*'Insumos - OPEX'!I$51,M372*'Insumos - OPEX'!I$76)</f>
        <v>0</v>
      </c>
      <c r="N1323" s="211">
        <f>IF($G1323="PAX",N372*'Insumos - OPEX'!J$51,N372*'Insumos - OPEX'!J$76)</f>
        <v>0</v>
      </c>
      <c r="O1323" s="211">
        <f>IF($G1323="PAX",O372*'Insumos - OPEX'!K$51,O372*'Insumos - OPEX'!K$76)</f>
        <v>0</v>
      </c>
      <c r="P1323" s="211">
        <f>IF($G1323="PAX",P372*'Insumos - OPEX'!L$51,P372*'Insumos - OPEX'!L$76)</f>
        <v>0</v>
      </c>
      <c r="Q1323" s="211">
        <f>IF($G1323="PAX",Q372*'Insumos - OPEX'!M$51,Q372*'Insumos - OPEX'!M$76)</f>
        <v>0</v>
      </c>
      <c r="R1323" s="211">
        <f>IF($G1323="PAX",R372*'Insumos - OPEX'!N$51,R372*'Insumos - OPEX'!N$76)</f>
        <v>0</v>
      </c>
      <c r="S1323" s="111"/>
    </row>
    <row r="1324" spans="1:19" x14ac:dyDescent="0.2">
      <c r="A1324" s="8"/>
      <c r="B1324" s="8" t="s">
        <v>435</v>
      </c>
      <c r="C1324" s="8" t="s">
        <v>171</v>
      </c>
      <c r="D1324" s="8">
        <v>6358000001</v>
      </c>
      <c r="E1324" s="8" t="s">
        <v>335</v>
      </c>
      <c r="F1324" s="73" t="s">
        <v>23</v>
      </c>
      <c r="G1324" s="73" t="s">
        <v>136</v>
      </c>
      <c r="H1324" s="112" t="s">
        <v>61</v>
      </c>
      <c r="I1324" s="13" t="s">
        <v>22</v>
      </c>
      <c r="K1324" s="187"/>
      <c r="L1324" s="187"/>
      <c r="M1324" s="188">
        <f>IF($G1324="PAX",M373*'Insumos - OPEX'!I$51,M373*'Insumos - OPEX'!I$76)</f>
        <v>0</v>
      </c>
      <c r="N1324" s="211">
        <f>IF($G1324="PAX",N373*'Insumos - OPEX'!J$51,N373*'Insumos - OPEX'!J$76)</f>
        <v>0</v>
      </c>
      <c r="O1324" s="211">
        <f>IF($G1324="PAX",O373*'Insumos - OPEX'!K$51,O373*'Insumos - OPEX'!K$76)</f>
        <v>0</v>
      </c>
      <c r="P1324" s="211">
        <f>IF($G1324="PAX",P373*'Insumos - OPEX'!L$51,P373*'Insumos - OPEX'!L$76)</f>
        <v>0</v>
      </c>
      <c r="Q1324" s="211">
        <f>IF($G1324="PAX",Q373*'Insumos - OPEX'!M$51,Q373*'Insumos - OPEX'!M$76)</f>
        <v>0</v>
      </c>
      <c r="R1324" s="211">
        <f>IF($G1324="PAX",R373*'Insumos - OPEX'!N$51,R373*'Insumos - OPEX'!N$76)</f>
        <v>0</v>
      </c>
      <c r="S1324" s="111"/>
    </row>
    <row r="1325" spans="1:19" x14ac:dyDescent="0.2">
      <c r="A1325" s="8"/>
      <c r="B1325" s="8" t="s">
        <v>435</v>
      </c>
      <c r="C1325" s="8" t="s">
        <v>171</v>
      </c>
      <c r="D1325" s="8">
        <v>6320000006</v>
      </c>
      <c r="E1325" s="8" t="s">
        <v>344</v>
      </c>
      <c r="F1325" s="73" t="s">
        <v>23</v>
      </c>
      <c r="G1325" s="73" t="s">
        <v>136</v>
      </c>
      <c r="H1325" s="112" t="s">
        <v>61</v>
      </c>
      <c r="I1325" s="13" t="s">
        <v>22</v>
      </c>
      <c r="K1325" s="187"/>
      <c r="L1325" s="187"/>
      <c r="M1325" s="188">
        <f>IF($G1325="PAX",M374*'Insumos - OPEX'!I$51,M374*'Insumos - OPEX'!I$76)</f>
        <v>0</v>
      </c>
      <c r="N1325" s="211">
        <f>IF($G1325="PAX",N374*'Insumos - OPEX'!J$51,N374*'Insumos - OPEX'!J$76)</f>
        <v>0</v>
      </c>
      <c r="O1325" s="211">
        <f>IF($G1325="PAX",O374*'Insumos - OPEX'!K$51,O374*'Insumos - OPEX'!K$76)</f>
        <v>0</v>
      </c>
      <c r="P1325" s="211">
        <f>IF($G1325="PAX",P374*'Insumos - OPEX'!L$51,P374*'Insumos - OPEX'!L$76)</f>
        <v>0</v>
      </c>
      <c r="Q1325" s="211">
        <f>IF($G1325="PAX",Q374*'Insumos - OPEX'!M$51,Q374*'Insumos - OPEX'!M$76)</f>
        <v>0</v>
      </c>
      <c r="R1325" s="211">
        <f>IF($G1325="PAX",R374*'Insumos - OPEX'!N$51,R374*'Insumos - OPEX'!N$76)</f>
        <v>0</v>
      </c>
      <c r="S1325" s="111"/>
    </row>
    <row r="1326" spans="1:19" x14ac:dyDescent="0.2">
      <c r="A1326" s="8"/>
      <c r="B1326" s="8" t="s">
        <v>435</v>
      </c>
      <c r="C1326" s="8" t="s">
        <v>171</v>
      </c>
      <c r="D1326" s="8">
        <v>6320000005</v>
      </c>
      <c r="E1326" s="8" t="s">
        <v>342</v>
      </c>
      <c r="F1326" s="73" t="s">
        <v>23</v>
      </c>
      <c r="G1326" s="73" t="s">
        <v>136</v>
      </c>
      <c r="H1326" s="112" t="s">
        <v>61</v>
      </c>
      <c r="I1326" s="13" t="s">
        <v>22</v>
      </c>
      <c r="K1326" s="187"/>
      <c r="L1326" s="187"/>
      <c r="M1326" s="188">
        <f>IF($G1326="PAX",M375*'Insumos - OPEX'!I$51,M375*'Insumos - OPEX'!I$76)</f>
        <v>0</v>
      </c>
      <c r="N1326" s="211">
        <f>IF($G1326="PAX",N375*'Insumos - OPEX'!J$51,N375*'Insumos - OPEX'!J$76)</f>
        <v>0</v>
      </c>
      <c r="O1326" s="211">
        <f>IF($G1326="PAX",O375*'Insumos - OPEX'!K$51,O375*'Insumos - OPEX'!K$76)</f>
        <v>0</v>
      </c>
      <c r="P1326" s="211">
        <f>IF($G1326="PAX",P375*'Insumos - OPEX'!L$51,P375*'Insumos - OPEX'!L$76)</f>
        <v>0</v>
      </c>
      <c r="Q1326" s="211">
        <f>IF($G1326="PAX",Q375*'Insumos - OPEX'!M$51,Q375*'Insumos - OPEX'!M$76)</f>
        <v>0</v>
      </c>
      <c r="R1326" s="211">
        <f>IF($G1326="PAX",R375*'Insumos - OPEX'!N$51,R375*'Insumos - OPEX'!N$76)</f>
        <v>0</v>
      </c>
      <c r="S1326" s="111"/>
    </row>
    <row r="1327" spans="1:19" x14ac:dyDescent="0.2">
      <c r="A1327" s="8"/>
      <c r="B1327" s="8" t="s">
        <v>435</v>
      </c>
      <c r="C1327" s="8" t="s">
        <v>171</v>
      </c>
      <c r="D1327" s="8">
        <v>6370000002</v>
      </c>
      <c r="E1327" s="8" t="s">
        <v>338</v>
      </c>
      <c r="F1327" s="73" t="s">
        <v>23</v>
      </c>
      <c r="G1327" s="73" t="s">
        <v>136</v>
      </c>
      <c r="H1327" s="112" t="s">
        <v>61</v>
      </c>
      <c r="I1327" s="13" t="s">
        <v>22</v>
      </c>
      <c r="K1327" s="187"/>
      <c r="L1327" s="187"/>
      <c r="M1327" s="188">
        <f>IF($G1327="PAX",M376*'Insumos - OPEX'!I$51,M376*'Insumos - OPEX'!I$76)</f>
        <v>0</v>
      </c>
      <c r="N1327" s="211">
        <f>IF($G1327="PAX",N376*'Insumos - OPEX'!J$51,N376*'Insumos - OPEX'!J$76)</f>
        <v>0</v>
      </c>
      <c r="O1327" s="211">
        <f>IF($G1327="PAX",O376*'Insumos - OPEX'!K$51,O376*'Insumos - OPEX'!K$76)</f>
        <v>0</v>
      </c>
      <c r="P1327" s="211">
        <f>IF($G1327="PAX",P376*'Insumos - OPEX'!L$51,P376*'Insumos - OPEX'!L$76)</f>
        <v>0</v>
      </c>
      <c r="Q1327" s="211">
        <f>IF($G1327="PAX",Q376*'Insumos - OPEX'!M$51,Q376*'Insumos - OPEX'!M$76)</f>
        <v>0</v>
      </c>
      <c r="R1327" s="211">
        <f>IF($G1327="PAX",R376*'Insumos - OPEX'!N$51,R376*'Insumos - OPEX'!N$76)</f>
        <v>0</v>
      </c>
      <c r="S1327" s="111"/>
    </row>
    <row r="1328" spans="1:19" x14ac:dyDescent="0.2">
      <c r="A1328" s="8"/>
      <c r="B1328" s="8" t="s">
        <v>435</v>
      </c>
      <c r="C1328" s="8" t="s">
        <v>171</v>
      </c>
      <c r="D1328" s="8">
        <v>6380000009</v>
      </c>
      <c r="E1328" s="8" t="s">
        <v>321</v>
      </c>
      <c r="F1328" s="73" t="s">
        <v>23</v>
      </c>
      <c r="G1328" s="73" t="s">
        <v>136</v>
      </c>
      <c r="H1328" s="112" t="s">
        <v>61</v>
      </c>
      <c r="I1328" s="13" t="s">
        <v>22</v>
      </c>
      <c r="K1328" s="187"/>
      <c r="L1328" s="187"/>
      <c r="M1328" s="188">
        <f>IF($G1328="PAX",M377*'Insumos - OPEX'!I$51,M377*'Insumos - OPEX'!I$76)</f>
        <v>0</v>
      </c>
      <c r="N1328" s="211">
        <f>IF($G1328="PAX",N377*'Insumos - OPEX'!J$51,N377*'Insumos - OPEX'!J$76)</f>
        <v>0</v>
      </c>
      <c r="O1328" s="211">
        <f>IF($G1328="PAX",O377*'Insumos - OPEX'!K$51,O377*'Insumos - OPEX'!K$76)</f>
        <v>0</v>
      </c>
      <c r="P1328" s="211">
        <f>IF($G1328="PAX",P377*'Insumos - OPEX'!L$51,P377*'Insumos - OPEX'!L$76)</f>
        <v>0</v>
      </c>
      <c r="Q1328" s="211">
        <f>IF($G1328="PAX",Q377*'Insumos - OPEX'!M$51,Q377*'Insumos - OPEX'!M$76)</f>
        <v>0</v>
      </c>
      <c r="R1328" s="211">
        <f>IF($G1328="PAX",R377*'Insumos - OPEX'!N$51,R377*'Insumos - OPEX'!N$76)</f>
        <v>0</v>
      </c>
      <c r="S1328" s="111"/>
    </row>
    <row r="1329" spans="1:19" x14ac:dyDescent="0.2">
      <c r="A1329" s="8"/>
      <c r="B1329" s="8" t="s">
        <v>435</v>
      </c>
      <c r="C1329" s="8" t="s">
        <v>171</v>
      </c>
      <c r="D1329" s="8">
        <v>6380000029</v>
      </c>
      <c r="E1329" s="8" t="s">
        <v>348</v>
      </c>
      <c r="F1329" s="73" t="s">
        <v>23</v>
      </c>
      <c r="G1329" s="73" t="s">
        <v>136</v>
      </c>
      <c r="H1329" s="112" t="s">
        <v>61</v>
      </c>
      <c r="I1329" s="13" t="s">
        <v>22</v>
      </c>
      <c r="K1329" s="187"/>
      <c r="L1329" s="187"/>
      <c r="M1329" s="188">
        <f>IF($G1329="PAX",M378*'Insumos - OPEX'!I$51,M378*'Insumos - OPEX'!I$76)</f>
        <v>0</v>
      </c>
      <c r="N1329" s="211">
        <f>IF($G1329="PAX",N378*'Insumos - OPEX'!J$51,N378*'Insumos - OPEX'!J$76)</f>
        <v>0</v>
      </c>
      <c r="O1329" s="211">
        <f>IF($G1329="PAX",O378*'Insumos - OPEX'!K$51,O378*'Insumos - OPEX'!K$76)</f>
        <v>0</v>
      </c>
      <c r="P1329" s="211">
        <f>IF($G1329="PAX",P378*'Insumos - OPEX'!L$51,P378*'Insumos - OPEX'!L$76)</f>
        <v>0</v>
      </c>
      <c r="Q1329" s="211">
        <f>IF($G1329="PAX",Q378*'Insumos - OPEX'!M$51,Q378*'Insumos - OPEX'!M$76)</f>
        <v>0</v>
      </c>
      <c r="R1329" s="211">
        <f>IF($G1329="PAX",R378*'Insumos - OPEX'!N$51,R378*'Insumos - OPEX'!N$76)</f>
        <v>0</v>
      </c>
      <c r="S1329" s="111"/>
    </row>
    <row r="1330" spans="1:19" x14ac:dyDescent="0.2">
      <c r="A1330" s="8"/>
      <c r="B1330" s="8" t="s">
        <v>435</v>
      </c>
      <c r="C1330" s="8" t="s">
        <v>171</v>
      </c>
      <c r="D1330" s="8">
        <v>6381000004</v>
      </c>
      <c r="E1330" s="8" t="s">
        <v>350</v>
      </c>
      <c r="F1330" s="73" t="s">
        <v>23</v>
      </c>
      <c r="G1330" s="73" t="s">
        <v>136</v>
      </c>
      <c r="H1330" s="112" t="s">
        <v>61</v>
      </c>
      <c r="I1330" s="13" t="s">
        <v>22</v>
      </c>
      <c r="K1330" s="187"/>
      <c r="L1330" s="187"/>
      <c r="M1330" s="188">
        <f>IF($G1330="PAX",M379*'Insumos - OPEX'!I$51,M379*'Insumos - OPEX'!I$76)</f>
        <v>0</v>
      </c>
      <c r="N1330" s="211">
        <f>IF($G1330="PAX",N379*'Insumos - OPEX'!J$51,N379*'Insumos - OPEX'!J$76)</f>
        <v>0</v>
      </c>
      <c r="O1330" s="211">
        <f>IF($G1330="PAX",O379*'Insumos - OPEX'!K$51,O379*'Insumos - OPEX'!K$76)</f>
        <v>0</v>
      </c>
      <c r="P1330" s="211">
        <f>IF($G1330="PAX",P379*'Insumos - OPEX'!L$51,P379*'Insumos - OPEX'!L$76)</f>
        <v>0</v>
      </c>
      <c r="Q1330" s="211">
        <f>IF($G1330="PAX",Q379*'Insumos - OPEX'!M$51,Q379*'Insumos - OPEX'!M$76)</f>
        <v>0</v>
      </c>
      <c r="R1330" s="211">
        <f>IF($G1330="PAX",R379*'Insumos - OPEX'!N$51,R379*'Insumos - OPEX'!N$76)</f>
        <v>0</v>
      </c>
      <c r="S1330" s="111"/>
    </row>
    <row r="1331" spans="1:19" x14ac:dyDescent="0.2">
      <c r="A1331" s="8"/>
      <c r="B1331" s="8" t="s">
        <v>435</v>
      </c>
      <c r="C1331" s="8" t="s">
        <v>171</v>
      </c>
      <c r="D1331" s="8">
        <v>6329000003</v>
      </c>
      <c r="E1331" s="8" t="s">
        <v>341</v>
      </c>
      <c r="F1331" s="73" t="s">
        <v>23</v>
      </c>
      <c r="G1331" s="73" t="s">
        <v>136</v>
      </c>
      <c r="H1331" s="112" t="s">
        <v>61</v>
      </c>
      <c r="I1331" s="13" t="s">
        <v>22</v>
      </c>
      <c r="K1331" s="187"/>
      <c r="L1331" s="187"/>
      <c r="M1331" s="188">
        <f>IF($G1331="PAX",M380*'Insumos - OPEX'!I$51,M380*'Insumos - OPEX'!I$76)</f>
        <v>0</v>
      </c>
      <c r="N1331" s="211">
        <f>IF($G1331="PAX",N380*'Insumos - OPEX'!J$51,N380*'Insumos - OPEX'!J$76)</f>
        <v>0</v>
      </c>
      <c r="O1331" s="211">
        <f>IF($G1331="PAX",O380*'Insumos - OPEX'!K$51,O380*'Insumos - OPEX'!K$76)</f>
        <v>0</v>
      </c>
      <c r="P1331" s="211">
        <f>IF($G1331="PAX",P380*'Insumos - OPEX'!L$51,P380*'Insumos - OPEX'!L$76)</f>
        <v>0</v>
      </c>
      <c r="Q1331" s="211">
        <f>IF($G1331="PAX",Q380*'Insumos - OPEX'!M$51,Q380*'Insumos - OPEX'!M$76)</f>
        <v>0</v>
      </c>
      <c r="R1331" s="211">
        <f>IF($G1331="PAX",R380*'Insumos - OPEX'!N$51,R380*'Insumos - OPEX'!N$76)</f>
        <v>0</v>
      </c>
      <c r="S1331" s="111"/>
    </row>
    <row r="1332" spans="1:19" x14ac:dyDescent="0.2">
      <c r="A1332" s="8"/>
      <c r="B1332" s="8" t="s">
        <v>435</v>
      </c>
      <c r="C1332" s="8" t="s">
        <v>171</v>
      </c>
      <c r="D1332" s="8">
        <v>6380000008</v>
      </c>
      <c r="E1332" s="8" t="s">
        <v>323</v>
      </c>
      <c r="F1332" s="73" t="s">
        <v>23</v>
      </c>
      <c r="G1332" s="73" t="s">
        <v>136</v>
      </c>
      <c r="H1332" s="112" t="s">
        <v>61</v>
      </c>
      <c r="I1332" s="13" t="s">
        <v>22</v>
      </c>
      <c r="K1332" s="187"/>
      <c r="L1332" s="187"/>
      <c r="M1332" s="188">
        <f>IF($G1332="PAX",M381*'Insumos - OPEX'!I$51,M381*'Insumos - OPEX'!I$76)</f>
        <v>0</v>
      </c>
      <c r="N1332" s="211">
        <f>IF($G1332="PAX",N381*'Insumos - OPEX'!J$51,N381*'Insumos - OPEX'!J$76)</f>
        <v>0</v>
      </c>
      <c r="O1332" s="211">
        <f>IF($G1332="PAX",O381*'Insumos - OPEX'!K$51,O381*'Insumos - OPEX'!K$76)</f>
        <v>0</v>
      </c>
      <c r="P1332" s="211">
        <f>IF($G1332="PAX",P381*'Insumos - OPEX'!L$51,P381*'Insumos - OPEX'!L$76)</f>
        <v>0</v>
      </c>
      <c r="Q1332" s="211">
        <f>IF($G1332="PAX",Q381*'Insumos - OPEX'!M$51,Q381*'Insumos - OPEX'!M$76)</f>
        <v>0</v>
      </c>
      <c r="R1332" s="211">
        <f>IF($G1332="PAX",R381*'Insumos - OPEX'!N$51,R381*'Insumos - OPEX'!N$76)</f>
        <v>0</v>
      </c>
      <c r="S1332" s="111"/>
    </row>
    <row r="1333" spans="1:19" x14ac:dyDescent="0.2">
      <c r="A1333" s="8"/>
      <c r="B1333" s="8" t="s">
        <v>435</v>
      </c>
      <c r="C1333" s="8" t="s">
        <v>171</v>
      </c>
      <c r="D1333" s="8">
        <v>6360000004</v>
      </c>
      <c r="E1333" s="8" t="s">
        <v>353</v>
      </c>
      <c r="F1333" s="73" t="s">
        <v>23</v>
      </c>
      <c r="G1333" s="73" t="s">
        <v>136</v>
      </c>
      <c r="H1333" s="112" t="s">
        <v>61</v>
      </c>
      <c r="I1333" s="13" t="s">
        <v>22</v>
      </c>
      <c r="K1333" s="187"/>
      <c r="L1333" s="187"/>
      <c r="M1333" s="188">
        <f>IF($G1333="PAX",M382*'Insumos - OPEX'!I$51,M382*'Insumos - OPEX'!I$76)</f>
        <v>0</v>
      </c>
      <c r="N1333" s="211">
        <f>IF($G1333="PAX",N382*'Insumos - OPEX'!J$51,N382*'Insumos - OPEX'!J$76)</f>
        <v>0</v>
      </c>
      <c r="O1333" s="211">
        <f>IF($G1333="PAX",O382*'Insumos - OPEX'!K$51,O382*'Insumos - OPEX'!K$76)</f>
        <v>0</v>
      </c>
      <c r="P1333" s="211">
        <f>IF($G1333="PAX",P382*'Insumos - OPEX'!L$51,P382*'Insumos - OPEX'!L$76)</f>
        <v>0</v>
      </c>
      <c r="Q1333" s="211">
        <f>IF($G1333="PAX",Q382*'Insumos - OPEX'!M$51,Q382*'Insumos - OPEX'!M$76)</f>
        <v>0</v>
      </c>
      <c r="R1333" s="211">
        <f>IF($G1333="PAX",R382*'Insumos - OPEX'!N$51,R382*'Insumos - OPEX'!N$76)</f>
        <v>0</v>
      </c>
      <c r="S1333" s="111"/>
    </row>
    <row r="1334" spans="1:19" x14ac:dyDescent="0.2">
      <c r="A1334" s="8"/>
      <c r="B1334" s="8" t="s">
        <v>435</v>
      </c>
      <c r="C1334" s="8" t="s">
        <v>171</v>
      </c>
      <c r="D1334" s="8">
        <v>6360000005</v>
      </c>
      <c r="E1334" s="8" t="s">
        <v>354</v>
      </c>
      <c r="F1334" s="73" t="s">
        <v>23</v>
      </c>
      <c r="G1334" s="73" t="s">
        <v>136</v>
      </c>
      <c r="H1334" s="112" t="s">
        <v>61</v>
      </c>
      <c r="I1334" s="13" t="s">
        <v>22</v>
      </c>
      <c r="J1334" s="11"/>
      <c r="K1334" s="187"/>
      <c r="L1334" s="187"/>
      <c r="M1334" s="188">
        <f>IF($G1334="PAX",M383*'Insumos - OPEX'!I$51,M383*'Insumos - OPEX'!I$76)</f>
        <v>0</v>
      </c>
      <c r="N1334" s="211">
        <f>IF($G1334="PAX",N383*'Insumos - OPEX'!J$51,N383*'Insumos - OPEX'!J$76)</f>
        <v>0</v>
      </c>
      <c r="O1334" s="211">
        <f>IF($G1334="PAX",O383*'Insumos - OPEX'!K$51,O383*'Insumos - OPEX'!K$76)</f>
        <v>0</v>
      </c>
      <c r="P1334" s="211">
        <f>IF($G1334="PAX",P383*'Insumos - OPEX'!L$51,P383*'Insumos - OPEX'!L$76)</f>
        <v>0</v>
      </c>
      <c r="Q1334" s="211">
        <f>IF($G1334="PAX",Q383*'Insumos - OPEX'!M$51,Q383*'Insumos - OPEX'!M$76)</f>
        <v>0</v>
      </c>
      <c r="R1334" s="211">
        <f>IF($G1334="PAX",R383*'Insumos - OPEX'!N$51,R383*'Insumos - OPEX'!N$76)</f>
        <v>0</v>
      </c>
      <c r="S1334" s="111"/>
    </row>
    <row r="1335" spans="1:19" x14ac:dyDescent="0.2">
      <c r="A1335" s="8"/>
      <c r="B1335" s="8" t="s">
        <v>435</v>
      </c>
      <c r="C1335" s="8" t="s">
        <v>171</v>
      </c>
      <c r="D1335" s="8">
        <v>6380000019</v>
      </c>
      <c r="E1335" s="8" t="s">
        <v>355</v>
      </c>
      <c r="F1335" s="73" t="s">
        <v>23</v>
      </c>
      <c r="G1335" s="73" t="s">
        <v>136</v>
      </c>
      <c r="H1335" s="112" t="s">
        <v>61</v>
      </c>
      <c r="I1335" s="13" t="s">
        <v>22</v>
      </c>
      <c r="K1335" s="187"/>
      <c r="L1335" s="187"/>
      <c r="M1335" s="188">
        <f>IF($G1335="PAX",M384*'Insumos - OPEX'!I$51,M384*'Insumos - OPEX'!I$76)</f>
        <v>0</v>
      </c>
      <c r="N1335" s="211">
        <f>IF($G1335="PAX",N384*'Insumos - OPEX'!J$51,N384*'Insumos - OPEX'!J$76)</f>
        <v>0</v>
      </c>
      <c r="O1335" s="211">
        <f>IF($G1335="PAX",O384*'Insumos - OPEX'!K$51,O384*'Insumos - OPEX'!K$76)</f>
        <v>0</v>
      </c>
      <c r="P1335" s="211">
        <f>IF($G1335="PAX",P384*'Insumos - OPEX'!L$51,P384*'Insumos - OPEX'!L$76)</f>
        <v>0</v>
      </c>
      <c r="Q1335" s="211">
        <f>IF($G1335="PAX",Q384*'Insumos - OPEX'!M$51,Q384*'Insumos - OPEX'!M$76)</f>
        <v>0</v>
      </c>
      <c r="R1335" s="211">
        <f>IF($G1335="PAX",R384*'Insumos - OPEX'!N$51,R384*'Insumos - OPEX'!N$76)</f>
        <v>0</v>
      </c>
      <c r="S1335" s="111"/>
    </row>
    <row r="1336" spans="1:19" x14ac:dyDescent="0.2">
      <c r="A1336" s="8"/>
      <c r="B1336" s="8" t="s">
        <v>435</v>
      </c>
      <c r="C1336" s="8" t="s">
        <v>174</v>
      </c>
      <c r="D1336" s="8">
        <v>6540000001</v>
      </c>
      <c r="E1336" s="8" t="s">
        <v>276</v>
      </c>
      <c r="F1336" s="73" t="s">
        <v>23</v>
      </c>
      <c r="G1336" s="73" t="s">
        <v>136</v>
      </c>
      <c r="H1336" s="112" t="s">
        <v>61</v>
      </c>
      <c r="I1336" s="13" t="s">
        <v>22</v>
      </c>
      <c r="J1336" s="40"/>
      <c r="K1336" s="187"/>
      <c r="L1336" s="187"/>
      <c r="M1336" s="188">
        <f>IF($G1336="PAX",M385*'Insumos - OPEX'!I$51,M385*'Insumos - OPEX'!I$76)</f>
        <v>9833.267254751825</v>
      </c>
      <c r="N1336" s="211">
        <f>IF($G1336="PAX",N385*'Insumos - OPEX'!J$51,N385*'Insumos - OPEX'!J$76)</f>
        <v>9605.8827727319676</v>
      </c>
      <c r="O1336" s="211">
        <f>IF($G1336="PAX",O385*'Insumos - OPEX'!K$51,O385*'Insumos - OPEX'!K$76)</f>
        <v>9571.3083972196691</v>
      </c>
      <c r="P1336" s="211">
        <f>IF($G1336="PAX",P385*'Insumos - OPEX'!L$51,P385*'Insumos - OPEX'!L$76)</f>
        <v>9512.0478485098374</v>
      </c>
      <c r="Q1336" s="211">
        <f>IF($G1336="PAX",Q385*'Insumos - OPEX'!M$51,Q385*'Insumos - OPEX'!M$76)</f>
        <v>9569.8052633601346</v>
      </c>
      <c r="R1336" s="211">
        <f>IF($G1336="PAX",R385*'Insumos - OPEX'!N$51,R385*'Insumos - OPEX'!N$76)</f>
        <v>9593.1497854913378</v>
      </c>
      <c r="S1336" s="111"/>
    </row>
    <row r="1337" spans="1:19" x14ac:dyDescent="0.2">
      <c r="A1337" s="8"/>
      <c r="B1337" s="8" t="s">
        <v>435</v>
      </c>
      <c r="C1337" s="8" t="s">
        <v>174</v>
      </c>
      <c r="D1337" s="8">
        <v>6590000006</v>
      </c>
      <c r="E1337" s="8" t="s">
        <v>272</v>
      </c>
      <c r="F1337" s="73" t="s">
        <v>23</v>
      </c>
      <c r="G1337" s="73" t="s">
        <v>136</v>
      </c>
      <c r="H1337" s="112" t="s">
        <v>61</v>
      </c>
      <c r="I1337" s="13" t="s">
        <v>22</v>
      </c>
      <c r="K1337" s="187"/>
      <c r="L1337" s="187"/>
      <c r="M1337" s="188">
        <f>IF($G1337="PAX",M386*'Insumos - OPEX'!I$51,M386*'Insumos - OPEX'!I$76)</f>
        <v>19401.464851343746</v>
      </c>
      <c r="N1337" s="211">
        <f>IF($G1337="PAX",N386*'Insumos - OPEX'!J$51,N386*'Insumos - OPEX'!J$76)</f>
        <v>18952.825358349452</v>
      </c>
      <c r="O1337" s="211">
        <f>IF($G1337="PAX",O386*'Insumos - OPEX'!K$51,O386*'Insumos - OPEX'!K$76)</f>
        <v>18884.608608628256</v>
      </c>
      <c r="P1337" s="211">
        <f>IF($G1337="PAX",P386*'Insumos - OPEX'!L$51,P386*'Insumos - OPEX'!L$76)</f>
        <v>18767.684963304822</v>
      </c>
      <c r="Q1337" s="211">
        <f>IF($G1337="PAX",Q386*'Insumos - OPEX'!M$51,Q386*'Insumos - OPEX'!M$76)</f>
        <v>18881.642860013166</v>
      </c>
      <c r="R1337" s="211">
        <f>IF($G1337="PAX",R386*'Insumos - OPEX'!N$51,R386*'Insumos - OPEX'!N$76)</f>
        <v>18927.702619589116</v>
      </c>
      <c r="S1337" s="111"/>
    </row>
    <row r="1338" spans="1:19" x14ac:dyDescent="0.2">
      <c r="A1338" s="8"/>
      <c r="B1338" s="8" t="s">
        <v>435</v>
      </c>
      <c r="C1338" s="8" t="s">
        <v>174</v>
      </c>
      <c r="D1338" s="8">
        <v>6561000003</v>
      </c>
      <c r="E1338" s="8" t="s">
        <v>269</v>
      </c>
      <c r="F1338" s="73" t="s">
        <v>23</v>
      </c>
      <c r="G1338" s="73" t="s">
        <v>136</v>
      </c>
      <c r="H1338" s="112" t="s">
        <v>61</v>
      </c>
      <c r="I1338" s="13" t="s">
        <v>22</v>
      </c>
      <c r="J1338" s="40"/>
      <c r="K1338" s="187"/>
      <c r="L1338" s="187"/>
      <c r="M1338" s="188">
        <f>IF($G1338="PAX",M387*'Insumos - OPEX'!I$51,M387*'Insumos - OPEX'!I$76)</f>
        <v>3902.6305214436497</v>
      </c>
      <c r="N1338" s="211">
        <f>IF($G1338="PAX",N387*'Insumos - OPEX'!J$51,N387*'Insumos - OPEX'!J$76)</f>
        <v>3812.3860892886587</v>
      </c>
      <c r="O1338" s="211">
        <f>IF($G1338="PAX",O387*'Insumos - OPEX'!K$51,O387*'Insumos - OPEX'!K$76)</f>
        <v>3798.6641991336901</v>
      </c>
      <c r="P1338" s="211">
        <f>IF($G1338="PAX",P387*'Insumos - OPEX'!L$51,P387*'Insumos - OPEX'!L$76)</f>
        <v>3775.1448519908849</v>
      </c>
      <c r="Q1338" s="211">
        <f>IF($G1338="PAX",Q387*'Insumos - OPEX'!M$51,Q387*'Insumos - OPEX'!M$76)</f>
        <v>3798.0676348457423</v>
      </c>
      <c r="R1338" s="211">
        <f>IF($G1338="PAX",R387*'Insumos - OPEX'!N$51,R387*'Insumos - OPEX'!N$76)</f>
        <v>3807.3326168926524</v>
      </c>
      <c r="S1338" s="111"/>
    </row>
    <row r="1339" spans="1:19" x14ac:dyDescent="0.2">
      <c r="A1339" s="8"/>
      <c r="B1339" s="8" t="s">
        <v>435</v>
      </c>
      <c r="C1339" s="8" t="s">
        <v>174</v>
      </c>
      <c r="D1339" s="8">
        <v>6530000002</v>
      </c>
      <c r="E1339" s="8" t="s">
        <v>271</v>
      </c>
      <c r="F1339" s="73" t="s">
        <v>23</v>
      </c>
      <c r="G1339" s="73" t="s">
        <v>136</v>
      </c>
      <c r="H1339" s="112" t="s">
        <v>61</v>
      </c>
      <c r="I1339" s="13" t="s">
        <v>22</v>
      </c>
      <c r="K1339" s="187"/>
      <c r="L1339" s="187"/>
      <c r="M1339" s="188">
        <f>IF($G1339="PAX",M388*'Insumos - OPEX'!I$51,M388*'Insumos - OPEX'!I$76)</f>
        <v>5701.4205940171405</v>
      </c>
      <c r="N1339" s="211">
        <f>IF($G1339="PAX",N388*'Insumos - OPEX'!J$51,N388*'Insumos - OPEX'!J$76)</f>
        <v>5569.5809383908318</v>
      </c>
      <c r="O1339" s="211">
        <f>IF($G1339="PAX",O388*'Insumos - OPEX'!K$51,O388*'Insumos - OPEX'!K$76)</f>
        <v>5549.5343911482714</v>
      </c>
      <c r="P1339" s="211">
        <f>IF($G1339="PAX",P388*'Insumos - OPEX'!L$51,P388*'Insumos - OPEX'!L$76)</f>
        <v>5515.1745691202759</v>
      </c>
      <c r="Q1339" s="211">
        <f>IF($G1339="PAX",Q388*'Insumos - OPEX'!M$51,Q388*'Insumos - OPEX'!M$76)</f>
        <v>5548.6628600365584</v>
      </c>
      <c r="R1339" s="211">
        <f>IF($G1339="PAX",R388*'Insumos - OPEX'!N$51,R388*'Insumos - OPEX'!N$76)</f>
        <v>5562.1982329485481</v>
      </c>
      <c r="S1339" s="111"/>
    </row>
    <row r="1340" spans="1:19" x14ac:dyDescent="0.2">
      <c r="A1340" s="8"/>
      <c r="B1340" s="8" t="s">
        <v>435</v>
      </c>
      <c r="C1340" s="8" t="s">
        <v>174</v>
      </c>
      <c r="D1340" s="8">
        <v>6561000002</v>
      </c>
      <c r="E1340" s="8" t="s">
        <v>356</v>
      </c>
      <c r="F1340" s="73" t="s">
        <v>23</v>
      </c>
      <c r="G1340" s="73" t="s">
        <v>136</v>
      </c>
      <c r="H1340" s="112" t="s">
        <v>61</v>
      </c>
      <c r="I1340" s="13" t="s">
        <v>22</v>
      </c>
      <c r="K1340" s="187"/>
      <c r="L1340" s="187"/>
      <c r="M1340" s="188">
        <f>IF($G1340="PAX",M389*'Insumos - OPEX'!I$51,M389*'Insumos - OPEX'!I$76)</f>
        <v>2110.0228110275634</v>
      </c>
      <c r="N1340" s="211">
        <f>IF($G1340="PAX",N389*'Insumos - OPEX'!J$51,N389*'Insumos - OPEX'!J$76)</f>
        <v>2061.230641395061</v>
      </c>
      <c r="O1340" s="211">
        <f>IF($G1340="PAX",O389*'Insumos - OPEX'!K$51,O389*'Insumos - OPEX'!K$76)</f>
        <v>2053.8116707601753</v>
      </c>
      <c r="P1340" s="211">
        <f>IF($G1340="PAX",P389*'Insumos - OPEX'!L$51,P389*'Insumos - OPEX'!L$76)</f>
        <v>2041.0955402684172</v>
      </c>
      <c r="Q1340" s="211">
        <f>IF($G1340="PAX",Q389*'Insumos - OPEX'!M$51,Q389*'Insumos - OPEX'!M$76)</f>
        <v>2053.4891282471453</v>
      </c>
      <c r="R1340" s="211">
        <f>IF($G1340="PAX",R389*'Insumos - OPEX'!N$51,R389*'Insumos - OPEX'!N$76)</f>
        <v>2058.4983965740662</v>
      </c>
      <c r="S1340" s="111"/>
    </row>
    <row r="1341" spans="1:19" x14ac:dyDescent="0.2">
      <c r="A1341" s="8"/>
      <c r="B1341" s="8" t="s">
        <v>435</v>
      </c>
      <c r="C1341" s="8" t="s">
        <v>174</v>
      </c>
      <c r="D1341" s="8">
        <v>6391000001</v>
      </c>
      <c r="E1341" s="8" t="s">
        <v>363</v>
      </c>
      <c r="F1341" s="73" t="s">
        <v>23</v>
      </c>
      <c r="G1341" s="73" t="s">
        <v>136</v>
      </c>
      <c r="H1341" s="112" t="s">
        <v>61</v>
      </c>
      <c r="I1341" s="13" t="s">
        <v>22</v>
      </c>
      <c r="K1341" s="187"/>
      <c r="L1341" s="187"/>
      <c r="M1341" s="188">
        <f>IF($G1341="PAX",M390*'Insumos - OPEX'!I$51,M390*'Insumos - OPEX'!I$76)</f>
        <v>2005.9373593207531</v>
      </c>
      <c r="N1341" s="211">
        <f>IF($G1341="PAX",N390*'Insumos - OPEX'!J$51,N390*'Insumos - OPEX'!J$76)</f>
        <v>1959.5520617795912</v>
      </c>
      <c r="O1341" s="211">
        <f>IF($G1341="PAX",O390*'Insumos - OPEX'!K$51,O390*'Insumos - OPEX'!K$76)</f>
        <v>1952.4990620269612</v>
      </c>
      <c r="P1341" s="211">
        <f>IF($G1341="PAX",P390*'Insumos - OPEX'!L$51,P390*'Insumos - OPEX'!L$76)</f>
        <v>1940.4102063586224</v>
      </c>
      <c r="Q1341" s="211">
        <f>IF($G1341="PAX",Q390*'Insumos - OPEX'!M$51,Q390*'Insumos - OPEX'!M$76)</f>
        <v>1952.1924302344164</v>
      </c>
      <c r="R1341" s="211">
        <f>IF($G1341="PAX",R390*'Insumos - OPEX'!N$51,R390*'Insumos - OPEX'!N$76)</f>
        <v>1956.9545960400737</v>
      </c>
      <c r="S1341" s="111"/>
    </row>
    <row r="1342" spans="1:19" x14ac:dyDescent="0.2">
      <c r="A1342" s="8"/>
      <c r="B1342" s="8" t="s">
        <v>435</v>
      </c>
      <c r="C1342" s="8" t="s">
        <v>174</v>
      </c>
      <c r="D1342" s="8">
        <v>6310000001</v>
      </c>
      <c r="E1342" s="8" t="s">
        <v>371</v>
      </c>
      <c r="F1342" s="73" t="s">
        <v>23</v>
      </c>
      <c r="G1342" s="73" t="s">
        <v>136</v>
      </c>
      <c r="H1342" s="112" t="s">
        <v>61</v>
      </c>
      <c r="I1342" s="13" t="s">
        <v>22</v>
      </c>
      <c r="K1342" s="187"/>
      <c r="L1342" s="187"/>
      <c r="M1342" s="188">
        <f>IF($G1342="PAX",M391*'Insumos - OPEX'!I$51,M391*'Insumos - OPEX'!I$76)</f>
        <v>1531.6336656488213</v>
      </c>
      <c r="N1342" s="211">
        <f>IF($G1342="PAX",N391*'Insumos - OPEX'!J$51,N391*'Insumos - OPEX'!J$76)</f>
        <v>1496.2161672034867</v>
      </c>
      <c r="O1342" s="211">
        <f>IF($G1342="PAX",O391*'Insumos - OPEX'!K$51,O391*'Insumos - OPEX'!K$76)</f>
        <v>1490.8308485569471</v>
      </c>
      <c r="P1342" s="211">
        <f>IF($G1342="PAX",P391*'Insumos - OPEX'!L$51,P391*'Insumos - OPEX'!L$76)</f>
        <v>1481.6004016365769</v>
      </c>
      <c r="Q1342" s="211">
        <f>IF($G1342="PAX",Q391*'Insumos - OPEX'!M$51,Q391*'Insumos - OPEX'!M$76)</f>
        <v>1490.5967198219505</v>
      </c>
      <c r="R1342" s="211">
        <f>IF($G1342="PAX",R391*'Insumos - OPEX'!N$51,R391*'Insumos - OPEX'!N$76)</f>
        <v>1494.2328719856534</v>
      </c>
      <c r="S1342" s="111"/>
    </row>
    <row r="1343" spans="1:19" x14ac:dyDescent="0.2">
      <c r="A1343" s="8"/>
      <c r="B1343" s="8" t="s">
        <v>435</v>
      </c>
      <c r="C1343" s="8" t="s">
        <v>174</v>
      </c>
      <c r="D1343" s="8">
        <v>6590000005</v>
      </c>
      <c r="E1343" s="8" t="s">
        <v>379</v>
      </c>
      <c r="F1343" s="73" t="s">
        <v>23</v>
      </c>
      <c r="G1343" s="73" t="s">
        <v>136</v>
      </c>
      <c r="H1343" s="112" t="s">
        <v>61</v>
      </c>
      <c r="I1343" s="13" t="s">
        <v>22</v>
      </c>
      <c r="K1343" s="187"/>
      <c r="L1343" s="187"/>
      <c r="M1343" s="188">
        <f>IF($G1343="PAX",M392*'Insumos - OPEX'!I$51,M392*'Insumos - OPEX'!I$76)</f>
        <v>1205.3314825982045</v>
      </c>
      <c r="N1343" s="211">
        <f>IF($G1343="PAX",N392*'Insumos - OPEX'!J$51,N392*'Insumos - OPEX'!J$76)</f>
        <v>1177.4593961662636</v>
      </c>
      <c r="O1343" s="211">
        <f>IF($G1343="PAX",O392*'Insumos - OPEX'!K$51,O392*'Insumos - OPEX'!K$76)</f>
        <v>1173.2213761657383</v>
      </c>
      <c r="P1343" s="211">
        <f>IF($G1343="PAX",P392*'Insumos - OPEX'!L$51,P392*'Insumos - OPEX'!L$76)</f>
        <v>1165.9574014170109</v>
      </c>
      <c r="Q1343" s="211">
        <f>IF($G1343="PAX",Q392*'Insumos - OPEX'!M$51,Q392*'Insumos - OPEX'!M$76)</f>
        <v>1173.0371266669179</v>
      </c>
      <c r="R1343" s="211">
        <f>IF($G1343="PAX",R392*'Insumos - OPEX'!N$51,R392*'Insumos - OPEX'!N$76)</f>
        <v>1175.8986259775718</v>
      </c>
      <c r="S1343" s="111"/>
    </row>
    <row r="1344" spans="1:19" x14ac:dyDescent="0.2">
      <c r="A1344" s="8"/>
      <c r="B1344" s="8" t="s">
        <v>435</v>
      </c>
      <c r="C1344" s="8" t="s">
        <v>174</v>
      </c>
      <c r="D1344" s="8">
        <v>6391000003</v>
      </c>
      <c r="E1344" s="8" t="s">
        <v>378</v>
      </c>
      <c r="F1344" s="73" t="s">
        <v>23</v>
      </c>
      <c r="G1344" s="73" t="s">
        <v>136</v>
      </c>
      <c r="H1344" s="112" t="s">
        <v>61</v>
      </c>
      <c r="I1344" s="13" t="s">
        <v>22</v>
      </c>
      <c r="K1344" s="187"/>
      <c r="L1344" s="187"/>
      <c r="M1344" s="188">
        <f>IF($G1344="PAX",M393*'Insumos - OPEX'!I$51,M393*'Insumos - OPEX'!I$76)</f>
        <v>1087.6243204648706</v>
      </c>
      <c r="N1344" s="211">
        <f>IF($G1344="PAX",N393*'Insumos - OPEX'!J$51,N393*'Insumos - OPEX'!J$76)</f>
        <v>1062.4740945700548</v>
      </c>
      <c r="O1344" s="211">
        <f>IF($G1344="PAX",O393*'Insumos - OPEX'!K$51,O393*'Insumos - OPEX'!K$76)</f>
        <v>1058.6499402276727</v>
      </c>
      <c r="P1344" s="211">
        <f>IF($G1344="PAX",P393*'Insumos - OPEX'!L$51,P393*'Insumos - OPEX'!L$76)</f>
        <v>1052.0953320439321</v>
      </c>
      <c r="Q1344" s="211">
        <f>IF($G1344="PAX",Q393*'Insumos - OPEX'!M$51,Q393*'Insumos - OPEX'!M$76)</f>
        <v>1058.4836836925672</v>
      </c>
      <c r="R1344" s="211">
        <f>IF($G1344="PAX",R393*'Insumos - OPEX'!N$51,R393*'Insumos - OPEX'!N$76)</f>
        <v>1061.0657420625616</v>
      </c>
      <c r="S1344" s="111"/>
    </row>
    <row r="1345" spans="1:19" x14ac:dyDescent="0.2">
      <c r="A1345" s="8"/>
      <c r="B1345" s="8" t="s">
        <v>435</v>
      </c>
      <c r="C1345" s="8" t="s">
        <v>174</v>
      </c>
      <c r="D1345" s="8">
        <v>6410000001</v>
      </c>
      <c r="E1345" s="8" t="s">
        <v>361</v>
      </c>
      <c r="F1345" s="73" t="s">
        <v>23</v>
      </c>
      <c r="G1345" s="73" t="s">
        <v>136</v>
      </c>
      <c r="H1345" s="112" t="s">
        <v>61</v>
      </c>
      <c r="I1345" s="13" t="s">
        <v>22</v>
      </c>
      <c r="K1345" s="187"/>
      <c r="L1345" s="187"/>
      <c r="M1345" s="188">
        <f>IF($G1345="PAX",M394*'Insumos - OPEX'!I$51,M394*'Insumos - OPEX'!I$76)</f>
        <v>941.65670376636217</v>
      </c>
      <c r="N1345" s="211">
        <f>IF($G1345="PAX",N394*'Insumos - OPEX'!J$51,N394*'Insumos - OPEX'!J$76)</f>
        <v>919.88183318883659</v>
      </c>
      <c r="O1345" s="211">
        <f>IF($G1345="PAX",O394*'Insumos - OPEX'!K$51,O394*'Insumos - OPEX'!K$76)</f>
        <v>916.57091000977232</v>
      </c>
      <c r="P1345" s="211">
        <f>IF($G1345="PAX",P394*'Insumos - OPEX'!L$51,P394*'Insumos - OPEX'!L$76)</f>
        <v>910.89598106542587</v>
      </c>
      <c r="Q1345" s="211">
        <f>IF($G1345="PAX",Q394*'Insumos - OPEX'!M$51,Q394*'Insumos - OPEX'!M$76)</f>
        <v>916.42696639074734</v>
      </c>
      <c r="R1345" s="211">
        <f>IF($G1345="PAX",R394*'Insumos - OPEX'!N$51,R394*'Insumos - OPEX'!N$76)</f>
        <v>918.6624925075065</v>
      </c>
      <c r="S1345" s="111"/>
    </row>
    <row r="1346" spans="1:19" x14ac:dyDescent="0.2">
      <c r="A1346" s="8"/>
      <c r="B1346" s="8" t="s">
        <v>435</v>
      </c>
      <c r="C1346" s="8" t="s">
        <v>174</v>
      </c>
      <c r="D1346" s="8">
        <v>6510000001</v>
      </c>
      <c r="E1346" s="8" t="s">
        <v>182</v>
      </c>
      <c r="F1346" s="73" t="s">
        <v>23</v>
      </c>
      <c r="G1346" s="73" t="s">
        <v>480</v>
      </c>
      <c r="H1346" s="112" t="s">
        <v>61</v>
      </c>
      <c r="I1346" s="13" t="s">
        <v>22</v>
      </c>
      <c r="K1346" s="187"/>
      <c r="L1346" s="187"/>
      <c r="M1346" s="188">
        <f>IF($G1346="PAX",M395*'Insumos - OPEX'!I$51,M395*'Insumos - OPEX'!I$76)</f>
        <v>317.41682622942153</v>
      </c>
      <c r="N1346" s="211">
        <f>IF($G1346="PAX",N395*'Insumos - OPEX'!J$51,N395*'Insumos - OPEX'!J$76)</f>
        <v>320.33287276081546</v>
      </c>
      <c r="O1346" s="211">
        <f>IF($G1346="PAX",O395*'Insumos - OPEX'!K$51,O395*'Insumos - OPEX'!K$76)</f>
        <v>325.61464154919042</v>
      </c>
      <c r="P1346" s="211">
        <f>IF($G1346="PAX",P395*'Insumos - OPEX'!L$51,P395*'Insumos - OPEX'!L$76)</f>
        <v>330.40262260993416</v>
      </c>
      <c r="Q1346" s="211">
        <f>IF($G1346="PAX",Q395*'Insumos - OPEX'!M$51,Q395*'Insumos - OPEX'!M$76)</f>
        <v>336.30195998449778</v>
      </c>
      <c r="R1346" s="211">
        <f>IF($G1346="PAX",R395*'Insumos - OPEX'!N$51,R395*'Insumos - OPEX'!N$76)</f>
        <v>342.05309016750749</v>
      </c>
      <c r="S1346" s="111"/>
    </row>
    <row r="1347" spans="1:19" x14ac:dyDescent="0.2">
      <c r="A1347" s="8"/>
      <c r="B1347" s="8" t="s">
        <v>435</v>
      </c>
      <c r="C1347" s="8" t="s">
        <v>174</v>
      </c>
      <c r="D1347" s="8">
        <v>6561000004</v>
      </c>
      <c r="E1347" s="8" t="s">
        <v>359</v>
      </c>
      <c r="F1347" s="73" t="s">
        <v>23</v>
      </c>
      <c r="G1347" s="73" t="s">
        <v>136</v>
      </c>
      <c r="H1347" s="112" t="s">
        <v>61</v>
      </c>
      <c r="I1347" s="13" t="s">
        <v>22</v>
      </c>
      <c r="K1347" s="187"/>
      <c r="L1347" s="187"/>
      <c r="M1347" s="188">
        <f>IF($G1347="PAX",M396*'Insumos - OPEX'!I$51,M396*'Insumos - OPEX'!I$76)</f>
        <v>728.26865945657801</v>
      </c>
      <c r="N1347" s="211">
        <f>IF($G1347="PAX",N396*'Insumos - OPEX'!J$51,N396*'Insumos - OPEX'!J$76)</f>
        <v>711.4281742331334</v>
      </c>
      <c r="O1347" s="211">
        <f>IF($G1347="PAX",O396*'Insumos - OPEX'!K$51,O396*'Insumos - OPEX'!K$76)</f>
        <v>708.86753660846978</v>
      </c>
      <c r="P1347" s="211">
        <f>IF($G1347="PAX",P396*'Insumos - OPEX'!L$51,P396*'Insumos - OPEX'!L$76)</f>
        <v>704.47859860348308</v>
      </c>
      <c r="Q1347" s="211">
        <f>IF($G1347="PAX",Q396*'Insumos - OPEX'!M$51,Q396*'Insumos - OPEX'!M$76)</f>
        <v>708.75621193351628</v>
      </c>
      <c r="R1347" s="211">
        <f>IF($G1347="PAX",R396*'Insumos - OPEX'!N$51,R396*'Insumos - OPEX'!N$76)</f>
        <v>710.485147331863</v>
      </c>
      <c r="S1347" s="111"/>
    </row>
    <row r="1348" spans="1:19" x14ac:dyDescent="0.2">
      <c r="A1348" s="8"/>
      <c r="B1348" s="8" t="s">
        <v>435</v>
      </c>
      <c r="C1348" s="8" t="s">
        <v>174</v>
      </c>
      <c r="D1348" s="8">
        <v>6590000002</v>
      </c>
      <c r="E1348" s="8" t="s">
        <v>360</v>
      </c>
      <c r="F1348" s="73" t="s">
        <v>23</v>
      </c>
      <c r="G1348" s="73" t="s">
        <v>136</v>
      </c>
      <c r="H1348" s="112" t="s">
        <v>61</v>
      </c>
      <c r="I1348" s="13" t="s">
        <v>22</v>
      </c>
      <c r="K1348" s="187"/>
      <c r="L1348" s="187"/>
      <c r="M1348" s="188">
        <f>IF($G1348="PAX",M397*'Insumos - OPEX'!I$51,M397*'Insumos - OPEX'!I$76)</f>
        <v>500.47732452363874</v>
      </c>
      <c r="N1348" s="211">
        <f>IF($G1348="PAX",N397*'Insumos - OPEX'!J$51,N397*'Insumos - OPEX'!J$76)</f>
        <v>488.90428636132316</v>
      </c>
      <c r="O1348" s="211">
        <f>IF($G1348="PAX",O397*'Insumos - OPEX'!K$51,O397*'Insumos - OPEX'!K$76)</f>
        <v>487.14457715123234</v>
      </c>
      <c r="P1348" s="211">
        <f>IF($G1348="PAX",P397*'Insumos - OPEX'!L$51,P397*'Insumos - OPEX'!L$76)</f>
        <v>484.12843204912832</v>
      </c>
      <c r="Q1348" s="211">
        <f>IF($G1348="PAX",Q397*'Insumos - OPEX'!M$51,Q397*'Insumos - OPEX'!M$76)</f>
        <v>487.06807313756826</v>
      </c>
      <c r="R1348" s="211">
        <f>IF($G1348="PAX",R397*'Insumos - OPEX'!N$51,R397*'Insumos - OPEX'!N$76)</f>
        <v>488.25622389924519</v>
      </c>
      <c r="S1348" s="111"/>
    </row>
    <row r="1349" spans="1:19" x14ac:dyDescent="0.2">
      <c r="A1349" s="8"/>
      <c r="B1349" s="8" t="s">
        <v>435</v>
      </c>
      <c r="C1349" s="8" t="s">
        <v>174</v>
      </c>
      <c r="D1349" s="8">
        <v>6430000001</v>
      </c>
      <c r="E1349" s="8" t="s">
        <v>275</v>
      </c>
      <c r="F1349" s="73" t="s">
        <v>23</v>
      </c>
      <c r="G1349" s="73" t="s">
        <v>480</v>
      </c>
      <c r="H1349" s="112" t="s">
        <v>61</v>
      </c>
      <c r="I1349" s="13" t="s">
        <v>22</v>
      </c>
      <c r="K1349" s="187"/>
      <c r="L1349" s="187"/>
      <c r="M1349" s="188">
        <f>IF($G1349="PAX",M398*'Insumos - OPEX'!I$51,M398*'Insumos - OPEX'!I$76)</f>
        <v>136.6216032405865</v>
      </c>
      <c r="N1349" s="211">
        <f>IF($G1349="PAX",N398*'Insumos - OPEX'!J$51,N398*'Insumos - OPEX'!J$76)</f>
        <v>137.87671928775927</v>
      </c>
      <c r="O1349" s="211">
        <f>IF($G1349="PAX",O398*'Insumos - OPEX'!K$51,O398*'Insumos - OPEX'!K$76)</f>
        <v>140.15008244996386</v>
      </c>
      <c r="P1349" s="211">
        <f>IF($G1349="PAX",P398*'Insumos - OPEX'!L$51,P398*'Insumos - OPEX'!L$76)</f>
        <v>142.21091097180027</v>
      </c>
      <c r="Q1349" s="211">
        <f>IF($G1349="PAX",Q398*'Insumos - OPEX'!M$51,Q398*'Insumos - OPEX'!M$76)</f>
        <v>144.75008616217738</v>
      </c>
      <c r="R1349" s="211">
        <f>IF($G1349="PAX",R398*'Insumos - OPEX'!N$51,R398*'Insumos - OPEX'!N$76)</f>
        <v>147.22547045538499</v>
      </c>
      <c r="S1349" s="111"/>
    </row>
    <row r="1350" spans="1:19" x14ac:dyDescent="0.2">
      <c r="A1350" s="8"/>
      <c r="B1350" s="8" t="s">
        <v>435</v>
      </c>
      <c r="C1350" s="8" t="s">
        <v>174</v>
      </c>
      <c r="D1350" s="8">
        <v>6530000001</v>
      </c>
      <c r="E1350" s="8" t="s">
        <v>364</v>
      </c>
      <c r="F1350" s="73" t="s">
        <v>23</v>
      </c>
      <c r="G1350" s="73" t="s">
        <v>136</v>
      </c>
      <c r="H1350" s="112" t="s">
        <v>61</v>
      </c>
      <c r="I1350" s="13" t="s">
        <v>22</v>
      </c>
      <c r="K1350" s="187"/>
      <c r="L1350" s="187"/>
      <c r="M1350" s="188">
        <f>IF($G1350="PAX",M399*'Insumos - OPEX'!I$51,M399*'Insumos - OPEX'!I$76)</f>
        <v>428.25411110002665</v>
      </c>
      <c r="N1350" s="211">
        <f>IF($G1350="PAX",N399*'Insumos - OPEX'!J$51,N399*'Insumos - OPEX'!J$76)</f>
        <v>418.35116259852049</v>
      </c>
      <c r="O1350" s="211">
        <f>IF($G1350="PAX",O399*'Insumos - OPEX'!K$51,O399*'Insumos - OPEX'!K$76)</f>
        <v>416.84539467131367</v>
      </c>
      <c r="P1350" s="211">
        <f>IF($G1350="PAX",P399*'Insumos - OPEX'!L$51,P399*'Insumos - OPEX'!L$76)</f>
        <v>414.26450543546332</v>
      </c>
      <c r="Q1350" s="211">
        <f>IF($G1350="PAX",Q399*'Insumos - OPEX'!M$51,Q399*'Insumos - OPEX'!M$76)</f>
        <v>416.77993084955415</v>
      </c>
      <c r="R1350" s="211">
        <f>IF($G1350="PAX",R399*'Insumos - OPEX'!N$51,R399*'Insumos - OPEX'!N$76)</f>
        <v>417.796621163704</v>
      </c>
      <c r="S1350" s="111"/>
    </row>
    <row r="1351" spans="1:19" x14ac:dyDescent="0.2">
      <c r="A1351" s="8"/>
      <c r="B1351" s="8" t="s">
        <v>435</v>
      </c>
      <c r="C1351" s="8" t="s">
        <v>174</v>
      </c>
      <c r="D1351" s="8">
        <v>6561000001</v>
      </c>
      <c r="E1351" s="8" t="s">
        <v>358</v>
      </c>
      <c r="F1351" s="73" t="s">
        <v>23</v>
      </c>
      <c r="G1351" s="73" t="s">
        <v>136</v>
      </c>
      <c r="H1351" s="112" t="s">
        <v>61</v>
      </c>
      <c r="I1351" s="13" t="s">
        <v>22</v>
      </c>
      <c r="K1351" s="187"/>
      <c r="L1351" s="187"/>
      <c r="M1351" s="188">
        <f>IF($G1351="PAX",M400*'Insumos - OPEX'!I$51,M400*'Insumos - OPEX'!I$76)</f>
        <v>99.994814903294738</v>
      </c>
      <c r="N1351" s="211">
        <f>IF($G1351="PAX",N400*'Insumos - OPEX'!J$51,N400*'Insumos - OPEX'!J$76)</f>
        <v>97.68253470156732</v>
      </c>
      <c r="O1351" s="211">
        <f>IF($G1351="PAX",O400*'Insumos - OPEX'!K$51,O400*'Insumos - OPEX'!K$76)</f>
        <v>97.330946751175887</v>
      </c>
      <c r="P1351" s="211">
        <f>IF($G1351="PAX",P400*'Insumos - OPEX'!L$51,P400*'Insumos - OPEX'!L$76)</f>
        <v>96.728324301710401</v>
      </c>
      <c r="Q1351" s="211">
        <f>IF($G1351="PAX",Q400*'Insumos - OPEX'!M$51,Q400*'Insumos - OPEX'!M$76)</f>
        <v>97.315661334013427</v>
      </c>
      <c r="R1351" s="211">
        <f>IF($G1351="PAX",R400*'Insumos - OPEX'!N$51,R400*'Insumos - OPEX'!N$76)</f>
        <v>97.553052539707281</v>
      </c>
      <c r="S1351" s="111"/>
    </row>
    <row r="1352" spans="1:19" x14ac:dyDescent="0.2">
      <c r="A1352" s="8"/>
      <c r="B1352" s="8" t="s">
        <v>435</v>
      </c>
      <c r="C1352" s="8" t="s">
        <v>174</v>
      </c>
      <c r="D1352" s="8">
        <v>6590000011</v>
      </c>
      <c r="E1352" s="8" t="s">
        <v>384</v>
      </c>
      <c r="F1352" s="73" t="s">
        <v>23</v>
      </c>
      <c r="G1352" s="73" t="s">
        <v>136</v>
      </c>
      <c r="H1352" s="112" t="s">
        <v>61</v>
      </c>
      <c r="I1352" s="13" t="s">
        <v>22</v>
      </c>
      <c r="K1352" s="187"/>
      <c r="L1352" s="187"/>
      <c r="M1352" s="188">
        <f>IF($G1352="PAX",M401*'Insumos - OPEX'!I$51,M401*'Insumos - OPEX'!I$76)</f>
        <v>55.389451850222557</v>
      </c>
      <c r="N1352" s="211">
        <f>IF($G1352="PAX",N401*'Insumos - OPEX'!J$51,N401*'Insumos - OPEX'!J$76)</f>
        <v>54.108626109191221</v>
      </c>
      <c r="O1352" s="211">
        <f>IF($G1352="PAX",O401*'Insumos - OPEX'!K$51,O401*'Insumos - OPEX'!K$76)</f>
        <v>53.913873372580241</v>
      </c>
      <c r="P1352" s="211">
        <f>IF($G1352="PAX",P401*'Insumos - OPEX'!L$51,P401*'Insumos - OPEX'!L$76)</f>
        <v>53.580066792900958</v>
      </c>
      <c r="Q1352" s="211">
        <f>IF($G1352="PAX",Q401*'Insumos - OPEX'!M$51,Q401*'Insumos - OPEX'!M$76)</f>
        <v>53.905406424781503</v>
      </c>
      <c r="R1352" s="211">
        <f>IF($G1352="PAX",R401*'Insumos - OPEX'!N$51,R401*'Insumos - OPEX'!N$76)</f>
        <v>54.036902930576957</v>
      </c>
      <c r="S1352" s="111"/>
    </row>
    <row r="1353" spans="1:19" x14ac:dyDescent="0.2">
      <c r="A1353" s="8"/>
      <c r="B1353" s="8" t="s">
        <v>435</v>
      </c>
      <c r="C1353" s="8" t="s">
        <v>174</v>
      </c>
      <c r="D1353" s="8">
        <v>6430000002</v>
      </c>
      <c r="E1353" s="8" t="s">
        <v>362</v>
      </c>
      <c r="F1353" s="73" t="s">
        <v>23</v>
      </c>
      <c r="G1353" s="73" t="s">
        <v>480</v>
      </c>
      <c r="H1353" s="112" t="s">
        <v>61</v>
      </c>
      <c r="I1353" s="13" t="s">
        <v>22</v>
      </c>
      <c r="K1353" s="187"/>
      <c r="L1353" s="187"/>
      <c r="M1353" s="188">
        <f>IF($G1353="PAX",M402*'Insumos - OPEX'!I$51,M402*'Insumos - OPEX'!I$76)</f>
        <v>15.975540458837775</v>
      </c>
      <c r="N1353" s="211">
        <f>IF($G1353="PAX",N402*'Insumos - OPEX'!J$51,N402*'Insumos - OPEX'!J$76)</f>
        <v>16.122304636072876</v>
      </c>
      <c r="O1353" s="211">
        <f>IF($G1353="PAX",O402*'Insumos - OPEX'!K$51,O402*'Insumos - OPEX'!K$76)</f>
        <v>16.388135253734973</v>
      </c>
      <c r="P1353" s="211">
        <f>IF($G1353="PAX",P402*'Insumos - OPEX'!L$51,P402*'Insumos - OPEX'!L$76)</f>
        <v>16.629113610366815</v>
      </c>
      <c r="Q1353" s="211">
        <f>IF($G1353="PAX",Q402*'Insumos - OPEX'!M$51,Q402*'Insumos - OPEX'!M$76)</f>
        <v>16.926026360794094</v>
      </c>
      <c r="R1353" s="211">
        <f>IF($G1353="PAX",R402*'Insumos - OPEX'!N$51,R402*'Insumos - OPEX'!N$76)</f>
        <v>17.215479865871696</v>
      </c>
      <c r="S1353" s="111"/>
    </row>
    <row r="1354" spans="1:19" x14ac:dyDescent="0.2">
      <c r="A1354" s="8"/>
      <c r="B1354" s="8" t="s">
        <v>435</v>
      </c>
      <c r="C1354" s="8" t="s">
        <v>174</v>
      </c>
      <c r="D1354" s="8">
        <v>6590000004</v>
      </c>
      <c r="E1354" s="8" t="s">
        <v>380</v>
      </c>
      <c r="F1354" s="73" t="s">
        <v>23</v>
      </c>
      <c r="G1354" s="73" t="s">
        <v>136</v>
      </c>
      <c r="H1354" s="112" t="s">
        <v>61</v>
      </c>
      <c r="I1354" s="13" t="s">
        <v>22</v>
      </c>
      <c r="K1354" s="187"/>
      <c r="L1354" s="187"/>
      <c r="M1354" s="188">
        <f>IF($G1354="PAX",M403*'Insumos - OPEX'!I$51,M403*'Insumos - OPEX'!I$76)</f>
        <v>41.357076900013475</v>
      </c>
      <c r="N1354" s="211">
        <f>IF($G1354="PAX",N403*'Insumos - OPEX'!J$51,N403*'Insumos - OPEX'!J$76)</f>
        <v>40.400735811631016</v>
      </c>
      <c r="O1354" s="211">
        <f>IF($G1354="PAX",O403*'Insumos - OPEX'!K$51,O403*'Insumos - OPEX'!K$76)</f>
        <v>40.25532177275791</v>
      </c>
      <c r="P1354" s="211">
        <f>IF($G1354="PAX",P403*'Insumos - OPEX'!L$51,P403*'Insumos - OPEX'!L$76)</f>
        <v>40.006081819583123</v>
      </c>
      <c r="Q1354" s="211">
        <f>IF($G1354="PAX",Q403*'Insumos - OPEX'!M$51,Q403*'Insumos - OPEX'!M$76)</f>
        <v>40.248999843229377</v>
      </c>
      <c r="R1354" s="211">
        <f>IF($G1354="PAX",R403*'Insumos - OPEX'!N$51,R403*'Insumos - OPEX'!N$76)</f>
        <v>40.347182997613558</v>
      </c>
      <c r="S1354" s="111"/>
    </row>
    <row r="1355" spans="1:19" x14ac:dyDescent="0.2">
      <c r="A1355" s="8"/>
      <c r="B1355" s="8" t="s">
        <v>435</v>
      </c>
      <c r="C1355" s="8" t="s">
        <v>174</v>
      </c>
      <c r="D1355" s="8">
        <v>6590000001</v>
      </c>
      <c r="E1355" s="8" t="s">
        <v>369</v>
      </c>
      <c r="F1355" s="73" t="s">
        <v>23</v>
      </c>
      <c r="G1355" s="73" t="s">
        <v>136</v>
      </c>
      <c r="H1355" s="112" t="s">
        <v>61</v>
      </c>
      <c r="I1355" s="13" t="s">
        <v>22</v>
      </c>
      <c r="K1355" s="187"/>
      <c r="L1355" s="187"/>
      <c r="M1355" s="188">
        <f>IF($G1355="PAX",M404*'Insumos - OPEX'!I$51,M404*'Insumos - OPEX'!I$76)</f>
        <v>22.282233532765328</v>
      </c>
      <c r="N1355" s="211">
        <f>IF($G1355="PAX",N404*'Insumos - OPEX'!J$51,N404*'Insumos - OPEX'!J$76)</f>
        <v>21.766979141846079</v>
      </c>
      <c r="O1355" s="211">
        <f>IF($G1355="PAX",O404*'Insumos - OPEX'!K$51,O404*'Insumos - OPEX'!K$76)</f>
        <v>21.688633431365947</v>
      </c>
      <c r="P1355" s="211">
        <f>IF($G1355="PAX",P404*'Insumos - OPEX'!L$51,P404*'Insumos - OPEX'!L$76)</f>
        <v>21.554348727063395</v>
      </c>
      <c r="Q1355" s="211">
        <f>IF($G1355="PAX",Q404*'Insumos - OPEX'!M$51,Q404*'Insumos - OPEX'!M$76)</f>
        <v>21.685227322407304</v>
      </c>
      <c r="R1355" s="211">
        <f>IF($G1355="PAX",R404*'Insumos - OPEX'!N$51,R404*'Insumos - OPEX'!N$76)</f>
        <v>21.738126128100486</v>
      </c>
      <c r="S1355" s="111"/>
    </row>
    <row r="1356" spans="1:19" x14ac:dyDescent="0.2">
      <c r="A1356" s="8"/>
      <c r="B1356" s="8" t="s">
        <v>435</v>
      </c>
      <c r="C1356" s="8" t="s">
        <v>174</v>
      </c>
      <c r="D1356" s="8">
        <v>6430000003</v>
      </c>
      <c r="E1356" s="8" t="s">
        <v>386</v>
      </c>
      <c r="F1356" s="73" t="s">
        <v>23</v>
      </c>
      <c r="G1356" s="73" t="s">
        <v>136</v>
      </c>
      <c r="H1356" s="112" t="s">
        <v>61</v>
      </c>
      <c r="I1356" s="13" t="s">
        <v>22</v>
      </c>
      <c r="K1356" s="187"/>
      <c r="L1356" s="187"/>
      <c r="M1356" s="188">
        <f>IF($G1356="PAX",M405*'Insumos - OPEX'!I$51,M405*'Insumos - OPEX'!I$76)</f>
        <v>14.989881822431753</v>
      </c>
      <c r="N1356" s="211">
        <f>IF($G1356="PAX",N405*'Insumos - OPEX'!J$51,N405*'Insumos - OPEX'!J$76)</f>
        <v>14.643255779893815</v>
      </c>
      <c r="O1356" s="211">
        <f>IF($G1356="PAX",O405*'Insumos - OPEX'!K$51,O405*'Insumos - OPEX'!K$76)</f>
        <v>14.590550428804805</v>
      </c>
      <c r="P1356" s="211">
        <f>IF($G1356="PAX",P405*'Insumos - OPEX'!L$51,P405*'Insumos - OPEX'!L$76)</f>
        <v>14.500213351729679</v>
      </c>
      <c r="Q1356" s="211">
        <f>IF($G1356="PAX",Q405*'Insumos - OPEX'!M$51,Q405*'Insumos - OPEX'!M$76)</f>
        <v>14.58825904402557</v>
      </c>
      <c r="R1356" s="211">
        <f>IF($G1356="PAX",R405*'Insumos - OPEX'!N$51,R405*'Insumos - OPEX'!N$76)</f>
        <v>14.623845550410694</v>
      </c>
      <c r="S1356" s="111"/>
    </row>
    <row r="1357" spans="1:19" x14ac:dyDescent="0.2">
      <c r="A1357" s="8"/>
      <c r="B1357" s="8" t="s">
        <v>435</v>
      </c>
      <c r="C1357" s="8" t="s">
        <v>174</v>
      </c>
      <c r="D1357" s="8">
        <v>6561000005</v>
      </c>
      <c r="E1357" s="8" t="s">
        <v>365</v>
      </c>
      <c r="F1357" s="73" t="s">
        <v>23</v>
      </c>
      <c r="G1357" s="73" t="s">
        <v>136</v>
      </c>
      <c r="H1357" s="112" t="s">
        <v>61</v>
      </c>
      <c r="I1357" s="13" t="s">
        <v>22</v>
      </c>
      <c r="K1357" s="187"/>
      <c r="L1357" s="187"/>
      <c r="M1357" s="188">
        <f>IF($G1357="PAX",M406*'Insumos - OPEX'!I$51,M406*'Insumos - OPEX'!I$76)</f>
        <v>9.6555137260783184</v>
      </c>
      <c r="N1357" s="211">
        <f>IF($G1357="PAX",N406*'Insumos - OPEX'!J$51,N406*'Insumos - OPEX'!J$76)</f>
        <v>9.4322396168366538</v>
      </c>
      <c r="O1357" s="211">
        <f>IF($G1357="PAX",O406*'Insumos - OPEX'!K$51,O406*'Insumos - OPEX'!K$76)</f>
        <v>9.3982902337190257</v>
      </c>
      <c r="P1357" s="211">
        <f>IF($G1357="PAX",P406*'Insumos - OPEX'!L$51,P406*'Insumos - OPEX'!L$76)</f>
        <v>9.340100923222435</v>
      </c>
      <c r="Q1357" s="211">
        <f>IF($G1357="PAX",Q406*'Insumos - OPEX'!M$51,Q406*'Insumos - OPEX'!M$76)</f>
        <v>9.3968142716367531</v>
      </c>
      <c r="R1357" s="211">
        <f>IF($G1357="PAX",R406*'Insumos - OPEX'!N$51,R406*'Insumos - OPEX'!N$76)</f>
        <v>9.4197368006423243</v>
      </c>
      <c r="S1357" s="111"/>
    </row>
    <row r="1358" spans="1:19" x14ac:dyDescent="0.2">
      <c r="A1358" s="8"/>
      <c r="B1358" s="8" t="s">
        <v>435</v>
      </c>
      <c r="C1358" s="8" t="s">
        <v>174</v>
      </c>
      <c r="D1358" s="8">
        <v>6562000003</v>
      </c>
      <c r="E1358" s="8" t="s">
        <v>366</v>
      </c>
      <c r="F1358" s="73" t="s">
        <v>23</v>
      </c>
      <c r="G1358" s="73" t="s">
        <v>136</v>
      </c>
      <c r="H1358" s="112" t="s">
        <v>61</v>
      </c>
      <c r="I1358" s="13" t="s">
        <v>22</v>
      </c>
      <c r="K1358" s="187"/>
      <c r="L1358" s="187"/>
      <c r="M1358" s="188">
        <f>IF($G1358="PAX",M407*'Insumos - OPEX'!I$51,M407*'Insumos - OPEX'!I$76)</f>
        <v>2.0948222674517223</v>
      </c>
      <c r="N1358" s="211">
        <f>IF($G1358="PAX",N407*'Insumos - OPEX'!J$51,N407*'Insumos - OPEX'!J$76)</f>
        <v>2.046381595204358</v>
      </c>
      <c r="O1358" s="211">
        <f>IF($G1358="PAX",O407*'Insumos - OPEX'!K$51,O407*'Insumos - OPEX'!K$76)</f>
        <v>2.0390160706203084</v>
      </c>
      <c r="P1358" s="211">
        <f>IF($G1358="PAX",P407*'Insumos - OPEX'!L$51,P407*'Insumos - OPEX'!L$76)</f>
        <v>2.0263915467664719</v>
      </c>
      <c r="Q1358" s="211">
        <f>IF($G1358="PAX",Q407*'Insumos - OPEX'!M$51,Q407*'Insumos - OPEX'!M$76)</f>
        <v>2.0386958516942553</v>
      </c>
      <c r="R1358" s="211">
        <f>IF($G1358="PAX",R407*'Insumos - OPEX'!N$51,R407*'Insumos - OPEX'!N$76)</f>
        <v>2.0436690333963825</v>
      </c>
      <c r="S1358" s="111"/>
    </row>
    <row r="1359" spans="1:19" x14ac:dyDescent="0.2">
      <c r="A1359" s="8"/>
      <c r="B1359" s="8" t="s">
        <v>435</v>
      </c>
      <c r="C1359" s="8" t="s">
        <v>174</v>
      </c>
      <c r="D1359" s="8">
        <v>6562000005</v>
      </c>
      <c r="E1359" s="8" t="s">
        <v>367</v>
      </c>
      <c r="F1359" s="73" t="s">
        <v>23</v>
      </c>
      <c r="G1359" s="73" t="s">
        <v>136</v>
      </c>
      <c r="H1359" s="112" t="s">
        <v>61</v>
      </c>
      <c r="I1359" s="13" t="s">
        <v>22</v>
      </c>
      <c r="K1359" s="187"/>
      <c r="L1359" s="187"/>
      <c r="M1359" s="188">
        <f>IF($G1359="PAX",M408*'Insumos - OPEX'!I$51,M408*'Insumos - OPEX'!I$76)</f>
        <v>1.7589229502887648E-3</v>
      </c>
      <c r="N1359" s="211">
        <f>IF($G1359="PAX",N408*'Insumos - OPEX'!J$51,N408*'Insumos - OPEX'!J$76)</f>
        <v>1.7182496141937879E-3</v>
      </c>
      <c r="O1359" s="211">
        <f>IF($G1359="PAX",O408*'Insumos - OPEX'!K$51,O408*'Insumos - OPEX'!K$76)</f>
        <v>1.71206513237254E-3</v>
      </c>
      <c r="P1359" s="211">
        <f>IF($G1359="PAX",P408*'Insumos - OPEX'!L$51,P408*'Insumos - OPEX'!L$76)</f>
        <v>1.7014649181739422E-3</v>
      </c>
      <c r="Q1359" s="211">
        <f>IF($G1359="PAX",Q408*'Insumos - OPEX'!M$51,Q408*'Insumos - OPEX'!M$76)</f>
        <v>1.711796259720715E-3</v>
      </c>
      <c r="R1359" s="211">
        <f>IF($G1359="PAX",R408*'Insumos - OPEX'!N$51,R408*'Insumos - OPEX'!N$76)</f>
        <v>1.7159720046360434E-3</v>
      </c>
      <c r="S1359" s="111"/>
    </row>
    <row r="1360" spans="1:19" x14ac:dyDescent="0.2">
      <c r="A1360" s="8"/>
      <c r="B1360" s="8" t="s">
        <v>435</v>
      </c>
      <c r="C1360" s="8" t="s">
        <v>174</v>
      </c>
      <c r="D1360" s="8">
        <v>6390000001</v>
      </c>
      <c r="E1360" s="8" t="s">
        <v>368</v>
      </c>
      <c r="F1360" s="73" t="s">
        <v>23</v>
      </c>
      <c r="G1360" s="73" t="s">
        <v>136</v>
      </c>
      <c r="H1360" s="112" t="s">
        <v>61</v>
      </c>
      <c r="I1360" s="13" t="s">
        <v>22</v>
      </c>
      <c r="K1360" s="187"/>
      <c r="L1360" s="187"/>
      <c r="M1360" s="188">
        <f>IF($G1360="PAX",M409*'Insumos - OPEX'!I$51,M409*'Insumos - OPEX'!I$76)</f>
        <v>0</v>
      </c>
      <c r="N1360" s="211">
        <f>IF($G1360="PAX",N409*'Insumos - OPEX'!J$51,N409*'Insumos - OPEX'!J$76)</f>
        <v>0</v>
      </c>
      <c r="O1360" s="211">
        <f>IF($G1360="PAX",O409*'Insumos - OPEX'!K$51,O409*'Insumos - OPEX'!K$76)</f>
        <v>0</v>
      </c>
      <c r="P1360" s="211">
        <f>IF($G1360="PAX",P409*'Insumos - OPEX'!L$51,P409*'Insumos - OPEX'!L$76)</f>
        <v>0</v>
      </c>
      <c r="Q1360" s="211">
        <f>IF($G1360="PAX",Q409*'Insumos - OPEX'!M$51,Q409*'Insumos - OPEX'!M$76)</f>
        <v>0</v>
      </c>
      <c r="R1360" s="211">
        <f>IF($G1360="PAX",R409*'Insumos - OPEX'!N$51,R409*'Insumos - OPEX'!N$76)</f>
        <v>0</v>
      </c>
      <c r="S1360" s="111"/>
    </row>
    <row r="1361" spans="1:19" x14ac:dyDescent="0.2">
      <c r="A1361" s="8"/>
      <c r="B1361" s="8" t="s">
        <v>435</v>
      </c>
      <c r="C1361" s="8" t="s">
        <v>174</v>
      </c>
      <c r="D1361" s="8">
        <v>6380000005</v>
      </c>
      <c r="E1361" s="8" t="s">
        <v>274</v>
      </c>
      <c r="F1361" s="73" t="s">
        <v>23</v>
      </c>
      <c r="G1361" s="73" t="s">
        <v>136</v>
      </c>
      <c r="H1361" s="112" t="s">
        <v>61</v>
      </c>
      <c r="I1361" s="13" t="s">
        <v>22</v>
      </c>
      <c r="K1361" s="187"/>
      <c r="L1361" s="187"/>
      <c r="M1361" s="188">
        <f>IF($G1361="PAX",M410*'Insumos - OPEX'!I$51,M410*'Insumos - OPEX'!I$76)</f>
        <v>0</v>
      </c>
      <c r="N1361" s="211">
        <f>IF($G1361="PAX",N410*'Insumos - OPEX'!J$51,N410*'Insumos - OPEX'!J$76)</f>
        <v>0</v>
      </c>
      <c r="O1361" s="211">
        <f>IF($G1361="PAX",O410*'Insumos - OPEX'!K$51,O410*'Insumos - OPEX'!K$76)</f>
        <v>0</v>
      </c>
      <c r="P1361" s="211">
        <f>IF($G1361="PAX",P410*'Insumos - OPEX'!L$51,P410*'Insumos - OPEX'!L$76)</f>
        <v>0</v>
      </c>
      <c r="Q1361" s="211">
        <f>IF($G1361="PAX",Q410*'Insumos - OPEX'!M$51,Q410*'Insumos - OPEX'!M$76)</f>
        <v>0</v>
      </c>
      <c r="R1361" s="211">
        <f>IF($G1361="PAX",R410*'Insumos - OPEX'!N$51,R410*'Insumos - OPEX'!N$76)</f>
        <v>0</v>
      </c>
      <c r="S1361" s="111"/>
    </row>
    <row r="1362" spans="1:19" x14ac:dyDescent="0.2">
      <c r="A1362" s="8"/>
      <c r="B1362" s="8" t="s">
        <v>435</v>
      </c>
      <c r="C1362" s="8" t="s">
        <v>174</v>
      </c>
      <c r="D1362" s="8">
        <v>6562000001</v>
      </c>
      <c r="E1362" s="8" t="s">
        <v>373</v>
      </c>
      <c r="F1362" s="73" t="s">
        <v>23</v>
      </c>
      <c r="G1362" s="73" t="s">
        <v>136</v>
      </c>
      <c r="H1362" s="112" t="s">
        <v>61</v>
      </c>
      <c r="I1362" s="13" t="s">
        <v>22</v>
      </c>
      <c r="K1362" s="187"/>
      <c r="L1362" s="187"/>
      <c r="M1362" s="188">
        <f>IF($G1362="PAX",M411*'Insumos - OPEX'!I$51,M411*'Insumos - OPEX'!I$76)</f>
        <v>0</v>
      </c>
      <c r="N1362" s="211">
        <f>IF($G1362="PAX",N411*'Insumos - OPEX'!J$51,N411*'Insumos - OPEX'!J$76)</f>
        <v>0</v>
      </c>
      <c r="O1362" s="211">
        <f>IF($G1362="PAX",O411*'Insumos - OPEX'!K$51,O411*'Insumos - OPEX'!K$76)</f>
        <v>0</v>
      </c>
      <c r="P1362" s="211">
        <f>IF($G1362="PAX",P411*'Insumos - OPEX'!L$51,P411*'Insumos - OPEX'!L$76)</f>
        <v>0</v>
      </c>
      <c r="Q1362" s="211">
        <f>IF($G1362="PAX",Q411*'Insumos - OPEX'!M$51,Q411*'Insumos - OPEX'!M$76)</f>
        <v>0</v>
      </c>
      <c r="R1362" s="211">
        <f>IF($G1362="PAX",R411*'Insumos - OPEX'!N$51,R411*'Insumos - OPEX'!N$76)</f>
        <v>0</v>
      </c>
      <c r="S1362" s="111"/>
    </row>
    <row r="1363" spans="1:19" x14ac:dyDescent="0.2">
      <c r="A1363" s="8"/>
      <c r="B1363" s="8" t="s">
        <v>435</v>
      </c>
      <c r="C1363" s="8" t="s">
        <v>174</v>
      </c>
      <c r="D1363" s="8">
        <v>6562000004</v>
      </c>
      <c r="E1363" s="8" t="s">
        <v>377</v>
      </c>
      <c r="F1363" s="73" t="s">
        <v>23</v>
      </c>
      <c r="G1363" s="73" t="s">
        <v>136</v>
      </c>
      <c r="H1363" s="112" t="s">
        <v>61</v>
      </c>
      <c r="I1363" s="13" t="s">
        <v>22</v>
      </c>
      <c r="J1363" s="11"/>
      <c r="K1363" s="187"/>
      <c r="L1363" s="187"/>
      <c r="M1363" s="188">
        <f>IF($G1363="PAX",M412*'Insumos - OPEX'!I$51,M412*'Insumos - OPEX'!I$76)</f>
        <v>0</v>
      </c>
      <c r="N1363" s="211">
        <f>IF($G1363="PAX",N412*'Insumos - OPEX'!J$51,N412*'Insumos - OPEX'!J$76)</f>
        <v>0</v>
      </c>
      <c r="O1363" s="211">
        <f>IF($G1363="PAX",O412*'Insumos - OPEX'!K$51,O412*'Insumos - OPEX'!K$76)</f>
        <v>0</v>
      </c>
      <c r="P1363" s="211">
        <f>IF($G1363="PAX",P412*'Insumos - OPEX'!L$51,P412*'Insumos - OPEX'!L$76)</f>
        <v>0</v>
      </c>
      <c r="Q1363" s="211">
        <f>IF($G1363="PAX",Q412*'Insumos - OPEX'!M$51,Q412*'Insumos - OPEX'!M$76)</f>
        <v>0</v>
      </c>
      <c r="R1363" s="211">
        <f>IF($G1363="PAX",R412*'Insumos - OPEX'!N$51,R412*'Insumos - OPEX'!N$76)</f>
        <v>0</v>
      </c>
      <c r="S1363" s="111"/>
    </row>
    <row r="1364" spans="1:19" x14ac:dyDescent="0.2">
      <c r="A1364" s="8"/>
      <c r="B1364" s="8" t="s">
        <v>435</v>
      </c>
      <c r="C1364" s="8" t="s">
        <v>174</v>
      </c>
      <c r="D1364" s="8">
        <v>6590000010</v>
      </c>
      <c r="E1364" s="8" t="s">
        <v>381</v>
      </c>
      <c r="F1364" s="73" t="s">
        <v>23</v>
      </c>
      <c r="G1364" s="73" t="s">
        <v>136</v>
      </c>
      <c r="H1364" s="112" t="s">
        <v>61</v>
      </c>
      <c r="I1364" s="13" t="s">
        <v>22</v>
      </c>
      <c r="K1364" s="187"/>
      <c r="L1364" s="187"/>
      <c r="M1364" s="188">
        <f>IF($G1364="PAX",M413*'Insumos - OPEX'!I$51,M413*'Insumos - OPEX'!I$76)</f>
        <v>0</v>
      </c>
      <c r="N1364" s="211">
        <f>IF($G1364="PAX",N413*'Insumos - OPEX'!J$51,N413*'Insumos - OPEX'!J$76)</f>
        <v>0</v>
      </c>
      <c r="O1364" s="211">
        <f>IF($G1364="PAX",O413*'Insumos - OPEX'!K$51,O413*'Insumos - OPEX'!K$76)</f>
        <v>0</v>
      </c>
      <c r="P1364" s="211">
        <f>IF($G1364="PAX",P413*'Insumos - OPEX'!L$51,P413*'Insumos - OPEX'!L$76)</f>
        <v>0</v>
      </c>
      <c r="Q1364" s="211">
        <f>IF($G1364="PAX",Q413*'Insumos - OPEX'!M$51,Q413*'Insumos - OPEX'!M$76)</f>
        <v>0</v>
      </c>
      <c r="R1364" s="211">
        <f>IF($G1364="PAX",R413*'Insumos - OPEX'!N$51,R413*'Insumos - OPEX'!N$76)</f>
        <v>0</v>
      </c>
      <c r="S1364" s="111"/>
    </row>
    <row r="1365" spans="1:19" x14ac:dyDescent="0.2">
      <c r="A1365" s="8"/>
      <c r="B1365" s="8" t="s">
        <v>435</v>
      </c>
      <c r="C1365" s="8" t="s">
        <v>174</v>
      </c>
      <c r="D1365" s="8">
        <v>6563000001</v>
      </c>
      <c r="E1365" s="8" t="s">
        <v>383</v>
      </c>
      <c r="F1365" s="73" t="s">
        <v>23</v>
      </c>
      <c r="G1365" s="73" t="s">
        <v>136</v>
      </c>
      <c r="H1365" s="112" t="s">
        <v>61</v>
      </c>
      <c r="I1365" s="13" t="s">
        <v>22</v>
      </c>
      <c r="K1365" s="187"/>
      <c r="L1365" s="187"/>
      <c r="M1365" s="188">
        <f>IF($G1365="PAX",M414*'Insumos - OPEX'!I$51,M414*'Insumos - OPEX'!I$76)</f>
        <v>0</v>
      </c>
      <c r="N1365" s="211">
        <f>IF($G1365="PAX",N414*'Insumos - OPEX'!J$51,N414*'Insumos - OPEX'!J$76)</f>
        <v>0</v>
      </c>
      <c r="O1365" s="211">
        <f>IF($G1365="PAX",O414*'Insumos - OPEX'!K$51,O414*'Insumos - OPEX'!K$76)</f>
        <v>0</v>
      </c>
      <c r="P1365" s="211">
        <f>IF($G1365="PAX",P414*'Insumos - OPEX'!L$51,P414*'Insumos - OPEX'!L$76)</f>
        <v>0</v>
      </c>
      <c r="Q1365" s="211">
        <f>IF($G1365="PAX",Q414*'Insumos - OPEX'!M$51,Q414*'Insumos - OPEX'!M$76)</f>
        <v>0</v>
      </c>
      <c r="R1365" s="211">
        <f>IF($G1365="PAX",R414*'Insumos - OPEX'!N$51,R414*'Insumos - OPEX'!N$76)</f>
        <v>0</v>
      </c>
      <c r="S1365" s="111"/>
    </row>
    <row r="1366" spans="1:19" x14ac:dyDescent="0.2">
      <c r="A1366" s="8"/>
      <c r="B1366" s="8" t="s">
        <v>435</v>
      </c>
      <c r="C1366" s="8" t="s">
        <v>174</v>
      </c>
      <c r="D1366" s="8">
        <v>6590000003</v>
      </c>
      <c r="E1366" s="8" t="s">
        <v>372</v>
      </c>
      <c r="F1366" s="73" t="s">
        <v>23</v>
      </c>
      <c r="G1366" s="73" t="s">
        <v>136</v>
      </c>
      <c r="H1366" s="112" t="s">
        <v>61</v>
      </c>
      <c r="I1366" s="13" t="s">
        <v>22</v>
      </c>
      <c r="K1366" s="187"/>
      <c r="L1366" s="187"/>
      <c r="M1366" s="188">
        <f>IF($G1366="PAX",M415*'Insumos - OPEX'!I$51,M415*'Insumos - OPEX'!I$76)</f>
        <v>0</v>
      </c>
      <c r="N1366" s="211">
        <f>IF($G1366="PAX",N415*'Insumos - OPEX'!J$51,N415*'Insumos - OPEX'!J$76)</f>
        <v>0</v>
      </c>
      <c r="O1366" s="211">
        <f>IF($G1366="PAX",O415*'Insumos - OPEX'!K$51,O415*'Insumos - OPEX'!K$76)</f>
        <v>0</v>
      </c>
      <c r="P1366" s="211">
        <f>IF($G1366="PAX",P415*'Insumos - OPEX'!L$51,P415*'Insumos - OPEX'!L$76)</f>
        <v>0</v>
      </c>
      <c r="Q1366" s="211">
        <f>IF($G1366="PAX",Q415*'Insumos - OPEX'!M$51,Q415*'Insumos - OPEX'!M$76)</f>
        <v>0</v>
      </c>
      <c r="R1366" s="211">
        <f>IF($G1366="PAX",R415*'Insumos - OPEX'!N$51,R415*'Insumos - OPEX'!N$76)</f>
        <v>0</v>
      </c>
      <c r="S1366" s="111"/>
    </row>
    <row r="1367" spans="1:19" x14ac:dyDescent="0.2">
      <c r="A1367" s="8"/>
      <c r="B1367" s="8" t="s">
        <v>435</v>
      </c>
      <c r="C1367" s="8" t="s">
        <v>174</v>
      </c>
      <c r="D1367" s="8">
        <v>6563000002</v>
      </c>
      <c r="E1367" s="8" t="s">
        <v>385</v>
      </c>
      <c r="F1367" s="73" t="s">
        <v>23</v>
      </c>
      <c r="G1367" s="73" t="s">
        <v>136</v>
      </c>
      <c r="H1367" s="112" t="s">
        <v>61</v>
      </c>
      <c r="I1367" s="13" t="s">
        <v>22</v>
      </c>
      <c r="K1367" s="187"/>
      <c r="L1367" s="187"/>
      <c r="M1367" s="188">
        <f>IF($G1367="PAX",M416*'Insumos - OPEX'!I$51,M416*'Insumos - OPEX'!I$76)</f>
        <v>0</v>
      </c>
      <c r="N1367" s="211">
        <f>IF($G1367="PAX",N416*'Insumos - OPEX'!J$51,N416*'Insumos - OPEX'!J$76)</f>
        <v>0</v>
      </c>
      <c r="O1367" s="211">
        <f>IF($G1367="PAX",O416*'Insumos - OPEX'!K$51,O416*'Insumos - OPEX'!K$76)</f>
        <v>0</v>
      </c>
      <c r="P1367" s="211">
        <f>IF($G1367="PAX",P416*'Insumos - OPEX'!L$51,P416*'Insumos - OPEX'!L$76)</f>
        <v>0</v>
      </c>
      <c r="Q1367" s="211">
        <f>IF($G1367="PAX",Q416*'Insumos - OPEX'!M$51,Q416*'Insumos - OPEX'!M$76)</f>
        <v>0</v>
      </c>
      <c r="R1367" s="211">
        <f>IF($G1367="PAX",R416*'Insumos - OPEX'!N$51,R416*'Insumos - OPEX'!N$76)</f>
        <v>0</v>
      </c>
      <c r="S1367" s="111"/>
    </row>
    <row r="1368" spans="1:19" x14ac:dyDescent="0.2">
      <c r="A1368" s="8"/>
      <c r="B1368" s="8" t="s">
        <v>435</v>
      </c>
      <c r="C1368" s="8" t="s">
        <v>174</v>
      </c>
      <c r="D1368" s="8">
        <v>6410000002</v>
      </c>
      <c r="E1368" s="8" t="s">
        <v>357</v>
      </c>
      <c r="F1368" s="73" t="s">
        <v>23</v>
      </c>
      <c r="G1368" s="73" t="s">
        <v>136</v>
      </c>
      <c r="H1368" s="112" t="s">
        <v>61</v>
      </c>
      <c r="I1368" s="13" t="s">
        <v>22</v>
      </c>
      <c r="K1368" s="187"/>
      <c r="L1368" s="187"/>
      <c r="M1368" s="188">
        <f>IF($G1368="PAX",M417*'Insumos - OPEX'!I$51,M417*'Insumos - OPEX'!I$76)</f>
        <v>0</v>
      </c>
      <c r="N1368" s="211">
        <f>IF($G1368="PAX",N417*'Insumos - OPEX'!J$51,N417*'Insumos - OPEX'!J$76)</f>
        <v>0</v>
      </c>
      <c r="O1368" s="211">
        <f>IF($G1368="PAX",O417*'Insumos - OPEX'!K$51,O417*'Insumos - OPEX'!K$76)</f>
        <v>0</v>
      </c>
      <c r="P1368" s="211">
        <f>IF($G1368="PAX",P417*'Insumos - OPEX'!L$51,P417*'Insumos - OPEX'!L$76)</f>
        <v>0</v>
      </c>
      <c r="Q1368" s="211">
        <f>IF($G1368="PAX",Q417*'Insumos - OPEX'!M$51,Q417*'Insumos - OPEX'!M$76)</f>
        <v>0</v>
      </c>
      <c r="R1368" s="211">
        <f>IF($G1368="PAX",R417*'Insumos - OPEX'!N$51,R417*'Insumos - OPEX'!N$76)</f>
        <v>0</v>
      </c>
      <c r="S1368" s="111"/>
    </row>
    <row r="1369" spans="1:19" x14ac:dyDescent="0.2">
      <c r="A1369" s="8"/>
      <c r="B1369" s="8" t="s">
        <v>435</v>
      </c>
      <c r="C1369" s="8" t="s">
        <v>174</v>
      </c>
      <c r="D1369" s="8">
        <v>6563000003</v>
      </c>
      <c r="E1369" s="8" t="s">
        <v>387</v>
      </c>
      <c r="F1369" s="73" t="s">
        <v>23</v>
      </c>
      <c r="G1369" s="73" t="s">
        <v>136</v>
      </c>
      <c r="H1369" s="112" t="s">
        <v>61</v>
      </c>
      <c r="I1369" s="13" t="s">
        <v>22</v>
      </c>
      <c r="K1369" s="187"/>
      <c r="L1369" s="187"/>
      <c r="M1369" s="188">
        <f>IF($G1369="PAX",M418*'Insumos - OPEX'!I$51,M418*'Insumos - OPEX'!I$76)</f>
        <v>0</v>
      </c>
      <c r="N1369" s="211">
        <f>IF($G1369="PAX",N418*'Insumos - OPEX'!J$51,N418*'Insumos - OPEX'!J$76)</f>
        <v>0</v>
      </c>
      <c r="O1369" s="211">
        <f>IF($G1369="PAX",O418*'Insumos - OPEX'!K$51,O418*'Insumos - OPEX'!K$76)</f>
        <v>0</v>
      </c>
      <c r="P1369" s="211">
        <f>IF($G1369="PAX",P418*'Insumos - OPEX'!L$51,P418*'Insumos - OPEX'!L$76)</f>
        <v>0</v>
      </c>
      <c r="Q1369" s="211">
        <f>IF($G1369="PAX",Q418*'Insumos - OPEX'!M$51,Q418*'Insumos - OPEX'!M$76)</f>
        <v>0</v>
      </c>
      <c r="R1369" s="211">
        <f>IF($G1369="PAX",R418*'Insumos - OPEX'!N$51,R418*'Insumos - OPEX'!N$76)</f>
        <v>0</v>
      </c>
      <c r="S1369" s="111"/>
    </row>
    <row r="1370" spans="1:19" x14ac:dyDescent="0.2">
      <c r="A1370" s="8"/>
      <c r="B1370" s="8" t="s">
        <v>435</v>
      </c>
      <c r="C1370" s="8" t="s">
        <v>174</v>
      </c>
      <c r="D1370" s="8">
        <v>6590000007</v>
      </c>
      <c r="E1370" s="8" t="s">
        <v>382</v>
      </c>
      <c r="F1370" s="73" t="s">
        <v>23</v>
      </c>
      <c r="G1370" s="73" t="s">
        <v>136</v>
      </c>
      <c r="H1370" s="112" t="s">
        <v>61</v>
      </c>
      <c r="I1370" s="13" t="s">
        <v>22</v>
      </c>
      <c r="K1370" s="187"/>
      <c r="L1370" s="187"/>
      <c r="M1370" s="188">
        <f>IF($G1370="PAX",M419*'Insumos - OPEX'!I$51,M419*'Insumos - OPEX'!I$76)</f>
        <v>0</v>
      </c>
      <c r="N1370" s="211">
        <f>IF($G1370="PAX",N419*'Insumos - OPEX'!J$51,N419*'Insumos - OPEX'!J$76)</f>
        <v>0</v>
      </c>
      <c r="O1370" s="211">
        <f>IF($G1370="PAX",O419*'Insumos - OPEX'!K$51,O419*'Insumos - OPEX'!K$76)</f>
        <v>0</v>
      </c>
      <c r="P1370" s="211">
        <f>IF($G1370="PAX",P419*'Insumos - OPEX'!L$51,P419*'Insumos - OPEX'!L$76)</f>
        <v>0</v>
      </c>
      <c r="Q1370" s="211">
        <f>IF($G1370="PAX",Q419*'Insumos - OPEX'!M$51,Q419*'Insumos - OPEX'!M$76)</f>
        <v>0</v>
      </c>
      <c r="R1370" s="211">
        <f>IF($G1370="PAX",R419*'Insumos - OPEX'!N$51,R419*'Insumos - OPEX'!N$76)</f>
        <v>0</v>
      </c>
      <c r="S1370" s="111"/>
    </row>
    <row r="1371" spans="1:19" x14ac:dyDescent="0.2">
      <c r="A1371" s="8"/>
      <c r="B1371" s="8" t="s">
        <v>435</v>
      </c>
      <c r="C1371" s="8" t="s">
        <v>174</v>
      </c>
      <c r="D1371" s="8">
        <v>6563000004</v>
      </c>
      <c r="E1371" s="8" t="s">
        <v>370</v>
      </c>
      <c r="F1371" s="73" t="s">
        <v>23</v>
      </c>
      <c r="G1371" s="73" t="s">
        <v>136</v>
      </c>
      <c r="H1371" s="112" t="s">
        <v>61</v>
      </c>
      <c r="I1371" s="13" t="s">
        <v>22</v>
      </c>
      <c r="K1371" s="187"/>
      <c r="L1371" s="187"/>
      <c r="M1371" s="188">
        <f>IF($G1371="PAX",M420*'Insumos - OPEX'!I$51,M420*'Insumos - OPEX'!I$76)</f>
        <v>0</v>
      </c>
      <c r="N1371" s="211">
        <f>IF($G1371="PAX",N420*'Insumos - OPEX'!J$51,N420*'Insumos - OPEX'!J$76)</f>
        <v>0</v>
      </c>
      <c r="O1371" s="211">
        <f>IF($G1371="PAX",O420*'Insumos - OPEX'!K$51,O420*'Insumos - OPEX'!K$76)</f>
        <v>0</v>
      </c>
      <c r="P1371" s="211">
        <f>IF($G1371="PAX",P420*'Insumos - OPEX'!L$51,P420*'Insumos - OPEX'!L$76)</f>
        <v>0</v>
      </c>
      <c r="Q1371" s="211">
        <f>IF($G1371="PAX",Q420*'Insumos - OPEX'!M$51,Q420*'Insumos - OPEX'!M$76)</f>
        <v>0</v>
      </c>
      <c r="R1371" s="211">
        <f>IF($G1371="PAX",R420*'Insumos - OPEX'!N$51,R420*'Insumos - OPEX'!N$76)</f>
        <v>0</v>
      </c>
      <c r="S1371" s="111"/>
    </row>
    <row r="1372" spans="1:19" x14ac:dyDescent="0.2">
      <c r="A1372" s="8"/>
      <c r="B1372" s="8" t="s">
        <v>435</v>
      </c>
      <c r="C1372" s="8" t="s">
        <v>174</v>
      </c>
      <c r="D1372" s="8">
        <v>6840000001</v>
      </c>
      <c r="E1372" s="8" t="s">
        <v>374</v>
      </c>
      <c r="F1372" s="73" t="s">
        <v>23</v>
      </c>
      <c r="G1372" s="73" t="s">
        <v>136</v>
      </c>
      <c r="H1372" s="112" t="s">
        <v>61</v>
      </c>
      <c r="I1372" s="13" t="s">
        <v>22</v>
      </c>
      <c r="K1372" s="187"/>
      <c r="L1372" s="187"/>
      <c r="M1372" s="188">
        <f>IF($G1372="PAX",M421*'Insumos - OPEX'!I$51,M421*'Insumos - OPEX'!I$76)</f>
        <v>0</v>
      </c>
      <c r="N1372" s="211">
        <f>IF($G1372="PAX",N421*'Insumos - OPEX'!J$51,N421*'Insumos - OPEX'!J$76)</f>
        <v>0</v>
      </c>
      <c r="O1372" s="211">
        <f>IF($G1372="PAX",O421*'Insumos - OPEX'!K$51,O421*'Insumos - OPEX'!K$76)</f>
        <v>0</v>
      </c>
      <c r="P1372" s="211">
        <f>IF($G1372="PAX",P421*'Insumos - OPEX'!L$51,P421*'Insumos - OPEX'!L$76)</f>
        <v>0</v>
      </c>
      <c r="Q1372" s="211">
        <f>IF($G1372="PAX",Q421*'Insumos - OPEX'!M$51,Q421*'Insumos - OPEX'!M$76)</f>
        <v>0</v>
      </c>
      <c r="R1372" s="211">
        <f>IF($G1372="PAX",R421*'Insumos - OPEX'!N$51,R421*'Insumos - OPEX'!N$76)</f>
        <v>0</v>
      </c>
      <c r="S1372" s="111"/>
    </row>
    <row r="1373" spans="1:19" x14ac:dyDescent="0.2">
      <c r="A1373" s="8"/>
      <c r="B1373" s="8" t="s">
        <v>435</v>
      </c>
      <c r="C1373" s="8" t="s">
        <v>174</v>
      </c>
      <c r="D1373" s="8">
        <v>6563000005</v>
      </c>
      <c r="E1373" s="8" t="s">
        <v>376</v>
      </c>
      <c r="F1373" s="73" t="s">
        <v>23</v>
      </c>
      <c r="G1373" s="73" t="s">
        <v>136</v>
      </c>
      <c r="H1373" s="112" t="s">
        <v>61</v>
      </c>
      <c r="I1373" s="13" t="s">
        <v>22</v>
      </c>
      <c r="K1373" s="187"/>
      <c r="L1373" s="187"/>
      <c r="M1373" s="188">
        <f>IF($G1373="PAX",M422*'Insumos - OPEX'!I$51,M422*'Insumos - OPEX'!I$76)</f>
        <v>0</v>
      </c>
      <c r="N1373" s="211">
        <f>IF($G1373="PAX",N422*'Insumos - OPEX'!J$51,N422*'Insumos - OPEX'!J$76)</f>
        <v>0</v>
      </c>
      <c r="O1373" s="211">
        <f>IF($G1373="PAX",O422*'Insumos - OPEX'!K$51,O422*'Insumos - OPEX'!K$76)</f>
        <v>0</v>
      </c>
      <c r="P1373" s="211">
        <f>IF($G1373="PAX",P422*'Insumos - OPEX'!L$51,P422*'Insumos - OPEX'!L$76)</f>
        <v>0</v>
      </c>
      <c r="Q1373" s="211">
        <f>IF($G1373="PAX",Q422*'Insumos - OPEX'!M$51,Q422*'Insumos - OPEX'!M$76)</f>
        <v>0</v>
      </c>
      <c r="R1373" s="211">
        <f>IF($G1373="PAX",R422*'Insumos - OPEX'!N$51,R422*'Insumos - OPEX'!N$76)</f>
        <v>0</v>
      </c>
      <c r="S1373" s="111"/>
    </row>
    <row r="1374" spans="1:19" x14ac:dyDescent="0.2">
      <c r="A1374" s="8"/>
      <c r="B1374" s="8" t="s">
        <v>435</v>
      </c>
      <c r="C1374" s="8" t="s">
        <v>174</v>
      </c>
      <c r="D1374" s="8">
        <v>6380000003</v>
      </c>
      <c r="E1374" s="8" t="s">
        <v>375</v>
      </c>
      <c r="F1374" s="73" t="s">
        <v>23</v>
      </c>
      <c r="G1374" s="73" t="s">
        <v>136</v>
      </c>
      <c r="H1374" s="112" t="s">
        <v>61</v>
      </c>
      <c r="I1374" s="13" t="s">
        <v>22</v>
      </c>
      <c r="K1374" s="187"/>
      <c r="L1374" s="187"/>
      <c r="M1374" s="188">
        <f>IF($G1374="PAX",M423*'Insumos - OPEX'!I$51,M423*'Insumos - OPEX'!I$76)</f>
        <v>0</v>
      </c>
      <c r="N1374" s="211">
        <f>IF($G1374="PAX",N423*'Insumos - OPEX'!J$51,N423*'Insumos - OPEX'!J$76)</f>
        <v>0</v>
      </c>
      <c r="O1374" s="211">
        <f>IF($G1374="PAX",O423*'Insumos - OPEX'!K$51,O423*'Insumos - OPEX'!K$76)</f>
        <v>0</v>
      </c>
      <c r="P1374" s="211">
        <f>IF($G1374="PAX",P423*'Insumos - OPEX'!L$51,P423*'Insumos - OPEX'!L$76)</f>
        <v>0</v>
      </c>
      <c r="Q1374" s="211">
        <f>IF($G1374="PAX",Q423*'Insumos - OPEX'!M$51,Q423*'Insumos - OPEX'!M$76)</f>
        <v>0</v>
      </c>
      <c r="R1374" s="211">
        <f>IF($G1374="PAX",R423*'Insumos - OPEX'!N$51,R423*'Insumos - OPEX'!N$76)</f>
        <v>0</v>
      </c>
      <c r="S1374" s="111"/>
    </row>
    <row r="1375" spans="1:19" x14ac:dyDescent="0.2">
      <c r="A1375" s="8"/>
      <c r="B1375" s="8" t="s">
        <v>435</v>
      </c>
      <c r="C1375" s="8" t="s">
        <v>174</v>
      </c>
      <c r="D1375" s="8">
        <v>6562000002</v>
      </c>
      <c r="E1375" s="8" t="s">
        <v>388</v>
      </c>
      <c r="F1375" s="73" t="s">
        <v>23</v>
      </c>
      <c r="G1375" s="73" t="s">
        <v>136</v>
      </c>
      <c r="H1375" s="112" t="s">
        <v>61</v>
      </c>
      <c r="I1375" s="13" t="s">
        <v>22</v>
      </c>
      <c r="K1375" s="187"/>
      <c r="L1375" s="187"/>
      <c r="M1375" s="188">
        <f>IF($G1375="PAX",M424*'Insumos - OPEX'!I$51,M424*'Insumos - OPEX'!I$76)</f>
        <v>0</v>
      </c>
      <c r="N1375" s="211">
        <f>IF($G1375="PAX",N424*'Insumos - OPEX'!J$51,N424*'Insumos - OPEX'!J$76)</f>
        <v>0</v>
      </c>
      <c r="O1375" s="211">
        <f>IF($G1375="PAX",O424*'Insumos - OPEX'!K$51,O424*'Insumos - OPEX'!K$76)</f>
        <v>0</v>
      </c>
      <c r="P1375" s="211">
        <f>IF($G1375="PAX",P424*'Insumos - OPEX'!L$51,P424*'Insumos - OPEX'!L$76)</f>
        <v>0</v>
      </c>
      <c r="Q1375" s="211">
        <f>IF($G1375="PAX",Q424*'Insumos - OPEX'!M$51,Q424*'Insumos - OPEX'!M$76)</f>
        <v>0</v>
      </c>
      <c r="R1375" s="211">
        <f>IF($G1375="PAX",R424*'Insumos - OPEX'!N$51,R424*'Insumos - OPEX'!N$76)</f>
        <v>0</v>
      </c>
      <c r="S1375" s="111"/>
    </row>
    <row r="1376" spans="1:19" x14ac:dyDescent="0.2">
      <c r="A1376" s="8"/>
      <c r="B1376" s="8" t="s">
        <v>435</v>
      </c>
      <c r="C1376" s="8" t="s">
        <v>173</v>
      </c>
      <c r="D1376" s="8">
        <v>6347000001</v>
      </c>
      <c r="E1376" s="8" t="s">
        <v>394</v>
      </c>
      <c r="F1376" s="73" t="s">
        <v>23</v>
      </c>
      <c r="G1376" s="73" t="s">
        <v>136</v>
      </c>
      <c r="H1376" s="112" t="s">
        <v>61</v>
      </c>
      <c r="I1376" s="13" t="s">
        <v>22</v>
      </c>
      <c r="K1376" s="187"/>
      <c r="L1376" s="187"/>
      <c r="M1376" s="188">
        <f>IF($G1376="PAX",M425*'Insumos - OPEX'!I$51,M425*'Insumos - OPEX'!I$76)</f>
        <v>39777.6071592347</v>
      </c>
      <c r="N1376" s="211">
        <f>IF($G1376="PAX",N425*'Insumos - OPEX'!J$51,N425*'Insumos - OPEX'!J$76)</f>
        <v>38857.789730747631</v>
      </c>
      <c r="O1376" s="211">
        <f>IF($G1376="PAX",O425*'Insumos - OPEX'!K$51,O425*'Insumos - OPEX'!K$76)</f>
        <v>38717.929205118213</v>
      </c>
      <c r="P1376" s="211">
        <f>IF($G1376="PAX",P425*'Insumos - OPEX'!L$51,P425*'Insumos - OPEX'!L$76)</f>
        <v>38478.207984739376</v>
      </c>
      <c r="Q1376" s="211">
        <f>IF($G1376="PAX",Q425*'Insumos - OPEX'!M$51,Q425*'Insumos - OPEX'!M$76)</f>
        <v>38711.848716647466</v>
      </c>
      <c r="R1376" s="211">
        <f>IF($G1376="PAX",R425*'Insumos - OPEX'!N$51,R425*'Insumos - OPEX'!N$76)</f>
        <v>38806.282154344008</v>
      </c>
      <c r="S1376" s="111"/>
    </row>
    <row r="1377" spans="1:19" x14ac:dyDescent="0.2">
      <c r="A1377" s="8"/>
      <c r="B1377" s="8" t="s">
        <v>435</v>
      </c>
      <c r="C1377" s="8" t="s">
        <v>173</v>
      </c>
      <c r="D1377" s="8">
        <v>6343000001</v>
      </c>
      <c r="E1377" s="8" t="s">
        <v>389</v>
      </c>
      <c r="F1377" s="73" t="s">
        <v>23</v>
      </c>
      <c r="G1377" s="73" t="s">
        <v>136</v>
      </c>
      <c r="H1377" s="112" t="s">
        <v>61</v>
      </c>
      <c r="I1377" s="13" t="s">
        <v>22</v>
      </c>
      <c r="K1377" s="187"/>
      <c r="L1377" s="187"/>
      <c r="M1377" s="188">
        <f>IF($G1377="PAX",M426*'Insumos - OPEX'!I$51,M426*'Insumos - OPEX'!I$76)</f>
        <v>6392.8594083512917</v>
      </c>
      <c r="N1377" s="211">
        <f>IF($G1377="PAX",N426*'Insumos - OPEX'!J$51,N426*'Insumos - OPEX'!J$76)</f>
        <v>6245.0309208776825</v>
      </c>
      <c r="O1377" s="211">
        <f>IF($G1377="PAX",O426*'Insumos - OPEX'!K$51,O426*'Insumos - OPEX'!K$76)</f>
        <v>6222.5532320225502</v>
      </c>
      <c r="P1377" s="211">
        <f>IF($G1377="PAX",P426*'Insumos - OPEX'!L$51,P426*'Insumos - OPEX'!L$76)</f>
        <v>6184.0264284130344</v>
      </c>
      <c r="Q1377" s="211">
        <f>IF($G1377="PAX",Q426*'Insumos - OPEX'!M$51,Q426*'Insumos - OPEX'!M$76)</f>
        <v>6221.5760061232659</v>
      </c>
      <c r="R1377" s="211">
        <f>IF($G1377="PAX",R426*'Insumos - OPEX'!N$51,R426*'Insumos - OPEX'!N$76)</f>
        <v>6236.7528790866036</v>
      </c>
      <c r="S1377" s="111"/>
    </row>
    <row r="1378" spans="1:19" x14ac:dyDescent="0.2">
      <c r="A1378" s="8"/>
      <c r="B1378" s="8" t="s">
        <v>435</v>
      </c>
      <c r="C1378" s="8" t="s">
        <v>173</v>
      </c>
      <c r="D1378" s="8">
        <v>6343000002</v>
      </c>
      <c r="E1378" s="8" t="s">
        <v>391</v>
      </c>
      <c r="F1378" s="73" t="s">
        <v>23</v>
      </c>
      <c r="G1378" s="73" t="s">
        <v>136</v>
      </c>
      <c r="H1378" s="112" t="s">
        <v>61</v>
      </c>
      <c r="I1378" s="13" t="s">
        <v>22</v>
      </c>
      <c r="K1378" s="187"/>
      <c r="L1378" s="187"/>
      <c r="M1378" s="188">
        <f>IF($G1378="PAX",M427*'Insumos - OPEX'!I$51,M427*'Insumos - OPEX'!I$76)</f>
        <v>1536.4512832599592</v>
      </c>
      <c r="N1378" s="211">
        <f>IF($G1378="PAX",N427*'Insumos - OPEX'!J$51,N427*'Insumos - OPEX'!J$76)</f>
        <v>1500.9223822200752</v>
      </c>
      <c r="O1378" s="211">
        <f>IF($G1378="PAX",O427*'Insumos - OPEX'!K$51,O427*'Insumos - OPEX'!K$76)</f>
        <v>1495.5201245322132</v>
      </c>
      <c r="P1378" s="211">
        <f>IF($G1378="PAX",P427*'Insumos - OPEX'!L$51,P427*'Insumos - OPEX'!L$76)</f>
        <v>1486.2606440611712</v>
      </c>
      <c r="Q1378" s="211">
        <f>IF($G1378="PAX",Q427*'Insumos - OPEX'!M$51,Q427*'Insumos - OPEX'!M$76)</f>
        <v>1495.2852593660828</v>
      </c>
      <c r="R1378" s="211">
        <f>IF($G1378="PAX",R427*'Insumos - OPEX'!N$51,R427*'Insumos - OPEX'!N$76)</f>
        <v>1498.9328487233479</v>
      </c>
      <c r="S1378" s="111"/>
    </row>
    <row r="1379" spans="1:19" x14ac:dyDescent="0.2">
      <c r="A1379" s="8"/>
      <c r="B1379" s="8" t="s">
        <v>435</v>
      </c>
      <c r="C1379" s="8" t="s">
        <v>173</v>
      </c>
      <c r="D1379" s="8">
        <v>6341100002</v>
      </c>
      <c r="E1379" s="8" t="s">
        <v>398</v>
      </c>
      <c r="F1379" s="73" t="s">
        <v>23</v>
      </c>
      <c r="G1379" s="73" t="s">
        <v>136</v>
      </c>
      <c r="H1379" s="112" t="s">
        <v>61</v>
      </c>
      <c r="I1379" s="13" t="s">
        <v>22</v>
      </c>
      <c r="K1379" s="187"/>
      <c r="L1379" s="187"/>
      <c r="M1379" s="188">
        <f>IF($G1379="PAX",M428*'Insumos - OPEX'!I$51,M428*'Insumos - OPEX'!I$76)</f>
        <v>849.20154803056835</v>
      </c>
      <c r="N1379" s="211">
        <f>IF($G1379="PAX",N428*'Insumos - OPEX'!J$51,N428*'Insumos - OPEX'!J$76)</f>
        <v>829.56461056849741</v>
      </c>
      <c r="O1379" s="211">
        <f>IF($G1379="PAX",O428*'Insumos - OPEX'!K$51,O428*'Insumos - OPEX'!K$76)</f>
        <v>826.5787654321266</v>
      </c>
      <c r="P1379" s="211">
        <f>IF($G1379="PAX",P428*'Insumos - OPEX'!L$51,P428*'Insumos - OPEX'!L$76)</f>
        <v>821.46102090248303</v>
      </c>
      <c r="Q1379" s="211">
        <f>IF($G1379="PAX",Q428*'Insumos - OPEX'!M$51,Q428*'Insumos - OPEX'!M$76)</f>
        <v>826.44895470214806</v>
      </c>
      <c r="R1379" s="211">
        <f>IF($G1379="PAX",R428*'Insumos - OPEX'!N$51,R428*'Insumos - OPEX'!N$76)</f>
        <v>828.46498902911821</v>
      </c>
      <c r="S1379" s="111"/>
    </row>
    <row r="1380" spans="1:19" x14ac:dyDescent="0.2">
      <c r="A1380" s="8"/>
      <c r="B1380" s="8" t="s">
        <v>435</v>
      </c>
      <c r="C1380" s="8" t="s">
        <v>173</v>
      </c>
      <c r="D1380" s="8">
        <v>6341100010</v>
      </c>
      <c r="E1380" s="8" t="s">
        <v>393</v>
      </c>
      <c r="F1380" s="73" t="s">
        <v>23</v>
      </c>
      <c r="G1380" s="73" t="s">
        <v>136</v>
      </c>
      <c r="H1380" s="112" t="s">
        <v>61</v>
      </c>
      <c r="I1380" s="13" t="s">
        <v>22</v>
      </c>
      <c r="K1380" s="187"/>
      <c r="L1380" s="187"/>
      <c r="M1380" s="188">
        <f>IF($G1380="PAX",M429*'Insumos - OPEX'!I$51,M429*'Insumos - OPEX'!I$76)</f>
        <v>824.68274275324984</v>
      </c>
      <c r="N1380" s="211">
        <f>IF($G1380="PAX",N429*'Insumos - OPEX'!J$51,N429*'Insumos - OPEX'!J$76)</f>
        <v>805.61277816939844</v>
      </c>
      <c r="O1380" s="211">
        <f>IF($G1380="PAX",O429*'Insumos - OPEX'!K$51,O429*'Insumos - OPEX'!K$76)</f>
        <v>802.71314266801562</v>
      </c>
      <c r="P1380" s="211">
        <f>IF($G1380="PAX",P429*'Insumos - OPEX'!L$51,P429*'Insumos - OPEX'!L$76)</f>
        <v>797.7431616249936</v>
      </c>
      <c r="Q1380" s="211">
        <f>IF($G1380="PAX",Q429*'Insumos - OPEX'!M$51,Q429*'Insumos - OPEX'!M$76)</f>
        <v>802.58707993404425</v>
      </c>
      <c r="R1380" s="211">
        <f>IF($G1380="PAX",R429*'Insumos - OPEX'!N$51,R429*'Insumos - OPEX'!N$76)</f>
        <v>804.5449057553775</v>
      </c>
      <c r="S1380" s="111"/>
    </row>
    <row r="1381" spans="1:19" x14ac:dyDescent="0.2">
      <c r="A1381" s="8"/>
      <c r="B1381" s="8" t="s">
        <v>435</v>
      </c>
      <c r="C1381" s="8" t="s">
        <v>173</v>
      </c>
      <c r="D1381" s="8">
        <v>6341100001</v>
      </c>
      <c r="E1381" s="8" t="s">
        <v>399</v>
      </c>
      <c r="F1381" s="73" t="s">
        <v>23</v>
      </c>
      <c r="G1381" s="73" t="s">
        <v>136</v>
      </c>
      <c r="H1381" s="112" t="s">
        <v>61</v>
      </c>
      <c r="I1381" s="13" t="s">
        <v>22</v>
      </c>
      <c r="K1381" s="187"/>
      <c r="L1381" s="187"/>
      <c r="M1381" s="188">
        <f>IF($G1381="PAX",M430*'Insumos - OPEX'!I$51,M430*'Insumos - OPEX'!I$76)</f>
        <v>372.06379452672121</v>
      </c>
      <c r="N1381" s="211">
        <f>IF($G1381="PAX",N430*'Insumos - OPEX'!J$51,N430*'Insumos - OPEX'!J$76)</f>
        <v>363.46019096291911</v>
      </c>
      <c r="O1381" s="211">
        <f>IF($G1381="PAX",O430*'Insumos - OPEX'!K$51,O430*'Insumos - OPEX'!K$76)</f>
        <v>362.1519916621952</v>
      </c>
      <c r="P1381" s="211">
        <f>IF($G1381="PAX",P430*'Insumos - OPEX'!L$51,P430*'Insumos - OPEX'!L$76)</f>
        <v>359.90973544689086</v>
      </c>
      <c r="Q1381" s="211">
        <f>IF($G1381="PAX",Q430*'Insumos - OPEX'!M$51,Q430*'Insumos - OPEX'!M$76)</f>
        <v>362.09511721009591</v>
      </c>
      <c r="R1381" s="211">
        <f>IF($G1381="PAX",R430*'Insumos - OPEX'!N$51,R430*'Insumos - OPEX'!N$76)</f>
        <v>362.97840973744496</v>
      </c>
      <c r="S1381" s="111"/>
    </row>
    <row r="1382" spans="1:19" x14ac:dyDescent="0.2">
      <c r="A1382" s="8"/>
      <c r="B1382" s="8" t="s">
        <v>435</v>
      </c>
      <c r="C1382" s="8" t="s">
        <v>173</v>
      </c>
      <c r="D1382" s="8">
        <v>6348000001</v>
      </c>
      <c r="E1382" s="8" t="s">
        <v>402</v>
      </c>
      <c r="F1382" s="73" t="s">
        <v>23</v>
      </c>
      <c r="G1382" s="73" t="s">
        <v>136</v>
      </c>
      <c r="H1382" s="112" t="s">
        <v>61</v>
      </c>
      <c r="I1382" s="13" t="s">
        <v>22</v>
      </c>
      <c r="K1382" s="187"/>
      <c r="L1382" s="187"/>
      <c r="M1382" s="188">
        <f>IF($G1382="PAX",M431*'Insumos - OPEX'!I$51,M431*'Insumos - OPEX'!I$76)</f>
        <v>343.88602013892341</v>
      </c>
      <c r="N1382" s="211">
        <f>IF($G1382="PAX",N431*'Insumos - OPEX'!J$51,N431*'Insumos - OPEX'!J$76)</f>
        <v>335.93399945878048</v>
      </c>
      <c r="O1382" s="211">
        <f>IF($G1382="PAX",O431*'Insumos - OPEX'!K$51,O431*'Insumos - OPEX'!K$76)</f>
        <v>334.7248749546165</v>
      </c>
      <c r="P1382" s="211">
        <f>IF($G1382="PAX",P431*'Insumos - OPEX'!L$51,P431*'Insumos - OPEX'!L$76)</f>
        <v>332.65243313857366</v>
      </c>
      <c r="Q1382" s="211">
        <f>IF($G1382="PAX",Q431*'Insumos - OPEX'!M$51,Q431*'Insumos - OPEX'!M$76)</f>
        <v>334.67230781621794</v>
      </c>
      <c r="R1382" s="211">
        <f>IF($G1382="PAX",R431*'Insumos - OPEX'!N$51,R431*'Insumos - OPEX'!N$76)</f>
        <v>335.48870531663817</v>
      </c>
      <c r="S1382" s="111"/>
    </row>
    <row r="1383" spans="1:19" x14ac:dyDescent="0.2">
      <c r="A1383" s="8"/>
      <c r="B1383" s="8" t="s">
        <v>435</v>
      </c>
      <c r="C1383" s="8" t="s">
        <v>173</v>
      </c>
      <c r="D1383" s="8">
        <v>6341100004</v>
      </c>
      <c r="E1383" s="8" t="s">
        <v>400</v>
      </c>
      <c r="F1383" s="73" t="s">
        <v>23</v>
      </c>
      <c r="G1383" s="73" t="s">
        <v>136</v>
      </c>
      <c r="H1383" s="112" t="s">
        <v>61</v>
      </c>
      <c r="I1383" s="13" t="s">
        <v>22</v>
      </c>
      <c r="K1383" s="187"/>
      <c r="L1383" s="187"/>
      <c r="M1383" s="188">
        <f>IF($G1383="PAX",M432*'Insumos - OPEX'!I$51,M432*'Insumos - OPEX'!I$76)</f>
        <v>237.27611025302298</v>
      </c>
      <c r="N1383" s="211">
        <f>IF($G1383="PAX",N432*'Insumos - OPEX'!J$51,N432*'Insumos - OPEX'!J$76)</f>
        <v>231.78933723772656</v>
      </c>
      <c r="O1383" s="211">
        <f>IF($G1383="PAX",O432*'Insumos - OPEX'!K$51,O432*'Insumos - OPEX'!K$76)</f>
        <v>230.9550597668258</v>
      </c>
      <c r="P1383" s="211">
        <f>IF($G1383="PAX",P432*'Insumos - OPEX'!L$51,P432*'Insumos - OPEX'!L$76)</f>
        <v>229.52510651476362</v>
      </c>
      <c r="Q1383" s="211">
        <f>IF($G1383="PAX",Q432*'Insumos - OPEX'!M$51,Q432*'Insumos - OPEX'!M$76)</f>
        <v>230.91878924288497</v>
      </c>
      <c r="R1383" s="211">
        <f>IF($G1383="PAX",R432*'Insumos - OPEX'!N$51,R432*'Insumos - OPEX'!N$76)</f>
        <v>231.48209106958259</v>
      </c>
      <c r="S1383" s="111"/>
    </row>
    <row r="1384" spans="1:19" x14ac:dyDescent="0.2">
      <c r="A1384" s="8"/>
      <c r="B1384" s="8" t="s">
        <v>435</v>
      </c>
      <c r="C1384" s="8" t="s">
        <v>173</v>
      </c>
      <c r="D1384" s="8">
        <v>6341100003</v>
      </c>
      <c r="E1384" s="8" t="s">
        <v>392</v>
      </c>
      <c r="F1384" s="73" t="s">
        <v>23</v>
      </c>
      <c r="G1384" s="73" t="s">
        <v>136</v>
      </c>
      <c r="H1384" s="112" t="s">
        <v>61</v>
      </c>
      <c r="I1384" s="13" t="s">
        <v>22</v>
      </c>
      <c r="K1384" s="187"/>
      <c r="L1384" s="187"/>
      <c r="M1384" s="188">
        <f>IF($G1384="PAX",M433*'Insumos - OPEX'!I$51,M433*'Insumos - OPEX'!I$76)</f>
        <v>466.02654612426738</v>
      </c>
      <c r="N1384" s="211">
        <f>IF($G1384="PAX",N433*'Insumos - OPEX'!J$51,N433*'Insumos - OPEX'!J$76)</f>
        <v>455.25014779676729</v>
      </c>
      <c r="O1384" s="211">
        <f>IF($G1384="PAX",O433*'Insumos - OPEX'!K$51,O433*'Insumos - OPEX'!K$76)</f>
        <v>453.61156965310761</v>
      </c>
      <c r="P1384" s="211">
        <f>IF($G1384="PAX",P433*'Insumos - OPEX'!L$51,P433*'Insumos - OPEX'!L$76)</f>
        <v>450.80304344089404</v>
      </c>
      <c r="Q1384" s="211">
        <f>IF($G1384="PAX",Q433*'Insumos - OPEX'!M$51,Q433*'Insumos - OPEX'!M$76)</f>
        <v>453.54033185769612</v>
      </c>
      <c r="R1384" s="211">
        <f>IF($G1384="PAX",R433*'Insumos - OPEX'!N$51,R433*'Insumos - OPEX'!N$76)</f>
        <v>454.6466952604062</v>
      </c>
      <c r="S1384" s="111"/>
    </row>
    <row r="1385" spans="1:19" x14ac:dyDescent="0.2">
      <c r="A1385" s="8"/>
      <c r="B1385" s="8" t="s">
        <v>435</v>
      </c>
      <c r="C1385" s="8" t="s">
        <v>173</v>
      </c>
      <c r="D1385" s="8">
        <v>6342000002</v>
      </c>
      <c r="E1385" s="8" t="s">
        <v>412</v>
      </c>
      <c r="F1385" s="73" t="s">
        <v>23</v>
      </c>
      <c r="G1385" s="73" t="s">
        <v>136</v>
      </c>
      <c r="H1385" s="112" t="s">
        <v>61</v>
      </c>
      <c r="I1385" s="13" t="s">
        <v>22</v>
      </c>
      <c r="K1385" s="187"/>
      <c r="L1385" s="187"/>
      <c r="M1385" s="188">
        <f>IF($G1385="PAX",M434*'Insumos - OPEX'!I$51,M434*'Insumos - OPEX'!I$76)</f>
        <v>183.43764505281663</v>
      </c>
      <c r="N1385" s="211">
        <f>IF($G1385="PAX",N434*'Insumos - OPEX'!J$51,N434*'Insumos - OPEX'!J$76)</f>
        <v>179.19583276167597</v>
      </c>
      <c r="O1385" s="211">
        <f>IF($G1385="PAX",O434*'Insumos - OPEX'!K$51,O434*'Insumos - OPEX'!K$76)</f>
        <v>178.55085466245029</v>
      </c>
      <c r="P1385" s="211">
        <f>IF($G1385="PAX",P434*'Insumos - OPEX'!L$51,P434*'Insumos - OPEX'!L$76)</f>
        <v>177.44536091167117</v>
      </c>
      <c r="Q1385" s="211">
        <f>IF($G1385="PAX",Q434*'Insumos - OPEX'!M$51,Q434*'Insumos - OPEX'!M$76)</f>
        <v>178.52281399923547</v>
      </c>
      <c r="R1385" s="211">
        <f>IF($G1385="PAX",R434*'Insumos - OPEX'!N$51,R434*'Insumos - OPEX'!N$76)</f>
        <v>178.95830141696652</v>
      </c>
      <c r="S1385" s="111"/>
    </row>
    <row r="1386" spans="1:19" x14ac:dyDescent="0.2">
      <c r="A1386" s="8"/>
      <c r="B1386" s="8" t="s">
        <v>435</v>
      </c>
      <c r="C1386" s="8" t="s">
        <v>173</v>
      </c>
      <c r="D1386" s="8">
        <v>6343100002</v>
      </c>
      <c r="E1386" s="8" t="s">
        <v>396</v>
      </c>
      <c r="F1386" s="73" t="s">
        <v>23</v>
      </c>
      <c r="G1386" s="73" t="s">
        <v>136</v>
      </c>
      <c r="H1386" s="112" t="s">
        <v>61</v>
      </c>
      <c r="I1386" s="13" t="s">
        <v>22</v>
      </c>
      <c r="K1386" s="187"/>
      <c r="L1386" s="187"/>
      <c r="M1386" s="188">
        <f>IF($G1386="PAX",M435*'Insumos - OPEX'!I$51,M435*'Insumos - OPEX'!I$76)</f>
        <v>60.957979421815999</v>
      </c>
      <c r="N1386" s="211">
        <f>IF($G1386="PAX",N435*'Insumos - OPEX'!J$51,N435*'Insumos - OPEX'!J$76)</f>
        <v>59.548387043544309</v>
      </c>
      <c r="O1386" s="211">
        <f>IF($G1386="PAX",O435*'Insumos - OPEX'!K$51,O435*'Insumos - OPEX'!K$76)</f>
        <v>59.334055019772421</v>
      </c>
      <c r="P1386" s="211">
        <f>IF($G1386="PAX",P435*'Insumos - OPEX'!L$51,P435*'Insumos - OPEX'!L$76)</f>
        <v>58.966689502778678</v>
      </c>
      <c r="Q1386" s="211">
        <f>IF($G1386="PAX",Q435*'Insumos - OPEX'!M$51,Q435*'Insumos - OPEX'!M$76)</f>
        <v>59.32473685516814</v>
      </c>
      <c r="R1386" s="211">
        <f>IF($G1386="PAX",R435*'Insumos - OPEX'!N$51,R435*'Insumos - OPEX'!N$76)</f>
        <v>59.469453241168758</v>
      </c>
      <c r="S1386" s="111"/>
    </row>
    <row r="1387" spans="1:19" x14ac:dyDescent="0.2">
      <c r="A1387" s="8"/>
      <c r="B1387" s="8" t="s">
        <v>435</v>
      </c>
      <c r="C1387" s="8" t="s">
        <v>173</v>
      </c>
      <c r="D1387" s="8">
        <v>6343100001</v>
      </c>
      <c r="E1387" s="8" t="s">
        <v>397</v>
      </c>
      <c r="F1387" s="73" t="s">
        <v>23</v>
      </c>
      <c r="G1387" s="73" t="s">
        <v>136</v>
      </c>
      <c r="H1387" s="112" t="s">
        <v>61</v>
      </c>
      <c r="I1387" s="13" t="s">
        <v>22</v>
      </c>
      <c r="K1387" s="187"/>
      <c r="L1387" s="187"/>
      <c r="M1387" s="188">
        <f>IF($G1387="PAX",M436*'Insumos - OPEX'!I$51,M436*'Insumos - OPEX'!I$76)</f>
        <v>36.171050641249693</v>
      </c>
      <c r="N1387" s="211">
        <f>IF($G1387="PAX",N436*'Insumos - OPEX'!J$51,N436*'Insumos - OPEX'!J$76)</f>
        <v>35.3346312293599</v>
      </c>
      <c r="O1387" s="211">
        <f>IF($G1387="PAX",O436*'Insumos - OPEX'!K$51,O436*'Insumos - OPEX'!K$76)</f>
        <v>35.207451579387445</v>
      </c>
      <c r="P1387" s="211">
        <f>IF($G1387="PAX",P436*'Insumos - OPEX'!L$51,P436*'Insumos - OPEX'!L$76)</f>
        <v>34.989465405221814</v>
      </c>
      <c r="Q1387" s="211">
        <f>IF($G1387="PAX",Q436*'Insumos - OPEX'!M$51,Q436*'Insumos - OPEX'!M$76)</f>
        <v>35.201922396711417</v>
      </c>
      <c r="R1387" s="211">
        <f>IF($G1387="PAX",R436*'Insumos - OPEX'!N$51,R436*'Insumos - OPEX'!N$76)</f>
        <v>35.287793742453132</v>
      </c>
      <c r="S1387" s="111"/>
    </row>
    <row r="1388" spans="1:19" x14ac:dyDescent="0.2">
      <c r="A1388" s="8"/>
      <c r="B1388" s="8" t="s">
        <v>435</v>
      </c>
      <c r="C1388" s="8" t="s">
        <v>173</v>
      </c>
      <c r="D1388" s="8">
        <v>6343100015</v>
      </c>
      <c r="E1388" s="8" t="s">
        <v>401</v>
      </c>
      <c r="F1388" s="73" t="s">
        <v>23</v>
      </c>
      <c r="G1388" s="73" t="s">
        <v>136</v>
      </c>
      <c r="H1388" s="112" t="s">
        <v>61</v>
      </c>
      <c r="I1388" s="13" t="s">
        <v>22</v>
      </c>
      <c r="J1388" s="11"/>
      <c r="K1388" s="187"/>
      <c r="L1388" s="187"/>
      <c r="M1388" s="188">
        <f>IF($G1388="PAX",M437*'Insumos - OPEX'!I$51,M437*'Insumos - OPEX'!I$76)</f>
        <v>29.848961115154321</v>
      </c>
      <c r="N1388" s="211">
        <f>IF($G1388="PAX",N437*'Insumos - OPEX'!J$51,N437*'Insumos - OPEX'!J$76)</f>
        <v>29.158733707908738</v>
      </c>
      <c r="O1388" s="211">
        <f>IF($G1388="PAX",O437*'Insumos - OPEX'!K$51,O437*'Insumos - OPEX'!K$76)</f>
        <v>29.053782915510752</v>
      </c>
      <c r="P1388" s="211">
        <f>IF($G1388="PAX",P437*'Insumos - OPEX'!L$51,P437*'Insumos - OPEX'!L$76)</f>
        <v>28.873897047642402</v>
      </c>
      <c r="Q1388" s="211">
        <f>IF($G1388="PAX",Q437*'Insumos - OPEX'!M$51,Q437*'Insumos - OPEX'!M$76)</f>
        <v>29.049220140701355</v>
      </c>
      <c r="R1388" s="211">
        <f>IF($G1388="PAX",R437*'Insumos - OPEX'!N$51,R437*'Insumos - OPEX'!N$76)</f>
        <v>29.120082623667976</v>
      </c>
      <c r="S1388" s="111"/>
    </row>
    <row r="1389" spans="1:19" x14ac:dyDescent="0.2">
      <c r="A1389" s="8"/>
      <c r="B1389" s="8" t="s">
        <v>435</v>
      </c>
      <c r="C1389" s="8" t="s">
        <v>173</v>
      </c>
      <c r="D1389" s="8">
        <v>6342000001</v>
      </c>
      <c r="E1389" s="8" t="s">
        <v>410</v>
      </c>
      <c r="F1389" s="73" t="s">
        <v>23</v>
      </c>
      <c r="G1389" s="73" t="s">
        <v>136</v>
      </c>
      <c r="H1389" s="112" t="s">
        <v>61</v>
      </c>
      <c r="I1389" s="13" t="s">
        <v>22</v>
      </c>
      <c r="K1389" s="187"/>
      <c r="L1389" s="187"/>
      <c r="M1389" s="188">
        <f>IF($G1389="PAX",M438*'Insumos - OPEX'!I$51,M438*'Insumos - OPEX'!I$76)</f>
        <v>25.987975309388645</v>
      </c>
      <c r="N1389" s="211">
        <f>IF($G1389="PAX",N438*'Insumos - OPEX'!J$51,N438*'Insumos - OPEX'!J$76)</f>
        <v>25.387029341850276</v>
      </c>
      <c r="O1389" s="211">
        <f>IF($G1389="PAX",O438*'Insumos - OPEX'!K$51,O438*'Insumos - OPEX'!K$76)</f>
        <v>25.295654014212662</v>
      </c>
      <c r="P1389" s="211">
        <f>IF($G1389="PAX",P438*'Insumos - OPEX'!L$51,P438*'Insumos - OPEX'!L$76)</f>
        <v>25.139036520068213</v>
      </c>
      <c r="Q1389" s="211">
        <f>IF($G1389="PAX",Q438*'Insumos - OPEX'!M$51,Q438*'Insumos - OPEX'!M$76)</f>
        <v>25.291681437792615</v>
      </c>
      <c r="R1389" s="211">
        <f>IF($G1389="PAX",R438*'Insumos - OPEX'!N$51,R438*'Insumos - OPEX'!N$76)</f>
        <v>25.353377804731284</v>
      </c>
      <c r="S1389" s="111"/>
    </row>
    <row r="1390" spans="1:19" x14ac:dyDescent="0.2">
      <c r="A1390" s="8"/>
      <c r="B1390" s="8" t="s">
        <v>435</v>
      </c>
      <c r="C1390" s="8" t="s">
        <v>173</v>
      </c>
      <c r="D1390" s="8">
        <v>6343100010</v>
      </c>
      <c r="E1390" s="8" t="s">
        <v>420</v>
      </c>
      <c r="F1390" s="73" t="s">
        <v>23</v>
      </c>
      <c r="G1390" s="73" t="s">
        <v>136</v>
      </c>
      <c r="H1390" s="112" t="s">
        <v>61</v>
      </c>
      <c r="I1390" s="13" t="s">
        <v>22</v>
      </c>
      <c r="J1390" s="40"/>
      <c r="K1390" s="187"/>
      <c r="L1390" s="187"/>
      <c r="M1390" s="188">
        <f>IF($G1390="PAX",M439*'Insumos - OPEX'!I$51,M439*'Insumos - OPEX'!I$76)</f>
        <v>0</v>
      </c>
      <c r="N1390" s="211">
        <f>IF($G1390="PAX",N439*'Insumos - OPEX'!J$51,N439*'Insumos - OPEX'!J$76)</f>
        <v>0</v>
      </c>
      <c r="O1390" s="211">
        <f>IF($G1390="PAX",O439*'Insumos - OPEX'!K$51,O439*'Insumos - OPEX'!K$76)</f>
        <v>0</v>
      </c>
      <c r="P1390" s="211">
        <f>IF($G1390="PAX",P439*'Insumos - OPEX'!L$51,P439*'Insumos - OPEX'!L$76)</f>
        <v>0</v>
      </c>
      <c r="Q1390" s="211">
        <f>IF($G1390="PAX",Q439*'Insumos - OPEX'!M$51,Q439*'Insumos - OPEX'!M$76)</f>
        <v>0</v>
      </c>
      <c r="R1390" s="211">
        <f>IF($G1390="PAX",R439*'Insumos - OPEX'!N$51,R439*'Insumos - OPEX'!N$76)</f>
        <v>0</v>
      </c>
      <c r="S1390" s="111"/>
    </row>
    <row r="1391" spans="1:19" x14ac:dyDescent="0.2">
      <c r="A1391" s="8"/>
      <c r="B1391" s="8" t="s">
        <v>435</v>
      </c>
      <c r="C1391" s="8" t="s">
        <v>173</v>
      </c>
      <c r="D1391" s="8">
        <v>6346000001</v>
      </c>
      <c r="E1391" s="8" t="s">
        <v>421</v>
      </c>
      <c r="F1391" s="73" t="s">
        <v>23</v>
      </c>
      <c r="G1391" s="73" t="s">
        <v>136</v>
      </c>
      <c r="H1391" s="112" t="s">
        <v>61</v>
      </c>
      <c r="I1391" s="13" t="s">
        <v>22</v>
      </c>
      <c r="K1391" s="187"/>
      <c r="L1391" s="187"/>
      <c r="M1391" s="188">
        <f>IF($G1391="PAX",M440*'Insumos - OPEX'!I$51,M440*'Insumos - OPEX'!I$76)</f>
        <v>0</v>
      </c>
      <c r="N1391" s="211">
        <f>IF($G1391="PAX",N440*'Insumos - OPEX'!J$51,N440*'Insumos - OPEX'!J$76)</f>
        <v>0</v>
      </c>
      <c r="O1391" s="211">
        <f>IF($G1391="PAX",O440*'Insumos - OPEX'!K$51,O440*'Insumos - OPEX'!K$76)</f>
        <v>0</v>
      </c>
      <c r="P1391" s="211">
        <f>IF($G1391="PAX",P440*'Insumos - OPEX'!L$51,P440*'Insumos - OPEX'!L$76)</f>
        <v>0</v>
      </c>
      <c r="Q1391" s="211">
        <f>IF($G1391="PAX",Q440*'Insumos - OPEX'!M$51,Q440*'Insumos - OPEX'!M$76)</f>
        <v>0</v>
      </c>
      <c r="R1391" s="211">
        <f>IF($G1391="PAX",R440*'Insumos - OPEX'!N$51,R440*'Insumos - OPEX'!N$76)</f>
        <v>0</v>
      </c>
      <c r="S1391" s="111"/>
    </row>
    <row r="1392" spans="1:19" x14ac:dyDescent="0.2">
      <c r="A1392" s="8"/>
      <c r="B1392" s="8" t="s">
        <v>435</v>
      </c>
      <c r="C1392" s="8" t="s">
        <v>173</v>
      </c>
      <c r="D1392" s="8">
        <v>6341100005</v>
      </c>
      <c r="E1392" s="8" t="s">
        <v>411</v>
      </c>
      <c r="F1392" s="73" t="s">
        <v>23</v>
      </c>
      <c r="G1392" s="73" t="s">
        <v>136</v>
      </c>
      <c r="H1392" s="112" t="s">
        <v>61</v>
      </c>
      <c r="I1392" s="13" t="s">
        <v>22</v>
      </c>
      <c r="K1392" s="187"/>
      <c r="L1392" s="187"/>
      <c r="M1392" s="188">
        <f>IF($G1392="PAX",M441*'Insumos - OPEX'!I$51,M441*'Insumos - OPEX'!I$76)</f>
        <v>0</v>
      </c>
      <c r="N1392" s="211">
        <f>IF($G1392="PAX",N441*'Insumos - OPEX'!J$51,N441*'Insumos - OPEX'!J$76)</f>
        <v>0</v>
      </c>
      <c r="O1392" s="211">
        <f>IF($G1392="PAX",O441*'Insumos - OPEX'!K$51,O441*'Insumos - OPEX'!K$76)</f>
        <v>0</v>
      </c>
      <c r="P1392" s="211">
        <f>IF($G1392="PAX",P441*'Insumos - OPEX'!L$51,P441*'Insumos - OPEX'!L$76)</f>
        <v>0</v>
      </c>
      <c r="Q1392" s="211">
        <f>IF($G1392="PAX",Q441*'Insumos - OPEX'!M$51,Q441*'Insumos - OPEX'!M$76)</f>
        <v>0</v>
      </c>
      <c r="R1392" s="211">
        <f>IF($G1392="PAX",R441*'Insumos - OPEX'!N$51,R441*'Insumos - OPEX'!N$76)</f>
        <v>0</v>
      </c>
      <c r="S1392" s="111"/>
    </row>
    <row r="1393" spans="1:19" x14ac:dyDescent="0.2">
      <c r="A1393" s="8"/>
      <c r="B1393" s="8" t="s">
        <v>435</v>
      </c>
      <c r="C1393" s="8" t="s">
        <v>173</v>
      </c>
      <c r="D1393" s="8">
        <v>6343100012</v>
      </c>
      <c r="E1393" s="8" t="s">
        <v>423</v>
      </c>
      <c r="F1393" s="73" t="s">
        <v>23</v>
      </c>
      <c r="G1393" s="73" t="s">
        <v>136</v>
      </c>
      <c r="H1393" s="112" t="s">
        <v>61</v>
      </c>
      <c r="I1393" s="13" t="s">
        <v>22</v>
      </c>
      <c r="K1393" s="187"/>
      <c r="L1393" s="187"/>
      <c r="M1393" s="188">
        <f>IF($G1393="PAX",M442*'Insumos - OPEX'!I$51,M442*'Insumos - OPEX'!I$76)</f>
        <v>0</v>
      </c>
      <c r="N1393" s="211">
        <f>IF($G1393="PAX",N442*'Insumos - OPEX'!J$51,N442*'Insumos - OPEX'!J$76)</f>
        <v>0</v>
      </c>
      <c r="O1393" s="211">
        <f>IF($G1393="PAX",O442*'Insumos - OPEX'!K$51,O442*'Insumos - OPEX'!K$76)</f>
        <v>0</v>
      </c>
      <c r="P1393" s="211">
        <f>IF($G1393="PAX",P442*'Insumos - OPEX'!L$51,P442*'Insumos - OPEX'!L$76)</f>
        <v>0</v>
      </c>
      <c r="Q1393" s="211">
        <f>IF($G1393="PAX",Q442*'Insumos - OPEX'!M$51,Q442*'Insumos - OPEX'!M$76)</f>
        <v>0</v>
      </c>
      <c r="R1393" s="211">
        <f>IF($G1393="PAX",R442*'Insumos - OPEX'!N$51,R442*'Insumos - OPEX'!N$76)</f>
        <v>0</v>
      </c>
      <c r="S1393" s="111"/>
    </row>
    <row r="1394" spans="1:19" x14ac:dyDescent="0.2">
      <c r="A1394" s="8"/>
      <c r="B1394" s="8" t="s">
        <v>435</v>
      </c>
      <c r="C1394" s="8" t="s">
        <v>173</v>
      </c>
      <c r="D1394" s="8">
        <v>6343100003</v>
      </c>
      <c r="E1394" s="8" t="s">
        <v>406</v>
      </c>
      <c r="F1394" s="73" t="s">
        <v>23</v>
      </c>
      <c r="G1394" s="73" t="s">
        <v>136</v>
      </c>
      <c r="H1394" s="112" t="s">
        <v>61</v>
      </c>
      <c r="I1394" s="13" t="s">
        <v>22</v>
      </c>
      <c r="K1394" s="187"/>
      <c r="L1394" s="187"/>
      <c r="M1394" s="188">
        <f>IF($G1394="PAX",M443*'Insumos - OPEX'!I$51,M443*'Insumos - OPEX'!I$76)</f>
        <v>0</v>
      </c>
      <c r="N1394" s="211">
        <f>IF($G1394="PAX",N443*'Insumos - OPEX'!J$51,N443*'Insumos - OPEX'!J$76)</f>
        <v>0</v>
      </c>
      <c r="O1394" s="211">
        <f>IF($G1394="PAX",O443*'Insumos - OPEX'!K$51,O443*'Insumos - OPEX'!K$76)</f>
        <v>0</v>
      </c>
      <c r="P1394" s="211">
        <f>IF($G1394="PAX",P443*'Insumos - OPEX'!L$51,P443*'Insumos - OPEX'!L$76)</f>
        <v>0</v>
      </c>
      <c r="Q1394" s="211">
        <f>IF($G1394="PAX",Q443*'Insumos - OPEX'!M$51,Q443*'Insumos - OPEX'!M$76)</f>
        <v>0</v>
      </c>
      <c r="R1394" s="211">
        <f>IF($G1394="PAX",R443*'Insumos - OPEX'!N$51,R443*'Insumos - OPEX'!N$76)</f>
        <v>0</v>
      </c>
      <c r="S1394" s="111"/>
    </row>
    <row r="1395" spans="1:19" x14ac:dyDescent="0.2">
      <c r="A1395" s="8"/>
      <c r="B1395" s="8" t="s">
        <v>435</v>
      </c>
      <c r="C1395" s="8" t="s">
        <v>173</v>
      </c>
      <c r="D1395" s="8">
        <v>6343100009</v>
      </c>
      <c r="E1395" s="8" t="s">
        <v>418</v>
      </c>
      <c r="F1395" s="73" t="s">
        <v>23</v>
      </c>
      <c r="G1395" s="73" t="s">
        <v>136</v>
      </c>
      <c r="H1395" s="112" t="s">
        <v>61</v>
      </c>
      <c r="I1395" s="13" t="s">
        <v>22</v>
      </c>
      <c r="K1395" s="187"/>
      <c r="L1395" s="187"/>
      <c r="M1395" s="188">
        <f>IF($G1395="PAX",M444*'Insumos - OPEX'!I$51,M444*'Insumos - OPEX'!I$76)</f>
        <v>0</v>
      </c>
      <c r="N1395" s="211">
        <f>IF($G1395="PAX",N444*'Insumos - OPEX'!J$51,N444*'Insumos - OPEX'!J$76)</f>
        <v>0</v>
      </c>
      <c r="O1395" s="211">
        <f>IF($G1395="PAX",O444*'Insumos - OPEX'!K$51,O444*'Insumos - OPEX'!K$76)</f>
        <v>0</v>
      </c>
      <c r="P1395" s="211">
        <f>IF($G1395="PAX",P444*'Insumos - OPEX'!L$51,P444*'Insumos - OPEX'!L$76)</f>
        <v>0</v>
      </c>
      <c r="Q1395" s="211">
        <f>IF($G1395="PAX",Q444*'Insumos - OPEX'!M$51,Q444*'Insumos - OPEX'!M$76)</f>
        <v>0</v>
      </c>
      <c r="R1395" s="211">
        <f>IF($G1395="PAX",R444*'Insumos - OPEX'!N$51,R444*'Insumos - OPEX'!N$76)</f>
        <v>0</v>
      </c>
      <c r="S1395" s="111"/>
    </row>
    <row r="1396" spans="1:19" x14ac:dyDescent="0.2">
      <c r="A1396" s="8"/>
      <c r="B1396" s="8" t="s">
        <v>435</v>
      </c>
      <c r="C1396" s="8" t="s">
        <v>173</v>
      </c>
      <c r="D1396" s="8">
        <v>6343100014</v>
      </c>
      <c r="E1396" s="8" t="s">
        <v>413</v>
      </c>
      <c r="F1396" s="73" t="s">
        <v>23</v>
      </c>
      <c r="G1396" s="73" t="s">
        <v>136</v>
      </c>
      <c r="H1396" s="112" t="s">
        <v>61</v>
      </c>
      <c r="I1396" s="13" t="s">
        <v>22</v>
      </c>
      <c r="K1396" s="187"/>
      <c r="L1396" s="187"/>
      <c r="M1396" s="188">
        <f>IF($G1396="PAX",M445*'Insumos - OPEX'!I$51,M445*'Insumos - OPEX'!I$76)</f>
        <v>0</v>
      </c>
      <c r="N1396" s="211">
        <f>IF($G1396="PAX",N445*'Insumos - OPEX'!J$51,N445*'Insumos - OPEX'!J$76)</f>
        <v>0</v>
      </c>
      <c r="O1396" s="211">
        <f>IF($G1396="PAX",O445*'Insumos - OPEX'!K$51,O445*'Insumos - OPEX'!K$76)</f>
        <v>0</v>
      </c>
      <c r="P1396" s="211">
        <f>IF($G1396="PAX",P445*'Insumos - OPEX'!L$51,P445*'Insumos - OPEX'!L$76)</f>
        <v>0</v>
      </c>
      <c r="Q1396" s="211">
        <f>IF($G1396="PAX",Q445*'Insumos - OPEX'!M$51,Q445*'Insumos - OPEX'!M$76)</f>
        <v>0</v>
      </c>
      <c r="R1396" s="211">
        <f>IF($G1396="PAX",R445*'Insumos - OPEX'!N$51,R445*'Insumos - OPEX'!N$76)</f>
        <v>0</v>
      </c>
      <c r="S1396" s="111"/>
    </row>
    <row r="1397" spans="1:19" x14ac:dyDescent="0.2">
      <c r="A1397" s="8"/>
      <c r="B1397" s="8" t="s">
        <v>435</v>
      </c>
      <c r="C1397" s="8" t="s">
        <v>173</v>
      </c>
      <c r="D1397" s="8">
        <v>6343100011</v>
      </c>
      <c r="E1397" s="8" t="s">
        <v>422</v>
      </c>
      <c r="F1397" s="73" t="s">
        <v>23</v>
      </c>
      <c r="G1397" s="73" t="s">
        <v>136</v>
      </c>
      <c r="H1397" s="112" t="s">
        <v>61</v>
      </c>
      <c r="I1397" s="13" t="s">
        <v>22</v>
      </c>
      <c r="K1397" s="187"/>
      <c r="L1397" s="187"/>
      <c r="M1397" s="188">
        <f>IF($G1397="PAX",M446*'Insumos - OPEX'!I$51,M446*'Insumos - OPEX'!I$76)</f>
        <v>0</v>
      </c>
      <c r="N1397" s="211">
        <f>IF($G1397="PAX",N446*'Insumos - OPEX'!J$51,N446*'Insumos - OPEX'!J$76)</f>
        <v>0</v>
      </c>
      <c r="O1397" s="211">
        <f>IF($G1397="PAX",O446*'Insumos - OPEX'!K$51,O446*'Insumos - OPEX'!K$76)</f>
        <v>0</v>
      </c>
      <c r="P1397" s="211">
        <f>IF($G1397="PAX",P446*'Insumos - OPEX'!L$51,P446*'Insumos - OPEX'!L$76)</f>
        <v>0</v>
      </c>
      <c r="Q1397" s="211">
        <f>IF($G1397="PAX",Q446*'Insumos - OPEX'!M$51,Q446*'Insumos - OPEX'!M$76)</f>
        <v>0</v>
      </c>
      <c r="R1397" s="211">
        <f>IF($G1397="PAX",R446*'Insumos - OPEX'!N$51,R446*'Insumos - OPEX'!N$76)</f>
        <v>0</v>
      </c>
      <c r="S1397" s="111"/>
    </row>
    <row r="1398" spans="1:19" x14ac:dyDescent="0.2">
      <c r="A1398" s="8"/>
      <c r="B1398" s="8" t="s">
        <v>435</v>
      </c>
      <c r="C1398" s="8" t="s">
        <v>173</v>
      </c>
      <c r="D1398" s="8">
        <v>6343100016</v>
      </c>
      <c r="E1398" s="8" t="s">
        <v>415</v>
      </c>
      <c r="F1398" s="73" t="s">
        <v>23</v>
      </c>
      <c r="G1398" s="73" t="s">
        <v>136</v>
      </c>
      <c r="H1398" s="112" t="s">
        <v>61</v>
      </c>
      <c r="I1398" s="13" t="s">
        <v>22</v>
      </c>
      <c r="K1398" s="187"/>
      <c r="L1398" s="187"/>
      <c r="M1398" s="188">
        <f>IF($G1398="PAX",M447*'Insumos - OPEX'!I$51,M447*'Insumos - OPEX'!I$76)</f>
        <v>0</v>
      </c>
      <c r="N1398" s="211">
        <f>IF($G1398="PAX",N447*'Insumos - OPEX'!J$51,N447*'Insumos - OPEX'!J$76)</f>
        <v>0</v>
      </c>
      <c r="O1398" s="211">
        <f>IF($G1398="PAX",O447*'Insumos - OPEX'!K$51,O447*'Insumos - OPEX'!K$76)</f>
        <v>0</v>
      </c>
      <c r="P1398" s="211">
        <f>IF($G1398="PAX",P447*'Insumos - OPEX'!L$51,P447*'Insumos - OPEX'!L$76)</f>
        <v>0</v>
      </c>
      <c r="Q1398" s="211">
        <f>IF($G1398="PAX",Q447*'Insumos - OPEX'!M$51,Q447*'Insumos - OPEX'!M$76)</f>
        <v>0</v>
      </c>
      <c r="R1398" s="211">
        <f>IF($G1398="PAX",R447*'Insumos - OPEX'!N$51,R447*'Insumos - OPEX'!N$76)</f>
        <v>0</v>
      </c>
      <c r="S1398" s="111"/>
    </row>
    <row r="1399" spans="1:19" x14ac:dyDescent="0.2">
      <c r="A1399" s="8"/>
      <c r="B1399" s="8" t="s">
        <v>435</v>
      </c>
      <c r="C1399" s="8" t="s">
        <v>173</v>
      </c>
      <c r="D1399" s="8">
        <v>6343100013</v>
      </c>
      <c r="E1399" s="8" t="s">
        <v>404</v>
      </c>
      <c r="F1399" s="73" t="s">
        <v>23</v>
      </c>
      <c r="G1399" s="73" t="s">
        <v>136</v>
      </c>
      <c r="H1399" s="112" t="s">
        <v>61</v>
      </c>
      <c r="I1399" s="13" t="s">
        <v>22</v>
      </c>
      <c r="K1399" s="187"/>
      <c r="L1399" s="187"/>
      <c r="M1399" s="188">
        <f>IF($G1399="PAX",M448*'Insumos - OPEX'!I$51,M448*'Insumos - OPEX'!I$76)</f>
        <v>0</v>
      </c>
      <c r="N1399" s="211">
        <f>IF($G1399="PAX",N448*'Insumos - OPEX'!J$51,N448*'Insumos - OPEX'!J$76)</f>
        <v>0</v>
      </c>
      <c r="O1399" s="211">
        <f>IF($G1399="PAX",O448*'Insumos - OPEX'!K$51,O448*'Insumos - OPEX'!K$76)</f>
        <v>0</v>
      </c>
      <c r="P1399" s="211">
        <f>IF($G1399="PAX",P448*'Insumos - OPEX'!L$51,P448*'Insumos - OPEX'!L$76)</f>
        <v>0</v>
      </c>
      <c r="Q1399" s="211">
        <f>IF($G1399="PAX",Q448*'Insumos - OPEX'!M$51,Q448*'Insumos - OPEX'!M$76)</f>
        <v>0</v>
      </c>
      <c r="R1399" s="211">
        <f>IF($G1399="PAX",R448*'Insumos - OPEX'!N$51,R448*'Insumos - OPEX'!N$76)</f>
        <v>0</v>
      </c>
      <c r="S1399" s="111"/>
    </row>
    <row r="1400" spans="1:19" x14ac:dyDescent="0.2">
      <c r="A1400" s="8"/>
      <c r="B1400" s="8" t="s">
        <v>435</v>
      </c>
      <c r="C1400" s="8" t="s">
        <v>173</v>
      </c>
      <c r="D1400" s="8">
        <v>6344000001</v>
      </c>
      <c r="E1400" s="8" t="s">
        <v>417</v>
      </c>
      <c r="F1400" s="73" t="s">
        <v>23</v>
      </c>
      <c r="G1400" s="73" t="s">
        <v>136</v>
      </c>
      <c r="H1400" s="112" t="s">
        <v>61</v>
      </c>
      <c r="I1400" s="13" t="s">
        <v>22</v>
      </c>
      <c r="K1400" s="187"/>
      <c r="L1400" s="187"/>
      <c r="M1400" s="188">
        <f>IF($G1400="PAX",M449*'Insumos - OPEX'!I$51,M449*'Insumos - OPEX'!I$76)</f>
        <v>0</v>
      </c>
      <c r="N1400" s="211">
        <f>IF($G1400="PAX",N449*'Insumos - OPEX'!J$51,N449*'Insumos - OPEX'!J$76)</f>
        <v>0</v>
      </c>
      <c r="O1400" s="211">
        <f>IF($G1400="PAX",O449*'Insumos - OPEX'!K$51,O449*'Insumos - OPEX'!K$76)</f>
        <v>0</v>
      </c>
      <c r="P1400" s="211">
        <f>IF($G1400="PAX",P449*'Insumos - OPEX'!L$51,P449*'Insumos - OPEX'!L$76)</f>
        <v>0</v>
      </c>
      <c r="Q1400" s="211">
        <f>IF($G1400="PAX",Q449*'Insumos - OPEX'!M$51,Q449*'Insumos - OPEX'!M$76)</f>
        <v>0</v>
      </c>
      <c r="R1400" s="211">
        <f>IF($G1400="PAX",R449*'Insumos - OPEX'!N$51,R449*'Insumos - OPEX'!N$76)</f>
        <v>0</v>
      </c>
      <c r="S1400" s="111"/>
    </row>
    <row r="1401" spans="1:19" x14ac:dyDescent="0.2">
      <c r="A1401" s="8"/>
      <c r="B1401" s="8" t="s">
        <v>435</v>
      </c>
      <c r="C1401" s="8" t="s">
        <v>173</v>
      </c>
      <c r="D1401" s="8">
        <v>6344000003</v>
      </c>
      <c r="E1401" s="8" t="s">
        <v>419</v>
      </c>
      <c r="F1401" s="73" t="s">
        <v>23</v>
      </c>
      <c r="G1401" s="73" t="s">
        <v>136</v>
      </c>
      <c r="H1401" s="112" t="s">
        <v>61</v>
      </c>
      <c r="I1401" s="13" t="s">
        <v>22</v>
      </c>
      <c r="K1401" s="187"/>
      <c r="L1401" s="187"/>
      <c r="M1401" s="188">
        <f>IF($G1401="PAX",M450*'Insumos - OPEX'!I$51,M450*'Insumos - OPEX'!I$76)</f>
        <v>0</v>
      </c>
      <c r="N1401" s="211">
        <f>IF($G1401="PAX",N450*'Insumos - OPEX'!J$51,N450*'Insumos - OPEX'!J$76)</f>
        <v>0</v>
      </c>
      <c r="O1401" s="211">
        <f>IF($G1401="PAX",O450*'Insumos - OPEX'!K$51,O450*'Insumos - OPEX'!K$76)</f>
        <v>0</v>
      </c>
      <c r="P1401" s="211">
        <f>IF($G1401="PAX",P450*'Insumos - OPEX'!L$51,P450*'Insumos - OPEX'!L$76)</f>
        <v>0</v>
      </c>
      <c r="Q1401" s="211">
        <f>IF($G1401="PAX",Q450*'Insumos - OPEX'!M$51,Q450*'Insumos - OPEX'!M$76)</f>
        <v>0</v>
      </c>
      <c r="R1401" s="211">
        <f>IF($G1401="PAX",R450*'Insumos - OPEX'!N$51,R450*'Insumos - OPEX'!N$76)</f>
        <v>0</v>
      </c>
      <c r="S1401" s="111"/>
    </row>
    <row r="1402" spans="1:19" x14ac:dyDescent="0.2">
      <c r="A1402" s="8"/>
      <c r="B1402" s="8" t="s">
        <v>435</v>
      </c>
      <c r="C1402" s="8" t="s">
        <v>173</v>
      </c>
      <c r="D1402" s="8">
        <v>6343100004</v>
      </c>
      <c r="E1402" s="8" t="s">
        <v>408</v>
      </c>
      <c r="F1402" s="73" t="s">
        <v>23</v>
      </c>
      <c r="G1402" s="73" t="s">
        <v>136</v>
      </c>
      <c r="H1402" s="112" t="s">
        <v>61</v>
      </c>
      <c r="I1402" s="13" t="s">
        <v>22</v>
      </c>
      <c r="K1402" s="187"/>
      <c r="L1402" s="187"/>
      <c r="M1402" s="188">
        <f>IF($G1402="PAX",M451*'Insumos - OPEX'!I$51,M451*'Insumos - OPEX'!I$76)</f>
        <v>0</v>
      </c>
      <c r="N1402" s="211">
        <f>IF($G1402="PAX",N451*'Insumos - OPEX'!J$51,N451*'Insumos - OPEX'!J$76)</f>
        <v>0</v>
      </c>
      <c r="O1402" s="211">
        <f>IF($G1402="PAX",O451*'Insumos - OPEX'!K$51,O451*'Insumos - OPEX'!K$76)</f>
        <v>0</v>
      </c>
      <c r="P1402" s="211">
        <f>IF($G1402="PAX",P451*'Insumos - OPEX'!L$51,P451*'Insumos - OPEX'!L$76)</f>
        <v>0</v>
      </c>
      <c r="Q1402" s="211">
        <f>IF($G1402="PAX",Q451*'Insumos - OPEX'!M$51,Q451*'Insumos - OPEX'!M$76)</f>
        <v>0</v>
      </c>
      <c r="R1402" s="211">
        <f>IF($G1402="PAX",R451*'Insumos - OPEX'!N$51,R451*'Insumos - OPEX'!N$76)</f>
        <v>0</v>
      </c>
      <c r="S1402" s="111"/>
    </row>
    <row r="1403" spans="1:19" x14ac:dyDescent="0.2">
      <c r="A1403" s="8"/>
      <c r="B1403" s="8" t="s">
        <v>435</v>
      </c>
      <c r="C1403" s="8" t="s">
        <v>173</v>
      </c>
      <c r="D1403" s="8">
        <v>6343100017</v>
      </c>
      <c r="E1403" s="8" t="s">
        <v>403</v>
      </c>
      <c r="F1403" s="73" t="s">
        <v>23</v>
      </c>
      <c r="G1403" s="73" t="s">
        <v>136</v>
      </c>
      <c r="H1403" s="112" t="s">
        <v>61</v>
      </c>
      <c r="I1403" s="13" t="s">
        <v>22</v>
      </c>
      <c r="K1403" s="187"/>
      <c r="L1403" s="187"/>
      <c r="M1403" s="188">
        <f>IF($G1403="PAX",M452*'Insumos - OPEX'!I$51,M452*'Insumos - OPEX'!I$76)</f>
        <v>0</v>
      </c>
      <c r="N1403" s="211">
        <f>IF($G1403="PAX",N452*'Insumos - OPEX'!J$51,N452*'Insumos - OPEX'!J$76)</f>
        <v>0</v>
      </c>
      <c r="O1403" s="211">
        <f>IF($G1403="PAX",O452*'Insumos - OPEX'!K$51,O452*'Insumos - OPEX'!K$76)</f>
        <v>0</v>
      </c>
      <c r="P1403" s="211">
        <f>IF($G1403="PAX",P452*'Insumos - OPEX'!L$51,P452*'Insumos - OPEX'!L$76)</f>
        <v>0</v>
      </c>
      <c r="Q1403" s="211">
        <f>IF($G1403="PAX",Q452*'Insumos - OPEX'!M$51,Q452*'Insumos - OPEX'!M$76)</f>
        <v>0</v>
      </c>
      <c r="R1403" s="211">
        <f>IF($G1403="PAX",R452*'Insumos - OPEX'!N$51,R452*'Insumos - OPEX'!N$76)</f>
        <v>0</v>
      </c>
      <c r="S1403" s="111"/>
    </row>
    <row r="1404" spans="1:19" x14ac:dyDescent="0.2">
      <c r="A1404" s="8"/>
      <c r="B1404" s="8" t="s">
        <v>435</v>
      </c>
      <c r="C1404" s="8" t="s">
        <v>173</v>
      </c>
      <c r="D1404" s="8">
        <v>6341100007</v>
      </c>
      <c r="E1404" s="8" t="s">
        <v>414</v>
      </c>
      <c r="F1404" s="73" t="s">
        <v>23</v>
      </c>
      <c r="G1404" s="73" t="s">
        <v>136</v>
      </c>
      <c r="H1404" s="112" t="s">
        <v>61</v>
      </c>
      <c r="I1404" s="13" t="s">
        <v>22</v>
      </c>
      <c r="K1404" s="187"/>
      <c r="L1404" s="187"/>
      <c r="M1404" s="188">
        <f>IF($G1404="PAX",M453*'Insumos - OPEX'!I$51,M453*'Insumos - OPEX'!I$76)</f>
        <v>0</v>
      </c>
      <c r="N1404" s="211">
        <f>IF($G1404="PAX",N453*'Insumos - OPEX'!J$51,N453*'Insumos - OPEX'!J$76)</f>
        <v>0</v>
      </c>
      <c r="O1404" s="211">
        <f>IF($G1404="PAX",O453*'Insumos - OPEX'!K$51,O453*'Insumos - OPEX'!K$76)</f>
        <v>0</v>
      </c>
      <c r="P1404" s="211">
        <f>IF($G1404="PAX",P453*'Insumos - OPEX'!L$51,P453*'Insumos - OPEX'!L$76)</f>
        <v>0</v>
      </c>
      <c r="Q1404" s="211">
        <f>IF($G1404="PAX",Q453*'Insumos - OPEX'!M$51,Q453*'Insumos - OPEX'!M$76)</f>
        <v>0</v>
      </c>
      <c r="R1404" s="211">
        <f>IF($G1404="PAX",R453*'Insumos - OPEX'!N$51,R453*'Insumos - OPEX'!N$76)</f>
        <v>0</v>
      </c>
      <c r="S1404" s="111"/>
    </row>
    <row r="1405" spans="1:19" x14ac:dyDescent="0.2">
      <c r="A1405" s="8"/>
      <c r="B1405" s="8" t="s">
        <v>435</v>
      </c>
      <c r="C1405" s="8" t="s">
        <v>173</v>
      </c>
      <c r="D1405" s="8">
        <v>6344000002</v>
      </c>
      <c r="E1405" s="8" t="s">
        <v>409</v>
      </c>
      <c r="F1405" s="73" t="s">
        <v>23</v>
      </c>
      <c r="G1405" s="73" t="s">
        <v>136</v>
      </c>
      <c r="H1405" s="112" t="s">
        <v>61</v>
      </c>
      <c r="I1405" s="13" t="s">
        <v>22</v>
      </c>
      <c r="K1405" s="187"/>
      <c r="L1405" s="187"/>
      <c r="M1405" s="188">
        <f>IF($G1405="PAX",M454*'Insumos - OPEX'!I$51,M454*'Insumos - OPEX'!I$76)</f>
        <v>0</v>
      </c>
      <c r="N1405" s="211">
        <f>IF($G1405="PAX",N454*'Insumos - OPEX'!J$51,N454*'Insumos - OPEX'!J$76)</f>
        <v>0</v>
      </c>
      <c r="O1405" s="211">
        <f>IF($G1405="PAX",O454*'Insumos - OPEX'!K$51,O454*'Insumos - OPEX'!K$76)</f>
        <v>0</v>
      </c>
      <c r="P1405" s="211">
        <f>IF($G1405="PAX",P454*'Insumos - OPEX'!L$51,P454*'Insumos - OPEX'!L$76)</f>
        <v>0</v>
      </c>
      <c r="Q1405" s="211">
        <f>IF($G1405="PAX",Q454*'Insumos - OPEX'!M$51,Q454*'Insumos - OPEX'!M$76)</f>
        <v>0</v>
      </c>
      <c r="R1405" s="211">
        <f>IF($G1405="PAX",R454*'Insumos - OPEX'!N$51,R454*'Insumos - OPEX'!N$76)</f>
        <v>0</v>
      </c>
      <c r="S1405" s="111"/>
    </row>
    <row r="1406" spans="1:19" x14ac:dyDescent="0.2">
      <c r="A1406" s="8"/>
      <c r="B1406" s="8" t="s">
        <v>435</v>
      </c>
      <c r="C1406" s="8" t="s">
        <v>173</v>
      </c>
      <c r="D1406" s="8">
        <v>6341100008</v>
      </c>
      <c r="E1406" s="8" t="s">
        <v>416</v>
      </c>
      <c r="F1406" s="73" t="s">
        <v>23</v>
      </c>
      <c r="G1406" s="73" t="s">
        <v>136</v>
      </c>
      <c r="H1406" s="112" t="s">
        <v>61</v>
      </c>
      <c r="I1406" s="13" t="s">
        <v>22</v>
      </c>
      <c r="K1406" s="187"/>
      <c r="L1406" s="187"/>
      <c r="M1406" s="188">
        <f>IF($G1406="PAX",M455*'Insumos - OPEX'!I$51,M455*'Insumos - OPEX'!I$76)</f>
        <v>0</v>
      </c>
      <c r="N1406" s="211">
        <f>IF($G1406="PAX",N455*'Insumos - OPEX'!J$51,N455*'Insumos - OPEX'!J$76)</f>
        <v>0</v>
      </c>
      <c r="O1406" s="211">
        <f>IF($G1406="PAX",O455*'Insumos - OPEX'!K$51,O455*'Insumos - OPEX'!K$76)</f>
        <v>0</v>
      </c>
      <c r="P1406" s="211">
        <f>IF($G1406="PAX",P455*'Insumos - OPEX'!L$51,P455*'Insumos - OPEX'!L$76)</f>
        <v>0</v>
      </c>
      <c r="Q1406" s="211">
        <f>IF($G1406="PAX",Q455*'Insumos - OPEX'!M$51,Q455*'Insumos - OPEX'!M$76)</f>
        <v>0</v>
      </c>
      <c r="R1406" s="211">
        <f>IF($G1406="PAX",R455*'Insumos - OPEX'!N$51,R455*'Insumos - OPEX'!N$76)</f>
        <v>0</v>
      </c>
      <c r="S1406" s="111"/>
    </row>
    <row r="1407" spans="1:19" x14ac:dyDescent="0.2">
      <c r="A1407" s="8"/>
      <c r="B1407" s="8" t="s">
        <v>435</v>
      </c>
      <c r="C1407" s="8" t="s">
        <v>173</v>
      </c>
      <c r="D1407" s="8">
        <v>6345000001</v>
      </c>
      <c r="E1407" s="8" t="s">
        <v>405</v>
      </c>
      <c r="F1407" s="73" t="s">
        <v>23</v>
      </c>
      <c r="G1407" s="73" t="s">
        <v>136</v>
      </c>
      <c r="H1407" s="112" t="s">
        <v>61</v>
      </c>
      <c r="I1407" s="13" t="s">
        <v>22</v>
      </c>
      <c r="K1407" s="187"/>
      <c r="L1407" s="187"/>
      <c r="M1407" s="188">
        <f>IF($G1407="PAX",M456*'Insumos - OPEX'!I$51,M456*'Insumos - OPEX'!I$76)</f>
        <v>0</v>
      </c>
      <c r="N1407" s="211">
        <f>IF($G1407="PAX",N456*'Insumos - OPEX'!J$51,N456*'Insumos - OPEX'!J$76)</f>
        <v>0</v>
      </c>
      <c r="O1407" s="211">
        <f>IF($G1407="PAX",O456*'Insumos - OPEX'!K$51,O456*'Insumos - OPEX'!K$76)</f>
        <v>0</v>
      </c>
      <c r="P1407" s="211">
        <f>IF($G1407="PAX",P456*'Insumos - OPEX'!L$51,P456*'Insumos - OPEX'!L$76)</f>
        <v>0</v>
      </c>
      <c r="Q1407" s="211">
        <f>IF($G1407="PAX",Q456*'Insumos - OPEX'!M$51,Q456*'Insumos - OPEX'!M$76)</f>
        <v>0</v>
      </c>
      <c r="R1407" s="211">
        <f>IF($G1407="PAX",R456*'Insumos - OPEX'!N$51,R456*'Insumos - OPEX'!N$76)</f>
        <v>0</v>
      </c>
      <c r="S1407" s="111"/>
    </row>
    <row r="1408" spans="1:19" x14ac:dyDescent="0.2">
      <c r="A1408" s="8"/>
      <c r="B1408" s="8" t="s">
        <v>435</v>
      </c>
      <c r="C1408" s="8" t="s">
        <v>173</v>
      </c>
      <c r="D1408" s="8">
        <v>6343100007</v>
      </c>
      <c r="E1408" s="8" t="s">
        <v>390</v>
      </c>
      <c r="F1408" s="73" t="s">
        <v>23</v>
      </c>
      <c r="G1408" s="73" t="s">
        <v>136</v>
      </c>
      <c r="H1408" s="112" t="s">
        <v>61</v>
      </c>
      <c r="I1408" s="13" t="s">
        <v>22</v>
      </c>
      <c r="K1408" s="187"/>
      <c r="L1408" s="187"/>
      <c r="M1408" s="188">
        <f>IF($G1408="PAX",M457*'Insumos - OPEX'!I$51,M457*'Insumos - OPEX'!I$76)</f>
        <v>0</v>
      </c>
      <c r="N1408" s="211">
        <f>IF($G1408="PAX",N457*'Insumos - OPEX'!J$51,N457*'Insumos - OPEX'!J$76)</f>
        <v>0</v>
      </c>
      <c r="O1408" s="211">
        <f>IF($G1408="PAX",O457*'Insumos - OPEX'!K$51,O457*'Insumos - OPEX'!K$76)</f>
        <v>0</v>
      </c>
      <c r="P1408" s="211">
        <f>IF($G1408="PAX",P457*'Insumos - OPEX'!L$51,P457*'Insumos - OPEX'!L$76)</f>
        <v>0</v>
      </c>
      <c r="Q1408" s="211">
        <f>IF($G1408="PAX",Q457*'Insumos - OPEX'!M$51,Q457*'Insumos - OPEX'!M$76)</f>
        <v>0</v>
      </c>
      <c r="R1408" s="211">
        <f>IF($G1408="PAX",R457*'Insumos - OPEX'!N$51,R457*'Insumos - OPEX'!N$76)</f>
        <v>0</v>
      </c>
      <c r="S1408" s="111"/>
    </row>
    <row r="1409" spans="1:19" x14ac:dyDescent="0.2">
      <c r="A1409" s="8"/>
      <c r="B1409" s="8" t="s">
        <v>435</v>
      </c>
      <c r="C1409" s="8" t="s">
        <v>173</v>
      </c>
      <c r="D1409" s="8">
        <v>6341100009</v>
      </c>
      <c r="E1409" s="8" t="s">
        <v>407</v>
      </c>
      <c r="F1409" s="73" t="s">
        <v>23</v>
      </c>
      <c r="G1409" s="73" t="s">
        <v>136</v>
      </c>
      <c r="H1409" s="112" t="s">
        <v>61</v>
      </c>
      <c r="I1409" s="13" t="s">
        <v>22</v>
      </c>
      <c r="K1409" s="187"/>
      <c r="L1409" s="187"/>
      <c r="M1409" s="188">
        <f>IF($G1409="PAX",M458*'Insumos - OPEX'!I$51,M458*'Insumos - OPEX'!I$76)</f>
        <v>0</v>
      </c>
      <c r="N1409" s="211">
        <f>IF($G1409="PAX",N458*'Insumos - OPEX'!J$51,N458*'Insumos - OPEX'!J$76)</f>
        <v>0</v>
      </c>
      <c r="O1409" s="211">
        <f>IF($G1409="PAX",O458*'Insumos - OPEX'!K$51,O458*'Insumos - OPEX'!K$76)</f>
        <v>0</v>
      </c>
      <c r="P1409" s="211">
        <f>IF($G1409="PAX",P458*'Insumos - OPEX'!L$51,P458*'Insumos - OPEX'!L$76)</f>
        <v>0</v>
      </c>
      <c r="Q1409" s="211">
        <f>IF($G1409="PAX",Q458*'Insumos - OPEX'!M$51,Q458*'Insumos - OPEX'!M$76)</f>
        <v>0</v>
      </c>
      <c r="R1409" s="211">
        <f>IF($G1409="PAX",R458*'Insumos - OPEX'!N$51,R458*'Insumos - OPEX'!N$76)</f>
        <v>0</v>
      </c>
      <c r="S1409" s="111"/>
    </row>
    <row r="1410" spans="1:19" x14ac:dyDescent="0.2">
      <c r="A1410" s="8"/>
      <c r="B1410" s="8" t="s">
        <v>435</v>
      </c>
      <c r="C1410" s="8" t="s">
        <v>173</v>
      </c>
      <c r="D1410" s="8">
        <v>6343100008</v>
      </c>
      <c r="E1410" s="8" t="s">
        <v>395</v>
      </c>
      <c r="F1410" s="73" t="s">
        <v>23</v>
      </c>
      <c r="G1410" s="73" t="s">
        <v>136</v>
      </c>
      <c r="H1410" s="112" t="s">
        <v>61</v>
      </c>
      <c r="I1410" s="13" t="s">
        <v>22</v>
      </c>
      <c r="K1410" s="187"/>
      <c r="L1410" s="187"/>
      <c r="M1410" s="188">
        <f>IF($G1410="PAX",M459*'Insumos - OPEX'!I$51,M459*'Insumos - OPEX'!I$76)</f>
        <v>0</v>
      </c>
      <c r="N1410" s="211">
        <f>IF($G1410="PAX",N459*'Insumos - OPEX'!J$51,N459*'Insumos - OPEX'!J$76)</f>
        <v>0</v>
      </c>
      <c r="O1410" s="211">
        <f>IF($G1410="PAX",O459*'Insumos - OPEX'!K$51,O459*'Insumos - OPEX'!K$76)</f>
        <v>0</v>
      </c>
      <c r="P1410" s="211">
        <f>IF($G1410="PAX",P459*'Insumos - OPEX'!L$51,P459*'Insumos - OPEX'!L$76)</f>
        <v>0</v>
      </c>
      <c r="Q1410" s="211">
        <f>IF($G1410="PAX",Q459*'Insumos - OPEX'!M$51,Q459*'Insumos - OPEX'!M$76)</f>
        <v>0</v>
      </c>
      <c r="R1410" s="211">
        <f>IF($G1410="PAX",R459*'Insumos - OPEX'!N$51,R459*'Insumos - OPEX'!N$76)</f>
        <v>0</v>
      </c>
      <c r="S1410" s="111"/>
    </row>
    <row r="1411" spans="1:19" x14ac:dyDescent="0.2">
      <c r="A1411" s="8"/>
      <c r="B1411" s="8" t="s">
        <v>435</v>
      </c>
      <c r="C1411" s="8" t="s">
        <v>173</v>
      </c>
      <c r="D1411" s="8">
        <v>6343100005</v>
      </c>
      <c r="E1411" s="8" t="s">
        <v>424</v>
      </c>
      <c r="F1411" s="73" t="s">
        <v>23</v>
      </c>
      <c r="G1411" s="73" t="s">
        <v>136</v>
      </c>
      <c r="H1411" s="112" t="s">
        <v>61</v>
      </c>
      <c r="I1411" s="13" t="s">
        <v>22</v>
      </c>
      <c r="K1411" s="187"/>
      <c r="L1411" s="187"/>
      <c r="M1411" s="188">
        <f>IF($G1411="PAX",M460*'Insumos - OPEX'!I$51,M460*'Insumos - OPEX'!I$76)</f>
        <v>0</v>
      </c>
      <c r="N1411" s="211">
        <f>IF($G1411="PAX",N460*'Insumos - OPEX'!J$51,N460*'Insumos - OPEX'!J$76)</f>
        <v>0</v>
      </c>
      <c r="O1411" s="211">
        <f>IF($G1411="PAX",O460*'Insumos - OPEX'!K$51,O460*'Insumos - OPEX'!K$76)</f>
        <v>0</v>
      </c>
      <c r="P1411" s="211">
        <f>IF($G1411="PAX",P460*'Insumos - OPEX'!L$51,P460*'Insumos - OPEX'!L$76)</f>
        <v>0</v>
      </c>
      <c r="Q1411" s="211">
        <f>IF($G1411="PAX",Q460*'Insumos - OPEX'!M$51,Q460*'Insumos - OPEX'!M$76)</f>
        <v>0</v>
      </c>
      <c r="R1411" s="211">
        <f>IF($G1411="PAX",R460*'Insumos - OPEX'!N$51,R460*'Insumos - OPEX'!N$76)</f>
        <v>0</v>
      </c>
      <c r="S1411" s="111"/>
    </row>
    <row r="1412" spans="1:19" x14ac:dyDescent="0.2">
      <c r="A1412" s="8"/>
      <c r="B1412" s="8" t="s">
        <v>435</v>
      </c>
      <c r="C1412" s="8" t="s">
        <v>173</v>
      </c>
      <c r="D1412" s="8">
        <v>6343100006</v>
      </c>
      <c r="E1412" s="8" t="s">
        <v>425</v>
      </c>
      <c r="F1412" s="73" t="s">
        <v>23</v>
      </c>
      <c r="G1412" s="73" t="s">
        <v>136</v>
      </c>
      <c r="H1412" s="112" t="s">
        <v>61</v>
      </c>
      <c r="I1412" s="13" t="s">
        <v>22</v>
      </c>
      <c r="J1412" s="11"/>
      <c r="K1412" s="187"/>
      <c r="L1412" s="187"/>
      <c r="M1412" s="188">
        <f>IF($G1412="PAX",M461*'Insumos - OPEX'!I$51,M461*'Insumos - OPEX'!I$76)</f>
        <v>0</v>
      </c>
      <c r="N1412" s="211">
        <f>IF($G1412="PAX",N461*'Insumos - OPEX'!J$51,N461*'Insumos - OPEX'!J$76)</f>
        <v>0</v>
      </c>
      <c r="O1412" s="211">
        <f>IF($G1412="PAX",O461*'Insumos - OPEX'!K$51,O461*'Insumos - OPEX'!K$76)</f>
        <v>0</v>
      </c>
      <c r="P1412" s="211">
        <f>IF($G1412="PAX",P461*'Insumos - OPEX'!L$51,P461*'Insumos - OPEX'!L$76)</f>
        <v>0</v>
      </c>
      <c r="Q1412" s="211">
        <f>IF($G1412="PAX",Q461*'Insumos - OPEX'!M$51,Q461*'Insumos - OPEX'!M$76)</f>
        <v>0</v>
      </c>
      <c r="R1412" s="211">
        <f>IF($G1412="PAX",R461*'Insumos - OPEX'!N$51,R461*'Insumos - OPEX'!N$76)</f>
        <v>0</v>
      </c>
      <c r="S1412" s="111"/>
    </row>
    <row r="1413" spans="1:19" x14ac:dyDescent="0.2">
      <c r="A1413" s="8"/>
      <c r="B1413" s="8" t="s">
        <v>435</v>
      </c>
      <c r="C1413" s="8" t="s">
        <v>172</v>
      </c>
      <c r="D1413" s="8">
        <v>6381000002</v>
      </c>
      <c r="E1413" s="8" t="s">
        <v>302</v>
      </c>
      <c r="F1413" s="73" t="s">
        <v>23</v>
      </c>
      <c r="G1413" s="73" t="s">
        <v>136</v>
      </c>
      <c r="H1413" s="112" t="s">
        <v>61</v>
      </c>
      <c r="I1413" s="13" t="s">
        <v>22</v>
      </c>
      <c r="K1413" s="187"/>
      <c r="L1413" s="187"/>
      <c r="M1413" s="188">
        <f>IF($G1413="PAX",M462*'Insumos - OPEX'!I$51,M462*'Insumos - OPEX'!I$76)</f>
        <v>769.48162768835346</v>
      </c>
      <c r="N1413" s="211">
        <f>IF($G1413="PAX",N462*'Insumos - OPEX'!J$51,N462*'Insumos - OPEX'!J$76)</f>
        <v>751.68813374551758</v>
      </c>
      <c r="O1413" s="211">
        <f>IF($G1413="PAX",O462*'Insumos - OPEX'!K$51,O462*'Insumos - OPEX'!K$76)</f>
        <v>748.9825887769664</v>
      </c>
      <c r="P1413" s="211">
        <f>IF($G1413="PAX",P462*'Insumos - OPEX'!L$51,P462*'Insumos - OPEX'!L$76)</f>
        <v>744.34527929502281</v>
      </c>
      <c r="Q1413" s="211">
        <f>IF($G1413="PAX",Q462*'Insumos - OPEX'!M$51,Q462*'Insumos - OPEX'!M$76)</f>
        <v>748.86496420123774</v>
      </c>
      <c r="R1413" s="211">
        <f>IF($G1413="PAX",R462*'Insumos - OPEX'!N$51,R462*'Insumos - OPEX'!N$76)</f>
        <v>750.69174063492449</v>
      </c>
      <c r="S1413" s="111"/>
    </row>
    <row r="1414" spans="1:19" x14ac:dyDescent="0.2">
      <c r="A1414" s="8"/>
      <c r="B1414" s="8" t="s">
        <v>435</v>
      </c>
      <c r="C1414" s="8" t="s">
        <v>172</v>
      </c>
      <c r="D1414" s="8">
        <v>6380000004</v>
      </c>
      <c r="E1414" s="8" t="s">
        <v>273</v>
      </c>
      <c r="F1414" s="73" t="s">
        <v>23</v>
      </c>
      <c r="G1414" s="73" t="s">
        <v>471</v>
      </c>
      <c r="H1414" s="112" t="s">
        <v>61</v>
      </c>
      <c r="I1414" s="13" t="s">
        <v>22</v>
      </c>
      <c r="K1414" s="187"/>
      <c r="L1414" s="187"/>
      <c r="M1414" s="188">
        <f>IF($G1414="PAX",M463*'Insumos - OPEX'!I$51,M463*'Insumos - OPEX'!I$76)</f>
        <v>273.21501493476023</v>
      </c>
      <c r="N1414" s="211">
        <f>IF($G1414="PAX",N463*'Insumos - OPEX'!J$51,N463*'Insumos - OPEX'!J$76)</f>
        <v>275.72498803886214</v>
      </c>
      <c r="O1414" s="211">
        <f>IF($G1414="PAX",O463*'Insumos - OPEX'!K$51,O463*'Insumos - OPEX'!K$76)</f>
        <v>280.27124526013125</v>
      </c>
      <c r="P1414" s="211">
        <f>IF($G1414="PAX",P463*'Insumos - OPEX'!L$51,P463*'Insumos - OPEX'!L$76)</f>
        <v>284.39247705668686</v>
      </c>
      <c r="Q1414" s="211">
        <f>IF($G1414="PAX",Q463*'Insumos - OPEX'!M$51,Q463*'Insumos - OPEX'!M$76)</f>
        <v>289.47030348461419</v>
      </c>
      <c r="R1414" s="211">
        <f>IF($G1414="PAX",R463*'Insumos - OPEX'!N$51,R463*'Insumos - OPEX'!N$76)</f>
        <v>294.42056128130406</v>
      </c>
      <c r="S1414" s="111"/>
    </row>
    <row r="1415" spans="1:19" x14ac:dyDescent="0.2">
      <c r="A1415" s="8"/>
      <c r="B1415" s="8" t="s">
        <v>435</v>
      </c>
      <c r="C1415" s="8" t="s">
        <v>172</v>
      </c>
      <c r="D1415" s="8">
        <v>6320000007</v>
      </c>
      <c r="E1415" s="8" t="s">
        <v>303</v>
      </c>
      <c r="F1415" s="73" t="s">
        <v>23</v>
      </c>
      <c r="G1415" s="73" t="s">
        <v>136</v>
      </c>
      <c r="H1415" s="112" t="s">
        <v>61</v>
      </c>
      <c r="I1415" s="13" t="s">
        <v>22</v>
      </c>
      <c r="K1415" s="187"/>
      <c r="L1415" s="187"/>
      <c r="M1415" s="188">
        <f>IF($G1415="PAX",M464*'Insumos - OPEX'!I$51,M464*'Insumos - OPEX'!I$76)</f>
        <v>0</v>
      </c>
      <c r="N1415" s="211">
        <f>IF($G1415="PAX",N464*'Insumos - OPEX'!J$51,N464*'Insumos - OPEX'!J$76)</f>
        <v>0</v>
      </c>
      <c r="O1415" s="211">
        <f>IF($G1415="PAX",O464*'Insumos - OPEX'!K$51,O464*'Insumos - OPEX'!K$76)</f>
        <v>0</v>
      </c>
      <c r="P1415" s="211">
        <f>IF($G1415="PAX",P464*'Insumos - OPEX'!L$51,P464*'Insumos - OPEX'!L$76)</f>
        <v>0</v>
      </c>
      <c r="Q1415" s="211">
        <f>IF($G1415="PAX",Q464*'Insumos - OPEX'!M$51,Q464*'Insumos - OPEX'!M$76)</f>
        <v>0</v>
      </c>
      <c r="R1415" s="211">
        <f>IF($G1415="PAX",R464*'Insumos - OPEX'!N$51,R464*'Insumos - OPEX'!N$76)</f>
        <v>0</v>
      </c>
      <c r="S1415" s="111"/>
    </row>
    <row r="1416" spans="1:19" x14ac:dyDescent="0.2">
      <c r="A1416" s="8"/>
      <c r="B1416" s="8" t="s">
        <v>435</v>
      </c>
      <c r="C1416" s="8" t="s">
        <v>172</v>
      </c>
      <c r="D1416" s="8">
        <v>6380000027</v>
      </c>
      <c r="E1416" s="8" t="s">
        <v>318</v>
      </c>
      <c r="F1416" s="73" t="s">
        <v>23</v>
      </c>
      <c r="G1416" s="73" t="s">
        <v>136</v>
      </c>
      <c r="H1416" s="112" t="s">
        <v>61</v>
      </c>
      <c r="I1416" s="13" t="s">
        <v>22</v>
      </c>
      <c r="K1416" s="187"/>
      <c r="L1416" s="187"/>
      <c r="M1416" s="188">
        <f>IF($G1416="PAX",M465*'Insumos - OPEX'!I$51,M465*'Insumos - OPEX'!I$76)</f>
        <v>0</v>
      </c>
      <c r="N1416" s="211">
        <f>IF($G1416="PAX",N465*'Insumos - OPEX'!J$51,N465*'Insumos - OPEX'!J$76)</f>
        <v>0</v>
      </c>
      <c r="O1416" s="211">
        <f>IF($G1416="PAX",O465*'Insumos - OPEX'!K$51,O465*'Insumos - OPEX'!K$76)</f>
        <v>0</v>
      </c>
      <c r="P1416" s="211">
        <f>IF($G1416="PAX",P465*'Insumos - OPEX'!L$51,P465*'Insumos - OPEX'!L$76)</f>
        <v>0</v>
      </c>
      <c r="Q1416" s="211">
        <f>IF($G1416="PAX",Q465*'Insumos - OPEX'!M$51,Q465*'Insumos - OPEX'!M$76)</f>
        <v>0</v>
      </c>
      <c r="R1416" s="211">
        <f>IF($G1416="PAX",R465*'Insumos - OPEX'!N$51,R465*'Insumos - OPEX'!N$76)</f>
        <v>0</v>
      </c>
      <c r="S1416" s="111"/>
    </row>
    <row r="1417" spans="1:19" x14ac:dyDescent="0.2">
      <c r="A1417" s="8"/>
      <c r="B1417" s="8" t="s">
        <v>435</v>
      </c>
      <c r="C1417" s="8" t="s">
        <v>172</v>
      </c>
      <c r="D1417" s="8">
        <v>6380000031</v>
      </c>
      <c r="E1417" s="8" t="s">
        <v>310</v>
      </c>
      <c r="F1417" s="73" t="s">
        <v>23</v>
      </c>
      <c r="G1417" s="73" t="s">
        <v>136</v>
      </c>
      <c r="H1417" s="112" t="s">
        <v>61</v>
      </c>
      <c r="I1417" s="13" t="s">
        <v>22</v>
      </c>
      <c r="K1417" s="187"/>
      <c r="L1417" s="187"/>
      <c r="M1417" s="188">
        <f>IF($G1417="PAX",M466*'Insumos - OPEX'!I$51,M466*'Insumos - OPEX'!I$76)</f>
        <v>0</v>
      </c>
      <c r="N1417" s="211">
        <f>IF($G1417="PAX",N466*'Insumos - OPEX'!J$51,N466*'Insumos - OPEX'!J$76)</f>
        <v>0</v>
      </c>
      <c r="O1417" s="211">
        <f>IF($G1417="PAX",O466*'Insumos - OPEX'!K$51,O466*'Insumos - OPEX'!K$76)</f>
        <v>0</v>
      </c>
      <c r="P1417" s="211">
        <f>IF($G1417="PAX",P466*'Insumos - OPEX'!L$51,P466*'Insumos - OPEX'!L$76)</f>
        <v>0</v>
      </c>
      <c r="Q1417" s="211">
        <f>IF($G1417="PAX",Q466*'Insumos - OPEX'!M$51,Q466*'Insumos - OPEX'!M$76)</f>
        <v>0</v>
      </c>
      <c r="R1417" s="211">
        <f>IF($G1417="PAX",R466*'Insumos - OPEX'!N$51,R466*'Insumos - OPEX'!N$76)</f>
        <v>0</v>
      </c>
      <c r="S1417" s="111"/>
    </row>
    <row r="1418" spans="1:19" x14ac:dyDescent="0.2">
      <c r="A1418" s="8"/>
      <c r="B1418" s="8" t="s">
        <v>435</v>
      </c>
      <c r="C1418" s="8" t="s">
        <v>172</v>
      </c>
      <c r="D1418" s="8">
        <v>6380000014</v>
      </c>
      <c r="E1418" s="8" t="s">
        <v>312</v>
      </c>
      <c r="F1418" s="73" t="s">
        <v>23</v>
      </c>
      <c r="G1418" s="73" t="s">
        <v>136</v>
      </c>
      <c r="H1418" s="112" t="s">
        <v>61</v>
      </c>
      <c r="I1418" s="13" t="s">
        <v>22</v>
      </c>
      <c r="K1418" s="187"/>
      <c r="L1418" s="187"/>
      <c r="M1418" s="188">
        <f>IF($G1418="PAX",M467*'Insumos - OPEX'!I$51,M467*'Insumos - OPEX'!I$76)</f>
        <v>0</v>
      </c>
      <c r="N1418" s="211">
        <f>IF($G1418="PAX",N467*'Insumos - OPEX'!J$51,N467*'Insumos - OPEX'!J$76)</f>
        <v>0</v>
      </c>
      <c r="O1418" s="211">
        <f>IF($G1418="PAX",O467*'Insumos - OPEX'!K$51,O467*'Insumos - OPEX'!K$76)</f>
        <v>0</v>
      </c>
      <c r="P1418" s="211">
        <f>IF($G1418="PAX",P467*'Insumos - OPEX'!L$51,P467*'Insumos - OPEX'!L$76)</f>
        <v>0</v>
      </c>
      <c r="Q1418" s="211">
        <f>IF($G1418="PAX",Q467*'Insumos - OPEX'!M$51,Q467*'Insumos - OPEX'!M$76)</f>
        <v>0</v>
      </c>
      <c r="R1418" s="211">
        <f>IF($G1418="PAX",R467*'Insumos - OPEX'!N$51,R467*'Insumos - OPEX'!N$76)</f>
        <v>0</v>
      </c>
      <c r="S1418" s="111"/>
    </row>
    <row r="1419" spans="1:19" x14ac:dyDescent="0.2">
      <c r="A1419" s="8"/>
      <c r="B1419" s="8" t="s">
        <v>435</v>
      </c>
      <c r="C1419" s="8" t="s">
        <v>172</v>
      </c>
      <c r="D1419" s="8">
        <v>6381000005</v>
      </c>
      <c r="E1419" s="8" t="s">
        <v>316</v>
      </c>
      <c r="F1419" s="73" t="s">
        <v>23</v>
      </c>
      <c r="G1419" s="73" t="s">
        <v>136</v>
      </c>
      <c r="H1419" s="112" t="s">
        <v>61</v>
      </c>
      <c r="I1419" s="13" t="s">
        <v>22</v>
      </c>
      <c r="K1419" s="187"/>
      <c r="L1419" s="187"/>
      <c r="M1419" s="188">
        <f>IF($G1419="PAX",M468*'Insumos - OPEX'!I$51,M468*'Insumos - OPEX'!I$76)</f>
        <v>0</v>
      </c>
      <c r="N1419" s="211">
        <f>IF($G1419="PAX",N468*'Insumos - OPEX'!J$51,N468*'Insumos - OPEX'!J$76)</f>
        <v>0</v>
      </c>
      <c r="O1419" s="211">
        <f>IF($G1419="PAX",O468*'Insumos - OPEX'!K$51,O468*'Insumos - OPEX'!K$76)</f>
        <v>0</v>
      </c>
      <c r="P1419" s="211">
        <f>IF($G1419="PAX",P468*'Insumos - OPEX'!L$51,P468*'Insumos - OPEX'!L$76)</f>
        <v>0</v>
      </c>
      <c r="Q1419" s="211">
        <f>IF($G1419="PAX",Q468*'Insumos - OPEX'!M$51,Q468*'Insumos - OPEX'!M$76)</f>
        <v>0</v>
      </c>
      <c r="R1419" s="211">
        <f>IF($G1419="PAX",R468*'Insumos - OPEX'!N$51,R468*'Insumos - OPEX'!N$76)</f>
        <v>0</v>
      </c>
      <c r="S1419" s="111"/>
    </row>
    <row r="1420" spans="1:19" x14ac:dyDescent="0.2">
      <c r="A1420" s="8"/>
      <c r="B1420" s="8" t="s">
        <v>435</v>
      </c>
      <c r="C1420" s="8" t="s">
        <v>172</v>
      </c>
      <c r="D1420" s="8">
        <v>6380000016</v>
      </c>
      <c r="E1420" s="8" t="s">
        <v>304</v>
      </c>
      <c r="F1420" s="73" t="s">
        <v>23</v>
      </c>
      <c r="G1420" s="73" t="s">
        <v>136</v>
      </c>
      <c r="H1420" s="112" t="s">
        <v>61</v>
      </c>
      <c r="I1420" s="13" t="s">
        <v>22</v>
      </c>
      <c r="K1420" s="187"/>
      <c r="L1420" s="187"/>
      <c r="M1420" s="188">
        <f>IF($G1420="PAX",M469*'Insumos - OPEX'!I$51,M469*'Insumos - OPEX'!I$76)</f>
        <v>0</v>
      </c>
      <c r="N1420" s="211">
        <f>IF($G1420="PAX",N469*'Insumos - OPEX'!J$51,N469*'Insumos - OPEX'!J$76)</f>
        <v>0</v>
      </c>
      <c r="O1420" s="211">
        <f>IF($G1420="PAX",O469*'Insumos - OPEX'!K$51,O469*'Insumos - OPEX'!K$76)</f>
        <v>0</v>
      </c>
      <c r="P1420" s="211">
        <f>IF($G1420="PAX",P469*'Insumos - OPEX'!L$51,P469*'Insumos - OPEX'!L$76)</f>
        <v>0</v>
      </c>
      <c r="Q1420" s="211">
        <f>IF($G1420="PAX",Q469*'Insumos - OPEX'!M$51,Q469*'Insumos - OPEX'!M$76)</f>
        <v>0</v>
      </c>
      <c r="R1420" s="211">
        <f>IF($G1420="PAX",R469*'Insumos - OPEX'!N$51,R469*'Insumos - OPEX'!N$76)</f>
        <v>0</v>
      </c>
      <c r="S1420" s="111"/>
    </row>
    <row r="1421" spans="1:19" x14ac:dyDescent="0.2">
      <c r="A1421" s="8"/>
      <c r="B1421" s="8" t="s">
        <v>435</v>
      </c>
      <c r="C1421" s="8" t="s">
        <v>172</v>
      </c>
      <c r="D1421" s="8">
        <v>6380000026</v>
      </c>
      <c r="E1421" s="8" t="s">
        <v>314</v>
      </c>
      <c r="F1421" s="73" t="s">
        <v>23</v>
      </c>
      <c r="G1421" s="73" t="s">
        <v>136</v>
      </c>
      <c r="H1421" s="112" t="s">
        <v>61</v>
      </c>
      <c r="I1421" s="13" t="s">
        <v>22</v>
      </c>
      <c r="K1421" s="187"/>
      <c r="L1421" s="187"/>
      <c r="M1421" s="188">
        <f>IF($G1421="PAX",M470*'Insumos - OPEX'!I$51,M470*'Insumos - OPEX'!I$76)</f>
        <v>0</v>
      </c>
      <c r="N1421" s="211">
        <f>IF($G1421="PAX",N470*'Insumos - OPEX'!J$51,N470*'Insumos - OPEX'!J$76)</f>
        <v>0</v>
      </c>
      <c r="O1421" s="211">
        <f>IF($G1421="PAX",O470*'Insumos - OPEX'!K$51,O470*'Insumos - OPEX'!K$76)</f>
        <v>0</v>
      </c>
      <c r="P1421" s="211">
        <f>IF($G1421="PAX",P470*'Insumos - OPEX'!L$51,P470*'Insumos - OPEX'!L$76)</f>
        <v>0</v>
      </c>
      <c r="Q1421" s="211">
        <f>IF($G1421="PAX",Q470*'Insumos - OPEX'!M$51,Q470*'Insumos - OPEX'!M$76)</f>
        <v>0</v>
      </c>
      <c r="R1421" s="211">
        <f>IF($G1421="PAX",R470*'Insumos - OPEX'!N$51,R470*'Insumos - OPEX'!N$76)</f>
        <v>0</v>
      </c>
      <c r="S1421" s="111"/>
    </row>
    <row r="1422" spans="1:19" x14ac:dyDescent="0.2">
      <c r="A1422" s="8"/>
      <c r="B1422" s="8" t="s">
        <v>435</v>
      </c>
      <c r="C1422" s="8" t="s">
        <v>172</v>
      </c>
      <c r="D1422" s="8">
        <v>6380000017</v>
      </c>
      <c r="E1422" s="8" t="s">
        <v>317</v>
      </c>
      <c r="F1422" s="73" t="s">
        <v>23</v>
      </c>
      <c r="G1422" s="73" t="s">
        <v>136</v>
      </c>
      <c r="H1422" s="112" t="s">
        <v>61</v>
      </c>
      <c r="I1422" s="13" t="s">
        <v>22</v>
      </c>
      <c r="K1422" s="187"/>
      <c r="L1422" s="187"/>
      <c r="M1422" s="188">
        <f>IF($G1422="PAX",M471*'Insumos - OPEX'!I$51,M471*'Insumos - OPEX'!I$76)</f>
        <v>0</v>
      </c>
      <c r="N1422" s="211">
        <f>IF($G1422="PAX",N471*'Insumos - OPEX'!J$51,N471*'Insumos - OPEX'!J$76)</f>
        <v>0</v>
      </c>
      <c r="O1422" s="211">
        <f>IF($G1422="PAX",O471*'Insumos - OPEX'!K$51,O471*'Insumos - OPEX'!K$76)</f>
        <v>0</v>
      </c>
      <c r="P1422" s="211">
        <f>IF($G1422="PAX",P471*'Insumos - OPEX'!L$51,P471*'Insumos - OPEX'!L$76)</f>
        <v>0</v>
      </c>
      <c r="Q1422" s="211">
        <f>IF($G1422="PAX",Q471*'Insumos - OPEX'!M$51,Q471*'Insumos - OPEX'!M$76)</f>
        <v>0</v>
      </c>
      <c r="R1422" s="211">
        <f>IF($G1422="PAX",R471*'Insumos - OPEX'!N$51,R471*'Insumos - OPEX'!N$76)</f>
        <v>0</v>
      </c>
      <c r="S1422" s="111"/>
    </row>
    <row r="1423" spans="1:19" x14ac:dyDescent="0.2">
      <c r="A1423" s="8"/>
      <c r="B1423" s="8" t="s">
        <v>435</v>
      </c>
      <c r="C1423" s="8" t="s">
        <v>172</v>
      </c>
      <c r="D1423" s="8">
        <v>6380000028</v>
      </c>
      <c r="E1423" s="8" t="s">
        <v>305</v>
      </c>
      <c r="F1423" s="73" t="s">
        <v>23</v>
      </c>
      <c r="G1423" s="73" t="s">
        <v>136</v>
      </c>
      <c r="H1423" s="112" t="s">
        <v>61</v>
      </c>
      <c r="I1423" s="13" t="s">
        <v>22</v>
      </c>
      <c r="K1423" s="187"/>
      <c r="L1423" s="187"/>
      <c r="M1423" s="188">
        <f>IF($G1423="PAX",M472*'Insumos - OPEX'!I$51,M472*'Insumos - OPEX'!I$76)</f>
        <v>0</v>
      </c>
      <c r="N1423" s="211">
        <f>IF($G1423="PAX",N472*'Insumos - OPEX'!J$51,N472*'Insumos - OPEX'!J$76)</f>
        <v>0</v>
      </c>
      <c r="O1423" s="211">
        <f>IF($G1423="PAX",O472*'Insumos - OPEX'!K$51,O472*'Insumos - OPEX'!K$76)</f>
        <v>0</v>
      </c>
      <c r="P1423" s="211">
        <f>IF($G1423="PAX",P472*'Insumos - OPEX'!L$51,P472*'Insumos - OPEX'!L$76)</f>
        <v>0</v>
      </c>
      <c r="Q1423" s="211">
        <f>IF($G1423="PAX",Q472*'Insumos - OPEX'!M$51,Q472*'Insumos - OPEX'!M$76)</f>
        <v>0</v>
      </c>
      <c r="R1423" s="211">
        <f>IF($G1423="PAX",R472*'Insumos - OPEX'!N$51,R472*'Insumos - OPEX'!N$76)</f>
        <v>0</v>
      </c>
      <c r="S1423" s="111"/>
    </row>
    <row r="1424" spans="1:19" x14ac:dyDescent="0.2">
      <c r="A1424" s="8"/>
      <c r="B1424" s="8" t="s">
        <v>435</v>
      </c>
      <c r="C1424" s="8" t="s">
        <v>172</v>
      </c>
      <c r="D1424" s="8">
        <v>6380000018</v>
      </c>
      <c r="E1424" s="8" t="s">
        <v>309</v>
      </c>
      <c r="F1424" s="73" t="s">
        <v>23</v>
      </c>
      <c r="G1424" s="73" t="s">
        <v>136</v>
      </c>
      <c r="H1424" s="112" t="s">
        <v>61</v>
      </c>
      <c r="I1424" s="13" t="s">
        <v>22</v>
      </c>
      <c r="K1424" s="187"/>
      <c r="L1424" s="187"/>
      <c r="M1424" s="188">
        <f>IF($G1424="PAX",M473*'Insumos - OPEX'!I$51,M473*'Insumos - OPEX'!I$76)</f>
        <v>0</v>
      </c>
      <c r="N1424" s="211">
        <f>IF($G1424="PAX",N473*'Insumos - OPEX'!J$51,N473*'Insumos - OPEX'!J$76)</f>
        <v>0</v>
      </c>
      <c r="O1424" s="211">
        <f>IF($G1424="PAX",O473*'Insumos - OPEX'!K$51,O473*'Insumos - OPEX'!K$76)</f>
        <v>0</v>
      </c>
      <c r="P1424" s="211">
        <f>IF($G1424="PAX",P473*'Insumos - OPEX'!L$51,P473*'Insumos - OPEX'!L$76)</f>
        <v>0</v>
      </c>
      <c r="Q1424" s="211">
        <f>IF($G1424="PAX",Q473*'Insumos - OPEX'!M$51,Q473*'Insumos - OPEX'!M$76)</f>
        <v>0</v>
      </c>
      <c r="R1424" s="211">
        <f>IF($G1424="PAX",R473*'Insumos - OPEX'!N$51,R473*'Insumos - OPEX'!N$76)</f>
        <v>0</v>
      </c>
      <c r="S1424" s="111"/>
    </row>
    <row r="1425" spans="1:19" x14ac:dyDescent="0.2">
      <c r="A1425" s="8"/>
      <c r="B1425" s="8" t="s">
        <v>435</v>
      </c>
      <c r="C1425" s="8" t="s">
        <v>172</v>
      </c>
      <c r="D1425" s="8">
        <v>6381000001</v>
      </c>
      <c r="E1425" s="8" t="s">
        <v>313</v>
      </c>
      <c r="F1425" s="73" t="s">
        <v>23</v>
      </c>
      <c r="G1425" s="73" t="s">
        <v>136</v>
      </c>
      <c r="H1425" s="112" t="s">
        <v>61</v>
      </c>
      <c r="I1425" s="13" t="s">
        <v>22</v>
      </c>
      <c r="K1425" s="187"/>
      <c r="L1425" s="187"/>
      <c r="M1425" s="188">
        <f>IF($G1425="PAX",M474*'Insumos - OPEX'!I$51,M474*'Insumos - OPEX'!I$76)</f>
        <v>0</v>
      </c>
      <c r="N1425" s="211">
        <f>IF($G1425="PAX",N474*'Insumos - OPEX'!J$51,N474*'Insumos - OPEX'!J$76)</f>
        <v>0</v>
      </c>
      <c r="O1425" s="211">
        <f>IF($G1425="PAX",O474*'Insumos - OPEX'!K$51,O474*'Insumos - OPEX'!K$76)</f>
        <v>0</v>
      </c>
      <c r="P1425" s="211">
        <f>IF($G1425="PAX",P474*'Insumos - OPEX'!L$51,P474*'Insumos - OPEX'!L$76)</f>
        <v>0</v>
      </c>
      <c r="Q1425" s="211">
        <f>IF($G1425="PAX",Q474*'Insumos - OPEX'!M$51,Q474*'Insumos - OPEX'!M$76)</f>
        <v>0</v>
      </c>
      <c r="R1425" s="211">
        <f>IF($G1425="PAX",R474*'Insumos - OPEX'!N$51,R474*'Insumos - OPEX'!N$76)</f>
        <v>0</v>
      </c>
      <c r="S1425" s="111"/>
    </row>
    <row r="1426" spans="1:19" x14ac:dyDescent="0.2">
      <c r="A1426" s="8"/>
      <c r="B1426" s="8" t="s">
        <v>435</v>
      </c>
      <c r="C1426" s="8" t="s">
        <v>172</v>
      </c>
      <c r="D1426" s="8">
        <v>6380000020</v>
      </c>
      <c r="E1426" s="8" t="s">
        <v>308</v>
      </c>
      <c r="F1426" s="73" t="s">
        <v>23</v>
      </c>
      <c r="G1426" s="73" t="s">
        <v>136</v>
      </c>
      <c r="H1426" s="112" t="s">
        <v>61</v>
      </c>
      <c r="I1426" s="13" t="s">
        <v>22</v>
      </c>
      <c r="K1426" s="187"/>
      <c r="L1426" s="187"/>
      <c r="M1426" s="188">
        <f>IF($G1426="PAX",M475*'Insumos - OPEX'!I$51,M475*'Insumos - OPEX'!I$76)</f>
        <v>0</v>
      </c>
      <c r="N1426" s="211">
        <f>IF($G1426="PAX",N475*'Insumos - OPEX'!J$51,N475*'Insumos - OPEX'!J$76)</f>
        <v>0</v>
      </c>
      <c r="O1426" s="211">
        <f>IF($G1426="PAX",O475*'Insumos - OPEX'!K$51,O475*'Insumos - OPEX'!K$76)</f>
        <v>0</v>
      </c>
      <c r="P1426" s="211">
        <f>IF($G1426="PAX",P475*'Insumos - OPEX'!L$51,P475*'Insumos - OPEX'!L$76)</f>
        <v>0</v>
      </c>
      <c r="Q1426" s="211">
        <f>IF($G1426="PAX",Q475*'Insumos - OPEX'!M$51,Q475*'Insumos - OPEX'!M$76)</f>
        <v>0</v>
      </c>
      <c r="R1426" s="211">
        <f>IF($G1426="PAX",R475*'Insumos - OPEX'!N$51,R475*'Insumos - OPEX'!N$76)</f>
        <v>0</v>
      </c>
      <c r="S1426" s="111"/>
    </row>
    <row r="1427" spans="1:19" x14ac:dyDescent="0.2">
      <c r="A1427" s="8"/>
      <c r="B1427" s="8" t="s">
        <v>435</v>
      </c>
      <c r="C1427" s="8" t="s">
        <v>172</v>
      </c>
      <c r="D1427" s="8">
        <v>6381000003</v>
      </c>
      <c r="E1427" s="8" t="s">
        <v>315</v>
      </c>
      <c r="F1427" s="73" t="s">
        <v>23</v>
      </c>
      <c r="G1427" s="73" t="s">
        <v>136</v>
      </c>
      <c r="H1427" s="112" t="s">
        <v>61</v>
      </c>
      <c r="I1427" s="13" t="s">
        <v>22</v>
      </c>
      <c r="K1427" s="187"/>
      <c r="L1427" s="187"/>
      <c r="M1427" s="188">
        <f>IF($G1427="PAX",M476*'Insumos - OPEX'!I$51,M476*'Insumos - OPEX'!I$76)</f>
        <v>0</v>
      </c>
      <c r="N1427" s="211">
        <f>IF($G1427="PAX",N476*'Insumos - OPEX'!J$51,N476*'Insumos - OPEX'!J$76)</f>
        <v>0</v>
      </c>
      <c r="O1427" s="211">
        <f>IF($G1427="PAX",O476*'Insumos - OPEX'!K$51,O476*'Insumos - OPEX'!K$76)</f>
        <v>0</v>
      </c>
      <c r="P1427" s="211">
        <f>IF($G1427="PAX",P476*'Insumos - OPEX'!L$51,P476*'Insumos - OPEX'!L$76)</f>
        <v>0</v>
      </c>
      <c r="Q1427" s="211">
        <f>IF($G1427="PAX",Q476*'Insumos - OPEX'!M$51,Q476*'Insumos - OPEX'!M$76)</f>
        <v>0</v>
      </c>
      <c r="R1427" s="211">
        <f>IF($G1427="PAX",R476*'Insumos - OPEX'!N$51,R476*'Insumos - OPEX'!N$76)</f>
        <v>0</v>
      </c>
      <c r="S1427" s="111"/>
    </row>
    <row r="1428" spans="1:19" x14ac:dyDescent="0.2">
      <c r="A1428" s="8"/>
      <c r="B1428" s="8" t="s">
        <v>435</v>
      </c>
      <c r="C1428" s="8" t="s">
        <v>172</v>
      </c>
      <c r="D1428" s="8">
        <v>6380000023</v>
      </c>
      <c r="E1428" s="8" t="s">
        <v>307</v>
      </c>
      <c r="F1428" s="73" t="s">
        <v>23</v>
      </c>
      <c r="G1428" s="73" t="s">
        <v>136</v>
      </c>
      <c r="H1428" s="112" t="s">
        <v>61</v>
      </c>
      <c r="I1428" s="13" t="s">
        <v>22</v>
      </c>
      <c r="K1428" s="187"/>
      <c r="L1428" s="187"/>
      <c r="M1428" s="188">
        <f>IF($G1428="PAX",M477*'Insumos - OPEX'!I$51,M477*'Insumos - OPEX'!I$76)</f>
        <v>0</v>
      </c>
      <c r="N1428" s="211">
        <f>IF($G1428="PAX",N477*'Insumos - OPEX'!J$51,N477*'Insumos - OPEX'!J$76)</f>
        <v>0</v>
      </c>
      <c r="O1428" s="211">
        <f>IF($G1428="PAX",O477*'Insumos - OPEX'!K$51,O477*'Insumos - OPEX'!K$76)</f>
        <v>0</v>
      </c>
      <c r="P1428" s="211">
        <f>IF($G1428="PAX",P477*'Insumos - OPEX'!L$51,P477*'Insumos - OPEX'!L$76)</f>
        <v>0</v>
      </c>
      <c r="Q1428" s="211">
        <f>IF($G1428="PAX",Q477*'Insumos - OPEX'!M$51,Q477*'Insumos - OPEX'!M$76)</f>
        <v>0</v>
      </c>
      <c r="R1428" s="211">
        <f>IF($G1428="PAX",R477*'Insumos - OPEX'!N$51,R477*'Insumos - OPEX'!N$76)</f>
        <v>0</v>
      </c>
      <c r="S1428" s="111"/>
    </row>
    <row r="1429" spans="1:19" x14ac:dyDescent="0.2">
      <c r="A1429" s="8"/>
      <c r="B1429" s="8" t="s">
        <v>435</v>
      </c>
      <c r="C1429" s="8" t="s">
        <v>172</v>
      </c>
      <c r="D1429" s="8">
        <v>6381000006</v>
      </c>
      <c r="E1429" s="8" t="s">
        <v>311</v>
      </c>
      <c r="F1429" s="73" t="s">
        <v>23</v>
      </c>
      <c r="G1429" s="73" t="s">
        <v>136</v>
      </c>
      <c r="H1429" s="112" t="s">
        <v>61</v>
      </c>
      <c r="I1429" s="13" t="s">
        <v>22</v>
      </c>
      <c r="K1429" s="187"/>
      <c r="L1429" s="187"/>
      <c r="M1429" s="188">
        <f>IF($G1429="PAX",M478*'Insumos - OPEX'!I$51,M478*'Insumos - OPEX'!I$76)</f>
        <v>0</v>
      </c>
      <c r="N1429" s="211">
        <f>IF($G1429="PAX",N478*'Insumos - OPEX'!J$51,N478*'Insumos - OPEX'!J$76)</f>
        <v>0</v>
      </c>
      <c r="O1429" s="211">
        <f>IF($G1429="PAX",O478*'Insumos - OPEX'!K$51,O478*'Insumos - OPEX'!K$76)</f>
        <v>0</v>
      </c>
      <c r="P1429" s="211">
        <f>IF($G1429="PAX",P478*'Insumos - OPEX'!L$51,P478*'Insumos - OPEX'!L$76)</f>
        <v>0</v>
      </c>
      <c r="Q1429" s="211">
        <f>IF($G1429="PAX",Q478*'Insumos - OPEX'!M$51,Q478*'Insumos - OPEX'!M$76)</f>
        <v>0</v>
      </c>
      <c r="R1429" s="211">
        <f>IF($G1429="PAX",R478*'Insumos - OPEX'!N$51,R478*'Insumos - OPEX'!N$76)</f>
        <v>0</v>
      </c>
      <c r="S1429" s="111"/>
    </row>
    <row r="1430" spans="1:19" x14ac:dyDescent="0.2">
      <c r="A1430" s="8"/>
      <c r="B1430" s="8" t="s">
        <v>435</v>
      </c>
      <c r="C1430" s="8" t="s">
        <v>172</v>
      </c>
      <c r="D1430" s="8">
        <v>6380000024</v>
      </c>
      <c r="E1430" s="8" t="s">
        <v>306</v>
      </c>
      <c r="F1430" s="73" t="s">
        <v>23</v>
      </c>
      <c r="G1430" s="73" t="s">
        <v>136</v>
      </c>
      <c r="H1430" s="112" t="s">
        <v>61</v>
      </c>
      <c r="I1430" s="13" t="s">
        <v>22</v>
      </c>
      <c r="K1430" s="187"/>
      <c r="L1430" s="187"/>
      <c r="M1430" s="188">
        <f>IF($G1430="PAX",M479*'Insumos - OPEX'!I$51,M479*'Insumos - OPEX'!I$76)</f>
        <v>0</v>
      </c>
      <c r="N1430" s="211">
        <f>IF($G1430="PAX",N479*'Insumos - OPEX'!J$51,N479*'Insumos - OPEX'!J$76)</f>
        <v>0</v>
      </c>
      <c r="O1430" s="211">
        <f>IF($G1430="PAX",O479*'Insumos - OPEX'!K$51,O479*'Insumos - OPEX'!K$76)</f>
        <v>0</v>
      </c>
      <c r="P1430" s="211">
        <f>IF($G1430="PAX",P479*'Insumos - OPEX'!L$51,P479*'Insumos - OPEX'!L$76)</f>
        <v>0</v>
      </c>
      <c r="Q1430" s="211">
        <f>IF($G1430="PAX",Q479*'Insumos - OPEX'!M$51,Q479*'Insumos - OPEX'!M$76)</f>
        <v>0</v>
      </c>
      <c r="R1430" s="211">
        <f>IF($G1430="PAX",R479*'Insumos - OPEX'!N$51,R479*'Insumos - OPEX'!N$76)</f>
        <v>0</v>
      </c>
      <c r="S1430" s="111"/>
    </row>
    <row r="1431" spans="1:19" x14ac:dyDescent="0.2">
      <c r="A1431" s="8"/>
      <c r="B1431" s="8" t="s">
        <v>435</v>
      </c>
      <c r="C1431" s="8" t="s">
        <v>172</v>
      </c>
      <c r="D1431" s="8">
        <v>6380000025</v>
      </c>
      <c r="E1431" s="8" t="s">
        <v>319</v>
      </c>
      <c r="F1431" s="73" t="s">
        <v>23</v>
      </c>
      <c r="G1431" s="73" t="s">
        <v>136</v>
      </c>
      <c r="H1431" s="112" t="s">
        <v>61</v>
      </c>
      <c r="I1431" s="13" t="s">
        <v>22</v>
      </c>
      <c r="K1431" s="187"/>
      <c r="L1431" s="187"/>
      <c r="M1431" s="188">
        <f>IF($G1431="PAX",M480*'Insumos - OPEX'!I$51,M480*'Insumos - OPEX'!I$76)</f>
        <v>0</v>
      </c>
      <c r="N1431" s="211">
        <f>IF($G1431="PAX",N480*'Insumos - OPEX'!J$51,N480*'Insumos - OPEX'!J$76)</f>
        <v>0</v>
      </c>
      <c r="O1431" s="211">
        <f>IF($G1431="PAX",O480*'Insumos - OPEX'!K$51,O480*'Insumos - OPEX'!K$76)</f>
        <v>0</v>
      </c>
      <c r="P1431" s="211">
        <f>IF($G1431="PAX",P480*'Insumos - OPEX'!L$51,P480*'Insumos - OPEX'!L$76)</f>
        <v>0</v>
      </c>
      <c r="Q1431" s="211">
        <f>IF($G1431="PAX",Q480*'Insumos - OPEX'!M$51,Q480*'Insumos - OPEX'!M$76)</f>
        <v>0</v>
      </c>
      <c r="R1431" s="211">
        <f>IF($G1431="PAX",R480*'Insumos - OPEX'!N$51,R480*'Insumos - OPEX'!N$76)</f>
        <v>0</v>
      </c>
      <c r="S1431" s="111"/>
    </row>
    <row r="1432" spans="1:19" x14ac:dyDescent="0.2">
      <c r="B1432" s="23" t="s">
        <v>445</v>
      </c>
      <c r="C1432" s="23"/>
      <c r="D1432" s="23"/>
      <c r="E1432" s="23"/>
      <c r="F1432" s="246"/>
      <c r="G1432" s="246"/>
      <c r="H1432" s="25" t="s">
        <v>61</v>
      </c>
      <c r="I1432" s="25" t="s">
        <v>22</v>
      </c>
      <c r="J1432" s="23"/>
      <c r="K1432" s="193"/>
      <c r="L1432" s="193"/>
      <c r="M1432" s="193">
        <f t="shared" ref="M1432:R1432" si="2">SUM(M961:M1431)</f>
        <v>1491469.2750266118</v>
      </c>
      <c r="N1432" s="193">
        <f t="shared" si="2"/>
        <v>1498183.4779334732</v>
      </c>
      <c r="O1432" s="193">
        <f t="shared" si="2"/>
        <v>1524666.757560614</v>
      </c>
      <c r="P1432" s="193">
        <f t="shared" si="2"/>
        <v>1548513.2115637094</v>
      </c>
      <c r="Q1432" s="193">
        <f t="shared" si="2"/>
        <v>1593906.3617157531</v>
      </c>
      <c r="R1432" s="193">
        <f t="shared" si="2"/>
        <v>1633443.4912008697</v>
      </c>
      <c r="S1432" s="111"/>
    </row>
    <row r="1433" spans="1:19" s="3" customFormat="1" x14ac:dyDescent="0.2">
      <c r="H1433" s="11"/>
      <c r="I1433" s="11"/>
      <c r="J1433" s="11"/>
      <c r="K1433" s="11"/>
      <c r="L1433" s="11"/>
      <c r="M1433" s="11"/>
      <c r="N1433" s="11"/>
      <c r="O1433" s="11"/>
      <c r="P1433" s="11"/>
      <c r="Q1433" s="11"/>
      <c r="R1433" s="11"/>
      <c r="S1433" s="11"/>
    </row>
    <row r="1434" spans="1:19" x14ac:dyDescent="0.2">
      <c r="E1434" s="33"/>
      <c r="F1434" s="33"/>
      <c r="N1434" s="13"/>
      <c r="O1434" s="13"/>
      <c r="P1434" s="13"/>
      <c r="Q1434" s="13"/>
      <c r="R1434" s="13"/>
      <c r="S1434" s="13"/>
    </row>
    <row r="1435" spans="1:19" x14ac:dyDescent="0.2">
      <c r="E1435" s="33"/>
      <c r="F1435" s="33"/>
      <c r="N1435" s="13"/>
      <c r="O1435" s="13"/>
      <c r="P1435" s="13"/>
      <c r="Q1435" s="13"/>
      <c r="R1435" s="13"/>
      <c r="S1435" s="13"/>
    </row>
    <row r="1436" spans="1:19" x14ac:dyDescent="0.2">
      <c r="E1436" s="33"/>
      <c r="F1436" s="33"/>
      <c r="S1436" s="111"/>
    </row>
    <row r="1437" spans="1:19" x14ac:dyDescent="0.2">
      <c r="E1437" s="33"/>
      <c r="F1437" s="33"/>
      <c r="S1437" s="111"/>
    </row>
    <row r="1438" spans="1:19" x14ac:dyDescent="0.2">
      <c r="E1438" s="33"/>
      <c r="F1438" s="33"/>
      <c r="S1438" s="111"/>
    </row>
    <row r="1439" spans="1:19" s="3" customFormat="1" x14ac:dyDescent="0.2">
      <c r="H1439" s="11"/>
      <c r="I1439" s="11"/>
      <c r="J1439" s="11"/>
      <c r="K1439" s="11"/>
      <c r="L1439" s="11"/>
      <c r="M1439" s="11"/>
      <c r="S1439" s="111"/>
    </row>
    <row r="1440" spans="1:19" s="3" customFormat="1" x14ac:dyDescent="0.2">
      <c r="H1440" s="11"/>
      <c r="I1440" s="11"/>
      <c r="J1440" s="11"/>
      <c r="K1440" s="11"/>
      <c r="L1440" s="11"/>
      <c r="M1440" s="11"/>
      <c r="S1440" s="111"/>
    </row>
    <row r="1441" spans="5:19" s="3" customFormat="1" x14ac:dyDescent="0.2">
      <c r="E1441" s="33"/>
      <c r="F1441" s="33"/>
      <c r="H1441" s="13"/>
      <c r="I1441" s="13"/>
      <c r="J1441" s="13"/>
      <c r="K1441" s="13"/>
      <c r="L1441" s="13"/>
      <c r="M1441" s="13"/>
      <c r="S1441" s="111"/>
    </row>
    <row r="1442" spans="5:19" s="3" customFormat="1" x14ac:dyDescent="0.2">
      <c r="E1442" s="33"/>
      <c r="F1442" s="33"/>
      <c r="H1442" s="13"/>
      <c r="I1442" s="13"/>
      <c r="J1442" s="13"/>
      <c r="K1442" s="13"/>
      <c r="L1442" s="13"/>
      <c r="M1442" s="13"/>
      <c r="S1442" s="111"/>
    </row>
    <row r="1443" spans="5:19" s="3" customFormat="1" x14ac:dyDescent="0.2">
      <c r="E1443" s="33"/>
      <c r="F1443" s="33"/>
      <c r="H1443" s="13"/>
      <c r="I1443" s="13"/>
      <c r="J1443" s="13"/>
      <c r="K1443" s="13"/>
      <c r="L1443" s="13"/>
      <c r="M1443" s="13"/>
      <c r="S1443" s="111"/>
    </row>
    <row r="1444" spans="5:19" s="3" customFormat="1" x14ac:dyDescent="0.2">
      <c r="E1444" s="33"/>
      <c r="F1444" s="33"/>
      <c r="H1444" s="13"/>
      <c r="I1444" s="13"/>
      <c r="J1444" s="13"/>
      <c r="K1444" s="13"/>
      <c r="L1444" s="13"/>
      <c r="M1444" s="13"/>
      <c r="S1444" s="111"/>
    </row>
    <row r="1445" spans="5:19" s="3" customFormat="1" x14ac:dyDescent="0.2">
      <c r="E1445" s="33"/>
      <c r="F1445" s="33"/>
      <c r="H1445" s="13"/>
      <c r="I1445" s="13"/>
      <c r="J1445" s="13"/>
      <c r="K1445" s="13"/>
      <c r="L1445" s="13"/>
      <c r="M1445" s="13"/>
      <c r="S1445" s="111"/>
    </row>
    <row r="1446" spans="5:19" s="3" customFormat="1" x14ac:dyDescent="0.2">
      <c r="H1446" s="11"/>
      <c r="I1446" s="11"/>
      <c r="J1446" s="11"/>
      <c r="K1446" s="11"/>
      <c r="L1446" s="11"/>
      <c r="M1446" s="11"/>
      <c r="S1446" s="111"/>
    </row>
    <row r="1447" spans="5:19" s="3" customFormat="1" x14ac:dyDescent="0.2">
      <c r="H1447" s="11"/>
      <c r="I1447" s="11"/>
      <c r="J1447" s="11"/>
      <c r="K1447" s="11"/>
      <c r="L1447" s="11"/>
      <c r="M1447" s="11"/>
      <c r="S1447" s="111"/>
    </row>
    <row r="1448" spans="5:19" s="3" customFormat="1" x14ac:dyDescent="0.2">
      <c r="H1448" s="11"/>
      <c r="I1448" s="11"/>
      <c r="J1448" s="11"/>
      <c r="K1448" s="11"/>
      <c r="L1448" s="11"/>
      <c r="M1448" s="11"/>
      <c r="S1448" s="111"/>
    </row>
    <row r="1449" spans="5:19" s="3" customFormat="1" x14ac:dyDescent="0.2">
      <c r="E1449" s="33"/>
      <c r="F1449" s="33"/>
      <c r="H1449" s="13"/>
      <c r="I1449" s="13"/>
      <c r="J1449" s="13"/>
      <c r="K1449" s="13"/>
      <c r="L1449" s="13"/>
      <c r="M1449" s="13"/>
      <c r="O1449" s="10"/>
      <c r="S1449" s="111"/>
    </row>
    <row r="1450" spans="5:19" s="3" customFormat="1" x14ac:dyDescent="0.2">
      <c r="E1450" s="33"/>
      <c r="F1450" s="33"/>
      <c r="H1450" s="13"/>
      <c r="I1450" s="13"/>
      <c r="J1450" s="13"/>
      <c r="K1450" s="13"/>
      <c r="L1450" s="13"/>
      <c r="M1450" s="13"/>
      <c r="O1450" s="10"/>
      <c r="S1450" s="111"/>
    </row>
    <row r="1451" spans="5:19" s="3" customFormat="1" x14ac:dyDescent="0.2">
      <c r="E1451" s="33"/>
      <c r="F1451" s="33"/>
      <c r="H1451" s="13"/>
      <c r="I1451" s="13"/>
      <c r="J1451" s="13"/>
      <c r="K1451" s="13"/>
      <c r="L1451" s="13"/>
      <c r="M1451" s="13"/>
      <c r="O1451" s="10"/>
      <c r="S1451" s="111"/>
    </row>
    <row r="1452" spans="5:19" s="3" customFormat="1" x14ac:dyDescent="0.2">
      <c r="E1452" s="33"/>
      <c r="F1452" s="33"/>
      <c r="H1452" s="13"/>
      <c r="I1452" s="13"/>
      <c r="J1452" s="13"/>
      <c r="K1452" s="13"/>
      <c r="L1452" s="13"/>
      <c r="M1452" s="13"/>
      <c r="O1452" s="10"/>
      <c r="S1452" s="111"/>
    </row>
    <row r="1453" spans="5:19" s="3" customFormat="1" x14ac:dyDescent="0.2">
      <c r="E1453" s="33"/>
      <c r="F1453" s="33"/>
      <c r="H1453" s="13"/>
      <c r="I1453" s="13"/>
      <c r="J1453" s="13"/>
      <c r="K1453" s="13"/>
      <c r="L1453" s="13"/>
      <c r="M1453" s="13"/>
      <c r="O1453" s="10"/>
      <c r="S1453" s="111"/>
    </row>
    <row r="1454" spans="5:19" s="3" customFormat="1" x14ac:dyDescent="0.2">
      <c r="H1454" s="11"/>
      <c r="I1454" s="11"/>
      <c r="J1454" s="11"/>
      <c r="K1454" s="11"/>
      <c r="L1454" s="11"/>
      <c r="M1454" s="11"/>
      <c r="O1454" s="10"/>
      <c r="S1454" s="111"/>
    </row>
    <row r="1455" spans="5:19" s="3" customFormat="1" x14ac:dyDescent="0.2">
      <c r="H1455" s="11"/>
      <c r="I1455" s="11"/>
      <c r="J1455" s="11"/>
      <c r="K1455" s="11"/>
      <c r="L1455" s="11"/>
      <c r="M1455" s="11"/>
      <c r="S1455" s="111"/>
    </row>
    <row r="1456" spans="5:19" s="3" customFormat="1" x14ac:dyDescent="0.2">
      <c r="H1456" s="11"/>
      <c r="I1456" s="11"/>
      <c r="J1456" s="11"/>
      <c r="K1456" s="11"/>
      <c r="L1456" s="11"/>
      <c r="M1456" s="11"/>
      <c r="S1456" s="111"/>
    </row>
    <row r="1457" spans="2:19" s="3" customFormat="1" x14ac:dyDescent="0.2">
      <c r="E1457" s="33"/>
      <c r="F1457" s="33"/>
      <c r="H1457" s="13"/>
      <c r="I1457" s="13"/>
      <c r="J1457" s="13"/>
      <c r="K1457" s="13"/>
      <c r="L1457" s="13"/>
      <c r="M1457" s="13"/>
      <c r="S1457" s="111"/>
    </row>
    <row r="1458" spans="2:19" s="3" customFormat="1" x14ac:dyDescent="0.2">
      <c r="E1458" s="33"/>
      <c r="F1458" s="33"/>
      <c r="H1458" s="13"/>
      <c r="I1458" s="13"/>
      <c r="J1458" s="13"/>
      <c r="K1458" s="13"/>
      <c r="L1458" s="13"/>
      <c r="M1458" s="13"/>
      <c r="S1458" s="111"/>
    </row>
    <row r="1459" spans="2:19" s="3" customFormat="1" x14ac:dyDescent="0.2">
      <c r="E1459" s="33"/>
      <c r="F1459" s="33"/>
      <c r="H1459" s="13"/>
      <c r="I1459" s="13"/>
      <c r="J1459" s="13"/>
      <c r="K1459" s="13"/>
      <c r="L1459" s="13"/>
      <c r="M1459" s="13"/>
      <c r="S1459" s="111"/>
    </row>
    <row r="1460" spans="2:19" s="3" customFormat="1" x14ac:dyDescent="0.2">
      <c r="E1460" s="33"/>
      <c r="F1460" s="33"/>
      <c r="H1460" s="13"/>
      <c r="I1460" s="13"/>
      <c r="J1460" s="13"/>
      <c r="K1460" s="13"/>
      <c r="L1460" s="13"/>
      <c r="M1460" s="13"/>
      <c r="S1460" s="111"/>
    </row>
    <row r="1461" spans="2:19" s="3" customFormat="1" x14ac:dyDescent="0.2">
      <c r="E1461" s="33"/>
      <c r="F1461" s="33"/>
      <c r="H1461" s="13"/>
      <c r="I1461" s="13"/>
      <c r="J1461" s="13"/>
      <c r="K1461" s="13"/>
      <c r="L1461" s="13"/>
      <c r="M1461" s="13"/>
      <c r="S1461" s="111"/>
    </row>
    <row r="1462" spans="2:19" s="3" customFormat="1" x14ac:dyDescent="0.2">
      <c r="H1462" s="11"/>
      <c r="I1462" s="11"/>
      <c r="J1462" s="11"/>
      <c r="K1462" s="11"/>
      <c r="L1462" s="11"/>
      <c r="M1462" s="11"/>
      <c r="S1462" s="111"/>
    </row>
    <row r="1463" spans="2:19" s="3" customFormat="1" x14ac:dyDescent="0.2">
      <c r="H1463" s="11"/>
      <c r="I1463" s="11"/>
      <c r="J1463" s="11"/>
      <c r="K1463" s="11"/>
      <c r="L1463" s="11"/>
      <c r="M1463" s="11"/>
      <c r="S1463" s="111"/>
    </row>
    <row r="1464" spans="2:19" x14ac:dyDescent="0.2">
      <c r="B1464" s="32"/>
      <c r="C1464" s="32"/>
      <c r="D1464" s="32"/>
      <c r="O1464" s="3"/>
      <c r="S1464" s="111"/>
    </row>
    <row r="1465" spans="2:19" x14ac:dyDescent="0.2">
      <c r="O1465" s="3"/>
      <c r="S1465" s="111"/>
    </row>
    <row r="1466" spans="2:19" x14ac:dyDescent="0.2">
      <c r="E1466" s="33"/>
      <c r="F1466" s="33"/>
      <c r="O1466" s="3"/>
      <c r="S1466" s="111"/>
    </row>
    <row r="1467" spans="2:19" x14ac:dyDescent="0.2">
      <c r="E1467" s="33"/>
      <c r="F1467" s="33"/>
      <c r="O1467" s="3"/>
      <c r="S1467" s="111"/>
    </row>
    <row r="1468" spans="2:19" x14ac:dyDescent="0.2">
      <c r="E1468" s="33"/>
      <c r="F1468" s="33"/>
      <c r="O1468" s="3"/>
      <c r="S1468" s="111"/>
    </row>
    <row r="1469" spans="2:19" x14ac:dyDescent="0.2">
      <c r="E1469" s="33"/>
      <c r="F1469" s="33"/>
      <c r="O1469" s="3"/>
      <c r="S1469" s="111"/>
    </row>
    <row r="1470" spans="2:19" x14ac:dyDescent="0.2">
      <c r="S1470" s="111"/>
    </row>
    <row r="1471" spans="2:19" s="3" customFormat="1" x14ac:dyDescent="0.2">
      <c r="H1471" s="11"/>
      <c r="I1471" s="11"/>
      <c r="J1471" s="11"/>
      <c r="K1471" s="11"/>
      <c r="L1471" s="11"/>
      <c r="M1471" s="11"/>
      <c r="S1471" s="111"/>
    </row>
    <row r="1472" spans="2:19" x14ac:dyDescent="0.2">
      <c r="E1472" s="33"/>
      <c r="F1472" s="33"/>
      <c r="O1472" s="10"/>
      <c r="S1472" s="111"/>
    </row>
    <row r="1473" spans="5:19" x14ac:dyDescent="0.2">
      <c r="E1473" s="33"/>
      <c r="F1473" s="33"/>
      <c r="S1473" s="111"/>
    </row>
    <row r="1474" spans="5:19" x14ac:dyDescent="0.2">
      <c r="E1474" s="33"/>
      <c r="F1474" s="33"/>
      <c r="S1474" s="111"/>
    </row>
    <row r="1475" spans="5:19" x14ac:dyDescent="0.2">
      <c r="E1475" s="33"/>
      <c r="F1475" s="33"/>
      <c r="S1475" s="111"/>
    </row>
    <row r="1476" spans="5:19" x14ac:dyDescent="0.2">
      <c r="E1476" s="33"/>
      <c r="F1476" s="33"/>
      <c r="S1476" s="111"/>
    </row>
    <row r="1477" spans="5:19" s="3" customFormat="1" x14ac:dyDescent="0.2">
      <c r="H1477" s="11"/>
      <c r="I1477" s="11"/>
      <c r="J1477" s="11"/>
      <c r="K1477" s="11"/>
      <c r="L1477" s="11"/>
      <c r="M1477" s="11"/>
      <c r="S1477" s="111"/>
    </row>
    <row r="1478" spans="5:19" s="3" customFormat="1" x14ac:dyDescent="0.2">
      <c r="E1478" s="33"/>
      <c r="F1478" s="33"/>
      <c r="H1478" s="13"/>
      <c r="I1478" s="13"/>
      <c r="J1478" s="13"/>
      <c r="K1478" s="13"/>
      <c r="L1478" s="13"/>
      <c r="M1478" s="13"/>
      <c r="S1478" s="111"/>
    </row>
    <row r="1479" spans="5:19" s="3" customFormat="1" x14ac:dyDescent="0.2">
      <c r="E1479" s="33"/>
      <c r="F1479" s="33"/>
      <c r="H1479" s="13"/>
      <c r="I1479" s="13"/>
      <c r="J1479" s="13"/>
      <c r="K1479" s="13"/>
      <c r="L1479" s="13"/>
      <c r="M1479" s="13"/>
      <c r="S1479" s="111"/>
    </row>
    <row r="1480" spans="5:19" s="3" customFormat="1" x14ac:dyDescent="0.2">
      <c r="E1480" s="33"/>
      <c r="F1480" s="33"/>
      <c r="H1480" s="13"/>
      <c r="I1480" s="13"/>
      <c r="J1480" s="13"/>
      <c r="K1480" s="13"/>
      <c r="L1480" s="13"/>
      <c r="M1480" s="13"/>
      <c r="S1480" s="111"/>
    </row>
    <row r="1481" spans="5:19" s="3" customFormat="1" x14ac:dyDescent="0.2">
      <c r="E1481" s="33"/>
      <c r="F1481" s="33"/>
      <c r="H1481" s="13"/>
      <c r="I1481" s="13"/>
      <c r="J1481" s="13"/>
      <c r="K1481" s="13"/>
      <c r="L1481" s="13"/>
      <c r="M1481" s="13"/>
      <c r="S1481" s="111"/>
    </row>
    <row r="1482" spans="5:19" s="3" customFormat="1" x14ac:dyDescent="0.2">
      <c r="H1482" s="11"/>
      <c r="I1482" s="11"/>
      <c r="J1482" s="11"/>
      <c r="K1482" s="11"/>
      <c r="L1482" s="11"/>
      <c r="M1482" s="11"/>
      <c r="S1482" s="111"/>
    </row>
    <row r="1483" spans="5:19" s="3" customFormat="1" x14ac:dyDescent="0.2">
      <c r="H1483" s="11"/>
      <c r="I1483" s="11"/>
      <c r="J1483" s="11"/>
      <c r="K1483" s="11"/>
      <c r="L1483" s="11"/>
      <c r="M1483" s="11"/>
      <c r="S1483" s="111"/>
    </row>
    <row r="1484" spans="5:19" s="3" customFormat="1" x14ac:dyDescent="0.2">
      <c r="H1484" s="11"/>
      <c r="I1484" s="11"/>
      <c r="J1484" s="11"/>
      <c r="K1484" s="11"/>
      <c r="L1484" s="11"/>
      <c r="M1484" s="11"/>
      <c r="S1484" s="111"/>
    </row>
    <row r="1485" spans="5:19" s="3" customFormat="1" x14ac:dyDescent="0.2">
      <c r="E1485" s="33"/>
      <c r="F1485" s="33"/>
      <c r="H1485" s="13"/>
      <c r="I1485" s="13"/>
      <c r="J1485" s="13"/>
      <c r="K1485" s="13"/>
      <c r="L1485" s="13"/>
      <c r="M1485" s="13"/>
      <c r="O1485" s="10"/>
      <c r="S1485" s="111"/>
    </row>
    <row r="1486" spans="5:19" s="3" customFormat="1" x14ac:dyDescent="0.2">
      <c r="E1486" s="33"/>
      <c r="F1486" s="33"/>
      <c r="H1486" s="13"/>
      <c r="I1486" s="13"/>
      <c r="J1486" s="13"/>
      <c r="K1486" s="13"/>
      <c r="L1486" s="13"/>
      <c r="M1486" s="13"/>
      <c r="O1486" s="10"/>
      <c r="S1486" s="111"/>
    </row>
    <row r="1487" spans="5:19" s="3" customFormat="1" x14ac:dyDescent="0.2">
      <c r="E1487" s="33"/>
      <c r="F1487" s="33"/>
      <c r="H1487" s="13"/>
      <c r="I1487" s="13"/>
      <c r="J1487" s="13"/>
      <c r="K1487" s="13"/>
      <c r="L1487" s="13"/>
      <c r="M1487" s="13"/>
      <c r="O1487" s="10"/>
      <c r="S1487" s="111"/>
    </row>
    <row r="1488" spans="5:19" s="3" customFormat="1" x14ac:dyDescent="0.2">
      <c r="E1488" s="33"/>
      <c r="F1488" s="33"/>
      <c r="H1488" s="13"/>
      <c r="I1488" s="13"/>
      <c r="J1488" s="13"/>
      <c r="K1488" s="13"/>
      <c r="L1488" s="13"/>
      <c r="M1488" s="13"/>
      <c r="O1488" s="10"/>
      <c r="S1488" s="111"/>
    </row>
    <row r="1489" spans="2:19" s="3" customFormat="1" x14ac:dyDescent="0.2">
      <c r="H1489" s="11"/>
      <c r="I1489" s="11"/>
      <c r="J1489" s="11"/>
      <c r="K1489" s="11"/>
      <c r="L1489" s="11"/>
      <c r="M1489" s="11"/>
      <c r="O1489" s="10"/>
      <c r="S1489" s="111"/>
    </row>
    <row r="1490" spans="2:19" s="3" customFormat="1" x14ac:dyDescent="0.2">
      <c r="H1490" s="11"/>
      <c r="I1490" s="11"/>
      <c r="J1490" s="11"/>
      <c r="K1490" s="11"/>
      <c r="L1490" s="11"/>
      <c r="M1490" s="11"/>
      <c r="S1490" s="111"/>
    </row>
    <row r="1491" spans="2:19" s="3" customFormat="1" x14ac:dyDescent="0.2">
      <c r="H1491" s="11"/>
      <c r="I1491" s="11"/>
      <c r="J1491" s="11"/>
      <c r="K1491" s="11"/>
      <c r="L1491" s="11"/>
      <c r="M1491" s="11"/>
      <c r="S1491" s="111"/>
    </row>
    <row r="1492" spans="2:19" s="3" customFormat="1" x14ac:dyDescent="0.2">
      <c r="E1492" s="33"/>
      <c r="F1492" s="33"/>
      <c r="H1492" s="13"/>
      <c r="I1492" s="13"/>
      <c r="J1492" s="13"/>
      <c r="K1492" s="13"/>
      <c r="L1492" s="13"/>
      <c r="M1492" s="13"/>
      <c r="S1492" s="111"/>
    </row>
    <row r="1493" spans="2:19" s="3" customFormat="1" x14ac:dyDescent="0.2">
      <c r="E1493" s="33"/>
      <c r="F1493" s="33"/>
      <c r="H1493" s="13"/>
      <c r="I1493" s="13"/>
      <c r="J1493" s="13"/>
      <c r="K1493" s="13"/>
      <c r="L1493" s="13"/>
      <c r="M1493" s="13"/>
      <c r="S1493" s="111"/>
    </row>
    <row r="1494" spans="2:19" s="3" customFormat="1" x14ac:dyDescent="0.2">
      <c r="E1494" s="33"/>
      <c r="F1494" s="33"/>
      <c r="H1494" s="13"/>
      <c r="I1494" s="13"/>
      <c r="J1494" s="13"/>
      <c r="K1494" s="13"/>
      <c r="L1494" s="13"/>
      <c r="M1494" s="13"/>
      <c r="S1494" s="111"/>
    </row>
    <row r="1495" spans="2:19" s="3" customFormat="1" x14ac:dyDescent="0.2">
      <c r="E1495" s="33"/>
      <c r="F1495" s="33"/>
      <c r="H1495" s="13"/>
      <c r="I1495" s="13"/>
      <c r="J1495" s="13"/>
      <c r="K1495" s="13"/>
      <c r="L1495" s="13"/>
      <c r="M1495" s="13"/>
      <c r="S1495" s="111"/>
    </row>
    <row r="1496" spans="2:19" s="3" customFormat="1" x14ac:dyDescent="0.2">
      <c r="H1496" s="11"/>
      <c r="I1496" s="11"/>
      <c r="J1496" s="11"/>
      <c r="K1496" s="11"/>
      <c r="L1496" s="11"/>
      <c r="M1496" s="11"/>
      <c r="S1496" s="111"/>
    </row>
    <row r="1497" spans="2:19" x14ac:dyDescent="0.2">
      <c r="S1497" s="111"/>
    </row>
    <row r="1498" spans="2:19" x14ac:dyDescent="0.2">
      <c r="B1498" s="5"/>
      <c r="C1498" s="5"/>
      <c r="D1498" s="5"/>
      <c r="E1498" s="5"/>
      <c r="F1498" s="5"/>
      <c r="H1498" s="30"/>
      <c r="I1498" s="30"/>
      <c r="J1498" s="30"/>
      <c r="K1498" s="30"/>
      <c r="L1498" s="30"/>
      <c r="M1498" s="30"/>
      <c r="N1498" s="5"/>
      <c r="O1498" s="5"/>
      <c r="P1498" s="5"/>
      <c r="Q1498" s="5"/>
      <c r="R1498" s="5"/>
      <c r="S1498" s="111"/>
    </row>
    <row r="1499" spans="2:19" x14ac:dyDescent="0.2">
      <c r="S1499" s="111"/>
    </row>
    <row r="1500" spans="2:19" x14ac:dyDescent="0.2">
      <c r="B1500" s="5"/>
      <c r="C1500" s="5"/>
      <c r="D1500" s="5"/>
      <c r="E1500" s="5"/>
      <c r="F1500" s="5"/>
      <c r="H1500" s="30"/>
      <c r="I1500" s="30"/>
      <c r="J1500" s="30"/>
      <c r="K1500" s="30"/>
      <c r="L1500" s="30"/>
      <c r="M1500" s="30"/>
      <c r="N1500" s="5"/>
      <c r="O1500" s="5"/>
      <c r="P1500" s="5"/>
      <c r="Q1500" s="5"/>
      <c r="R1500" s="5"/>
      <c r="S1500" s="111"/>
    </row>
    <row r="1501" spans="2:19" x14ac:dyDescent="0.2">
      <c r="S1501" s="111"/>
    </row>
    <row r="1502" spans="2:19" x14ac:dyDescent="0.2">
      <c r="B1502" s="3"/>
      <c r="C1502" s="3"/>
      <c r="D1502" s="3"/>
      <c r="S1502" s="111"/>
    </row>
    <row r="1503" spans="2:19" x14ac:dyDescent="0.2">
      <c r="M1503" s="30"/>
      <c r="N1503" s="5"/>
      <c r="O1503" s="5"/>
      <c r="P1503" s="5"/>
      <c r="Q1503" s="5"/>
      <c r="R1503" s="5"/>
      <c r="S1503" s="111"/>
    </row>
    <row r="1504" spans="2:19" x14ac:dyDescent="0.2">
      <c r="B1504" s="32"/>
      <c r="C1504" s="32"/>
      <c r="D1504" s="32"/>
      <c r="S1504" s="111"/>
    </row>
    <row r="1505" spans="2:19" x14ac:dyDescent="0.2">
      <c r="S1505" s="111"/>
    </row>
    <row r="1506" spans="2:19" s="3" customFormat="1" x14ac:dyDescent="0.2">
      <c r="H1506" s="11"/>
      <c r="I1506" s="11"/>
      <c r="J1506" s="11"/>
      <c r="K1506" s="11"/>
      <c r="L1506" s="11"/>
      <c r="M1506" s="30"/>
      <c r="N1506" s="5"/>
      <c r="O1506" s="5"/>
      <c r="P1506" s="5"/>
      <c r="Q1506" s="5"/>
      <c r="R1506" s="5"/>
      <c r="S1506" s="111"/>
    </row>
    <row r="1507" spans="2:19" x14ac:dyDescent="0.2">
      <c r="B1507" s="91"/>
      <c r="C1507" s="91"/>
      <c r="D1507" s="91"/>
      <c r="E1507" s="247"/>
      <c r="F1507" s="247"/>
      <c r="S1507" s="111"/>
    </row>
    <row r="1508" spans="2:19" x14ac:dyDescent="0.2">
      <c r="B1508" s="91"/>
      <c r="C1508" s="91"/>
      <c r="D1508" s="91"/>
      <c r="E1508" s="247"/>
      <c r="F1508" s="247"/>
      <c r="S1508" s="111"/>
    </row>
    <row r="1509" spans="2:19" x14ac:dyDescent="0.2">
      <c r="B1509" s="91"/>
      <c r="C1509" s="91"/>
      <c r="D1509" s="91"/>
      <c r="E1509" s="247"/>
      <c r="F1509" s="247"/>
      <c r="M1509" s="30"/>
      <c r="N1509" s="5"/>
      <c r="O1509" s="5"/>
      <c r="P1509" s="5"/>
      <c r="Q1509" s="5"/>
      <c r="R1509" s="5"/>
      <c r="S1509" s="111"/>
    </row>
    <row r="1510" spans="2:19" x14ac:dyDescent="0.2">
      <c r="B1510" s="91"/>
      <c r="C1510" s="91"/>
      <c r="D1510" s="91"/>
      <c r="E1510" s="247"/>
      <c r="F1510" s="247"/>
      <c r="S1510" s="111"/>
    </row>
    <row r="1511" spans="2:19" x14ac:dyDescent="0.2">
      <c r="B1511" s="91"/>
      <c r="C1511" s="91"/>
      <c r="D1511" s="91"/>
      <c r="E1511" s="247"/>
      <c r="F1511" s="247"/>
      <c r="S1511" s="111"/>
    </row>
    <row r="1512" spans="2:19" x14ac:dyDescent="0.2">
      <c r="B1512" s="91"/>
      <c r="C1512" s="91"/>
      <c r="D1512" s="91"/>
      <c r="E1512" s="247"/>
      <c r="F1512" s="247"/>
      <c r="M1512" s="30"/>
      <c r="N1512" s="5"/>
      <c r="O1512" s="5"/>
      <c r="P1512" s="5"/>
      <c r="Q1512" s="5"/>
      <c r="R1512" s="5"/>
      <c r="S1512" s="111"/>
    </row>
    <row r="1513" spans="2:19" x14ac:dyDescent="0.2">
      <c r="E1513" s="3"/>
      <c r="F1513" s="3"/>
      <c r="H1513" s="11"/>
      <c r="I1513" s="11"/>
      <c r="J1513" s="11"/>
      <c r="K1513" s="11"/>
      <c r="L1513" s="11"/>
      <c r="S1513" s="111"/>
    </row>
    <row r="1514" spans="2:19" x14ac:dyDescent="0.2">
      <c r="E1514" s="3"/>
      <c r="F1514" s="3"/>
      <c r="H1514" s="11"/>
      <c r="I1514" s="11"/>
      <c r="J1514" s="11"/>
      <c r="K1514" s="11"/>
      <c r="L1514" s="11"/>
      <c r="S1514" s="111"/>
    </row>
    <row r="1515" spans="2:19" x14ac:dyDescent="0.2">
      <c r="E1515" s="3"/>
      <c r="F1515" s="3"/>
      <c r="H1515" s="11"/>
      <c r="I1515" s="11"/>
      <c r="J1515" s="11"/>
      <c r="K1515" s="11"/>
      <c r="L1515" s="11"/>
      <c r="M1515" s="30"/>
      <c r="N1515" s="5"/>
      <c r="O1515" s="5"/>
      <c r="P1515" s="5"/>
      <c r="Q1515" s="5"/>
      <c r="R1515" s="5"/>
      <c r="S1515" s="111"/>
    </row>
    <row r="1516" spans="2:19" s="3" customFormat="1" x14ac:dyDescent="0.2">
      <c r="H1516" s="11"/>
      <c r="I1516" s="11"/>
      <c r="J1516" s="11"/>
      <c r="K1516" s="11"/>
      <c r="L1516" s="11"/>
      <c r="M1516" s="13"/>
      <c r="N1516" s="1"/>
      <c r="O1516" s="1"/>
      <c r="P1516" s="1"/>
      <c r="Q1516" s="1"/>
      <c r="R1516" s="1"/>
      <c r="S1516" s="111"/>
    </row>
    <row r="1517" spans="2:19" x14ac:dyDescent="0.2">
      <c r="B1517" s="91"/>
      <c r="C1517" s="91"/>
      <c r="D1517" s="91"/>
      <c r="E1517" s="247"/>
      <c r="F1517" s="247"/>
      <c r="S1517" s="111"/>
    </row>
    <row r="1518" spans="2:19" x14ac:dyDescent="0.2">
      <c r="B1518" s="91"/>
      <c r="C1518" s="91"/>
      <c r="D1518" s="91"/>
      <c r="E1518" s="247"/>
      <c r="F1518" s="247"/>
      <c r="M1518" s="30"/>
      <c r="N1518" s="5"/>
      <c r="O1518" s="5"/>
      <c r="P1518" s="5"/>
      <c r="Q1518" s="5"/>
      <c r="R1518" s="5"/>
      <c r="S1518" s="111"/>
    </row>
    <row r="1519" spans="2:19" x14ac:dyDescent="0.2">
      <c r="B1519" s="91"/>
      <c r="C1519" s="91"/>
      <c r="D1519" s="91"/>
      <c r="E1519" s="247"/>
      <c r="F1519" s="247"/>
      <c r="S1519" s="111"/>
    </row>
    <row r="1520" spans="2:19" x14ac:dyDescent="0.2">
      <c r="B1520" s="91"/>
      <c r="C1520" s="91"/>
      <c r="D1520" s="91"/>
      <c r="E1520" s="247"/>
      <c r="F1520" s="247"/>
      <c r="S1520" s="111"/>
    </row>
    <row r="1521" spans="2:19" x14ac:dyDescent="0.2">
      <c r="B1521" s="91"/>
      <c r="C1521" s="91"/>
      <c r="D1521" s="91"/>
      <c r="E1521" s="247"/>
      <c r="F1521" s="247"/>
      <c r="M1521" s="30"/>
      <c r="N1521" s="5"/>
      <c r="O1521" s="5"/>
      <c r="P1521" s="5"/>
      <c r="Q1521" s="5"/>
      <c r="R1521" s="5"/>
      <c r="S1521" s="111"/>
    </row>
    <row r="1522" spans="2:19" x14ac:dyDescent="0.2">
      <c r="B1522" s="91"/>
      <c r="C1522" s="91"/>
      <c r="D1522" s="91"/>
      <c r="E1522" s="247"/>
      <c r="F1522" s="247"/>
      <c r="S1522" s="111"/>
    </row>
    <row r="1523" spans="2:19" s="3" customFormat="1" x14ac:dyDescent="0.2">
      <c r="H1523" s="11"/>
      <c r="I1523" s="11"/>
      <c r="J1523" s="11"/>
      <c r="K1523" s="11"/>
      <c r="L1523" s="11"/>
      <c r="M1523" s="13"/>
      <c r="N1523" s="1"/>
      <c r="O1523" s="1"/>
      <c r="P1523" s="1"/>
      <c r="Q1523" s="1"/>
      <c r="R1523" s="1"/>
      <c r="S1523" s="111"/>
    </row>
    <row r="1524" spans="2:19" x14ac:dyDescent="0.2">
      <c r="M1524" s="30"/>
      <c r="N1524" s="5"/>
      <c r="O1524" s="5"/>
      <c r="P1524" s="5"/>
      <c r="Q1524" s="5"/>
      <c r="R1524" s="5"/>
      <c r="S1524" s="111"/>
    </row>
    <row r="1525" spans="2:19" x14ac:dyDescent="0.2">
      <c r="B1525" s="32"/>
      <c r="C1525" s="32"/>
      <c r="D1525" s="32"/>
      <c r="S1525" s="111"/>
    </row>
    <row r="1526" spans="2:19" x14ac:dyDescent="0.2">
      <c r="S1526" s="111"/>
    </row>
    <row r="1527" spans="2:19" s="3" customFormat="1" x14ac:dyDescent="0.2">
      <c r="H1527" s="11"/>
      <c r="I1527" s="11"/>
      <c r="J1527" s="11"/>
      <c r="K1527" s="11"/>
      <c r="L1527" s="11"/>
      <c r="M1527" s="30"/>
      <c r="N1527" s="5"/>
      <c r="O1527" s="5"/>
      <c r="P1527" s="5"/>
      <c r="Q1527" s="5"/>
      <c r="R1527" s="5"/>
      <c r="S1527" s="111"/>
    </row>
    <row r="1528" spans="2:19" x14ac:dyDescent="0.2">
      <c r="B1528" s="91"/>
      <c r="C1528" s="91"/>
      <c r="D1528" s="91"/>
      <c r="E1528" s="247"/>
      <c r="F1528" s="247"/>
      <c r="S1528" s="111"/>
    </row>
    <row r="1529" spans="2:19" x14ac:dyDescent="0.2">
      <c r="B1529" s="91"/>
      <c r="C1529" s="91"/>
      <c r="D1529" s="91"/>
      <c r="E1529" s="247"/>
      <c r="F1529" s="247"/>
      <c r="S1529" s="111"/>
    </row>
    <row r="1530" spans="2:19" x14ac:dyDescent="0.2">
      <c r="B1530" s="91"/>
      <c r="C1530" s="91"/>
      <c r="D1530" s="91"/>
      <c r="E1530" s="247"/>
      <c r="F1530" s="247"/>
      <c r="M1530" s="30"/>
      <c r="N1530" s="5"/>
      <c r="O1530" s="5"/>
      <c r="P1530" s="5"/>
      <c r="Q1530" s="5"/>
      <c r="R1530" s="5"/>
      <c r="S1530" s="111"/>
    </row>
    <row r="1531" spans="2:19" x14ac:dyDescent="0.2">
      <c r="B1531" s="91"/>
      <c r="C1531" s="91"/>
      <c r="D1531" s="91"/>
      <c r="E1531" s="247"/>
      <c r="F1531" s="247"/>
      <c r="S1531" s="111"/>
    </row>
    <row r="1532" spans="2:19" x14ac:dyDescent="0.2">
      <c r="B1532" s="91"/>
      <c r="C1532" s="91"/>
      <c r="D1532" s="91"/>
      <c r="E1532" s="247"/>
      <c r="F1532" s="247"/>
      <c r="S1532" s="111"/>
    </row>
    <row r="1533" spans="2:19" s="3" customFormat="1" x14ac:dyDescent="0.2">
      <c r="H1533" s="11"/>
      <c r="I1533" s="11"/>
      <c r="J1533" s="11"/>
      <c r="K1533" s="11"/>
      <c r="L1533" s="11"/>
      <c r="M1533" s="30"/>
      <c r="N1533" s="5"/>
      <c r="O1533" s="5"/>
      <c r="P1533" s="5"/>
      <c r="Q1533" s="5"/>
      <c r="R1533" s="5"/>
      <c r="S1533" s="111"/>
    </row>
    <row r="1534" spans="2:19" x14ac:dyDescent="0.2">
      <c r="S1534" s="111"/>
    </row>
    <row r="1535" spans="2:19" s="3" customFormat="1" x14ac:dyDescent="0.2">
      <c r="H1535" s="11"/>
      <c r="I1535" s="11"/>
      <c r="J1535" s="11"/>
      <c r="K1535" s="11"/>
      <c r="L1535" s="11"/>
      <c r="M1535" s="13"/>
      <c r="N1535" s="1"/>
      <c r="O1535" s="1"/>
      <c r="P1535" s="1"/>
      <c r="Q1535" s="1"/>
      <c r="R1535" s="1"/>
      <c r="S1535" s="111"/>
    </row>
    <row r="1536" spans="2:19" x14ac:dyDescent="0.2">
      <c r="B1536" s="91"/>
      <c r="C1536" s="91"/>
      <c r="D1536" s="91"/>
      <c r="E1536" s="247"/>
      <c r="F1536" s="247"/>
      <c r="M1536" s="30"/>
      <c r="N1536" s="5"/>
      <c r="O1536" s="5"/>
      <c r="P1536" s="5"/>
      <c r="Q1536" s="5"/>
      <c r="R1536" s="5"/>
      <c r="S1536" s="111"/>
    </row>
    <row r="1537" spans="2:19" x14ac:dyDescent="0.2">
      <c r="B1537" s="91"/>
      <c r="C1537" s="91"/>
      <c r="D1537" s="91"/>
      <c r="E1537" s="247"/>
      <c r="F1537" s="247"/>
      <c r="S1537" s="111"/>
    </row>
    <row r="1538" spans="2:19" x14ac:dyDescent="0.2">
      <c r="B1538" s="91"/>
      <c r="C1538" s="91"/>
      <c r="D1538" s="91"/>
      <c r="E1538" s="247"/>
      <c r="F1538" s="247"/>
      <c r="S1538" s="111"/>
    </row>
    <row r="1539" spans="2:19" x14ac:dyDescent="0.2">
      <c r="B1539" s="91"/>
      <c r="C1539" s="91"/>
      <c r="D1539" s="91"/>
      <c r="E1539" s="247"/>
      <c r="F1539" s="247"/>
      <c r="M1539" s="30"/>
      <c r="N1539" s="5"/>
      <c r="O1539" s="5"/>
      <c r="P1539" s="5"/>
      <c r="Q1539" s="5"/>
      <c r="R1539" s="5"/>
      <c r="S1539" s="111"/>
    </row>
    <row r="1540" spans="2:19" x14ac:dyDescent="0.2">
      <c r="B1540" s="91"/>
      <c r="C1540" s="91"/>
      <c r="D1540" s="91"/>
      <c r="E1540" s="247"/>
      <c r="F1540" s="247"/>
      <c r="S1540" s="111"/>
    </row>
    <row r="1541" spans="2:19" s="3" customFormat="1" x14ac:dyDescent="0.2">
      <c r="H1541" s="11"/>
      <c r="I1541" s="11"/>
      <c r="J1541" s="11"/>
      <c r="K1541" s="11"/>
      <c r="L1541" s="11"/>
      <c r="M1541" s="13"/>
      <c r="N1541" s="1"/>
      <c r="O1541" s="1"/>
      <c r="P1541" s="1"/>
      <c r="Q1541" s="1"/>
      <c r="R1541" s="1"/>
      <c r="S1541" s="111"/>
    </row>
    <row r="1542" spans="2:19" x14ac:dyDescent="0.2">
      <c r="M1542" s="30"/>
      <c r="N1542" s="5"/>
      <c r="O1542" s="5"/>
      <c r="P1542" s="5"/>
      <c r="Q1542" s="5"/>
      <c r="R1542" s="5"/>
      <c r="S1542" s="111"/>
    </row>
    <row r="1543" spans="2:19" x14ac:dyDescent="0.2">
      <c r="B1543" s="3"/>
      <c r="C1543" s="3"/>
      <c r="D1543" s="3"/>
      <c r="S1543" s="111"/>
    </row>
    <row r="1544" spans="2:19" x14ac:dyDescent="0.2">
      <c r="S1544" s="111"/>
    </row>
    <row r="1545" spans="2:19" x14ac:dyDescent="0.2">
      <c r="S1545" s="111"/>
    </row>
    <row r="1546" spans="2:19" x14ac:dyDescent="0.2">
      <c r="S1546" s="111"/>
    </row>
    <row r="1547" spans="2:19" x14ac:dyDescent="0.2">
      <c r="B1547" s="3"/>
      <c r="C1547" s="3"/>
      <c r="D1547" s="3"/>
      <c r="S1547" s="111"/>
    </row>
    <row r="1548" spans="2:19" x14ac:dyDescent="0.2">
      <c r="S1548" s="111"/>
    </row>
    <row r="1549" spans="2:19" x14ac:dyDescent="0.2">
      <c r="S1549" s="111"/>
    </row>
    <row r="1550" spans="2:19" x14ac:dyDescent="0.2">
      <c r="S1550" s="111"/>
    </row>
    <row r="1551" spans="2:19" x14ac:dyDescent="0.2">
      <c r="B1551" s="3"/>
      <c r="C1551" s="3"/>
      <c r="D1551" s="3"/>
      <c r="S1551" s="111"/>
    </row>
    <row r="1552" spans="2:19" x14ac:dyDescent="0.2">
      <c r="S1552" s="111"/>
    </row>
    <row r="1553" spans="2:19" x14ac:dyDescent="0.2">
      <c r="B1553" s="32"/>
      <c r="C1553" s="32"/>
      <c r="D1553" s="32"/>
      <c r="S1553" s="111"/>
    </row>
    <row r="1554" spans="2:19" x14ac:dyDescent="0.2">
      <c r="S1554" s="111"/>
    </row>
    <row r="1555" spans="2:19" x14ac:dyDescent="0.2">
      <c r="B1555" s="3"/>
      <c r="C1555" s="3"/>
      <c r="D1555" s="3"/>
      <c r="S1555" s="111"/>
    </row>
    <row r="1556" spans="2:19" x14ac:dyDescent="0.2">
      <c r="B1556" s="91"/>
      <c r="C1556" s="91"/>
      <c r="D1556" s="91"/>
      <c r="S1556" s="111"/>
    </row>
    <row r="1557" spans="2:19" x14ac:dyDescent="0.2">
      <c r="B1557" s="91"/>
      <c r="C1557" s="91"/>
      <c r="D1557" s="91"/>
      <c r="S1557" s="111"/>
    </row>
    <row r="1558" spans="2:19" x14ac:dyDescent="0.2">
      <c r="S1558" s="111"/>
    </row>
    <row r="1559" spans="2:19" x14ac:dyDescent="0.2">
      <c r="B1559" s="3"/>
      <c r="C1559" s="3"/>
      <c r="D1559" s="3"/>
      <c r="S1559" s="111"/>
    </row>
    <row r="1560" spans="2:19" x14ac:dyDescent="0.2">
      <c r="B1560" s="91"/>
      <c r="C1560" s="91"/>
      <c r="D1560" s="91"/>
      <c r="S1560" s="111"/>
    </row>
    <row r="1561" spans="2:19" x14ac:dyDescent="0.2">
      <c r="B1561" s="91"/>
      <c r="C1561" s="91"/>
      <c r="D1561" s="91"/>
      <c r="S1561" s="111"/>
    </row>
    <row r="1562" spans="2:19" x14ac:dyDescent="0.2">
      <c r="S1562" s="111"/>
    </row>
    <row r="1563" spans="2:19" s="3" customFormat="1" x14ac:dyDescent="0.2">
      <c r="H1563" s="11"/>
      <c r="I1563" s="11"/>
      <c r="J1563" s="11"/>
      <c r="K1563" s="13"/>
      <c r="L1563" s="11"/>
      <c r="M1563" s="11"/>
      <c r="S1563" s="111"/>
    </row>
    <row r="1564" spans="2:19" x14ac:dyDescent="0.2">
      <c r="S1564" s="111"/>
    </row>
    <row r="1565" spans="2:19" x14ac:dyDescent="0.2">
      <c r="B1565" s="32"/>
      <c r="C1565" s="32"/>
      <c r="D1565" s="32"/>
      <c r="S1565" s="111"/>
    </row>
    <row r="1566" spans="2:19" x14ac:dyDescent="0.2">
      <c r="B1566" s="32"/>
      <c r="C1566" s="32"/>
      <c r="D1566" s="32"/>
      <c r="S1566" s="111"/>
    </row>
    <row r="1567" spans="2:19" x14ac:dyDescent="0.2">
      <c r="B1567" s="3"/>
      <c r="C1567" s="3"/>
      <c r="D1567" s="3"/>
      <c r="S1567" s="111"/>
    </row>
    <row r="1568" spans="2:19" x14ac:dyDescent="0.2">
      <c r="B1568" s="91"/>
      <c r="C1568" s="91"/>
      <c r="D1568" s="91"/>
      <c r="S1568" s="111"/>
    </row>
    <row r="1569" spans="2:19" x14ac:dyDescent="0.2">
      <c r="B1569" s="91"/>
      <c r="C1569" s="91"/>
      <c r="D1569" s="91"/>
      <c r="S1569" s="111"/>
    </row>
    <row r="1570" spans="2:19" x14ac:dyDescent="0.2">
      <c r="B1570" s="91"/>
      <c r="C1570" s="91"/>
      <c r="D1570" s="91"/>
      <c r="S1570" s="111"/>
    </row>
    <row r="1571" spans="2:19" s="3" customFormat="1" x14ac:dyDescent="0.2">
      <c r="H1571" s="11"/>
      <c r="I1571" s="11"/>
      <c r="J1571" s="11"/>
      <c r="K1571" s="13"/>
      <c r="L1571" s="11"/>
      <c r="M1571" s="11"/>
      <c r="S1571" s="111"/>
    </row>
    <row r="1572" spans="2:19" x14ac:dyDescent="0.2">
      <c r="S1572" s="111"/>
    </row>
    <row r="1573" spans="2:19" x14ac:dyDescent="0.2">
      <c r="B1573" s="5"/>
      <c r="C1573" s="5"/>
      <c r="D1573" s="5"/>
      <c r="E1573" s="5"/>
      <c r="F1573" s="5"/>
      <c r="H1573" s="30"/>
      <c r="I1573" s="30"/>
      <c r="J1573" s="30"/>
      <c r="K1573" s="30"/>
      <c r="L1573" s="30"/>
      <c r="M1573" s="30"/>
      <c r="N1573" s="5"/>
      <c r="O1573" s="5"/>
      <c r="P1573" s="5"/>
      <c r="Q1573" s="5"/>
      <c r="R1573" s="5"/>
      <c r="S1573" s="111"/>
    </row>
    <row r="1574" spans="2:19" x14ac:dyDescent="0.2">
      <c r="B1574" s="5"/>
      <c r="C1574" s="5"/>
      <c r="D1574" s="5"/>
      <c r="E1574" s="5"/>
      <c r="F1574" s="5"/>
      <c r="H1574" s="30"/>
      <c r="I1574" s="30"/>
      <c r="J1574" s="30"/>
      <c r="K1574" s="30"/>
      <c r="L1574" s="30"/>
      <c r="M1574" s="30"/>
      <c r="N1574" s="5"/>
      <c r="O1574" s="5"/>
      <c r="P1574" s="5"/>
      <c r="Q1574" s="5"/>
      <c r="R1574" s="5"/>
      <c r="S1574" s="111"/>
    </row>
    <row r="1575" spans="2:19" x14ac:dyDescent="0.2">
      <c r="B1575" s="3"/>
      <c r="C1575" s="3"/>
      <c r="D1575" s="3"/>
      <c r="S1575" s="111"/>
    </row>
    <row r="1576" spans="2:19" x14ac:dyDescent="0.2">
      <c r="B1576" s="3"/>
      <c r="C1576" s="3"/>
      <c r="D1576" s="3"/>
      <c r="S1576" s="111"/>
    </row>
    <row r="1577" spans="2:19" x14ac:dyDescent="0.2">
      <c r="B1577" s="3"/>
      <c r="C1577" s="3"/>
      <c r="D1577" s="3"/>
      <c r="S1577" s="111"/>
    </row>
    <row r="1578" spans="2:19" x14ac:dyDescent="0.2">
      <c r="B1578" s="3"/>
      <c r="C1578" s="3"/>
      <c r="D1578" s="3"/>
      <c r="E1578" s="35"/>
      <c r="F1578" s="35"/>
      <c r="N1578" s="17"/>
      <c r="S1578" s="111"/>
    </row>
    <row r="1579" spans="2:19" x14ac:dyDescent="0.2">
      <c r="B1579" s="3"/>
      <c r="C1579" s="3"/>
      <c r="D1579" s="3"/>
      <c r="E1579" s="35"/>
      <c r="F1579" s="35"/>
      <c r="N1579" s="17"/>
      <c r="S1579" s="111"/>
    </row>
    <row r="1580" spans="2:19" x14ac:dyDescent="0.2">
      <c r="B1580" s="3"/>
      <c r="C1580" s="3"/>
      <c r="D1580" s="3"/>
      <c r="E1580" s="35"/>
      <c r="F1580" s="35"/>
      <c r="N1580" s="17"/>
      <c r="S1580" s="111"/>
    </row>
    <row r="1581" spans="2:19" x14ac:dyDescent="0.2">
      <c r="B1581" s="3"/>
      <c r="C1581" s="3"/>
      <c r="D1581" s="3"/>
      <c r="E1581" s="35"/>
      <c r="F1581" s="35"/>
      <c r="N1581" s="17"/>
      <c r="S1581" s="111"/>
    </row>
    <row r="1582" spans="2:19" x14ac:dyDescent="0.2">
      <c r="B1582" s="3"/>
      <c r="C1582" s="3"/>
      <c r="D1582" s="3"/>
      <c r="E1582" s="35"/>
      <c r="F1582" s="35"/>
      <c r="N1582" s="17"/>
      <c r="S1582" s="111"/>
    </row>
    <row r="1583" spans="2:19" s="3" customFormat="1" x14ac:dyDescent="0.2">
      <c r="H1583" s="11"/>
      <c r="I1583" s="11"/>
      <c r="J1583" s="11"/>
      <c r="K1583" s="11"/>
      <c r="L1583" s="11"/>
      <c r="M1583" s="11"/>
      <c r="N1583" s="20"/>
      <c r="S1583" s="111"/>
    </row>
    <row r="1584" spans="2:19" s="3" customFormat="1" x14ac:dyDescent="0.2">
      <c r="H1584" s="11"/>
      <c r="I1584" s="11"/>
      <c r="J1584" s="11"/>
      <c r="K1584" s="11"/>
      <c r="L1584" s="11"/>
      <c r="M1584" s="11"/>
      <c r="N1584" s="20"/>
      <c r="S1584" s="111"/>
    </row>
    <row r="1585" spans="2:19" x14ac:dyDescent="0.2">
      <c r="N1585" s="17"/>
      <c r="S1585" s="111"/>
    </row>
    <row r="1586" spans="2:19" s="3" customFormat="1" x14ac:dyDescent="0.2">
      <c r="H1586" s="11"/>
      <c r="I1586" s="11"/>
      <c r="J1586" s="11"/>
      <c r="K1586" s="11"/>
      <c r="L1586" s="11"/>
      <c r="M1586" s="11"/>
      <c r="N1586" s="20"/>
    </row>
    <row r="1587" spans="2:19" x14ac:dyDescent="0.2">
      <c r="N1587" s="17"/>
    </row>
    <row r="1588" spans="2:19" x14ac:dyDescent="0.2">
      <c r="N1588" s="17"/>
    </row>
    <row r="1589" spans="2:19" x14ac:dyDescent="0.2">
      <c r="N1589" s="19"/>
    </row>
    <row r="1590" spans="2:19" x14ac:dyDescent="0.2">
      <c r="B1590" s="3"/>
      <c r="C1590" s="3"/>
      <c r="D1590" s="3"/>
    </row>
    <row r="1591" spans="2:19" x14ac:dyDescent="0.2">
      <c r="B1591" s="32"/>
      <c r="C1591" s="32"/>
      <c r="D1591" s="32"/>
    </row>
    <row r="1592" spans="2:19" x14ac:dyDescent="0.2">
      <c r="B1592" s="3"/>
      <c r="C1592" s="3"/>
      <c r="D1592" s="3"/>
    </row>
    <row r="1593" spans="2:19" x14ac:dyDescent="0.2">
      <c r="S1593" s="19"/>
    </row>
    <row r="1594" spans="2:19" x14ac:dyDescent="0.2">
      <c r="S1594" s="19"/>
    </row>
    <row r="1595" spans="2:19" s="3" customFormat="1" x14ac:dyDescent="0.2">
      <c r="H1595" s="11"/>
      <c r="I1595" s="11"/>
      <c r="J1595" s="11"/>
      <c r="K1595" s="11"/>
      <c r="L1595" s="11"/>
      <c r="M1595" s="11"/>
      <c r="S1595" s="37"/>
    </row>
    <row r="1596" spans="2:19" x14ac:dyDescent="0.2">
      <c r="B1596" s="3"/>
      <c r="C1596" s="3"/>
      <c r="D1596" s="3"/>
    </row>
    <row r="1597" spans="2:19" s="3" customFormat="1" x14ac:dyDescent="0.2">
      <c r="H1597" s="11"/>
      <c r="I1597" s="11"/>
      <c r="J1597" s="11"/>
      <c r="K1597" s="11"/>
      <c r="L1597" s="11"/>
      <c r="M1597" s="11"/>
      <c r="N1597" s="37"/>
    </row>
    <row r="1598" spans="2:19" x14ac:dyDescent="0.2">
      <c r="B1598" s="3"/>
      <c r="C1598" s="3"/>
      <c r="D1598" s="3"/>
    </row>
    <row r="1599" spans="2:19" x14ac:dyDescent="0.2">
      <c r="B1599" s="32"/>
      <c r="C1599" s="32"/>
      <c r="D1599" s="32"/>
    </row>
    <row r="1600" spans="2:19" x14ac:dyDescent="0.2">
      <c r="B1600" s="3"/>
      <c r="C1600" s="3"/>
      <c r="D1600" s="3"/>
    </row>
    <row r="1601" spans="2:19" x14ac:dyDescent="0.2">
      <c r="S1601" s="19"/>
    </row>
    <row r="1602" spans="2:19" x14ac:dyDescent="0.2">
      <c r="S1602" s="19"/>
    </row>
    <row r="1603" spans="2:19" s="3" customFormat="1" x14ac:dyDescent="0.2">
      <c r="H1603" s="11"/>
      <c r="I1603" s="11"/>
      <c r="J1603" s="11"/>
      <c r="K1603" s="11"/>
      <c r="L1603" s="11"/>
      <c r="M1603" s="11"/>
      <c r="S1603" s="37"/>
    </row>
    <row r="1604" spans="2:19" x14ac:dyDescent="0.2">
      <c r="B1604" s="3"/>
      <c r="C1604" s="3"/>
      <c r="D1604" s="3"/>
    </row>
    <row r="1605" spans="2:19" s="3" customFormat="1" x14ac:dyDescent="0.2">
      <c r="H1605" s="11"/>
      <c r="I1605" s="11"/>
      <c r="J1605" s="11"/>
      <c r="K1605" s="11"/>
      <c r="L1605" s="11"/>
      <c r="M1605" s="11"/>
      <c r="N1605" s="37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B185B8-519B-4ED7-AFD5-DFC87C54F92D}">
  <sheetPr codeName="Hoja10"/>
  <dimension ref="A1:O1160"/>
  <sheetViews>
    <sheetView showGridLines="0" zoomScale="70" zoomScaleNormal="70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P13" sqref="P13"/>
    </sheetView>
  </sheetViews>
  <sheetFormatPr baseColWidth="10" defaultColWidth="11.5" defaultRowHeight="12.75" x14ac:dyDescent="0.2"/>
  <cols>
    <col min="1" max="1" width="3.875" style="111" customWidth="1"/>
    <col min="2" max="2" width="2.75" style="111" customWidth="1"/>
    <col min="3" max="3" width="51.625" style="111" customWidth="1"/>
    <col min="4" max="4" width="24.75" style="112" customWidth="1"/>
    <col min="5" max="5" width="13.25" style="112" customWidth="1"/>
    <col min="6" max="6" width="14.5" style="112" customWidth="1"/>
    <col min="7" max="7" width="5.75" style="112" customWidth="1"/>
    <col min="8" max="8" width="12.25" style="111" bestFit="1" customWidth="1"/>
    <col min="9" max="13" width="11.5" style="111"/>
    <col min="14" max="14" width="11.875" style="111" customWidth="1"/>
    <col min="15" max="16384" width="11.5" style="111"/>
  </cols>
  <sheetData>
    <row r="1" spans="1:14" x14ac:dyDescent="0.2">
      <c r="F1" s="111"/>
      <c r="G1" s="111"/>
    </row>
    <row r="2" spans="1:14" s="113" customFormat="1" x14ac:dyDescent="0.2">
      <c r="C2" s="113" t="s">
        <v>0</v>
      </c>
      <c r="D2" s="113" t="s">
        <v>1</v>
      </c>
      <c r="E2" s="113" t="s">
        <v>2</v>
      </c>
      <c r="F2" s="113" t="s">
        <v>3</v>
      </c>
      <c r="H2" s="113">
        <v>2024</v>
      </c>
      <c r="I2" s="113">
        <v>2025</v>
      </c>
      <c r="J2" s="113">
        <v>2026</v>
      </c>
      <c r="K2" s="113">
        <v>2027</v>
      </c>
      <c r="L2" s="113">
        <v>2028</v>
      </c>
      <c r="M2" s="113">
        <v>2029</v>
      </c>
      <c r="N2" s="113">
        <v>2030</v>
      </c>
    </row>
    <row r="3" spans="1:14" x14ac:dyDescent="0.2">
      <c r="B3" s="114"/>
      <c r="C3" s="114"/>
      <c r="D3" s="115"/>
      <c r="E3" s="115"/>
      <c r="F3" s="114"/>
      <c r="G3" s="111"/>
      <c r="H3" s="114"/>
      <c r="I3" s="114"/>
      <c r="J3" s="114"/>
      <c r="K3" s="114"/>
      <c r="L3" s="114"/>
      <c r="M3" s="114"/>
      <c r="N3" s="114"/>
    </row>
    <row r="4" spans="1:14" x14ac:dyDescent="0.2">
      <c r="F4" s="111"/>
      <c r="G4" s="111"/>
    </row>
    <row r="5" spans="1:14" x14ac:dyDescent="0.2">
      <c r="B5" s="116" t="s">
        <v>175</v>
      </c>
      <c r="C5" s="111" t="s">
        <v>179</v>
      </c>
      <c r="D5" s="112" t="s">
        <v>181</v>
      </c>
      <c r="E5" s="112" t="s">
        <v>14</v>
      </c>
      <c r="F5" s="117">
        <v>16.083333333333332</v>
      </c>
      <c r="G5" s="111"/>
    </row>
    <row r="6" spans="1:14" x14ac:dyDescent="0.2">
      <c r="B6" s="116"/>
      <c r="F6" s="117"/>
      <c r="G6" s="111"/>
    </row>
    <row r="7" spans="1:14" x14ac:dyDescent="0.2">
      <c r="B7" s="116" t="s">
        <v>176</v>
      </c>
      <c r="C7" s="111" t="s">
        <v>180</v>
      </c>
      <c r="D7" s="112" t="s">
        <v>181</v>
      </c>
      <c r="E7" s="112" t="s">
        <v>14</v>
      </c>
      <c r="F7" s="118">
        <v>10</v>
      </c>
      <c r="G7" s="111"/>
    </row>
    <row r="8" spans="1:14" s="1" customFormat="1" x14ac:dyDescent="0.2">
      <c r="B8" s="91"/>
      <c r="D8" s="13"/>
      <c r="E8" s="13"/>
      <c r="F8" s="93"/>
    </row>
    <row r="9" spans="1:14" s="1" customFormat="1" x14ac:dyDescent="0.2">
      <c r="B9" s="91" t="s">
        <v>491</v>
      </c>
      <c r="C9" s="1" t="s">
        <v>492</v>
      </c>
      <c r="D9" s="13" t="s">
        <v>181</v>
      </c>
      <c r="E9" s="13" t="s">
        <v>14</v>
      </c>
      <c r="F9" s="93">
        <v>15</v>
      </c>
    </row>
    <row r="10" spans="1:14" s="1" customFormat="1" x14ac:dyDescent="0.2">
      <c r="B10" s="91"/>
      <c r="D10" s="13"/>
      <c r="E10" s="13"/>
    </row>
    <row r="11" spans="1:14" x14ac:dyDescent="0.2">
      <c r="B11" s="116"/>
      <c r="F11" s="111"/>
      <c r="G11" s="111"/>
    </row>
    <row r="12" spans="1:14" x14ac:dyDescent="0.2">
      <c r="C12" s="119" t="s">
        <v>18</v>
      </c>
      <c r="D12" s="120"/>
      <c r="E12" s="120"/>
      <c r="F12" s="121">
        <v>2025</v>
      </c>
      <c r="G12" s="111"/>
    </row>
    <row r="13" spans="1:14" x14ac:dyDescent="0.2">
      <c r="A13" s="122"/>
      <c r="C13" s="123" t="s">
        <v>19</v>
      </c>
      <c r="D13" s="124"/>
      <c r="E13" s="124"/>
      <c r="F13" s="200">
        <v>2030</v>
      </c>
      <c r="G13" s="111"/>
    </row>
    <row r="14" spans="1:14" x14ac:dyDescent="0.2">
      <c r="A14" s="122"/>
      <c r="F14" s="111"/>
      <c r="G14" s="111"/>
    </row>
    <row r="15" spans="1:14" x14ac:dyDescent="0.2">
      <c r="B15" s="125" t="s">
        <v>208</v>
      </c>
      <c r="C15" s="125"/>
      <c r="D15" s="126"/>
      <c r="E15" s="126"/>
      <c r="F15" s="125"/>
      <c r="G15" s="127"/>
      <c r="H15" s="125"/>
      <c r="I15" s="125"/>
      <c r="J15" s="125"/>
      <c r="K15" s="125"/>
      <c r="L15" s="125"/>
      <c r="M15" s="125"/>
      <c r="N15" s="125"/>
    </row>
    <row r="16" spans="1:14" x14ac:dyDescent="0.2">
      <c r="B16" s="127"/>
      <c r="C16" s="127"/>
      <c r="D16" s="128"/>
      <c r="E16" s="128"/>
      <c r="F16" s="127"/>
      <c r="G16" s="127"/>
      <c r="H16" s="127"/>
      <c r="I16" s="127"/>
      <c r="J16" s="127"/>
      <c r="K16" s="127"/>
      <c r="L16" s="127"/>
      <c r="M16" s="127"/>
      <c r="N16" s="127"/>
    </row>
    <row r="17" spans="2:14" x14ac:dyDescent="0.2">
      <c r="B17" s="129" t="s">
        <v>5</v>
      </c>
      <c r="F17" s="127"/>
      <c r="G17" s="127"/>
      <c r="H17" s="127"/>
      <c r="I17" s="127"/>
      <c r="J17" s="127"/>
      <c r="K17" s="127"/>
      <c r="L17" s="127"/>
      <c r="M17" s="127"/>
      <c r="N17" s="127"/>
    </row>
    <row r="18" spans="2:14" x14ac:dyDescent="0.2">
      <c r="F18" s="127"/>
      <c r="G18" s="127"/>
      <c r="H18" s="127"/>
      <c r="I18" s="127"/>
      <c r="J18" s="127"/>
      <c r="K18" s="127"/>
      <c r="L18" s="127"/>
      <c r="M18" s="127"/>
      <c r="N18" s="127"/>
    </row>
    <row r="19" spans="2:14" x14ac:dyDescent="0.2">
      <c r="B19" s="130" t="s">
        <v>191</v>
      </c>
      <c r="C19" s="130"/>
      <c r="D19" s="113"/>
      <c r="E19" s="113"/>
      <c r="F19" s="127"/>
      <c r="G19" s="127"/>
      <c r="H19" s="127"/>
      <c r="I19" s="127"/>
      <c r="J19" s="127"/>
      <c r="K19" s="127"/>
      <c r="L19" s="127"/>
      <c r="M19" s="127"/>
      <c r="N19" s="127"/>
    </row>
    <row r="20" spans="2:14" x14ac:dyDescent="0.2">
      <c r="B20" s="116" t="s">
        <v>175</v>
      </c>
      <c r="C20" s="131" t="s">
        <v>487</v>
      </c>
      <c r="D20" s="112" t="s">
        <v>61</v>
      </c>
      <c r="E20" s="112" t="s">
        <v>24</v>
      </c>
      <c r="F20" s="127"/>
      <c r="G20" s="127"/>
      <c r="H20" s="218">
        <f>+'Insumos - CAPEX'!H689</f>
        <v>4554212.3268328225</v>
      </c>
      <c r="I20" s="218">
        <f>+'Insumos - CAPEX'!I689</f>
        <v>463787.89961323794</v>
      </c>
      <c r="J20" s="218">
        <f>+'Insumos - CAPEX'!J689</f>
        <v>77035.379885281698</v>
      </c>
      <c r="K20" s="218">
        <f>+'Insumos - CAPEX'!K689</f>
        <v>0</v>
      </c>
      <c r="L20" s="218">
        <f>+'Insumos - CAPEX'!L689</f>
        <v>0</v>
      </c>
      <c r="M20" s="218">
        <f>+'Insumos - CAPEX'!M689</f>
        <v>0</v>
      </c>
      <c r="N20" s="218">
        <f>+'Insumos - CAPEX'!N689</f>
        <v>0</v>
      </c>
    </row>
    <row r="21" spans="2:14" x14ac:dyDescent="0.2">
      <c r="B21" s="116" t="s">
        <v>176</v>
      </c>
      <c r="C21" s="131" t="s">
        <v>488</v>
      </c>
      <c r="D21" s="112" t="s">
        <v>61</v>
      </c>
      <c r="E21" s="112" t="s">
        <v>24</v>
      </c>
      <c r="F21" s="127"/>
      <c r="G21" s="127"/>
      <c r="H21" s="218">
        <f>+'Insumos - CAPEX'!H690</f>
        <v>993026.47585776274</v>
      </c>
      <c r="I21" s="218">
        <f>+'Insumos - CAPEX'!I690</f>
        <v>101126.96344544273</v>
      </c>
      <c r="J21" s="218">
        <f>+'Insumos - CAPEX'!J690</f>
        <v>16797.234365452849</v>
      </c>
      <c r="K21" s="218">
        <f>+'Insumos - CAPEX'!K690</f>
        <v>0</v>
      </c>
      <c r="L21" s="218">
        <f>+'Insumos - CAPEX'!L690</f>
        <v>0</v>
      </c>
      <c r="M21" s="218">
        <f>+'Insumos - CAPEX'!M690</f>
        <v>0</v>
      </c>
      <c r="N21" s="218">
        <f>+'Insumos - CAPEX'!N690</f>
        <v>0</v>
      </c>
    </row>
    <row r="22" spans="2:14" x14ac:dyDescent="0.2">
      <c r="B22" s="116" t="s">
        <v>175</v>
      </c>
      <c r="C22" s="131" t="s">
        <v>81</v>
      </c>
      <c r="D22" s="112" t="s">
        <v>61</v>
      </c>
      <c r="E22" s="112" t="s">
        <v>24</v>
      </c>
      <c r="F22" s="127"/>
      <c r="G22" s="127"/>
      <c r="H22" s="218">
        <f>+'Insumos - CAPEX'!H691</f>
        <v>282903.00187404227</v>
      </c>
      <c r="I22" s="218">
        <f>+'Insumos - CAPEX'!I691</f>
        <v>28810.028961624736</v>
      </c>
      <c r="J22" s="218">
        <f>+'Insumos - CAPEX'!J691</f>
        <v>4785.3588405724349</v>
      </c>
      <c r="K22" s="218">
        <f>+'Insumos - CAPEX'!K691</f>
        <v>0</v>
      </c>
      <c r="L22" s="218">
        <f>+'Insumos - CAPEX'!L691</f>
        <v>0</v>
      </c>
      <c r="M22" s="218">
        <f>+'Insumos - CAPEX'!M691</f>
        <v>0</v>
      </c>
      <c r="N22" s="218">
        <f>+'Insumos - CAPEX'!N691</f>
        <v>0</v>
      </c>
    </row>
    <row r="23" spans="2:14" x14ac:dyDescent="0.2">
      <c r="B23" s="116" t="s">
        <v>491</v>
      </c>
      <c r="C23" s="131" t="s">
        <v>82</v>
      </c>
      <c r="D23" s="112" t="s">
        <v>61</v>
      </c>
      <c r="E23" s="112" t="s">
        <v>24</v>
      </c>
      <c r="F23" s="127"/>
      <c r="G23" s="127"/>
      <c r="H23" s="218">
        <f>+'Insumos - CAPEX'!H692</f>
        <v>370821.39626968693</v>
      </c>
      <c r="I23" s="218">
        <f>+'Insumos - CAPEX'!I692</f>
        <v>37763.385666994065</v>
      </c>
      <c r="J23" s="218">
        <f>+'Insumos - CAPEX'!J692</f>
        <v>6272.5154387108005</v>
      </c>
      <c r="K23" s="218">
        <f>+'Insumos - CAPEX'!K692</f>
        <v>0</v>
      </c>
      <c r="L23" s="218">
        <f>+'Insumos - CAPEX'!L692</f>
        <v>0</v>
      </c>
      <c r="M23" s="218">
        <f>+'Insumos - CAPEX'!M692</f>
        <v>0</v>
      </c>
      <c r="N23" s="218">
        <f>+'Insumos - CAPEX'!N692</f>
        <v>0</v>
      </c>
    </row>
    <row r="24" spans="2:14" x14ac:dyDescent="0.2">
      <c r="B24" s="116" t="s">
        <v>176</v>
      </c>
      <c r="C24" s="131" t="s">
        <v>83</v>
      </c>
      <c r="D24" s="112" t="s">
        <v>61</v>
      </c>
      <c r="E24" s="112" t="s">
        <v>24</v>
      </c>
      <c r="F24" s="127"/>
      <c r="G24" s="127"/>
      <c r="H24" s="218">
        <f>+'Insumos - CAPEX'!H693</f>
        <v>306733.48838143429</v>
      </c>
      <c r="I24" s="218">
        <f>+'Insumos - CAPEX'!I693</f>
        <v>31236.857245169245</v>
      </c>
      <c r="J24" s="218">
        <f>+'Insumos - CAPEX'!J693</f>
        <v>5188.4561160621588</v>
      </c>
      <c r="K24" s="218">
        <f>+'Insumos - CAPEX'!K693</f>
        <v>0</v>
      </c>
      <c r="L24" s="218">
        <f>+'Insumos - CAPEX'!L693</f>
        <v>0</v>
      </c>
      <c r="M24" s="218">
        <f>+'Insumos - CAPEX'!M693</f>
        <v>0</v>
      </c>
      <c r="N24" s="218">
        <f>+'Insumos - CAPEX'!N693</f>
        <v>0</v>
      </c>
    </row>
    <row r="25" spans="2:14" x14ac:dyDescent="0.2">
      <c r="B25" s="116" t="s">
        <v>176</v>
      </c>
      <c r="C25" s="131" t="s">
        <v>84</v>
      </c>
      <c r="D25" s="112" t="s">
        <v>61</v>
      </c>
      <c r="E25" s="112" t="s">
        <v>24</v>
      </c>
      <c r="F25" s="127"/>
      <c r="G25" s="127"/>
      <c r="H25" s="218">
        <f>+'Insumos - CAPEX'!H694</f>
        <v>6740687.2593840454</v>
      </c>
      <c r="I25" s="218">
        <f>+'Insumos - CAPEX'!I694</f>
        <v>686452.2252421102</v>
      </c>
      <c r="J25" s="218">
        <f>+'Insumos - CAPEX'!J694</f>
        <v>114020.02507767352</v>
      </c>
      <c r="K25" s="218">
        <f>+'Insumos - CAPEX'!K694</f>
        <v>0</v>
      </c>
      <c r="L25" s="218">
        <f>+'Insumos - CAPEX'!L694</f>
        <v>0</v>
      </c>
      <c r="M25" s="218">
        <f>+'Insumos - CAPEX'!M694</f>
        <v>0</v>
      </c>
      <c r="N25" s="218">
        <f>+'Insumos - CAPEX'!N694</f>
        <v>0</v>
      </c>
    </row>
    <row r="26" spans="2:14" x14ac:dyDescent="0.2">
      <c r="B26" s="116" t="s">
        <v>175</v>
      </c>
      <c r="C26" s="131" t="s">
        <v>449</v>
      </c>
      <c r="D26" s="112" t="s">
        <v>61</v>
      </c>
      <c r="E26" s="112" t="s">
        <v>24</v>
      </c>
      <c r="F26" s="127"/>
      <c r="G26" s="127"/>
      <c r="H26" s="218">
        <f>+'Insumos - CAPEX'!H695</f>
        <v>22753109.618521936</v>
      </c>
      <c r="I26" s="218">
        <f>+'Insumos - CAPEX'!I695</f>
        <v>2317111.316367358</v>
      </c>
      <c r="J26" s="218">
        <f>+'Insumos - CAPEX'!J695</f>
        <v>384873.23761939228</v>
      </c>
      <c r="K26" s="218">
        <f>+'Insumos - CAPEX'!K695</f>
        <v>0</v>
      </c>
      <c r="L26" s="218">
        <f>+'Insumos - CAPEX'!L695</f>
        <v>0</v>
      </c>
      <c r="M26" s="218">
        <f>+'Insumos - CAPEX'!M695</f>
        <v>0</v>
      </c>
      <c r="N26" s="218">
        <f>+'Insumos - CAPEX'!N695</f>
        <v>0</v>
      </c>
    </row>
    <row r="27" spans="2:14" x14ac:dyDescent="0.2">
      <c r="B27" s="116" t="s">
        <v>176</v>
      </c>
      <c r="C27" s="131" t="s">
        <v>450</v>
      </c>
      <c r="D27" s="112" t="s">
        <v>61</v>
      </c>
      <c r="E27" s="112" t="s">
        <v>24</v>
      </c>
      <c r="F27" s="127"/>
      <c r="G27" s="127"/>
      <c r="H27" s="218">
        <f>+'Insumos - CAPEX'!H696</f>
        <v>4961218.0192308398</v>
      </c>
      <c r="I27" s="218">
        <f>+'Insumos - CAPEX'!I696</f>
        <v>505236.19004443573</v>
      </c>
      <c r="J27" s="218">
        <f>+'Insumos - CAPEX'!J696</f>
        <v>83919.959671915844</v>
      </c>
      <c r="K27" s="218">
        <f>+'Insumos - CAPEX'!K696</f>
        <v>0</v>
      </c>
      <c r="L27" s="218">
        <f>+'Insumos - CAPEX'!L696</f>
        <v>0</v>
      </c>
      <c r="M27" s="218">
        <f>+'Insumos - CAPEX'!M696</f>
        <v>0</v>
      </c>
      <c r="N27" s="218">
        <f>+'Insumos - CAPEX'!N696</f>
        <v>0</v>
      </c>
    </row>
    <row r="28" spans="2:14" x14ac:dyDescent="0.2">
      <c r="B28" s="116" t="s">
        <v>175</v>
      </c>
      <c r="C28" s="131" t="s">
        <v>209</v>
      </c>
      <c r="D28" s="112" t="s">
        <v>61</v>
      </c>
      <c r="E28" s="112" t="s">
        <v>24</v>
      </c>
      <c r="F28" s="127"/>
      <c r="G28" s="127"/>
      <c r="H28" s="218">
        <f>+'Insumos - CAPEX'!H719</f>
        <v>4496098.3133880477</v>
      </c>
      <c r="I28" s="218">
        <f>+'Insumos - CAPEX'!I719</f>
        <v>457869.73543919483</v>
      </c>
      <c r="J28" s="218">
        <f>+'Insumos - CAPEX'!J719</f>
        <v>76052.370139337334</v>
      </c>
      <c r="K28" s="218">
        <f>+'Insumos - CAPEX'!K719</f>
        <v>0</v>
      </c>
      <c r="L28" s="218">
        <f>+'Insumos - CAPEX'!L719</f>
        <v>0</v>
      </c>
      <c r="M28" s="218">
        <f>+'Insumos - CAPEX'!M719</f>
        <v>0</v>
      </c>
      <c r="N28" s="218">
        <f>+'Insumos - CAPEX'!N719</f>
        <v>0</v>
      </c>
    </row>
    <row r="29" spans="2:14" x14ac:dyDescent="0.2">
      <c r="C29" s="133" t="s">
        <v>7</v>
      </c>
      <c r="D29" s="134" t="s">
        <v>61</v>
      </c>
      <c r="E29" s="134" t="s">
        <v>24</v>
      </c>
      <c r="F29" s="127"/>
      <c r="G29" s="127"/>
      <c r="H29" s="135">
        <f t="shared" ref="H29:N29" si="0">+SUM(H20:H28)</f>
        <v>45458809.899740621</v>
      </c>
      <c r="I29" s="135">
        <f t="shared" si="0"/>
        <v>4629394.6020255666</v>
      </c>
      <c r="J29" s="135">
        <f t="shared" si="0"/>
        <v>768944.53715439897</v>
      </c>
      <c r="K29" s="135">
        <f t="shared" si="0"/>
        <v>0</v>
      </c>
      <c r="L29" s="135">
        <f t="shared" si="0"/>
        <v>0</v>
      </c>
      <c r="M29" s="135">
        <f t="shared" si="0"/>
        <v>0</v>
      </c>
      <c r="N29" s="135">
        <f t="shared" si="0"/>
        <v>0</v>
      </c>
    </row>
    <row r="30" spans="2:14" x14ac:dyDescent="0.2">
      <c r="C30" s="130"/>
      <c r="D30" s="113"/>
      <c r="E30" s="113"/>
      <c r="F30" s="127"/>
      <c r="G30" s="127"/>
      <c r="H30" s="136"/>
      <c r="I30" s="136"/>
      <c r="J30" s="136"/>
      <c r="K30" s="136"/>
      <c r="L30" s="136"/>
      <c r="M30" s="136"/>
      <c r="N30" s="136"/>
    </row>
    <row r="31" spans="2:14" x14ac:dyDescent="0.2">
      <c r="C31" s="130"/>
      <c r="D31" s="113"/>
      <c r="E31" s="113"/>
      <c r="F31" s="127"/>
      <c r="G31" s="127"/>
      <c r="H31" s="136"/>
      <c r="I31" s="136"/>
      <c r="J31" s="136"/>
      <c r="K31" s="136"/>
      <c r="L31" s="136"/>
      <c r="M31" s="136"/>
      <c r="N31" s="136"/>
    </row>
    <row r="32" spans="2:14" x14ac:dyDescent="0.2">
      <c r="B32" s="116" t="s">
        <v>175</v>
      </c>
      <c r="C32" s="111" t="s">
        <v>454</v>
      </c>
      <c r="D32" s="112" t="s">
        <v>61</v>
      </c>
      <c r="E32" s="112" t="s">
        <v>22</v>
      </c>
      <c r="F32" s="127"/>
      <c r="G32" s="127"/>
      <c r="H32" s="132">
        <f t="shared" ref="H32:N32" si="1">+SUMIF($B$20:$B$28,$B32,H20:H28)</f>
        <v>32086323.260616846</v>
      </c>
      <c r="I32" s="132">
        <f t="shared" si="1"/>
        <v>3267578.9803814157</v>
      </c>
      <c r="J32" s="132">
        <f t="shared" si="1"/>
        <v>542746.3464845838</v>
      </c>
      <c r="K32" s="132">
        <f t="shared" si="1"/>
        <v>0</v>
      </c>
      <c r="L32" s="132">
        <f t="shared" si="1"/>
        <v>0</v>
      </c>
      <c r="M32" s="132">
        <f t="shared" si="1"/>
        <v>0</v>
      </c>
      <c r="N32" s="132">
        <f t="shared" si="1"/>
        <v>0</v>
      </c>
    </row>
    <row r="33" spans="2:14" x14ac:dyDescent="0.2">
      <c r="F33" s="127"/>
      <c r="G33" s="127"/>
      <c r="H33" s="132"/>
      <c r="I33" s="132"/>
      <c r="J33" s="132"/>
      <c r="K33" s="132"/>
      <c r="L33" s="132"/>
      <c r="M33" s="132"/>
      <c r="N33" s="132"/>
    </row>
    <row r="34" spans="2:14" x14ac:dyDescent="0.2">
      <c r="B34" s="116" t="s">
        <v>491</v>
      </c>
      <c r="C34" s="111" t="s">
        <v>493</v>
      </c>
      <c r="F34" s="127"/>
      <c r="G34" s="127"/>
      <c r="H34" s="132">
        <f t="shared" ref="H34:N34" si="2">+SUMIF($B$20:$B$28,$B34,H20:H28)</f>
        <v>370821.39626968693</v>
      </c>
      <c r="I34" s="132">
        <f t="shared" si="2"/>
        <v>37763.385666994065</v>
      </c>
      <c r="J34" s="132">
        <f t="shared" si="2"/>
        <v>6272.5154387108005</v>
      </c>
      <c r="K34" s="132">
        <f t="shared" si="2"/>
        <v>0</v>
      </c>
      <c r="L34" s="132">
        <f t="shared" si="2"/>
        <v>0</v>
      </c>
      <c r="M34" s="132">
        <f t="shared" si="2"/>
        <v>0</v>
      </c>
      <c r="N34" s="132">
        <f t="shared" si="2"/>
        <v>0</v>
      </c>
    </row>
    <row r="35" spans="2:14" x14ac:dyDescent="0.2">
      <c r="F35" s="127"/>
      <c r="G35" s="127"/>
      <c r="H35" s="132"/>
      <c r="I35" s="132"/>
      <c r="J35" s="132"/>
      <c r="K35" s="132"/>
      <c r="L35" s="132"/>
      <c r="M35" s="132"/>
      <c r="N35" s="132"/>
    </row>
    <row r="36" spans="2:14" x14ac:dyDescent="0.2">
      <c r="B36" s="116" t="s">
        <v>176</v>
      </c>
      <c r="C36" s="111" t="s">
        <v>455</v>
      </c>
      <c r="D36" s="112" t="s">
        <v>61</v>
      </c>
      <c r="E36" s="112" t="s">
        <v>22</v>
      </c>
      <c r="F36" s="127"/>
      <c r="G36" s="127"/>
      <c r="H36" s="132">
        <f t="shared" ref="H36:N36" si="3">+SUMIF($B$20:$B$28,$B36,H20:H28)</f>
        <v>13001665.242854081</v>
      </c>
      <c r="I36" s="132">
        <f t="shared" si="3"/>
        <v>1324052.235977158</v>
      </c>
      <c r="J36" s="132">
        <f t="shared" si="3"/>
        <v>219925.67523110437</v>
      </c>
      <c r="K36" s="132">
        <f t="shared" si="3"/>
        <v>0</v>
      </c>
      <c r="L36" s="132">
        <f t="shared" si="3"/>
        <v>0</v>
      </c>
      <c r="M36" s="132">
        <f t="shared" si="3"/>
        <v>0</v>
      </c>
      <c r="N36" s="132">
        <f t="shared" si="3"/>
        <v>0</v>
      </c>
    </row>
    <row r="37" spans="2:14" x14ac:dyDescent="0.2">
      <c r="B37" s="127"/>
      <c r="C37" s="127"/>
      <c r="D37" s="128"/>
      <c r="E37" s="128"/>
      <c r="F37" s="127"/>
      <c r="G37" s="127"/>
      <c r="H37" s="127"/>
      <c r="I37" s="127"/>
      <c r="J37" s="127"/>
      <c r="K37" s="127"/>
      <c r="L37" s="127"/>
      <c r="M37" s="127"/>
      <c r="N37" s="127"/>
    </row>
    <row r="38" spans="2:14" x14ac:dyDescent="0.2">
      <c r="B38" s="129" t="s">
        <v>6</v>
      </c>
      <c r="F38" s="127"/>
      <c r="G38" s="127"/>
      <c r="H38" s="127"/>
      <c r="I38" s="127"/>
      <c r="J38" s="127"/>
      <c r="K38" s="127"/>
      <c r="L38" s="127"/>
      <c r="M38" s="127"/>
      <c r="N38" s="127"/>
    </row>
    <row r="39" spans="2:14" x14ac:dyDescent="0.2">
      <c r="F39" s="127"/>
      <c r="G39" s="127"/>
      <c r="H39" s="127"/>
      <c r="I39" s="127"/>
      <c r="J39" s="127"/>
      <c r="K39" s="127"/>
      <c r="L39" s="127"/>
      <c r="M39" s="127"/>
      <c r="N39" s="127"/>
    </row>
    <row r="40" spans="2:14" x14ac:dyDescent="0.2">
      <c r="B40" s="130" t="s">
        <v>191</v>
      </c>
      <c r="C40" s="130"/>
      <c r="D40" s="113"/>
      <c r="E40" s="113"/>
      <c r="F40" s="127"/>
      <c r="G40" s="127"/>
      <c r="H40" s="127"/>
      <c r="I40" s="127"/>
      <c r="J40" s="127"/>
      <c r="K40" s="127"/>
      <c r="L40" s="127"/>
      <c r="M40" s="127"/>
      <c r="N40" s="127"/>
    </row>
    <row r="41" spans="2:14" x14ac:dyDescent="0.2">
      <c r="B41" s="91" t="s">
        <v>175</v>
      </c>
      <c r="C41" s="245" t="s">
        <v>489</v>
      </c>
      <c r="D41" s="13" t="s">
        <v>61</v>
      </c>
      <c r="E41" s="13" t="s">
        <v>24</v>
      </c>
      <c r="F41" s="127"/>
      <c r="G41" s="127"/>
      <c r="H41" s="132">
        <f>+'Insumos - CAPEX'!H702</f>
        <v>1175467.3658226009</v>
      </c>
      <c r="I41" s="132">
        <f>+'Insumos - CAPEX'!I702</f>
        <v>119706.21954683885</v>
      </c>
      <c r="J41" s="132">
        <f>+'Insumos - CAPEX'!J702</f>
        <v>19883.257206821814</v>
      </c>
      <c r="K41" s="132">
        <f>+'Insumos - CAPEX'!K702</f>
        <v>0</v>
      </c>
      <c r="L41" s="132">
        <f>+'Insumos - CAPEX'!L702</f>
        <v>0</v>
      </c>
      <c r="M41" s="132">
        <f>+'Insumos - CAPEX'!M702</f>
        <v>0</v>
      </c>
      <c r="N41" s="132">
        <f>+'Insumos - CAPEX'!N702</f>
        <v>0</v>
      </c>
    </row>
    <row r="42" spans="2:14" x14ac:dyDescent="0.2">
      <c r="B42" s="91" t="s">
        <v>176</v>
      </c>
      <c r="C42" s="245" t="s">
        <v>490</v>
      </c>
      <c r="D42" s="13" t="s">
        <v>61</v>
      </c>
      <c r="E42" s="13" t="s">
        <v>24</v>
      </c>
      <c r="F42" s="127"/>
      <c r="G42" s="127"/>
      <c r="H42" s="132">
        <f>+'Insumos - CAPEX'!H703</f>
        <v>256305.62037945</v>
      </c>
      <c r="I42" s="132">
        <f>+'Insumos - CAPEX'!I703</f>
        <v>26101.428041568914</v>
      </c>
      <c r="J42" s="132">
        <f>+'Insumos - CAPEX'!J703</f>
        <v>4335.4590027195545</v>
      </c>
      <c r="K42" s="132">
        <f>+'Insumos - CAPEX'!K703</f>
        <v>0</v>
      </c>
      <c r="L42" s="132">
        <f>+'Insumos - CAPEX'!L703</f>
        <v>0</v>
      </c>
      <c r="M42" s="132">
        <f>+'Insumos - CAPEX'!M703</f>
        <v>0</v>
      </c>
      <c r="N42" s="132">
        <f>+'Insumos - CAPEX'!N703</f>
        <v>0</v>
      </c>
    </row>
    <row r="43" spans="2:14" x14ac:dyDescent="0.2">
      <c r="B43" s="91" t="s">
        <v>175</v>
      </c>
      <c r="C43" s="38" t="s">
        <v>81</v>
      </c>
      <c r="D43" s="13" t="s">
        <v>61</v>
      </c>
      <c r="E43" s="13" t="s">
        <v>24</v>
      </c>
      <c r="F43" s="127"/>
      <c r="G43" s="127"/>
      <c r="H43" s="132">
        <f>+'Insumos - CAPEX'!H704</f>
        <v>424354.50281106343</v>
      </c>
      <c r="I43" s="132">
        <f>+'Insumos - CAPEX'!I704</f>
        <v>43215.043442437105</v>
      </c>
      <c r="J43" s="132">
        <f>+'Insumos - CAPEX'!J704</f>
        <v>7178.0382608586524</v>
      </c>
      <c r="K43" s="132">
        <f>+'Insumos - CAPEX'!K704</f>
        <v>0</v>
      </c>
      <c r="L43" s="132">
        <f>+'Insumos - CAPEX'!L704</f>
        <v>0</v>
      </c>
      <c r="M43" s="132">
        <f>+'Insumos - CAPEX'!M704</f>
        <v>0</v>
      </c>
      <c r="N43" s="132">
        <f>+'Insumos - CAPEX'!N704</f>
        <v>0</v>
      </c>
    </row>
    <row r="44" spans="2:14" x14ac:dyDescent="0.2">
      <c r="B44" s="91" t="s">
        <v>491</v>
      </c>
      <c r="C44" s="38" t="s">
        <v>82</v>
      </c>
      <c r="D44" s="13" t="s">
        <v>61</v>
      </c>
      <c r="E44" s="13" t="s">
        <v>24</v>
      </c>
      <c r="F44" s="127"/>
      <c r="G44" s="127"/>
      <c r="H44" s="132">
        <f>+'Insumos - CAPEX'!H705</f>
        <v>370821.39626968693</v>
      </c>
      <c r="I44" s="132">
        <f>+'Insumos - CAPEX'!I705</f>
        <v>37763.385666994065</v>
      </c>
      <c r="J44" s="132">
        <f>+'Insumos - CAPEX'!J705</f>
        <v>6272.5154387108005</v>
      </c>
      <c r="K44" s="132">
        <f>+'Insumos - CAPEX'!K705</f>
        <v>0</v>
      </c>
      <c r="L44" s="132">
        <f>+'Insumos - CAPEX'!L705</f>
        <v>0</v>
      </c>
      <c r="M44" s="132">
        <f>+'Insumos - CAPEX'!M705</f>
        <v>0</v>
      </c>
      <c r="N44" s="132">
        <f>+'Insumos - CAPEX'!N705</f>
        <v>0</v>
      </c>
    </row>
    <row r="45" spans="2:14" x14ac:dyDescent="0.2">
      <c r="B45" s="91" t="s">
        <v>176</v>
      </c>
      <c r="C45" s="38" t="s">
        <v>83</v>
      </c>
      <c r="D45" s="13" t="s">
        <v>61</v>
      </c>
      <c r="E45" s="13" t="s">
        <v>24</v>
      </c>
      <c r="F45" s="127"/>
      <c r="G45" s="127"/>
      <c r="H45" s="132">
        <f>+'Insumos - CAPEX'!H706</f>
        <v>139424.31290065194</v>
      </c>
      <c r="I45" s="132">
        <f>+'Insumos - CAPEX'!I706</f>
        <v>14198.571475076929</v>
      </c>
      <c r="J45" s="132">
        <f>+'Insumos - CAPEX'!J706</f>
        <v>2358.3891436646172</v>
      </c>
      <c r="K45" s="132">
        <f>+'Insumos - CAPEX'!K706</f>
        <v>0</v>
      </c>
      <c r="L45" s="132">
        <f>+'Insumos - CAPEX'!L706</f>
        <v>0</v>
      </c>
      <c r="M45" s="132">
        <f>+'Insumos - CAPEX'!M706</f>
        <v>0</v>
      </c>
      <c r="N45" s="132">
        <f>+'Insumos - CAPEX'!N706</f>
        <v>0</v>
      </c>
    </row>
    <row r="46" spans="2:14" x14ac:dyDescent="0.2">
      <c r="B46" s="91" t="s">
        <v>175</v>
      </c>
      <c r="C46" s="8" t="s">
        <v>452</v>
      </c>
      <c r="D46" s="13" t="s">
        <v>61</v>
      </c>
      <c r="E46" s="13" t="s">
        <v>24</v>
      </c>
      <c r="F46" s="127"/>
      <c r="G46" s="127"/>
      <c r="H46" s="132">
        <f>+'Insumos - CAPEX'!H707</f>
        <v>3824357.4844294344</v>
      </c>
      <c r="I46" s="132">
        <f>+'Insumos - CAPEX'!I707</f>
        <v>389461.57925561361</v>
      </c>
      <c r="J46" s="132">
        <f>+'Insumos - CAPEX'!J707</f>
        <v>64689.744457967703</v>
      </c>
      <c r="K46" s="132">
        <f>+'Insumos - CAPEX'!K707</f>
        <v>0</v>
      </c>
      <c r="L46" s="132">
        <f>+'Insumos - CAPEX'!L707</f>
        <v>0</v>
      </c>
      <c r="M46" s="132">
        <f>+'Insumos - CAPEX'!M707</f>
        <v>0</v>
      </c>
      <c r="N46" s="132">
        <f>+'Insumos - CAPEX'!N707</f>
        <v>0</v>
      </c>
    </row>
    <row r="47" spans="2:14" x14ac:dyDescent="0.2">
      <c r="B47" s="91" t="s">
        <v>176</v>
      </c>
      <c r="C47" s="8" t="s">
        <v>453</v>
      </c>
      <c r="D47" s="13" t="s">
        <v>61</v>
      </c>
      <c r="E47" s="13" t="s">
        <v>24</v>
      </c>
      <c r="F47" s="127"/>
      <c r="G47" s="127"/>
      <c r="H47" s="132">
        <f>+'Insumos - CAPEX'!H708</f>
        <v>833884.75605490315</v>
      </c>
      <c r="I47" s="132">
        <f>+'Insumos - CAPEX'!I708</f>
        <v>84920.427897387679</v>
      </c>
      <c r="J47" s="132">
        <f>+'Insumos - CAPEX'!J708</f>
        <v>14105.321481115259</v>
      </c>
      <c r="K47" s="132">
        <f>+'Insumos - CAPEX'!K708</f>
        <v>0</v>
      </c>
      <c r="L47" s="132">
        <f>+'Insumos - CAPEX'!L708</f>
        <v>0</v>
      </c>
      <c r="M47" s="132">
        <f>+'Insumos - CAPEX'!M708</f>
        <v>0</v>
      </c>
      <c r="N47" s="132">
        <f>+'Insumos - CAPEX'!N708</f>
        <v>0</v>
      </c>
    </row>
    <row r="48" spans="2:14" x14ac:dyDescent="0.2">
      <c r="B48" s="116" t="s">
        <v>175</v>
      </c>
      <c r="C48" s="131" t="s">
        <v>209</v>
      </c>
      <c r="D48" s="112" t="s">
        <v>61</v>
      </c>
      <c r="E48" s="112" t="s">
        <v>24</v>
      </c>
      <c r="F48" s="127"/>
      <c r="G48" s="127"/>
      <c r="H48" s="132">
        <f>+'Insumos - CAPEX'!H722</f>
        <v>814934.77900031162</v>
      </c>
      <c r="I48" s="132">
        <f>+'Insumos - CAPEX'!I722</f>
        <v>82990.616675349156</v>
      </c>
      <c r="J48" s="132">
        <f>+'Insumos - CAPEX'!J722</f>
        <v>13784.778964329915</v>
      </c>
      <c r="K48" s="132">
        <f>+'Insumos - CAPEX'!K722</f>
        <v>0</v>
      </c>
      <c r="L48" s="132">
        <f>+'Insumos - CAPEX'!L722</f>
        <v>0</v>
      </c>
      <c r="M48" s="132">
        <f>+'Insumos - CAPEX'!M722</f>
        <v>0</v>
      </c>
      <c r="N48" s="132">
        <f>+'Insumos - CAPEX'!N722</f>
        <v>0</v>
      </c>
    </row>
    <row r="49" spans="2:14" x14ac:dyDescent="0.2">
      <c r="C49" s="133" t="s">
        <v>7</v>
      </c>
      <c r="D49" s="134" t="s">
        <v>61</v>
      </c>
      <c r="E49" s="134" t="s">
        <v>24</v>
      </c>
      <c r="F49" s="127"/>
      <c r="G49" s="127"/>
      <c r="H49" s="137">
        <f t="shared" ref="H49:N49" si="4">+SUM(H41:H48)</f>
        <v>7839550.2176681031</v>
      </c>
      <c r="I49" s="137">
        <f t="shared" si="4"/>
        <v>798357.27200126625</v>
      </c>
      <c r="J49" s="137">
        <f t="shared" si="4"/>
        <v>132607.5039561883</v>
      </c>
      <c r="K49" s="137">
        <f t="shared" si="4"/>
        <v>0</v>
      </c>
      <c r="L49" s="137">
        <f t="shared" si="4"/>
        <v>0</v>
      </c>
      <c r="M49" s="137">
        <f t="shared" si="4"/>
        <v>0</v>
      </c>
      <c r="N49" s="137">
        <f t="shared" si="4"/>
        <v>0</v>
      </c>
    </row>
    <row r="50" spans="2:14" x14ac:dyDescent="0.2">
      <c r="B50" s="127"/>
      <c r="C50" s="127"/>
      <c r="D50" s="128"/>
      <c r="E50" s="128"/>
      <c r="F50" s="127"/>
      <c r="G50" s="127"/>
      <c r="H50" s="127"/>
      <c r="I50" s="127"/>
      <c r="J50" s="127"/>
      <c r="K50" s="127"/>
      <c r="L50" s="127"/>
      <c r="M50" s="127"/>
      <c r="N50" s="127"/>
    </row>
    <row r="51" spans="2:14" x14ac:dyDescent="0.2">
      <c r="B51" s="116" t="s">
        <v>175</v>
      </c>
      <c r="C51" s="111" t="s">
        <v>456</v>
      </c>
      <c r="D51" s="112" t="s">
        <v>61</v>
      </c>
      <c r="E51" s="112" t="s">
        <v>22</v>
      </c>
      <c r="F51" s="127"/>
      <c r="G51" s="127"/>
      <c r="H51" s="132">
        <f t="shared" ref="H51:N51" si="5">+SUMIF($B$41:$B$48,$B51,H41:H48)</f>
        <v>6239114.1320634112</v>
      </c>
      <c r="I51" s="132">
        <f t="shared" si="5"/>
        <v>635373.45892023877</v>
      </c>
      <c r="J51" s="132">
        <f t="shared" si="5"/>
        <v>105535.81888997808</v>
      </c>
      <c r="K51" s="132">
        <f t="shared" si="5"/>
        <v>0</v>
      </c>
      <c r="L51" s="132">
        <f t="shared" si="5"/>
        <v>0</v>
      </c>
      <c r="M51" s="132">
        <f t="shared" si="5"/>
        <v>0</v>
      </c>
      <c r="N51" s="132">
        <f t="shared" si="5"/>
        <v>0</v>
      </c>
    </row>
    <row r="52" spans="2:14" x14ac:dyDescent="0.2">
      <c r="B52" s="116"/>
      <c r="F52" s="127"/>
      <c r="G52" s="127"/>
      <c r="H52" s="132"/>
      <c r="I52" s="132"/>
      <c r="J52" s="132"/>
      <c r="K52" s="132"/>
      <c r="L52" s="132"/>
      <c r="M52" s="132"/>
      <c r="N52" s="132"/>
    </row>
    <row r="53" spans="2:14" x14ac:dyDescent="0.2">
      <c r="B53" s="116" t="s">
        <v>491</v>
      </c>
      <c r="C53" s="111" t="s">
        <v>493</v>
      </c>
      <c r="F53" s="127"/>
      <c r="G53" s="127"/>
      <c r="H53" s="132">
        <f t="shared" ref="H53:N53" si="6">+SUMIF($B$41:$B$48,$B53,H41:H48)</f>
        <v>370821.39626968693</v>
      </c>
      <c r="I53" s="132">
        <f t="shared" si="6"/>
        <v>37763.385666994065</v>
      </c>
      <c r="J53" s="132">
        <f t="shared" si="6"/>
        <v>6272.5154387108005</v>
      </c>
      <c r="K53" s="132">
        <f t="shared" si="6"/>
        <v>0</v>
      </c>
      <c r="L53" s="132">
        <f t="shared" si="6"/>
        <v>0</v>
      </c>
      <c r="M53" s="132">
        <f t="shared" si="6"/>
        <v>0</v>
      </c>
      <c r="N53" s="132">
        <f t="shared" si="6"/>
        <v>0</v>
      </c>
    </row>
    <row r="54" spans="2:14" x14ac:dyDescent="0.2">
      <c r="B54" s="116"/>
      <c r="F54" s="127"/>
      <c r="G54" s="127"/>
      <c r="H54" s="132"/>
      <c r="I54" s="132"/>
      <c r="J54" s="132"/>
      <c r="K54" s="132"/>
      <c r="L54" s="132"/>
      <c r="M54" s="132"/>
      <c r="N54" s="132"/>
    </row>
    <row r="55" spans="2:14" x14ac:dyDescent="0.2">
      <c r="B55" s="116" t="s">
        <v>176</v>
      </c>
      <c r="C55" s="111" t="s">
        <v>455</v>
      </c>
      <c r="D55" s="112" t="s">
        <v>61</v>
      </c>
      <c r="E55" s="112" t="s">
        <v>22</v>
      </c>
      <c r="F55" s="127"/>
      <c r="G55" s="127"/>
      <c r="H55" s="132">
        <f t="shared" ref="H55:N55" si="7">+SUMIF($B$41:$B$48,$B55,H41:H48)</f>
        <v>1229614.6893350051</v>
      </c>
      <c r="I55" s="132">
        <f t="shared" si="7"/>
        <v>125220.42741403352</v>
      </c>
      <c r="J55" s="132">
        <f t="shared" si="7"/>
        <v>20799.169627499432</v>
      </c>
      <c r="K55" s="132">
        <f t="shared" si="7"/>
        <v>0</v>
      </c>
      <c r="L55" s="132">
        <f t="shared" si="7"/>
        <v>0</v>
      </c>
      <c r="M55" s="132">
        <f t="shared" si="7"/>
        <v>0</v>
      </c>
      <c r="N55" s="132">
        <f t="shared" si="7"/>
        <v>0</v>
      </c>
    </row>
    <row r="56" spans="2:14" x14ac:dyDescent="0.2">
      <c r="B56" s="127"/>
      <c r="C56" s="127"/>
      <c r="D56" s="128"/>
      <c r="E56" s="128"/>
      <c r="F56" s="127"/>
      <c r="G56" s="127"/>
      <c r="H56" s="127"/>
      <c r="I56" s="127"/>
      <c r="J56" s="127"/>
      <c r="K56" s="127"/>
      <c r="L56" s="127"/>
      <c r="M56" s="127"/>
      <c r="N56" s="127"/>
    </row>
    <row r="57" spans="2:14" x14ac:dyDescent="0.2">
      <c r="B57" s="125" t="s">
        <v>90</v>
      </c>
      <c r="C57" s="125"/>
      <c r="D57" s="126"/>
      <c r="E57" s="126"/>
      <c r="F57" s="125"/>
      <c r="G57" s="127"/>
      <c r="H57" s="125"/>
      <c r="I57" s="125"/>
      <c r="J57" s="125"/>
      <c r="K57" s="125"/>
      <c r="L57" s="125"/>
      <c r="M57" s="125"/>
      <c r="N57" s="125"/>
    </row>
    <row r="58" spans="2:14" x14ac:dyDescent="0.2">
      <c r="F58" s="111"/>
      <c r="G58" s="111"/>
    </row>
    <row r="59" spans="2:14" x14ac:dyDescent="0.2">
      <c r="B59" s="138" t="s">
        <v>227</v>
      </c>
      <c r="C59" s="139"/>
      <c r="D59" s="140"/>
      <c r="E59" s="140"/>
      <c r="F59" s="139"/>
      <c r="G59" s="111"/>
      <c r="H59" s="139"/>
      <c r="I59" s="139"/>
      <c r="J59" s="139"/>
      <c r="K59" s="139"/>
      <c r="L59" s="139"/>
      <c r="M59" s="139"/>
      <c r="N59" s="139"/>
    </row>
    <row r="60" spans="2:14" x14ac:dyDescent="0.2">
      <c r="F60" s="111"/>
      <c r="G60" s="111"/>
    </row>
    <row r="61" spans="2:14" x14ac:dyDescent="0.2">
      <c r="B61" s="130" t="s">
        <v>175</v>
      </c>
      <c r="F61" s="111"/>
      <c r="G61" s="111"/>
    </row>
    <row r="62" spans="2:14" x14ac:dyDescent="0.2">
      <c r="B62" s="116" t="s">
        <v>175</v>
      </c>
      <c r="C62" s="111" t="s">
        <v>213</v>
      </c>
      <c r="D62" s="112" t="s">
        <v>181</v>
      </c>
      <c r="E62" s="112" t="s">
        <v>24</v>
      </c>
      <c r="F62" s="111"/>
      <c r="G62" s="111"/>
      <c r="H62" s="141"/>
      <c r="I62" s="117">
        <f t="shared" ref="I62:N62" si="8">16+1/12</f>
        <v>16.083333333333332</v>
      </c>
      <c r="J62" s="117">
        <f t="shared" si="8"/>
        <v>16.083333333333332</v>
      </c>
      <c r="K62" s="117">
        <f t="shared" si="8"/>
        <v>16.083333333333332</v>
      </c>
      <c r="L62" s="117">
        <f t="shared" si="8"/>
        <v>16.083333333333332</v>
      </c>
      <c r="M62" s="117">
        <f t="shared" si="8"/>
        <v>16.083333333333332</v>
      </c>
      <c r="N62" s="117">
        <f t="shared" si="8"/>
        <v>16.083333333333332</v>
      </c>
    </row>
    <row r="63" spans="2:14" x14ac:dyDescent="0.2">
      <c r="B63" s="116" t="s">
        <v>175</v>
      </c>
      <c r="C63" s="111" t="s">
        <v>214</v>
      </c>
      <c r="D63" s="112" t="s">
        <v>181</v>
      </c>
      <c r="E63" s="112" t="s">
        <v>24</v>
      </c>
      <c r="F63" s="111"/>
      <c r="G63" s="111"/>
      <c r="H63" s="141"/>
      <c r="I63" s="213"/>
      <c r="J63" s="213">
        <f>J62-1</f>
        <v>15.083333333333332</v>
      </c>
      <c r="K63" s="213">
        <f>K62-1</f>
        <v>15.083333333333332</v>
      </c>
      <c r="L63" s="213">
        <f>L62-1</f>
        <v>15.083333333333332</v>
      </c>
      <c r="M63" s="213">
        <f>M62-1</f>
        <v>15.083333333333332</v>
      </c>
      <c r="N63" s="213">
        <f>N62-1</f>
        <v>15.083333333333332</v>
      </c>
    </row>
    <row r="64" spans="2:14" x14ac:dyDescent="0.2">
      <c r="B64" s="116" t="s">
        <v>175</v>
      </c>
      <c r="C64" s="111" t="s">
        <v>215</v>
      </c>
      <c r="D64" s="112" t="s">
        <v>181</v>
      </c>
      <c r="E64" s="112" t="s">
        <v>24</v>
      </c>
      <c r="F64" s="111"/>
      <c r="G64" s="111"/>
      <c r="H64" s="141"/>
      <c r="I64" s="213"/>
      <c r="J64" s="213"/>
      <c r="K64" s="213">
        <f>K63-1</f>
        <v>14.083333333333332</v>
      </c>
      <c r="L64" s="213">
        <f>L63-1</f>
        <v>14.083333333333332</v>
      </c>
      <c r="M64" s="213">
        <f>M63-1</f>
        <v>14.083333333333332</v>
      </c>
      <c r="N64" s="213">
        <f>N63-1</f>
        <v>14.083333333333332</v>
      </c>
    </row>
    <row r="65" spans="2:15" x14ac:dyDescent="0.2">
      <c r="B65" s="116" t="s">
        <v>175</v>
      </c>
      <c r="C65" s="111" t="s">
        <v>216</v>
      </c>
      <c r="D65" s="112" t="s">
        <v>181</v>
      </c>
      <c r="E65" s="112" t="s">
        <v>24</v>
      </c>
      <c r="F65" s="111"/>
      <c r="G65" s="111"/>
      <c r="H65" s="141"/>
      <c r="I65" s="213"/>
      <c r="J65" s="213"/>
      <c r="K65" s="213"/>
      <c r="L65" s="213">
        <f>L64-1</f>
        <v>13.083333333333332</v>
      </c>
      <c r="M65" s="213">
        <f>M64-1</f>
        <v>13.083333333333332</v>
      </c>
      <c r="N65" s="213">
        <f>N64-1</f>
        <v>13.083333333333332</v>
      </c>
    </row>
    <row r="66" spans="2:15" x14ac:dyDescent="0.2">
      <c r="B66" s="116" t="s">
        <v>175</v>
      </c>
      <c r="C66" s="111" t="s">
        <v>217</v>
      </c>
      <c r="D66" s="112" t="s">
        <v>181</v>
      </c>
      <c r="E66" s="112" t="s">
        <v>24</v>
      </c>
      <c r="F66" s="111"/>
      <c r="G66" s="111"/>
      <c r="I66" s="213"/>
      <c r="J66" s="213"/>
      <c r="K66" s="213"/>
      <c r="L66" s="213"/>
      <c r="M66" s="213">
        <f>M65-1</f>
        <v>12.083333333333332</v>
      </c>
      <c r="N66" s="213">
        <f>N65-1</f>
        <v>12.083333333333332</v>
      </c>
    </row>
    <row r="67" spans="2:15" x14ac:dyDescent="0.2">
      <c r="B67" s="116" t="s">
        <v>175</v>
      </c>
      <c r="C67" s="111" t="s">
        <v>218</v>
      </c>
      <c r="D67" s="112" t="s">
        <v>181</v>
      </c>
      <c r="E67" s="112" t="s">
        <v>24</v>
      </c>
      <c r="F67" s="111"/>
      <c r="G67" s="111"/>
      <c r="H67" s="141"/>
      <c r="I67" s="213"/>
      <c r="J67" s="213"/>
      <c r="K67" s="213"/>
      <c r="L67" s="213"/>
      <c r="M67" s="213"/>
      <c r="N67" s="213">
        <f>N66-1</f>
        <v>11.083333333333332</v>
      </c>
    </row>
    <row r="68" spans="2:15" x14ac:dyDescent="0.2">
      <c r="B68" s="116" t="s">
        <v>175</v>
      </c>
      <c r="C68" s="111" t="s">
        <v>219</v>
      </c>
      <c r="D68" s="112" t="s">
        <v>181</v>
      </c>
      <c r="E68" s="112" t="s">
        <v>24</v>
      </c>
      <c r="F68" s="111"/>
      <c r="G68" s="111"/>
      <c r="H68" s="141"/>
      <c r="I68" s="213"/>
      <c r="J68" s="213"/>
      <c r="K68" s="213"/>
      <c r="L68" s="213"/>
      <c r="M68" s="213"/>
      <c r="N68" s="213"/>
    </row>
    <row r="69" spans="2:15" x14ac:dyDescent="0.2">
      <c r="B69" s="130"/>
      <c r="F69" s="111"/>
      <c r="G69" s="111"/>
      <c r="H69" s="141"/>
      <c r="I69" s="132"/>
      <c r="J69" s="132"/>
      <c r="K69" s="132"/>
      <c r="L69" s="132"/>
      <c r="M69" s="132"/>
      <c r="N69" s="132"/>
    </row>
    <row r="70" spans="2:15" x14ac:dyDescent="0.2">
      <c r="B70" s="130" t="s">
        <v>494</v>
      </c>
      <c r="F70" s="111"/>
      <c r="G70" s="111"/>
      <c r="H70" s="141"/>
      <c r="I70" s="132"/>
      <c r="J70" s="132"/>
      <c r="K70" s="132"/>
      <c r="L70" s="132"/>
      <c r="M70" s="132"/>
      <c r="N70" s="132"/>
    </row>
    <row r="71" spans="2:15" x14ac:dyDescent="0.2">
      <c r="B71" s="116" t="s">
        <v>491</v>
      </c>
      <c r="C71" s="111" t="s">
        <v>495</v>
      </c>
      <c r="D71" s="112" t="s">
        <v>181</v>
      </c>
      <c r="E71" s="112" t="s">
        <v>24</v>
      </c>
      <c r="F71" s="111"/>
      <c r="G71" s="111"/>
      <c r="H71" s="141"/>
      <c r="I71" s="145">
        <v>15</v>
      </c>
      <c r="J71" s="145">
        <v>15</v>
      </c>
      <c r="K71" s="145">
        <v>15</v>
      </c>
      <c r="L71" s="145">
        <v>15</v>
      </c>
      <c r="M71" s="145">
        <v>15</v>
      </c>
      <c r="N71" s="145">
        <v>15</v>
      </c>
    </row>
    <row r="72" spans="2:15" x14ac:dyDescent="0.2">
      <c r="B72" s="116" t="s">
        <v>176</v>
      </c>
      <c r="C72" s="111" t="s">
        <v>496</v>
      </c>
      <c r="D72" s="112" t="s">
        <v>181</v>
      </c>
      <c r="E72" s="112" t="s">
        <v>24</v>
      </c>
      <c r="F72" s="111"/>
      <c r="G72" s="111"/>
      <c r="H72" s="141"/>
      <c r="I72" s="132"/>
      <c r="J72" s="145">
        <v>15</v>
      </c>
      <c r="K72" s="145">
        <v>15</v>
      </c>
      <c r="L72" s="145">
        <v>15</v>
      </c>
      <c r="M72" s="145">
        <v>15</v>
      </c>
      <c r="N72" s="145">
        <v>15</v>
      </c>
    </row>
    <row r="73" spans="2:15" x14ac:dyDescent="0.2">
      <c r="B73" s="116" t="s">
        <v>176</v>
      </c>
      <c r="C73" s="111" t="s">
        <v>497</v>
      </c>
      <c r="D73" s="112" t="s">
        <v>181</v>
      </c>
      <c r="E73" s="112" t="s">
        <v>24</v>
      </c>
      <c r="F73" s="111"/>
      <c r="G73" s="111"/>
      <c r="H73" s="141"/>
      <c r="I73" s="132"/>
      <c r="J73" s="132"/>
      <c r="K73" s="212">
        <f>14 + 1/12</f>
        <v>14.083333333333334</v>
      </c>
      <c r="L73" s="212">
        <f t="shared" ref="L73:N73" si="9">14 + 1/12</f>
        <v>14.083333333333334</v>
      </c>
      <c r="M73" s="212">
        <f t="shared" si="9"/>
        <v>14.083333333333334</v>
      </c>
      <c r="N73" s="212">
        <f t="shared" si="9"/>
        <v>14.083333333333334</v>
      </c>
      <c r="O73" s="145"/>
    </row>
    <row r="74" spans="2:15" x14ac:dyDescent="0.2">
      <c r="B74" s="116" t="s">
        <v>176</v>
      </c>
      <c r="C74" s="111" t="s">
        <v>498</v>
      </c>
      <c r="D74" s="112" t="s">
        <v>181</v>
      </c>
      <c r="E74" s="112" t="s">
        <v>24</v>
      </c>
      <c r="F74" s="111"/>
      <c r="G74" s="111"/>
      <c r="H74" s="141"/>
      <c r="I74" s="132"/>
      <c r="J74" s="132"/>
      <c r="K74" s="132"/>
      <c r="L74" s="212">
        <f>+L73-1</f>
        <v>13.083333333333334</v>
      </c>
      <c r="M74" s="212">
        <f t="shared" ref="M74:N74" si="10">+M73-1</f>
        <v>13.083333333333334</v>
      </c>
      <c r="N74" s="212">
        <f t="shared" si="10"/>
        <v>13.083333333333334</v>
      </c>
    </row>
    <row r="75" spans="2:15" x14ac:dyDescent="0.2">
      <c r="B75" s="116" t="s">
        <v>176</v>
      </c>
      <c r="C75" s="111" t="s">
        <v>499</v>
      </c>
      <c r="D75" s="112" t="s">
        <v>181</v>
      </c>
      <c r="E75" s="112" t="s">
        <v>24</v>
      </c>
      <c r="F75" s="111"/>
      <c r="G75" s="111"/>
      <c r="H75" s="141"/>
      <c r="I75" s="132"/>
      <c r="J75" s="132"/>
      <c r="K75" s="132"/>
      <c r="L75" s="212"/>
      <c r="M75" s="212">
        <f>+M74-1</f>
        <v>12.083333333333334</v>
      </c>
      <c r="N75" s="212">
        <f>+N74-1</f>
        <v>12.083333333333334</v>
      </c>
    </row>
    <row r="76" spans="2:15" x14ac:dyDescent="0.2">
      <c r="B76" s="116" t="s">
        <v>176</v>
      </c>
      <c r="C76" s="111" t="s">
        <v>500</v>
      </c>
      <c r="D76" s="112" t="s">
        <v>181</v>
      </c>
      <c r="E76" s="112" t="s">
        <v>24</v>
      </c>
      <c r="F76" s="111"/>
      <c r="G76" s="111"/>
      <c r="H76" s="141"/>
      <c r="I76" s="132"/>
      <c r="J76" s="132"/>
      <c r="K76" s="132"/>
      <c r="L76" s="212"/>
      <c r="M76" s="212"/>
      <c r="N76" s="212">
        <f>+N75-1</f>
        <v>11.083333333333334</v>
      </c>
    </row>
    <row r="77" spans="2:15" x14ac:dyDescent="0.2">
      <c r="B77" s="116" t="s">
        <v>176</v>
      </c>
      <c r="C77" s="111" t="s">
        <v>501</v>
      </c>
      <c r="D77" s="112" t="s">
        <v>181</v>
      </c>
      <c r="E77" s="112" t="s">
        <v>24</v>
      </c>
      <c r="F77" s="111"/>
      <c r="G77" s="111"/>
      <c r="H77" s="141"/>
      <c r="I77" s="132"/>
      <c r="J77" s="132"/>
      <c r="K77" s="132"/>
      <c r="L77" s="212"/>
      <c r="M77" s="212"/>
      <c r="N77" s="212"/>
    </row>
    <row r="78" spans="2:15" x14ac:dyDescent="0.2">
      <c r="B78" s="116"/>
      <c r="F78" s="111"/>
      <c r="G78" s="111"/>
      <c r="H78" s="141"/>
      <c r="I78" s="132"/>
      <c r="J78" s="132"/>
      <c r="K78" s="132"/>
      <c r="L78" s="132"/>
      <c r="M78" s="132"/>
      <c r="N78" s="132"/>
    </row>
    <row r="79" spans="2:15" x14ac:dyDescent="0.2">
      <c r="B79" s="130" t="s">
        <v>176</v>
      </c>
      <c r="F79" s="111"/>
      <c r="G79" s="111"/>
      <c r="H79" s="141"/>
      <c r="I79" s="132"/>
      <c r="J79" s="132"/>
      <c r="K79" s="132"/>
      <c r="L79" s="132"/>
      <c r="M79" s="132"/>
      <c r="N79" s="132"/>
    </row>
    <row r="80" spans="2:15" x14ac:dyDescent="0.2">
      <c r="B80" s="116" t="s">
        <v>176</v>
      </c>
      <c r="C80" s="111" t="s">
        <v>220</v>
      </c>
      <c r="D80" s="112" t="s">
        <v>181</v>
      </c>
      <c r="E80" s="112" t="s">
        <v>24</v>
      </c>
      <c r="F80" s="111"/>
      <c r="G80" s="111"/>
      <c r="H80" s="141"/>
      <c r="I80" s="145">
        <f>10</f>
        <v>10</v>
      </c>
      <c r="J80" s="145">
        <f>10</f>
        <v>10</v>
      </c>
      <c r="K80" s="145">
        <f>10</f>
        <v>10</v>
      </c>
      <c r="L80" s="145">
        <f>10</f>
        <v>10</v>
      </c>
      <c r="M80" s="145">
        <f>10</f>
        <v>10</v>
      </c>
      <c r="N80" s="145">
        <f>10</f>
        <v>10</v>
      </c>
    </row>
    <row r="81" spans="2:15" x14ac:dyDescent="0.2">
      <c r="B81" s="116" t="s">
        <v>176</v>
      </c>
      <c r="C81" s="111" t="s">
        <v>221</v>
      </c>
      <c r="D81" s="112" t="s">
        <v>181</v>
      </c>
      <c r="E81" s="112" t="s">
        <v>24</v>
      </c>
      <c r="F81" s="111"/>
      <c r="G81" s="111"/>
      <c r="H81" s="141"/>
      <c r="I81" s="132"/>
      <c r="J81" s="145">
        <f>10</f>
        <v>10</v>
      </c>
      <c r="K81" s="145">
        <f>10</f>
        <v>10</v>
      </c>
      <c r="L81" s="145">
        <f>10</f>
        <v>10</v>
      </c>
      <c r="M81" s="145">
        <f>10</f>
        <v>10</v>
      </c>
      <c r="N81" s="145">
        <f>10</f>
        <v>10</v>
      </c>
    </row>
    <row r="82" spans="2:15" x14ac:dyDescent="0.2">
      <c r="B82" s="116" t="s">
        <v>176</v>
      </c>
      <c r="C82" s="111" t="s">
        <v>222</v>
      </c>
      <c r="D82" s="112" t="s">
        <v>181</v>
      </c>
      <c r="E82" s="112" t="s">
        <v>24</v>
      </c>
      <c r="F82" s="111"/>
      <c r="G82" s="111"/>
      <c r="H82" s="141"/>
      <c r="I82" s="132"/>
      <c r="J82" s="132"/>
      <c r="K82" s="145">
        <f>10</f>
        <v>10</v>
      </c>
      <c r="L82" s="145">
        <f>10</f>
        <v>10</v>
      </c>
      <c r="M82" s="145">
        <f>10</f>
        <v>10</v>
      </c>
      <c r="N82" s="145">
        <f>10</f>
        <v>10</v>
      </c>
      <c r="O82" s="145"/>
    </row>
    <row r="83" spans="2:15" x14ac:dyDescent="0.2">
      <c r="B83" s="116" t="s">
        <v>176</v>
      </c>
      <c r="C83" s="111" t="s">
        <v>223</v>
      </c>
      <c r="D83" s="112" t="s">
        <v>181</v>
      </c>
      <c r="E83" s="112" t="s">
        <v>24</v>
      </c>
      <c r="F83" s="111"/>
      <c r="G83" s="111"/>
      <c r="H83" s="141"/>
      <c r="I83" s="132"/>
      <c r="J83" s="132"/>
      <c r="K83" s="132"/>
      <c r="L83" s="145">
        <f>10</f>
        <v>10</v>
      </c>
      <c r="M83" s="145">
        <f>10</f>
        <v>10</v>
      </c>
      <c r="N83" s="145">
        <f>10</f>
        <v>10</v>
      </c>
    </row>
    <row r="84" spans="2:15" x14ac:dyDescent="0.2">
      <c r="B84" s="116" t="s">
        <v>176</v>
      </c>
      <c r="C84" s="111" t="s">
        <v>224</v>
      </c>
      <c r="D84" s="112" t="s">
        <v>181</v>
      </c>
      <c r="E84" s="112" t="s">
        <v>24</v>
      </c>
      <c r="F84" s="111"/>
      <c r="G84" s="111"/>
      <c r="H84" s="141"/>
      <c r="I84" s="132"/>
      <c r="J84" s="132"/>
      <c r="K84" s="132"/>
      <c r="L84" s="145"/>
      <c r="M84" s="145">
        <f>10</f>
        <v>10</v>
      </c>
      <c r="N84" s="145">
        <f>10</f>
        <v>10</v>
      </c>
    </row>
    <row r="85" spans="2:15" x14ac:dyDescent="0.2">
      <c r="B85" s="116" t="s">
        <v>176</v>
      </c>
      <c r="C85" s="111" t="s">
        <v>225</v>
      </c>
      <c r="D85" s="112" t="s">
        <v>181</v>
      </c>
      <c r="E85" s="112" t="s">
        <v>24</v>
      </c>
      <c r="F85" s="111"/>
      <c r="G85" s="111"/>
      <c r="H85" s="141"/>
      <c r="I85" s="132"/>
      <c r="J85" s="132"/>
      <c r="K85" s="132"/>
      <c r="L85" s="145"/>
      <c r="M85" s="145"/>
      <c r="N85" s="145">
        <f>10</f>
        <v>10</v>
      </c>
    </row>
    <row r="86" spans="2:15" x14ac:dyDescent="0.2">
      <c r="B86" s="116" t="s">
        <v>176</v>
      </c>
      <c r="C86" s="111" t="s">
        <v>226</v>
      </c>
      <c r="D86" s="112" t="s">
        <v>181</v>
      </c>
      <c r="E86" s="112" t="s">
        <v>24</v>
      </c>
      <c r="F86" s="111"/>
      <c r="G86" s="111"/>
      <c r="H86" s="141"/>
      <c r="I86" s="132"/>
      <c r="J86" s="132"/>
      <c r="K86" s="132"/>
      <c r="L86" s="145"/>
      <c r="M86" s="145"/>
      <c r="N86" s="145"/>
    </row>
    <row r="87" spans="2:15" x14ac:dyDescent="0.2">
      <c r="B87" s="130"/>
      <c r="F87" s="111"/>
      <c r="G87" s="111"/>
      <c r="H87" s="141"/>
      <c r="I87" s="132"/>
      <c r="J87" s="132"/>
      <c r="K87" s="132"/>
      <c r="L87" s="132"/>
      <c r="M87" s="132"/>
      <c r="N87" s="132"/>
    </row>
    <row r="88" spans="2:15" x14ac:dyDescent="0.2">
      <c r="B88" s="138" t="s">
        <v>236</v>
      </c>
      <c r="C88" s="139"/>
      <c r="D88" s="140"/>
      <c r="E88" s="140"/>
      <c r="F88" s="139"/>
      <c r="G88" s="111"/>
      <c r="H88" s="139"/>
      <c r="I88" s="139"/>
      <c r="J88" s="139"/>
      <c r="K88" s="139"/>
      <c r="L88" s="139"/>
      <c r="M88" s="139"/>
      <c r="N88" s="139"/>
    </row>
    <row r="89" spans="2:15" x14ac:dyDescent="0.2">
      <c r="F89" s="111"/>
      <c r="G89" s="111"/>
    </row>
    <row r="90" spans="2:15" x14ac:dyDescent="0.2">
      <c r="B90" s="130"/>
      <c r="F90" s="111"/>
      <c r="G90" s="111"/>
      <c r="H90" s="141"/>
      <c r="I90" s="132"/>
      <c r="J90" s="132"/>
      <c r="K90" s="132"/>
      <c r="L90" s="132"/>
      <c r="M90" s="132"/>
      <c r="N90" s="132"/>
    </row>
    <row r="91" spans="2:15" x14ac:dyDescent="0.2">
      <c r="B91" s="129" t="s">
        <v>5</v>
      </c>
      <c r="F91" s="111"/>
      <c r="G91" s="111"/>
    </row>
    <row r="92" spans="2:15" x14ac:dyDescent="0.2">
      <c r="F92" s="111"/>
      <c r="G92" s="111"/>
    </row>
    <row r="93" spans="2:15" x14ac:dyDescent="0.2">
      <c r="B93" s="116" t="s">
        <v>175</v>
      </c>
      <c r="C93" s="111" t="s">
        <v>213</v>
      </c>
      <c r="D93" s="112" t="s">
        <v>61</v>
      </c>
      <c r="E93" s="112" t="s">
        <v>22</v>
      </c>
      <c r="F93" s="132">
        <f>CAPEX!H$32</f>
        <v>32086323.260616846</v>
      </c>
      <c r="G93" s="111"/>
      <c r="I93" s="132">
        <f t="shared" ref="I93:N99" si="11">+IFERROR($F93/I62,0)</f>
        <v>1995004.55506426</v>
      </c>
      <c r="J93" s="132">
        <f t="shared" si="11"/>
        <v>1995004.55506426</v>
      </c>
      <c r="K93" s="132">
        <f t="shared" si="11"/>
        <v>1995004.55506426</v>
      </c>
      <c r="L93" s="132">
        <f t="shared" si="11"/>
        <v>1995004.55506426</v>
      </c>
      <c r="M93" s="132">
        <f t="shared" si="11"/>
        <v>1995004.55506426</v>
      </c>
      <c r="N93" s="132">
        <f t="shared" si="11"/>
        <v>1995004.55506426</v>
      </c>
    </row>
    <row r="94" spans="2:15" x14ac:dyDescent="0.2">
      <c r="B94" s="116" t="s">
        <v>175</v>
      </c>
      <c r="C94" s="111" t="s">
        <v>214</v>
      </c>
      <c r="D94" s="112" t="s">
        <v>61</v>
      </c>
      <c r="E94" s="112" t="s">
        <v>22</v>
      </c>
      <c r="F94" s="132">
        <f>CAPEX!I$32</f>
        <v>3267578.9803814157</v>
      </c>
      <c r="G94" s="111"/>
      <c r="I94" s="132">
        <f t="shared" si="11"/>
        <v>0</v>
      </c>
      <c r="J94" s="132">
        <f t="shared" si="11"/>
        <v>216635.07052252482</v>
      </c>
      <c r="K94" s="132">
        <f t="shared" si="11"/>
        <v>216635.07052252482</v>
      </c>
      <c r="L94" s="132">
        <f t="shared" si="11"/>
        <v>216635.07052252482</v>
      </c>
      <c r="M94" s="132">
        <f t="shared" si="11"/>
        <v>216635.07052252482</v>
      </c>
      <c r="N94" s="132">
        <f t="shared" si="11"/>
        <v>216635.07052252482</v>
      </c>
    </row>
    <row r="95" spans="2:15" x14ac:dyDescent="0.2">
      <c r="B95" s="116" t="s">
        <v>175</v>
      </c>
      <c r="C95" s="111" t="s">
        <v>215</v>
      </c>
      <c r="D95" s="112" t="s">
        <v>61</v>
      </c>
      <c r="E95" s="112" t="s">
        <v>22</v>
      </c>
      <c r="F95" s="132">
        <f>CAPEX!J$32</f>
        <v>542746.3464845838</v>
      </c>
      <c r="G95" s="111"/>
      <c r="I95" s="132">
        <f t="shared" si="11"/>
        <v>0</v>
      </c>
      <c r="J95" s="132">
        <f t="shared" si="11"/>
        <v>0</v>
      </c>
      <c r="K95" s="132">
        <f t="shared" si="11"/>
        <v>38538.202117248555</v>
      </c>
      <c r="L95" s="132">
        <f t="shared" si="11"/>
        <v>38538.202117248555</v>
      </c>
      <c r="M95" s="132">
        <f t="shared" si="11"/>
        <v>38538.202117248555</v>
      </c>
      <c r="N95" s="132">
        <f t="shared" si="11"/>
        <v>38538.202117248555</v>
      </c>
    </row>
    <row r="96" spans="2:15" x14ac:dyDescent="0.2">
      <c r="B96" s="116" t="s">
        <v>175</v>
      </c>
      <c r="C96" s="111" t="s">
        <v>216</v>
      </c>
      <c r="D96" s="112" t="s">
        <v>61</v>
      </c>
      <c r="E96" s="112" t="s">
        <v>22</v>
      </c>
      <c r="F96" s="132">
        <f>CAPEX!K$32</f>
        <v>0</v>
      </c>
      <c r="G96" s="111"/>
      <c r="I96" s="132">
        <f t="shared" si="11"/>
        <v>0</v>
      </c>
      <c r="J96" s="132">
        <f t="shared" si="11"/>
        <v>0</v>
      </c>
      <c r="K96" s="132">
        <f t="shared" si="11"/>
        <v>0</v>
      </c>
      <c r="L96" s="132">
        <f t="shared" si="11"/>
        <v>0</v>
      </c>
      <c r="M96" s="132">
        <f t="shared" si="11"/>
        <v>0</v>
      </c>
      <c r="N96" s="132">
        <f t="shared" si="11"/>
        <v>0</v>
      </c>
    </row>
    <row r="97" spans="2:14" x14ac:dyDescent="0.2">
      <c r="B97" s="116" t="s">
        <v>175</v>
      </c>
      <c r="C97" s="111" t="s">
        <v>217</v>
      </c>
      <c r="D97" s="112" t="s">
        <v>61</v>
      </c>
      <c r="E97" s="112" t="s">
        <v>22</v>
      </c>
      <c r="F97" s="132">
        <f>CAPEX!L$32</f>
        <v>0</v>
      </c>
      <c r="G97" s="111"/>
      <c r="I97" s="132">
        <f t="shared" si="11"/>
        <v>0</v>
      </c>
      <c r="J97" s="132">
        <f t="shared" si="11"/>
        <v>0</v>
      </c>
      <c r="K97" s="132">
        <f t="shared" si="11"/>
        <v>0</v>
      </c>
      <c r="L97" s="132">
        <f t="shared" si="11"/>
        <v>0</v>
      </c>
      <c r="M97" s="132">
        <f t="shared" si="11"/>
        <v>0</v>
      </c>
      <c r="N97" s="132">
        <f t="shared" si="11"/>
        <v>0</v>
      </c>
    </row>
    <row r="98" spans="2:14" x14ac:dyDescent="0.2">
      <c r="B98" s="116" t="s">
        <v>175</v>
      </c>
      <c r="C98" s="111" t="s">
        <v>218</v>
      </c>
      <c r="D98" s="112" t="s">
        <v>61</v>
      </c>
      <c r="E98" s="112" t="s">
        <v>22</v>
      </c>
      <c r="F98" s="132">
        <f>CAPEX!M$32</f>
        <v>0</v>
      </c>
      <c r="G98" s="111"/>
      <c r="I98" s="132">
        <f t="shared" si="11"/>
        <v>0</v>
      </c>
      <c r="J98" s="132">
        <f t="shared" si="11"/>
        <v>0</v>
      </c>
      <c r="K98" s="132">
        <f t="shared" si="11"/>
        <v>0</v>
      </c>
      <c r="L98" s="132">
        <f t="shared" si="11"/>
        <v>0</v>
      </c>
      <c r="M98" s="132">
        <f t="shared" si="11"/>
        <v>0</v>
      </c>
      <c r="N98" s="132">
        <f t="shared" si="11"/>
        <v>0</v>
      </c>
    </row>
    <row r="99" spans="2:14" x14ac:dyDescent="0.2">
      <c r="B99" s="116" t="s">
        <v>175</v>
      </c>
      <c r="C99" s="111" t="s">
        <v>219</v>
      </c>
      <c r="D99" s="112" t="s">
        <v>61</v>
      </c>
      <c r="E99" s="112" t="s">
        <v>22</v>
      </c>
      <c r="F99" s="132">
        <f>CAPEX!N$32</f>
        <v>0</v>
      </c>
      <c r="G99" s="111"/>
      <c r="I99" s="132">
        <f t="shared" si="11"/>
        <v>0</v>
      </c>
      <c r="J99" s="132">
        <f t="shared" si="11"/>
        <v>0</v>
      </c>
      <c r="K99" s="132">
        <f t="shared" si="11"/>
        <v>0</v>
      </c>
      <c r="L99" s="132">
        <f t="shared" si="11"/>
        <v>0</v>
      </c>
      <c r="M99" s="132">
        <f t="shared" si="11"/>
        <v>0</v>
      </c>
      <c r="N99" s="132">
        <f t="shared" si="11"/>
        <v>0</v>
      </c>
    </row>
    <row r="100" spans="2:14" s="130" customFormat="1" x14ac:dyDescent="0.2">
      <c r="B100" s="143"/>
      <c r="C100" s="133" t="s">
        <v>228</v>
      </c>
      <c r="D100" s="134" t="s">
        <v>61</v>
      </c>
      <c r="E100" s="134" t="s">
        <v>22</v>
      </c>
      <c r="F100" s="135">
        <f>+SUM(F93:F99)</f>
        <v>35896648.587482847</v>
      </c>
      <c r="I100" s="135">
        <f t="shared" ref="I100:N100" si="12">+SUM(I93:I99)</f>
        <v>1995004.55506426</v>
      </c>
      <c r="J100" s="135">
        <f t="shared" si="12"/>
        <v>2211639.6255867849</v>
      </c>
      <c r="K100" s="135">
        <f t="shared" si="12"/>
        <v>2250177.8277040333</v>
      </c>
      <c r="L100" s="135">
        <f t="shared" si="12"/>
        <v>2250177.8277040333</v>
      </c>
      <c r="M100" s="135">
        <f t="shared" si="12"/>
        <v>2250177.8277040333</v>
      </c>
      <c r="N100" s="135">
        <f t="shared" si="12"/>
        <v>2250177.8277040333</v>
      </c>
    </row>
    <row r="101" spans="2:14" x14ac:dyDescent="0.2">
      <c r="F101" s="111"/>
      <c r="G101" s="111"/>
      <c r="I101" s="132"/>
    </row>
    <row r="102" spans="2:14" x14ac:dyDescent="0.2">
      <c r="B102" s="116" t="s">
        <v>491</v>
      </c>
      <c r="C102" s="111" t="s">
        <v>495</v>
      </c>
      <c r="D102" s="112" t="s">
        <v>61</v>
      </c>
      <c r="E102" s="112" t="s">
        <v>22</v>
      </c>
      <c r="F102" s="132">
        <f>CAPEX!H$34</f>
        <v>370821.39626968693</v>
      </c>
      <c r="G102" s="111"/>
      <c r="I102" s="132">
        <f>+IFERROR($F102/I71,0)</f>
        <v>24721.426417979128</v>
      </c>
      <c r="J102" s="132">
        <f t="shared" ref="J102:N102" si="13">+IFERROR($F102/J71,0)</f>
        <v>24721.426417979128</v>
      </c>
      <c r="K102" s="132">
        <f t="shared" si="13"/>
        <v>24721.426417979128</v>
      </c>
      <c r="L102" s="132">
        <f t="shared" si="13"/>
        <v>24721.426417979128</v>
      </c>
      <c r="M102" s="132">
        <f t="shared" si="13"/>
        <v>24721.426417979128</v>
      </c>
      <c r="N102" s="132">
        <f t="shared" si="13"/>
        <v>24721.426417979128</v>
      </c>
    </row>
    <row r="103" spans="2:14" x14ac:dyDescent="0.2">
      <c r="B103" s="116" t="s">
        <v>491</v>
      </c>
      <c r="C103" s="111" t="s">
        <v>496</v>
      </c>
      <c r="D103" s="112" t="s">
        <v>61</v>
      </c>
      <c r="E103" s="112" t="s">
        <v>22</v>
      </c>
      <c r="F103" s="132">
        <f>CAPEX!I$34</f>
        <v>37763.385666994065</v>
      </c>
      <c r="G103" s="111"/>
      <c r="I103" s="132">
        <f t="shared" ref="I103:N108" si="14">+IFERROR($F103/I72,0)</f>
        <v>0</v>
      </c>
      <c r="J103" s="132">
        <f t="shared" si="14"/>
        <v>2517.5590444662712</v>
      </c>
      <c r="K103" s="132">
        <f t="shared" si="14"/>
        <v>2517.5590444662712</v>
      </c>
      <c r="L103" s="132">
        <f t="shared" si="14"/>
        <v>2517.5590444662712</v>
      </c>
      <c r="M103" s="132">
        <f t="shared" si="14"/>
        <v>2517.5590444662712</v>
      </c>
      <c r="N103" s="132">
        <f t="shared" si="14"/>
        <v>2517.5590444662712</v>
      </c>
    </row>
    <row r="104" spans="2:14" x14ac:dyDescent="0.2">
      <c r="B104" s="116" t="s">
        <v>491</v>
      </c>
      <c r="C104" s="111" t="s">
        <v>497</v>
      </c>
      <c r="D104" s="112" t="s">
        <v>61</v>
      </c>
      <c r="E104" s="112" t="s">
        <v>22</v>
      </c>
      <c r="F104" s="132">
        <f>CAPEX!J$34</f>
        <v>6272.5154387108005</v>
      </c>
      <c r="G104" s="111"/>
      <c r="I104" s="132">
        <f t="shared" si="14"/>
        <v>0</v>
      </c>
      <c r="J104" s="132">
        <f t="shared" si="14"/>
        <v>0</v>
      </c>
      <c r="K104" s="132">
        <f>+IFERROR($F104/K73,0)</f>
        <v>445.38571162443554</v>
      </c>
      <c r="L104" s="132">
        <f t="shared" si="14"/>
        <v>445.38571162443554</v>
      </c>
      <c r="M104" s="132">
        <f t="shared" si="14"/>
        <v>445.38571162443554</v>
      </c>
      <c r="N104" s="132">
        <f t="shared" si="14"/>
        <v>445.38571162443554</v>
      </c>
    </row>
    <row r="105" spans="2:14" x14ac:dyDescent="0.2">
      <c r="B105" s="116" t="s">
        <v>491</v>
      </c>
      <c r="C105" s="111" t="s">
        <v>498</v>
      </c>
      <c r="D105" s="112" t="s">
        <v>61</v>
      </c>
      <c r="E105" s="112" t="s">
        <v>22</v>
      </c>
      <c r="F105" s="132">
        <f>CAPEX!K$34</f>
        <v>0</v>
      </c>
      <c r="G105" s="111"/>
      <c r="I105" s="132">
        <f t="shared" si="14"/>
        <v>0</v>
      </c>
      <c r="J105" s="132">
        <f t="shared" si="14"/>
        <v>0</v>
      </c>
      <c r="K105" s="132">
        <f t="shared" si="14"/>
        <v>0</v>
      </c>
      <c r="L105" s="132">
        <f t="shared" si="14"/>
        <v>0</v>
      </c>
      <c r="M105" s="132">
        <f t="shared" si="14"/>
        <v>0</v>
      </c>
      <c r="N105" s="132">
        <f t="shared" si="14"/>
        <v>0</v>
      </c>
    </row>
    <row r="106" spans="2:14" x14ac:dyDescent="0.2">
      <c r="B106" s="116" t="s">
        <v>491</v>
      </c>
      <c r="C106" s="111" t="s">
        <v>499</v>
      </c>
      <c r="D106" s="112" t="s">
        <v>61</v>
      </c>
      <c r="E106" s="112" t="s">
        <v>22</v>
      </c>
      <c r="F106" s="132">
        <f>CAPEX!L$34</f>
        <v>0</v>
      </c>
      <c r="G106" s="111"/>
      <c r="I106" s="132">
        <f t="shared" si="14"/>
        <v>0</v>
      </c>
      <c r="J106" s="132">
        <f t="shared" si="14"/>
        <v>0</v>
      </c>
      <c r="K106" s="132">
        <f t="shared" si="14"/>
        <v>0</v>
      </c>
      <c r="L106" s="132">
        <f t="shared" si="14"/>
        <v>0</v>
      </c>
      <c r="M106" s="132">
        <f t="shared" si="14"/>
        <v>0</v>
      </c>
      <c r="N106" s="132">
        <f t="shared" si="14"/>
        <v>0</v>
      </c>
    </row>
    <row r="107" spans="2:14" x14ac:dyDescent="0.2">
      <c r="B107" s="116" t="s">
        <v>491</v>
      </c>
      <c r="C107" s="111" t="s">
        <v>500</v>
      </c>
      <c r="D107" s="112" t="s">
        <v>61</v>
      </c>
      <c r="E107" s="112" t="s">
        <v>22</v>
      </c>
      <c r="F107" s="132">
        <f>CAPEX!M$34</f>
        <v>0</v>
      </c>
      <c r="G107" s="111"/>
      <c r="I107" s="132">
        <f t="shared" si="14"/>
        <v>0</v>
      </c>
      <c r="J107" s="132">
        <f t="shared" si="14"/>
        <v>0</v>
      </c>
      <c r="K107" s="132">
        <f t="shared" si="14"/>
        <v>0</v>
      </c>
      <c r="L107" s="132">
        <f t="shared" si="14"/>
        <v>0</v>
      </c>
      <c r="M107" s="132">
        <f t="shared" si="14"/>
        <v>0</v>
      </c>
      <c r="N107" s="132">
        <f t="shared" si="14"/>
        <v>0</v>
      </c>
    </row>
    <row r="108" spans="2:14" x14ac:dyDescent="0.2">
      <c r="B108" s="116" t="s">
        <v>491</v>
      </c>
      <c r="C108" s="111" t="s">
        <v>501</v>
      </c>
      <c r="D108" s="112" t="s">
        <v>61</v>
      </c>
      <c r="E108" s="112" t="s">
        <v>22</v>
      </c>
      <c r="F108" s="132">
        <f>CAPEX!N$34</f>
        <v>0</v>
      </c>
      <c r="G108" s="111"/>
      <c r="I108" s="132">
        <f t="shared" si="14"/>
        <v>0</v>
      </c>
      <c r="J108" s="132">
        <f t="shared" si="14"/>
        <v>0</v>
      </c>
      <c r="K108" s="132">
        <f t="shared" si="14"/>
        <v>0</v>
      </c>
      <c r="L108" s="132">
        <f t="shared" si="14"/>
        <v>0</v>
      </c>
      <c r="M108" s="132">
        <f t="shared" si="14"/>
        <v>0</v>
      </c>
      <c r="N108" s="132">
        <f t="shared" si="14"/>
        <v>0</v>
      </c>
    </row>
    <row r="109" spans="2:14" x14ac:dyDescent="0.2">
      <c r="B109" s="143"/>
      <c r="C109" s="133" t="s">
        <v>502</v>
      </c>
      <c r="D109" s="134" t="s">
        <v>61</v>
      </c>
      <c r="E109" s="134" t="s">
        <v>22</v>
      </c>
      <c r="F109" s="135">
        <f>+SUM(F102:F108)</f>
        <v>414857.29737539182</v>
      </c>
      <c r="G109" s="111"/>
      <c r="I109" s="135">
        <f t="shared" ref="I109:N109" si="15">+SUM(I102:I108)</f>
        <v>24721.426417979128</v>
      </c>
      <c r="J109" s="135">
        <f t="shared" si="15"/>
        <v>27238.985462445398</v>
      </c>
      <c r="K109" s="135">
        <f t="shared" si="15"/>
        <v>27684.371174069835</v>
      </c>
      <c r="L109" s="135">
        <f t="shared" si="15"/>
        <v>27684.371174069835</v>
      </c>
      <c r="M109" s="135">
        <f t="shared" si="15"/>
        <v>27684.371174069835</v>
      </c>
      <c r="N109" s="135">
        <f t="shared" si="15"/>
        <v>27684.371174069835</v>
      </c>
    </row>
    <row r="110" spans="2:14" x14ac:dyDescent="0.2">
      <c r="B110" s="143"/>
      <c r="C110" s="130"/>
      <c r="D110" s="113"/>
      <c r="E110" s="113"/>
      <c r="F110" s="136"/>
      <c r="G110" s="111"/>
      <c r="I110" s="132"/>
    </row>
    <row r="111" spans="2:14" x14ac:dyDescent="0.2">
      <c r="B111" s="116" t="s">
        <v>176</v>
      </c>
      <c r="C111" s="111" t="s">
        <v>220</v>
      </c>
      <c r="D111" s="112" t="s">
        <v>61</v>
      </c>
      <c r="E111" s="112" t="s">
        <v>22</v>
      </c>
      <c r="F111" s="132">
        <f>CAPEX!H$36</f>
        <v>13001665.242854081</v>
      </c>
      <c r="G111" s="111"/>
      <c r="I111" s="132">
        <f>+IFERROR($F111/I80,0)</f>
        <v>1300166.5242854082</v>
      </c>
      <c r="J111" s="132">
        <f t="shared" ref="J111:N111" si="16">+IFERROR($F111/J80,0)</f>
        <v>1300166.5242854082</v>
      </c>
      <c r="K111" s="132">
        <f t="shared" si="16"/>
        <v>1300166.5242854082</v>
      </c>
      <c r="L111" s="132">
        <f t="shared" si="16"/>
        <v>1300166.5242854082</v>
      </c>
      <c r="M111" s="132">
        <f t="shared" si="16"/>
        <v>1300166.5242854082</v>
      </c>
      <c r="N111" s="132">
        <f t="shared" si="16"/>
        <v>1300166.5242854082</v>
      </c>
    </row>
    <row r="112" spans="2:14" x14ac:dyDescent="0.2">
      <c r="B112" s="116" t="s">
        <v>176</v>
      </c>
      <c r="C112" s="111" t="s">
        <v>221</v>
      </c>
      <c r="D112" s="112" t="s">
        <v>61</v>
      </c>
      <c r="E112" s="112" t="s">
        <v>22</v>
      </c>
      <c r="F112" s="132">
        <f>CAPEX!I$36</f>
        <v>1324052.235977158</v>
      </c>
      <c r="G112" s="111"/>
      <c r="I112" s="132">
        <f t="shared" ref="I112:N117" si="17">+IFERROR($F112/I81,0)</f>
        <v>0</v>
      </c>
      <c r="J112" s="132">
        <f t="shared" si="17"/>
        <v>132405.22359771578</v>
      </c>
      <c r="K112" s="132">
        <f t="shared" si="17"/>
        <v>132405.22359771578</v>
      </c>
      <c r="L112" s="132">
        <f t="shared" si="17"/>
        <v>132405.22359771578</v>
      </c>
      <c r="M112" s="132">
        <f t="shared" si="17"/>
        <v>132405.22359771578</v>
      </c>
      <c r="N112" s="132">
        <f t="shared" si="17"/>
        <v>132405.22359771578</v>
      </c>
    </row>
    <row r="113" spans="2:14" x14ac:dyDescent="0.2">
      <c r="B113" s="116" t="s">
        <v>176</v>
      </c>
      <c r="C113" s="111" t="s">
        <v>222</v>
      </c>
      <c r="D113" s="112" t="s">
        <v>61</v>
      </c>
      <c r="E113" s="112" t="s">
        <v>22</v>
      </c>
      <c r="F113" s="132">
        <f>+CAPEX!J$36</f>
        <v>219925.67523110437</v>
      </c>
      <c r="G113" s="111"/>
      <c r="I113" s="132">
        <f t="shared" si="17"/>
        <v>0</v>
      </c>
      <c r="J113" s="132">
        <f t="shared" si="17"/>
        <v>0</v>
      </c>
      <c r="K113" s="132">
        <f t="shared" si="17"/>
        <v>21992.567523110436</v>
      </c>
      <c r="L113" s="132">
        <f t="shared" si="17"/>
        <v>21992.567523110436</v>
      </c>
      <c r="M113" s="132">
        <f t="shared" si="17"/>
        <v>21992.567523110436</v>
      </c>
      <c r="N113" s="132">
        <f t="shared" si="17"/>
        <v>21992.567523110436</v>
      </c>
    </row>
    <row r="114" spans="2:14" x14ac:dyDescent="0.2">
      <c r="B114" s="116" t="s">
        <v>176</v>
      </c>
      <c r="C114" s="111" t="s">
        <v>223</v>
      </c>
      <c r="D114" s="112" t="s">
        <v>61</v>
      </c>
      <c r="E114" s="112" t="s">
        <v>22</v>
      </c>
      <c r="F114" s="132">
        <f>CAPEX!K$36</f>
        <v>0</v>
      </c>
      <c r="G114" s="111"/>
      <c r="I114" s="132">
        <f t="shared" si="17"/>
        <v>0</v>
      </c>
      <c r="J114" s="132">
        <f t="shared" si="17"/>
        <v>0</v>
      </c>
      <c r="K114" s="132">
        <f t="shared" si="17"/>
        <v>0</v>
      </c>
      <c r="L114" s="132">
        <f t="shared" si="17"/>
        <v>0</v>
      </c>
      <c r="M114" s="132">
        <f t="shared" si="17"/>
        <v>0</v>
      </c>
      <c r="N114" s="132">
        <f t="shared" si="17"/>
        <v>0</v>
      </c>
    </row>
    <row r="115" spans="2:14" x14ac:dyDescent="0.2">
      <c r="B115" s="116" t="s">
        <v>176</v>
      </c>
      <c r="C115" s="111" t="s">
        <v>224</v>
      </c>
      <c r="D115" s="112" t="s">
        <v>61</v>
      </c>
      <c r="E115" s="112" t="s">
        <v>22</v>
      </c>
      <c r="F115" s="132">
        <f>CAPEX!L$36</f>
        <v>0</v>
      </c>
      <c r="G115" s="111"/>
      <c r="I115" s="132">
        <f t="shared" si="17"/>
        <v>0</v>
      </c>
      <c r="J115" s="132">
        <f t="shared" si="17"/>
        <v>0</v>
      </c>
      <c r="K115" s="132">
        <f t="shared" si="17"/>
        <v>0</v>
      </c>
      <c r="L115" s="132">
        <f t="shared" si="17"/>
        <v>0</v>
      </c>
      <c r="M115" s="132">
        <f t="shared" si="17"/>
        <v>0</v>
      </c>
      <c r="N115" s="132">
        <f t="shared" si="17"/>
        <v>0</v>
      </c>
    </row>
    <row r="116" spans="2:14" x14ac:dyDescent="0.2">
      <c r="B116" s="116" t="s">
        <v>176</v>
      </c>
      <c r="C116" s="111" t="s">
        <v>225</v>
      </c>
      <c r="D116" s="112" t="s">
        <v>61</v>
      </c>
      <c r="E116" s="112" t="s">
        <v>22</v>
      </c>
      <c r="F116" s="132">
        <f>CAPEX!M$36</f>
        <v>0</v>
      </c>
      <c r="G116" s="111"/>
      <c r="I116" s="132">
        <f t="shared" si="17"/>
        <v>0</v>
      </c>
      <c r="J116" s="132">
        <f t="shared" si="17"/>
        <v>0</v>
      </c>
      <c r="K116" s="132">
        <f t="shared" si="17"/>
        <v>0</v>
      </c>
      <c r="L116" s="132">
        <f t="shared" si="17"/>
        <v>0</v>
      </c>
      <c r="M116" s="132">
        <f t="shared" si="17"/>
        <v>0</v>
      </c>
      <c r="N116" s="132">
        <f t="shared" si="17"/>
        <v>0</v>
      </c>
    </row>
    <row r="117" spans="2:14" x14ac:dyDescent="0.2">
      <c r="B117" s="116" t="s">
        <v>176</v>
      </c>
      <c r="C117" s="111" t="s">
        <v>226</v>
      </c>
      <c r="D117" s="112" t="s">
        <v>61</v>
      </c>
      <c r="E117" s="112" t="s">
        <v>22</v>
      </c>
      <c r="F117" s="132">
        <f>CAPEX!N$36</f>
        <v>0</v>
      </c>
      <c r="G117" s="111"/>
      <c r="I117" s="132">
        <f t="shared" si="17"/>
        <v>0</v>
      </c>
      <c r="J117" s="132">
        <f t="shared" si="17"/>
        <v>0</v>
      </c>
      <c r="K117" s="132">
        <f t="shared" si="17"/>
        <v>0</v>
      </c>
      <c r="L117" s="132">
        <f t="shared" si="17"/>
        <v>0</v>
      </c>
      <c r="M117" s="132">
        <f t="shared" si="17"/>
        <v>0</v>
      </c>
      <c r="N117" s="132">
        <f t="shared" si="17"/>
        <v>0</v>
      </c>
    </row>
    <row r="118" spans="2:14" x14ac:dyDescent="0.2">
      <c r="B118" s="116"/>
      <c r="C118" s="133" t="s">
        <v>229</v>
      </c>
      <c r="D118" s="134" t="s">
        <v>61</v>
      </c>
      <c r="E118" s="134" t="s">
        <v>22</v>
      </c>
      <c r="F118" s="135">
        <f>+SUM(F111:F117)</f>
        <v>14545643.154062344</v>
      </c>
      <c r="G118" s="111"/>
      <c r="I118" s="135">
        <f t="shared" ref="I118:N118" si="18">+SUM(I111:I117)</f>
        <v>1300166.5242854082</v>
      </c>
      <c r="J118" s="135">
        <f t="shared" si="18"/>
        <v>1432571.747883124</v>
      </c>
      <c r="K118" s="135">
        <f t="shared" si="18"/>
        <v>1454564.3154062345</v>
      </c>
      <c r="L118" s="135">
        <f t="shared" si="18"/>
        <v>1454564.3154062345</v>
      </c>
      <c r="M118" s="135">
        <f t="shared" si="18"/>
        <v>1454564.3154062345</v>
      </c>
      <c r="N118" s="135">
        <f t="shared" si="18"/>
        <v>1454564.3154062345</v>
      </c>
    </row>
    <row r="119" spans="2:14" x14ac:dyDescent="0.2">
      <c r="B119" s="116"/>
      <c r="F119" s="132"/>
      <c r="G119" s="111"/>
      <c r="I119" s="132"/>
      <c r="J119" s="132"/>
      <c r="K119" s="132"/>
      <c r="L119" s="132"/>
      <c r="M119" s="132"/>
      <c r="N119" s="132"/>
    </row>
    <row r="120" spans="2:14" s="130" customFormat="1" x14ac:dyDescent="0.2">
      <c r="B120" s="130" t="s">
        <v>484</v>
      </c>
      <c r="D120" s="113" t="s">
        <v>61</v>
      </c>
      <c r="E120" s="113" t="s">
        <v>22</v>
      </c>
      <c r="I120" s="144">
        <f>+(I100+I109+I118)</f>
        <v>3319892.5057676472</v>
      </c>
      <c r="J120" s="144">
        <f t="shared" ref="J120:N120" si="19">+(J100+J109+J118)</f>
        <v>3671450.3589323545</v>
      </c>
      <c r="K120" s="144">
        <f t="shared" si="19"/>
        <v>3732426.5142843379</v>
      </c>
      <c r="L120" s="144">
        <f t="shared" si="19"/>
        <v>3732426.5142843379</v>
      </c>
      <c r="M120" s="144">
        <f t="shared" si="19"/>
        <v>3732426.5142843379</v>
      </c>
      <c r="N120" s="144">
        <f t="shared" si="19"/>
        <v>3732426.5142843379</v>
      </c>
    </row>
    <row r="121" spans="2:14" x14ac:dyDescent="0.2">
      <c r="F121" s="111"/>
      <c r="G121" s="111"/>
    </row>
    <row r="122" spans="2:14" x14ac:dyDescent="0.2">
      <c r="B122" s="129" t="s">
        <v>6</v>
      </c>
      <c r="F122" s="111"/>
      <c r="G122" s="111"/>
    </row>
    <row r="123" spans="2:14" x14ac:dyDescent="0.2">
      <c r="B123" s="129"/>
      <c r="F123" s="111"/>
      <c r="G123" s="111"/>
    </row>
    <row r="124" spans="2:14" x14ac:dyDescent="0.2">
      <c r="B124" s="116" t="s">
        <v>175</v>
      </c>
      <c r="C124" s="111" t="s">
        <v>213</v>
      </c>
      <c r="D124" s="112" t="s">
        <v>61</v>
      </c>
      <c r="E124" s="112" t="s">
        <v>22</v>
      </c>
      <c r="F124" s="132">
        <f>CAPEX!H$51</f>
        <v>6239114.1320634112</v>
      </c>
      <c r="G124" s="111"/>
      <c r="I124" s="132">
        <f t="shared" ref="I124:N130" si="20">+IFERROR($F124/I62,0)</f>
        <v>387924.19473969401</v>
      </c>
      <c r="J124" s="132">
        <f t="shared" si="20"/>
        <v>387924.19473969401</v>
      </c>
      <c r="K124" s="132">
        <f t="shared" si="20"/>
        <v>387924.19473969401</v>
      </c>
      <c r="L124" s="132">
        <f t="shared" si="20"/>
        <v>387924.19473969401</v>
      </c>
      <c r="M124" s="132">
        <f t="shared" si="20"/>
        <v>387924.19473969401</v>
      </c>
      <c r="N124" s="132">
        <f t="shared" si="20"/>
        <v>387924.19473969401</v>
      </c>
    </row>
    <row r="125" spans="2:14" x14ac:dyDescent="0.2">
      <c r="B125" s="116" t="s">
        <v>175</v>
      </c>
      <c r="C125" s="111" t="s">
        <v>214</v>
      </c>
      <c r="D125" s="112" t="s">
        <v>61</v>
      </c>
      <c r="E125" s="112" t="s">
        <v>22</v>
      </c>
      <c r="F125" s="132">
        <f>CAPEX!I$51</f>
        <v>635373.45892023877</v>
      </c>
      <c r="G125" s="111"/>
      <c r="I125" s="132">
        <f t="shared" si="20"/>
        <v>0</v>
      </c>
      <c r="J125" s="132">
        <f t="shared" si="20"/>
        <v>42124.2072212313</v>
      </c>
      <c r="K125" s="132">
        <f t="shared" si="20"/>
        <v>42124.2072212313</v>
      </c>
      <c r="L125" s="132">
        <f t="shared" si="20"/>
        <v>42124.2072212313</v>
      </c>
      <c r="M125" s="132">
        <f t="shared" si="20"/>
        <v>42124.2072212313</v>
      </c>
      <c r="N125" s="132">
        <f t="shared" si="20"/>
        <v>42124.2072212313</v>
      </c>
    </row>
    <row r="126" spans="2:14" x14ac:dyDescent="0.2">
      <c r="B126" s="116" t="s">
        <v>175</v>
      </c>
      <c r="C126" s="111" t="s">
        <v>215</v>
      </c>
      <c r="D126" s="112" t="s">
        <v>61</v>
      </c>
      <c r="E126" s="112" t="s">
        <v>22</v>
      </c>
      <c r="F126" s="132">
        <f>CAPEX!J$51</f>
        <v>105535.81888997808</v>
      </c>
      <c r="G126" s="111"/>
      <c r="I126" s="132">
        <f t="shared" si="20"/>
        <v>0</v>
      </c>
      <c r="J126" s="132">
        <f t="shared" si="20"/>
        <v>0</v>
      </c>
      <c r="K126" s="132">
        <f t="shared" si="20"/>
        <v>7493.6676134895688</v>
      </c>
      <c r="L126" s="132">
        <f t="shared" si="20"/>
        <v>7493.6676134895688</v>
      </c>
      <c r="M126" s="132">
        <f t="shared" si="20"/>
        <v>7493.6676134895688</v>
      </c>
      <c r="N126" s="132">
        <f t="shared" si="20"/>
        <v>7493.6676134895688</v>
      </c>
    </row>
    <row r="127" spans="2:14" x14ac:dyDescent="0.2">
      <c r="B127" s="116" t="s">
        <v>175</v>
      </c>
      <c r="C127" s="111" t="s">
        <v>216</v>
      </c>
      <c r="D127" s="112" t="s">
        <v>61</v>
      </c>
      <c r="E127" s="112" t="s">
        <v>22</v>
      </c>
      <c r="F127" s="132">
        <f>CAPEX!K$51</f>
        <v>0</v>
      </c>
      <c r="G127" s="111"/>
      <c r="I127" s="132">
        <f t="shared" si="20"/>
        <v>0</v>
      </c>
      <c r="J127" s="132">
        <f t="shared" si="20"/>
        <v>0</v>
      </c>
      <c r="K127" s="132">
        <f t="shared" si="20"/>
        <v>0</v>
      </c>
      <c r="L127" s="132">
        <f t="shared" si="20"/>
        <v>0</v>
      </c>
      <c r="M127" s="132">
        <f t="shared" si="20"/>
        <v>0</v>
      </c>
      <c r="N127" s="132">
        <f t="shared" si="20"/>
        <v>0</v>
      </c>
    </row>
    <row r="128" spans="2:14" x14ac:dyDescent="0.2">
      <c r="B128" s="116" t="s">
        <v>175</v>
      </c>
      <c r="C128" s="111" t="s">
        <v>217</v>
      </c>
      <c r="D128" s="112" t="s">
        <v>61</v>
      </c>
      <c r="E128" s="112" t="s">
        <v>22</v>
      </c>
      <c r="F128" s="132">
        <f>CAPEX!L$51</f>
        <v>0</v>
      </c>
      <c r="G128" s="111"/>
      <c r="I128" s="132">
        <f t="shared" si="20"/>
        <v>0</v>
      </c>
      <c r="J128" s="132">
        <f t="shared" si="20"/>
        <v>0</v>
      </c>
      <c r="K128" s="132">
        <f t="shared" si="20"/>
        <v>0</v>
      </c>
      <c r="L128" s="132">
        <f t="shared" si="20"/>
        <v>0</v>
      </c>
      <c r="M128" s="132">
        <f t="shared" si="20"/>
        <v>0</v>
      </c>
      <c r="N128" s="132">
        <f t="shared" si="20"/>
        <v>0</v>
      </c>
    </row>
    <row r="129" spans="2:14" x14ac:dyDescent="0.2">
      <c r="B129" s="116" t="s">
        <v>175</v>
      </c>
      <c r="C129" s="111" t="s">
        <v>218</v>
      </c>
      <c r="D129" s="112" t="s">
        <v>61</v>
      </c>
      <c r="E129" s="112" t="s">
        <v>22</v>
      </c>
      <c r="F129" s="132">
        <f>CAPEX!M$51</f>
        <v>0</v>
      </c>
      <c r="G129" s="111"/>
      <c r="I129" s="132">
        <f t="shared" si="20"/>
        <v>0</v>
      </c>
      <c r="J129" s="132">
        <f t="shared" si="20"/>
        <v>0</v>
      </c>
      <c r="K129" s="132">
        <f t="shared" si="20"/>
        <v>0</v>
      </c>
      <c r="L129" s="132">
        <f t="shared" si="20"/>
        <v>0</v>
      </c>
      <c r="M129" s="132">
        <f t="shared" si="20"/>
        <v>0</v>
      </c>
      <c r="N129" s="132">
        <f t="shared" si="20"/>
        <v>0</v>
      </c>
    </row>
    <row r="130" spans="2:14" x14ac:dyDescent="0.2">
      <c r="B130" s="116" t="s">
        <v>175</v>
      </c>
      <c r="C130" s="111" t="s">
        <v>219</v>
      </c>
      <c r="D130" s="112" t="s">
        <v>61</v>
      </c>
      <c r="E130" s="112" t="s">
        <v>22</v>
      </c>
      <c r="F130" s="132">
        <f>CAPEX!N$51</f>
        <v>0</v>
      </c>
      <c r="G130" s="111"/>
      <c r="I130" s="132">
        <f t="shared" si="20"/>
        <v>0</v>
      </c>
      <c r="J130" s="132">
        <f t="shared" si="20"/>
        <v>0</v>
      </c>
      <c r="K130" s="132">
        <f t="shared" si="20"/>
        <v>0</v>
      </c>
      <c r="L130" s="132">
        <f t="shared" si="20"/>
        <v>0</v>
      </c>
      <c r="M130" s="132">
        <f t="shared" si="20"/>
        <v>0</v>
      </c>
      <c r="N130" s="132">
        <f t="shared" si="20"/>
        <v>0</v>
      </c>
    </row>
    <row r="131" spans="2:14" s="130" customFormat="1" x14ac:dyDescent="0.2">
      <c r="B131" s="143"/>
      <c r="C131" s="133" t="s">
        <v>228</v>
      </c>
      <c r="D131" s="134" t="s">
        <v>61</v>
      </c>
      <c r="E131" s="134" t="s">
        <v>22</v>
      </c>
      <c r="F131" s="135">
        <f>+SUM(F124:F130)</f>
        <v>6980023.4098736281</v>
      </c>
      <c r="I131" s="135">
        <f t="shared" ref="I131:N131" si="21">+SUM(I124:I130)</f>
        <v>387924.19473969401</v>
      </c>
      <c r="J131" s="135">
        <f t="shared" si="21"/>
        <v>430048.40196092532</v>
      </c>
      <c r="K131" s="135">
        <f t="shared" si="21"/>
        <v>437542.06957441487</v>
      </c>
      <c r="L131" s="135">
        <f t="shared" si="21"/>
        <v>437542.06957441487</v>
      </c>
      <c r="M131" s="135">
        <f t="shared" si="21"/>
        <v>437542.06957441487</v>
      </c>
      <c r="N131" s="135">
        <f t="shared" si="21"/>
        <v>437542.06957441487</v>
      </c>
    </row>
    <row r="132" spans="2:14" s="130" customFormat="1" x14ac:dyDescent="0.2">
      <c r="B132" s="143"/>
      <c r="D132" s="113"/>
      <c r="E132" s="113"/>
      <c r="F132" s="136"/>
      <c r="I132" s="136"/>
      <c r="J132" s="136"/>
      <c r="K132" s="136"/>
      <c r="L132" s="136"/>
      <c r="M132" s="136"/>
      <c r="N132" s="136"/>
    </row>
    <row r="133" spans="2:14" x14ac:dyDescent="0.2">
      <c r="B133" s="116" t="s">
        <v>491</v>
      </c>
      <c r="C133" s="111" t="s">
        <v>495</v>
      </c>
      <c r="D133" s="112" t="s">
        <v>61</v>
      </c>
      <c r="E133" s="112" t="s">
        <v>22</v>
      </c>
      <c r="F133" s="132">
        <f>CAPEX!H$53</f>
        <v>370821.39626968693</v>
      </c>
      <c r="G133" s="111"/>
      <c r="I133" s="132">
        <f>+IFERROR($F133/I71,0)</f>
        <v>24721.426417979128</v>
      </c>
      <c r="J133" s="132">
        <f t="shared" ref="J133:N133" si="22">+IFERROR($F133/J71,0)</f>
        <v>24721.426417979128</v>
      </c>
      <c r="K133" s="132">
        <f t="shared" si="22"/>
        <v>24721.426417979128</v>
      </c>
      <c r="L133" s="132">
        <f t="shared" si="22"/>
        <v>24721.426417979128</v>
      </c>
      <c r="M133" s="132">
        <f t="shared" si="22"/>
        <v>24721.426417979128</v>
      </c>
      <c r="N133" s="132">
        <f t="shared" si="22"/>
        <v>24721.426417979128</v>
      </c>
    </row>
    <row r="134" spans="2:14" x14ac:dyDescent="0.2">
      <c r="B134" s="116" t="s">
        <v>491</v>
      </c>
      <c r="C134" s="111" t="s">
        <v>496</v>
      </c>
      <c r="D134" s="112" t="s">
        <v>61</v>
      </c>
      <c r="E134" s="112" t="s">
        <v>22</v>
      </c>
      <c r="F134" s="132">
        <f>CAPEX!I$53</f>
        <v>37763.385666994065</v>
      </c>
      <c r="G134" s="111"/>
      <c r="I134" s="132">
        <f t="shared" ref="I134:N139" si="23">+IFERROR($F134/I72,0)</f>
        <v>0</v>
      </c>
      <c r="J134" s="132">
        <f t="shared" si="23"/>
        <v>2517.5590444662712</v>
      </c>
      <c r="K134" s="132">
        <f t="shared" si="23"/>
        <v>2517.5590444662712</v>
      </c>
      <c r="L134" s="132">
        <f t="shared" si="23"/>
        <v>2517.5590444662712</v>
      </c>
      <c r="M134" s="132">
        <f t="shared" si="23"/>
        <v>2517.5590444662712</v>
      </c>
      <c r="N134" s="132">
        <f t="shared" si="23"/>
        <v>2517.5590444662712</v>
      </c>
    </row>
    <row r="135" spans="2:14" x14ac:dyDescent="0.2">
      <c r="B135" s="116" t="s">
        <v>491</v>
      </c>
      <c r="C135" s="111" t="s">
        <v>497</v>
      </c>
      <c r="D135" s="112" t="s">
        <v>61</v>
      </c>
      <c r="E135" s="112" t="s">
        <v>22</v>
      </c>
      <c r="F135" s="132">
        <f>CAPEX!J$53</f>
        <v>6272.5154387108005</v>
      </c>
      <c r="G135" s="111"/>
      <c r="I135" s="132">
        <f t="shared" si="23"/>
        <v>0</v>
      </c>
      <c r="J135" s="132">
        <f t="shared" si="23"/>
        <v>0</v>
      </c>
      <c r="K135" s="132">
        <f t="shared" si="23"/>
        <v>445.38571162443554</v>
      </c>
      <c r="L135" s="132">
        <f t="shared" si="23"/>
        <v>445.38571162443554</v>
      </c>
      <c r="M135" s="132">
        <f t="shared" si="23"/>
        <v>445.38571162443554</v>
      </c>
      <c r="N135" s="132">
        <f t="shared" si="23"/>
        <v>445.38571162443554</v>
      </c>
    </row>
    <row r="136" spans="2:14" x14ac:dyDescent="0.2">
      <c r="B136" s="116" t="s">
        <v>491</v>
      </c>
      <c r="C136" s="111" t="s">
        <v>498</v>
      </c>
      <c r="D136" s="112" t="s">
        <v>61</v>
      </c>
      <c r="E136" s="112" t="s">
        <v>22</v>
      </c>
      <c r="F136" s="132">
        <f>CAPEX!K$53</f>
        <v>0</v>
      </c>
      <c r="G136" s="111"/>
      <c r="I136" s="132">
        <f t="shared" si="23"/>
        <v>0</v>
      </c>
      <c r="J136" s="132">
        <f t="shared" si="23"/>
        <v>0</v>
      </c>
      <c r="K136" s="132">
        <f t="shared" si="23"/>
        <v>0</v>
      </c>
      <c r="L136" s="132">
        <f t="shared" si="23"/>
        <v>0</v>
      </c>
      <c r="M136" s="132">
        <f t="shared" si="23"/>
        <v>0</v>
      </c>
      <c r="N136" s="132">
        <f>+IFERROR($F136/N74,0)</f>
        <v>0</v>
      </c>
    </row>
    <row r="137" spans="2:14" x14ac:dyDescent="0.2">
      <c r="B137" s="116" t="s">
        <v>491</v>
      </c>
      <c r="C137" s="111" t="s">
        <v>499</v>
      </c>
      <c r="D137" s="112" t="s">
        <v>61</v>
      </c>
      <c r="E137" s="112" t="s">
        <v>22</v>
      </c>
      <c r="F137" s="132">
        <f>CAPEX!L$53</f>
        <v>0</v>
      </c>
      <c r="G137" s="111"/>
      <c r="I137" s="132">
        <f t="shared" si="23"/>
        <v>0</v>
      </c>
      <c r="J137" s="132">
        <f t="shared" si="23"/>
        <v>0</v>
      </c>
      <c r="K137" s="132">
        <f t="shared" si="23"/>
        <v>0</v>
      </c>
      <c r="L137" s="132">
        <f t="shared" si="23"/>
        <v>0</v>
      </c>
      <c r="M137" s="132">
        <f t="shared" si="23"/>
        <v>0</v>
      </c>
      <c r="N137" s="132">
        <f t="shared" si="23"/>
        <v>0</v>
      </c>
    </row>
    <row r="138" spans="2:14" x14ac:dyDescent="0.2">
      <c r="B138" s="116" t="s">
        <v>491</v>
      </c>
      <c r="C138" s="111" t="s">
        <v>500</v>
      </c>
      <c r="D138" s="112" t="s">
        <v>61</v>
      </c>
      <c r="E138" s="112" t="s">
        <v>22</v>
      </c>
      <c r="F138" s="132">
        <f>CAPEX!M$53</f>
        <v>0</v>
      </c>
      <c r="G138" s="111"/>
      <c r="I138" s="132">
        <f t="shared" si="23"/>
        <v>0</v>
      </c>
      <c r="J138" s="132">
        <f t="shared" si="23"/>
        <v>0</v>
      </c>
      <c r="K138" s="132">
        <f t="shared" si="23"/>
        <v>0</v>
      </c>
      <c r="L138" s="132">
        <f t="shared" si="23"/>
        <v>0</v>
      </c>
      <c r="M138" s="132">
        <f t="shared" si="23"/>
        <v>0</v>
      </c>
      <c r="N138" s="132">
        <f t="shared" si="23"/>
        <v>0</v>
      </c>
    </row>
    <row r="139" spans="2:14" x14ac:dyDescent="0.2">
      <c r="B139" s="116" t="s">
        <v>491</v>
      </c>
      <c r="C139" s="111" t="s">
        <v>501</v>
      </c>
      <c r="D139" s="112" t="s">
        <v>61</v>
      </c>
      <c r="E139" s="112" t="s">
        <v>22</v>
      </c>
      <c r="F139" s="132">
        <f>CAPEX!N$53</f>
        <v>0</v>
      </c>
      <c r="G139" s="111"/>
      <c r="I139" s="132">
        <f t="shared" si="23"/>
        <v>0</v>
      </c>
      <c r="J139" s="132">
        <f t="shared" si="23"/>
        <v>0</v>
      </c>
      <c r="K139" s="132">
        <f t="shared" si="23"/>
        <v>0</v>
      </c>
      <c r="L139" s="132">
        <f t="shared" si="23"/>
        <v>0</v>
      </c>
      <c r="M139" s="132">
        <f t="shared" si="23"/>
        <v>0</v>
      </c>
      <c r="N139" s="132">
        <f t="shared" si="23"/>
        <v>0</v>
      </c>
    </row>
    <row r="140" spans="2:14" x14ac:dyDescent="0.2">
      <c r="B140" s="143"/>
      <c r="C140" s="133" t="s">
        <v>502</v>
      </c>
      <c r="D140" s="134" t="s">
        <v>61</v>
      </c>
      <c r="E140" s="134" t="s">
        <v>22</v>
      </c>
      <c r="F140" s="135">
        <f>+SUM(F133:F139)</f>
        <v>414857.29737539182</v>
      </c>
      <c r="G140" s="111"/>
      <c r="I140" s="135">
        <f t="shared" ref="I140:N140" si="24">+SUM(I133:I139)</f>
        <v>24721.426417979128</v>
      </c>
      <c r="J140" s="135">
        <f t="shared" si="24"/>
        <v>27238.985462445398</v>
      </c>
      <c r="K140" s="135">
        <f t="shared" si="24"/>
        <v>27684.371174069835</v>
      </c>
      <c r="L140" s="135">
        <f t="shared" si="24"/>
        <v>27684.371174069835</v>
      </c>
      <c r="M140" s="135">
        <f t="shared" si="24"/>
        <v>27684.371174069835</v>
      </c>
      <c r="N140" s="135">
        <f t="shared" si="24"/>
        <v>27684.371174069835</v>
      </c>
    </row>
    <row r="141" spans="2:14" x14ac:dyDescent="0.2">
      <c r="B141" s="143"/>
      <c r="C141" s="130"/>
      <c r="D141" s="113"/>
      <c r="E141" s="113"/>
      <c r="F141" s="136"/>
      <c r="G141" s="111"/>
      <c r="I141" s="132"/>
    </row>
    <row r="142" spans="2:14" s="130" customFormat="1" x14ac:dyDescent="0.2">
      <c r="B142" s="116" t="s">
        <v>176</v>
      </c>
      <c r="C142" s="111" t="s">
        <v>220</v>
      </c>
      <c r="D142" s="112" t="s">
        <v>61</v>
      </c>
      <c r="E142" s="112" t="s">
        <v>22</v>
      </c>
      <c r="F142" s="132">
        <f>+H$55</f>
        <v>1229614.6893350051</v>
      </c>
      <c r="I142" s="132">
        <f t="shared" ref="I142:N145" si="25">+IFERROR($F142/I80,0)</f>
        <v>122961.46893350051</v>
      </c>
      <c r="J142" s="132">
        <f t="shared" si="25"/>
        <v>122961.46893350051</v>
      </c>
      <c r="K142" s="132">
        <f t="shared" si="25"/>
        <v>122961.46893350051</v>
      </c>
      <c r="L142" s="132">
        <f t="shared" si="25"/>
        <v>122961.46893350051</v>
      </c>
      <c r="M142" s="132">
        <f t="shared" si="25"/>
        <v>122961.46893350051</v>
      </c>
      <c r="N142" s="132">
        <f t="shared" si="25"/>
        <v>122961.46893350051</v>
      </c>
    </row>
    <row r="143" spans="2:14" s="130" customFormat="1" x14ac:dyDescent="0.2">
      <c r="B143" s="116" t="s">
        <v>176</v>
      </c>
      <c r="C143" s="111" t="s">
        <v>221</v>
      </c>
      <c r="D143" s="112" t="s">
        <v>61</v>
      </c>
      <c r="E143" s="112" t="s">
        <v>22</v>
      </c>
      <c r="F143" s="132">
        <f>+I$55</f>
        <v>125220.42741403352</v>
      </c>
      <c r="I143" s="132">
        <f t="shared" si="25"/>
        <v>0</v>
      </c>
      <c r="J143" s="132">
        <f t="shared" si="25"/>
        <v>12522.042741403351</v>
      </c>
      <c r="K143" s="132">
        <f t="shared" si="25"/>
        <v>12522.042741403351</v>
      </c>
      <c r="L143" s="132">
        <f t="shared" si="25"/>
        <v>12522.042741403351</v>
      </c>
      <c r="M143" s="132">
        <f t="shared" si="25"/>
        <v>12522.042741403351</v>
      </c>
      <c r="N143" s="132">
        <f t="shared" si="25"/>
        <v>12522.042741403351</v>
      </c>
    </row>
    <row r="144" spans="2:14" s="130" customFormat="1" x14ac:dyDescent="0.2">
      <c r="B144" s="116" t="s">
        <v>176</v>
      </c>
      <c r="C144" s="111" t="s">
        <v>222</v>
      </c>
      <c r="D144" s="112" t="s">
        <v>61</v>
      </c>
      <c r="E144" s="112" t="s">
        <v>22</v>
      </c>
      <c r="F144" s="132">
        <f>+J$55</f>
        <v>20799.169627499432</v>
      </c>
      <c r="I144" s="132">
        <f t="shared" si="25"/>
        <v>0</v>
      </c>
      <c r="J144" s="132">
        <f t="shared" si="25"/>
        <v>0</v>
      </c>
      <c r="K144" s="132">
        <f t="shared" si="25"/>
        <v>2079.9169627499432</v>
      </c>
      <c r="L144" s="132">
        <f t="shared" si="25"/>
        <v>2079.9169627499432</v>
      </c>
      <c r="M144" s="132">
        <f t="shared" si="25"/>
        <v>2079.9169627499432</v>
      </c>
      <c r="N144" s="132">
        <f t="shared" si="25"/>
        <v>2079.9169627499432</v>
      </c>
    </row>
    <row r="145" spans="2:14" s="130" customFormat="1" x14ac:dyDescent="0.2">
      <c r="B145" s="116" t="s">
        <v>176</v>
      </c>
      <c r="C145" s="111" t="s">
        <v>223</v>
      </c>
      <c r="D145" s="112" t="s">
        <v>61</v>
      </c>
      <c r="E145" s="112" t="s">
        <v>22</v>
      </c>
      <c r="F145" s="132">
        <f>+K$55</f>
        <v>0</v>
      </c>
      <c r="I145" s="132">
        <f t="shared" si="25"/>
        <v>0</v>
      </c>
      <c r="J145" s="132">
        <f t="shared" si="25"/>
        <v>0</v>
      </c>
      <c r="K145" s="132">
        <f t="shared" si="25"/>
        <v>0</v>
      </c>
      <c r="L145" s="132">
        <f t="shared" si="25"/>
        <v>0</v>
      </c>
      <c r="M145" s="132">
        <f t="shared" si="25"/>
        <v>0</v>
      </c>
      <c r="N145" s="132">
        <f t="shared" si="25"/>
        <v>0</v>
      </c>
    </row>
    <row r="146" spans="2:14" s="130" customFormat="1" x14ac:dyDescent="0.2">
      <c r="B146" s="116" t="s">
        <v>176</v>
      </c>
      <c r="C146" s="111" t="s">
        <v>224</v>
      </c>
      <c r="D146" s="112" t="s">
        <v>61</v>
      </c>
      <c r="E146" s="112" t="s">
        <v>22</v>
      </c>
      <c r="F146" s="132">
        <f>+L$55</f>
        <v>0</v>
      </c>
      <c r="I146" s="132">
        <f>+IFERROR($F146/#REF!,0)</f>
        <v>0</v>
      </c>
      <c r="J146" s="132">
        <f>+IFERROR($F146/#REF!,0)</f>
        <v>0</v>
      </c>
      <c r="K146" s="132">
        <f>+IFERROR($F146/#REF!,0)</f>
        <v>0</v>
      </c>
      <c r="L146" s="132">
        <f>+IFERROR($F146/#REF!,0)</f>
        <v>0</v>
      </c>
      <c r="M146" s="132">
        <f>+IFERROR($F146/#REF!,0)</f>
        <v>0</v>
      </c>
      <c r="N146" s="132">
        <f>+IFERROR($F146/#REF!,0)</f>
        <v>0</v>
      </c>
    </row>
    <row r="147" spans="2:14" s="130" customFormat="1" x14ac:dyDescent="0.2">
      <c r="B147" s="116" t="s">
        <v>176</v>
      </c>
      <c r="C147" s="111" t="s">
        <v>225</v>
      </c>
      <c r="D147" s="112" t="s">
        <v>61</v>
      </c>
      <c r="E147" s="112" t="s">
        <v>22</v>
      </c>
      <c r="F147" s="132">
        <f>+M$55</f>
        <v>0</v>
      </c>
      <c r="I147" s="132">
        <f>+IFERROR($F147/#REF!,0)</f>
        <v>0</v>
      </c>
      <c r="J147" s="132">
        <f>+IFERROR($F147/#REF!,0)</f>
        <v>0</v>
      </c>
      <c r="K147" s="132">
        <f>+IFERROR($F147/#REF!,0)</f>
        <v>0</v>
      </c>
      <c r="L147" s="132">
        <f>+IFERROR($F147/#REF!,0)</f>
        <v>0</v>
      </c>
      <c r="M147" s="132">
        <f>+IFERROR($F147/#REF!,0)</f>
        <v>0</v>
      </c>
      <c r="N147" s="132">
        <f>+IFERROR($F147/#REF!,0)</f>
        <v>0</v>
      </c>
    </row>
    <row r="148" spans="2:14" s="130" customFormat="1" x14ac:dyDescent="0.2">
      <c r="B148" s="116" t="s">
        <v>176</v>
      </c>
      <c r="C148" s="111" t="s">
        <v>226</v>
      </c>
      <c r="D148" s="112" t="s">
        <v>61</v>
      </c>
      <c r="E148" s="112" t="s">
        <v>22</v>
      </c>
      <c r="F148" s="132">
        <f>+N$55</f>
        <v>0</v>
      </c>
      <c r="I148" s="132">
        <f>+IFERROR($F148/#REF!,0)</f>
        <v>0</v>
      </c>
      <c r="J148" s="132">
        <f>+IFERROR($F148/#REF!,0)</f>
        <v>0</v>
      </c>
      <c r="K148" s="132">
        <f>+IFERROR($F148/#REF!,0)</f>
        <v>0</v>
      </c>
      <c r="L148" s="132">
        <f>+IFERROR($F148/#REF!,0)</f>
        <v>0</v>
      </c>
      <c r="M148" s="132">
        <f>+IFERROR($F148/#REF!,0)</f>
        <v>0</v>
      </c>
      <c r="N148" s="132">
        <f>+IFERROR($F148/#REF!,0)</f>
        <v>0</v>
      </c>
    </row>
    <row r="149" spans="2:14" s="130" customFormat="1" x14ac:dyDescent="0.2">
      <c r="B149" s="116"/>
      <c r="C149" s="133" t="s">
        <v>229</v>
      </c>
      <c r="D149" s="134" t="s">
        <v>61</v>
      </c>
      <c r="E149" s="134" t="s">
        <v>22</v>
      </c>
      <c r="F149" s="135">
        <f>+SUM(F142:F148)</f>
        <v>1375634.2863765382</v>
      </c>
      <c r="I149" s="135">
        <f t="shared" ref="I149:N149" si="26">+SUM(I142:I148)</f>
        <v>122961.46893350051</v>
      </c>
      <c r="J149" s="135">
        <f t="shared" si="26"/>
        <v>135483.51167490386</v>
      </c>
      <c r="K149" s="135">
        <f t="shared" si="26"/>
        <v>137563.42863765379</v>
      </c>
      <c r="L149" s="135">
        <f t="shared" si="26"/>
        <v>137563.42863765379</v>
      </c>
      <c r="M149" s="135">
        <f t="shared" si="26"/>
        <v>137563.42863765379</v>
      </c>
      <c r="N149" s="135">
        <f t="shared" si="26"/>
        <v>137563.42863765379</v>
      </c>
    </row>
    <row r="150" spans="2:14" s="130" customFormat="1" x14ac:dyDescent="0.2">
      <c r="B150" s="143"/>
      <c r="D150" s="113"/>
      <c r="E150" s="113"/>
      <c r="F150" s="136"/>
      <c r="I150" s="136"/>
      <c r="J150" s="136"/>
      <c r="K150" s="136"/>
      <c r="L150" s="136"/>
      <c r="M150" s="136"/>
      <c r="N150" s="136"/>
    </row>
    <row r="151" spans="2:14" s="130" customFormat="1" x14ac:dyDescent="0.2">
      <c r="B151" s="130" t="s">
        <v>484</v>
      </c>
      <c r="D151" s="113" t="s">
        <v>61</v>
      </c>
      <c r="E151" s="113" t="s">
        <v>22</v>
      </c>
      <c r="I151" s="144">
        <f>+SUM(I131,I140,I149)</f>
        <v>535607.09009117365</v>
      </c>
      <c r="J151" s="144">
        <f t="shared" ref="J151:N151" si="27">+SUM(J131,J140,J149)</f>
        <v>592770.89909827453</v>
      </c>
      <c r="K151" s="144">
        <f t="shared" si="27"/>
        <v>602789.86938613851</v>
      </c>
      <c r="L151" s="144">
        <f t="shared" si="27"/>
        <v>602789.86938613851</v>
      </c>
      <c r="M151" s="144">
        <f t="shared" si="27"/>
        <v>602789.86938613851</v>
      </c>
      <c r="N151" s="144">
        <f t="shared" si="27"/>
        <v>602789.86938613851</v>
      </c>
    </row>
    <row r="152" spans="2:14" x14ac:dyDescent="0.2">
      <c r="F152" s="111"/>
      <c r="G152" s="111"/>
    </row>
    <row r="153" spans="2:14" x14ac:dyDescent="0.2">
      <c r="B153" s="125" t="s">
        <v>89</v>
      </c>
      <c r="C153" s="125"/>
      <c r="D153" s="126"/>
      <c r="E153" s="126"/>
      <c r="F153" s="125"/>
      <c r="G153" s="127"/>
      <c r="H153" s="125"/>
      <c r="I153" s="125"/>
      <c r="J153" s="125"/>
      <c r="K153" s="125"/>
      <c r="L153" s="125"/>
      <c r="M153" s="125"/>
      <c r="N153" s="125"/>
    </row>
    <row r="154" spans="2:14" x14ac:dyDescent="0.2">
      <c r="F154" s="111"/>
      <c r="G154" s="111"/>
    </row>
    <row r="155" spans="2:14" x14ac:dyDescent="0.2">
      <c r="B155" s="111" t="s">
        <v>231</v>
      </c>
      <c r="D155" s="112" t="s">
        <v>61</v>
      </c>
      <c r="E155" s="112" t="s">
        <v>22</v>
      </c>
      <c r="F155" s="111"/>
      <c r="G155" s="111"/>
      <c r="H155" s="145"/>
      <c r="I155" s="142">
        <f t="shared" ref="I155:N155" si="28">+IF($F$13=I2,1,0)</f>
        <v>0</v>
      </c>
      <c r="J155" s="142">
        <f t="shared" si="28"/>
        <v>0</v>
      </c>
      <c r="K155" s="142">
        <f t="shared" si="28"/>
        <v>0</v>
      </c>
      <c r="L155" s="142">
        <f t="shared" si="28"/>
        <v>0</v>
      </c>
      <c r="M155" s="142">
        <f t="shared" si="28"/>
        <v>0</v>
      </c>
      <c r="N155" s="142">
        <f t="shared" si="28"/>
        <v>1</v>
      </c>
    </row>
    <row r="156" spans="2:14" x14ac:dyDescent="0.2">
      <c r="F156" s="111"/>
      <c r="G156" s="111"/>
    </row>
    <row r="157" spans="2:14" x14ac:dyDescent="0.2">
      <c r="B157" s="129" t="s">
        <v>5</v>
      </c>
      <c r="F157" s="111"/>
      <c r="G157" s="111"/>
    </row>
    <row r="158" spans="2:14" x14ac:dyDescent="0.2">
      <c r="B158" s="129"/>
      <c r="F158" s="111"/>
      <c r="G158" s="111"/>
    </row>
    <row r="159" spans="2:14" x14ac:dyDescent="0.2">
      <c r="B159" s="111" t="s">
        <v>232</v>
      </c>
      <c r="D159" s="112" t="s">
        <v>61</v>
      </c>
      <c r="E159" s="112" t="s">
        <v>22</v>
      </c>
      <c r="F159" s="111"/>
      <c r="G159" s="111"/>
      <c r="H159" s="132">
        <f t="shared" ref="H159:N159" si="29">+H29</f>
        <v>45458809.899740621</v>
      </c>
      <c r="I159" s="132">
        <f t="shared" si="29"/>
        <v>4629394.6020255666</v>
      </c>
      <c r="J159" s="132">
        <f t="shared" si="29"/>
        <v>768944.53715439897</v>
      </c>
      <c r="K159" s="132">
        <f t="shared" si="29"/>
        <v>0</v>
      </c>
      <c r="L159" s="132">
        <f t="shared" si="29"/>
        <v>0</v>
      </c>
      <c r="M159" s="132">
        <f t="shared" si="29"/>
        <v>0</v>
      </c>
      <c r="N159" s="132">
        <f t="shared" si="29"/>
        <v>0</v>
      </c>
    </row>
    <row r="160" spans="2:14" x14ac:dyDescent="0.2">
      <c r="B160" s="111" t="s">
        <v>233</v>
      </c>
      <c r="D160" s="112" t="s">
        <v>61</v>
      </c>
      <c r="E160" s="112" t="s">
        <v>22</v>
      </c>
      <c r="F160" s="111"/>
      <c r="G160" s="111"/>
      <c r="H160" s="132">
        <f>+SUM($H159:H159)</f>
        <v>45458809.899740621</v>
      </c>
      <c r="I160" s="132">
        <f>+SUM($H159:I159)</f>
        <v>50088204.50176619</v>
      </c>
      <c r="J160" s="132">
        <f>+SUM($H159:J159)</f>
        <v>50857149.038920589</v>
      </c>
      <c r="K160" s="132">
        <f>+SUM($H159:K159)</f>
        <v>50857149.038920589</v>
      </c>
      <c r="L160" s="132">
        <f>+SUM($H159:L159)</f>
        <v>50857149.038920589</v>
      </c>
      <c r="M160" s="132">
        <f>+SUM($H159:M159)</f>
        <v>50857149.038920589</v>
      </c>
      <c r="N160" s="132">
        <f>+SUM($H159:N159)</f>
        <v>50857149.038920589</v>
      </c>
    </row>
    <row r="161" spans="2:14" x14ac:dyDescent="0.2">
      <c r="F161" s="111"/>
      <c r="G161" s="111"/>
      <c r="H161" s="132"/>
      <c r="I161" s="132"/>
      <c r="J161" s="132"/>
      <c r="K161" s="132"/>
      <c r="L161" s="132"/>
      <c r="M161" s="132"/>
      <c r="N161" s="132"/>
    </row>
    <row r="162" spans="2:14" x14ac:dyDescent="0.2">
      <c r="B162" s="111" t="s">
        <v>234</v>
      </c>
      <c r="D162" s="112" t="s">
        <v>61</v>
      </c>
      <c r="E162" s="112" t="s">
        <v>22</v>
      </c>
      <c r="F162" s="111"/>
      <c r="G162" s="111"/>
      <c r="I162" s="132">
        <f>+I120</f>
        <v>3319892.5057676472</v>
      </c>
      <c r="J162" s="132">
        <f t="shared" ref="J162:N162" si="30">+J120</f>
        <v>3671450.3589323545</v>
      </c>
      <c r="K162" s="132">
        <f t="shared" si="30"/>
        <v>3732426.5142843379</v>
      </c>
      <c r="L162" s="132">
        <f t="shared" si="30"/>
        <v>3732426.5142843379</v>
      </c>
      <c r="M162" s="132">
        <f t="shared" si="30"/>
        <v>3732426.5142843379</v>
      </c>
      <c r="N162" s="132">
        <f t="shared" si="30"/>
        <v>3732426.5142843379</v>
      </c>
    </row>
    <row r="163" spans="2:14" x14ac:dyDescent="0.2">
      <c r="B163" s="111" t="s">
        <v>235</v>
      </c>
      <c r="D163" s="112" t="s">
        <v>61</v>
      </c>
      <c r="E163" s="112" t="s">
        <v>22</v>
      </c>
      <c r="F163" s="111"/>
      <c r="G163" s="111"/>
      <c r="I163" s="132">
        <f>+SUM($I162:I162)</f>
        <v>3319892.5057676472</v>
      </c>
      <c r="J163" s="132">
        <f>+SUM($I162:J162)</f>
        <v>6991342.8647000017</v>
      </c>
      <c r="K163" s="132">
        <f>+SUM($I162:K162)</f>
        <v>10723769.37898434</v>
      </c>
      <c r="L163" s="132">
        <f>+SUM($I162:L162)</f>
        <v>14456195.893268678</v>
      </c>
      <c r="M163" s="132">
        <f>+SUM($I162:M162)</f>
        <v>18188622.407553017</v>
      </c>
      <c r="N163" s="132">
        <f>+SUM($I162:N162)</f>
        <v>21921048.921837356</v>
      </c>
    </row>
    <row r="164" spans="2:14" x14ac:dyDescent="0.2">
      <c r="F164" s="111"/>
      <c r="G164" s="111"/>
    </row>
    <row r="165" spans="2:14" s="130" customFormat="1" x14ac:dyDescent="0.2">
      <c r="B165" s="130" t="s">
        <v>89</v>
      </c>
      <c r="D165" s="113" t="s">
        <v>61</v>
      </c>
      <c r="E165" s="113" t="s">
        <v>22</v>
      </c>
      <c r="H165" s="136">
        <f t="shared" ref="H165:N165" si="31">+(H160-H163)*H155</f>
        <v>0</v>
      </c>
      <c r="I165" s="136">
        <f t="shared" si="31"/>
        <v>0</v>
      </c>
      <c r="J165" s="136">
        <f t="shared" si="31"/>
        <v>0</v>
      </c>
      <c r="K165" s="136">
        <f t="shared" si="31"/>
        <v>0</v>
      </c>
      <c r="L165" s="136">
        <f t="shared" si="31"/>
        <v>0</v>
      </c>
      <c r="M165" s="136">
        <f t="shared" si="31"/>
        <v>0</v>
      </c>
      <c r="N165" s="136">
        <f t="shared" si="31"/>
        <v>28936100.117083233</v>
      </c>
    </row>
    <row r="166" spans="2:14" x14ac:dyDescent="0.2">
      <c r="F166" s="111"/>
      <c r="G166" s="111"/>
    </row>
    <row r="167" spans="2:14" x14ac:dyDescent="0.2">
      <c r="B167" s="129" t="s">
        <v>6</v>
      </c>
      <c r="F167" s="111"/>
      <c r="G167" s="111"/>
      <c r="N167" s="132"/>
    </row>
    <row r="168" spans="2:14" x14ac:dyDescent="0.2">
      <c r="F168" s="111"/>
      <c r="G168" s="111"/>
    </row>
    <row r="169" spans="2:14" x14ac:dyDescent="0.2">
      <c r="B169" s="111" t="s">
        <v>232</v>
      </c>
      <c r="D169" s="112" t="s">
        <v>61</v>
      </c>
      <c r="E169" s="112" t="s">
        <v>22</v>
      </c>
      <c r="F169" s="111"/>
      <c r="G169" s="111"/>
      <c r="H169" s="132">
        <f t="shared" ref="H169:N169" si="32">+H49</f>
        <v>7839550.2176681031</v>
      </c>
      <c r="I169" s="132">
        <f t="shared" si="32"/>
        <v>798357.27200126625</v>
      </c>
      <c r="J169" s="132">
        <f t="shared" si="32"/>
        <v>132607.5039561883</v>
      </c>
      <c r="K169" s="132">
        <f t="shared" si="32"/>
        <v>0</v>
      </c>
      <c r="L169" s="132">
        <f t="shared" si="32"/>
        <v>0</v>
      </c>
      <c r="M169" s="132">
        <f t="shared" si="32"/>
        <v>0</v>
      </c>
      <c r="N169" s="132">
        <f t="shared" si="32"/>
        <v>0</v>
      </c>
    </row>
    <row r="170" spans="2:14" x14ac:dyDescent="0.2">
      <c r="B170" s="111" t="s">
        <v>233</v>
      </c>
      <c r="D170" s="112" t="s">
        <v>61</v>
      </c>
      <c r="E170" s="112" t="s">
        <v>22</v>
      </c>
      <c r="F170" s="111"/>
      <c r="G170" s="111"/>
      <c r="H170" s="132">
        <f>+SUM($H169:H169)</f>
        <v>7839550.2176681031</v>
      </c>
      <c r="I170" s="132">
        <f>+SUM($H169:I169)</f>
        <v>8637907.4896693695</v>
      </c>
      <c r="J170" s="132">
        <f>+SUM($H169:J169)</f>
        <v>8770514.9936255571</v>
      </c>
      <c r="K170" s="132">
        <f>+SUM($H169:K169)</f>
        <v>8770514.9936255571</v>
      </c>
      <c r="L170" s="132">
        <f>+SUM($H169:L169)</f>
        <v>8770514.9936255571</v>
      </c>
      <c r="M170" s="132">
        <f>+SUM($H169:M169)</f>
        <v>8770514.9936255571</v>
      </c>
      <c r="N170" s="132">
        <f>+SUM($H169:N169)</f>
        <v>8770514.9936255571</v>
      </c>
    </row>
    <row r="171" spans="2:14" x14ac:dyDescent="0.2">
      <c r="F171" s="111"/>
      <c r="G171" s="111"/>
    </row>
    <row r="172" spans="2:14" x14ac:dyDescent="0.2">
      <c r="B172" s="111" t="s">
        <v>234</v>
      </c>
      <c r="D172" s="112" t="s">
        <v>61</v>
      </c>
      <c r="E172" s="112" t="s">
        <v>22</v>
      </c>
      <c r="F172" s="111"/>
      <c r="G172" s="111"/>
      <c r="I172" s="132">
        <f t="shared" ref="I172:N172" si="33">+I151</f>
        <v>535607.09009117365</v>
      </c>
      <c r="J172" s="132">
        <f>+J151</f>
        <v>592770.89909827453</v>
      </c>
      <c r="K172" s="132">
        <f t="shared" si="33"/>
        <v>602789.86938613851</v>
      </c>
      <c r="L172" s="132">
        <f t="shared" si="33"/>
        <v>602789.86938613851</v>
      </c>
      <c r="M172" s="132">
        <f t="shared" si="33"/>
        <v>602789.86938613851</v>
      </c>
      <c r="N172" s="132">
        <f t="shared" si="33"/>
        <v>602789.86938613851</v>
      </c>
    </row>
    <row r="173" spans="2:14" x14ac:dyDescent="0.2">
      <c r="B173" s="111" t="s">
        <v>235</v>
      </c>
      <c r="D173" s="112" t="s">
        <v>61</v>
      </c>
      <c r="E173" s="112" t="s">
        <v>22</v>
      </c>
      <c r="F173" s="111"/>
      <c r="G173" s="111"/>
      <c r="I173" s="132">
        <f>+SUM($I172:I172)</f>
        <v>535607.09009117365</v>
      </c>
      <c r="J173" s="132">
        <f>+SUM($I172:J172)</f>
        <v>1128377.9891894483</v>
      </c>
      <c r="K173" s="132">
        <f>+SUM($I172:K172)</f>
        <v>1731167.8585755867</v>
      </c>
      <c r="L173" s="132">
        <f>+SUM($I172:L172)</f>
        <v>2333957.7279617251</v>
      </c>
      <c r="M173" s="132">
        <f>+SUM($I172:M172)</f>
        <v>2936747.5973478635</v>
      </c>
      <c r="N173" s="132">
        <f>+SUM($I172:N172)</f>
        <v>3539537.4667340019</v>
      </c>
    </row>
    <row r="174" spans="2:14" x14ac:dyDescent="0.2">
      <c r="F174" s="111"/>
      <c r="G174" s="111"/>
    </row>
    <row r="175" spans="2:14" s="130" customFormat="1" x14ac:dyDescent="0.2">
      <c r="B175" s="130" t="s">
        <v>89</v>
      </c>
      <c r="D175" s="113" t="s">
        <v>61</v>
      </c>
      <c r="E175" s="113" t="s">
        <v>22</v>
      </c>
      <c r="H175" s="136">
        <f t="shared" ref="H175:N175" si="34">+(H170-H173)*H155</f>
        <v>0</v>
      </c>
      <c r="I175" s="136">
        <f t="shared" si="34"/>
        <v>0</v>
      </c>
      <c r="J175" s="136">
        <f t="shared" si="34"/>
        <v>0</v>
      </c>
      <c r="K175" s="136">
        <f t="shared" si="34"/>
        <v>0</v>
      </c>
      <c r="L175" s="136">
        <f t="shared" si="34"/>
        <v>0</v>
      </c>
      <c r="M175" s="136">
        <f t="shared" si="34"/>
        <v>0</v>
      </c>
      <c r="N175" s="136">
        <f t="shared" si="34"/>
        <v>5230977.5268915556</v>
      </c>
    </row>
    <row r="176" spans="2:14" x14ac:dyDescent="0.2">
      <c r="F176" s="111"/>
      <c r="G176" s="111"/>
    </row>
    <row r="177" spans="2:14" x14ac:dyDescent="0.2">
      <c r="B177" s="125" t="s">
        <v>237</v>
      </c>
      <c r="C177" s="125"/>
      <c r="D177" s="126"/>
      <c r="E177" s="126"/>
      <c r="F177" s="125"/>
      <c r="G177" s="127"/>
      <c r="H177" s="125"/>
      <c r="I177" s="125"/>
      <c r="J177" s="125"/>
      <c r="K177" s="125"/>
      <c r="L177" s="125"/>
      <c r="M177" s="125"/>
      <c r="N177" s="125"/>
    </row>
    <row r="178" spans="2:14" x14ac:dyDescent="0.2">
      <c r="B178" s="127"/>
      <c r="C178" s="127"/>
      <c r="D178" s="128"/>
      <c r="E178" s="128"/>
      <c r="F178" s="127"/>
      <c r="G178" s="127"/>
      <c r="H178" s="127"/>
      <c r="I178" s="127"/>
      <c r="J178" s="127"/>
      <c r="K178" s="127"/>
      <c r="L178" s="127"/>
      <c r="M178" s="127"/>
      <c r="N178" s="127"/>
    </row>
    <row r="179" spans="2:14" x14ac:dyDescent="0.2">
      <c r="B179" s="129" t="s">
        <v>5</v>
      </c>
      <c r="C179" s="146"/>
    </row>
    <row r="180" spans="2:14" x14ac:dyDescent="0.2">
      <c r="B180" s="130"/>
      <c r="C180" s="147"/>
      <c r="D180" s="113"/>
      <c r="E180" s="113"/>
      <c r="F180" s="113"/>
      <c r="G180" s="113"/>
    </row>
    <row r="181" spans="2:14" x14ac:dyDescent="0.2">
      <c r="C181" s="148" t="s">
        <v>88</v>
      </c>
      <c r="D181" s="112" t="s">
        <v>61</v>
      </c>
      <c r="E181" s="112" t="s">
        <v>22</v>
      </c>
      <c r="H181" s="132">
        <f t="shared" ref="H181:N181" si="35">+IF(H$2&lt;$F$12,H$29,0)</f>
        <v>45458809.899740621</v>
      </c>
      <c r="I181" s="132">
        <f t="shared" si="35"/>
        <v>0</v>
      </c>
      <c r="J181" s="132">
        <f t="shared" si="35"/>
        <v>0</v>
      </c>
      <c r="K181" s="132">
        <f t="shared" si="35"/>
        <v>0</v>
      </c>
      <c r="L181" s="132">
        <f t="shared" si="35"/>
        <v>0</v>
      </c>
      <c r="M181" s="132">
        <f t="shared" si="35"/>
        <v>0</v>
      </c>
      <c r="N181" s="132">
        <f t="shared" si="35"/>
        <v>0</v>
      </c>
    </row>
    <row r="182" spans="2:14" x14ac:dyDescent="0.2">
      <c r="B182" s="129"/>
      <c r="C182" s="148" t="s">
        <v>97</v>
      </c>
      <c r="D182" s="112" t="s">
        <v>61</v>
      </c>
      <c r="E182" s="112" t="s">
        <v>22</v>
      </c>
      <c r="H182" s="132">
        <f t="shared" ref="H182:N182" si="36">+IF(AND(H$2&gt;=$F$12,H$2&lt;=$F$13),H$29,0)</f>
        <v>0</v>
      </c>
      <c r="I182" s="132">
        <f t="shared" si="36"/>
        <v>4629394.6020255666</v>
      </c>
      <c r="J182" s="132">
        <f t="shared" si="36"/>
        <v>768944.53715439897</v>
      </c>
      <c r="K182" s="132">
        <f t="shared" si="36"/>
        <v>0</v>
      </c>
      <c r="L182" s="132">
        <f t="shared" si="36"/>
        <v>0</v>
      </c>
      <c r="M182" s="132">
        <f t="shared" si="36"/>
        <v>0</v>
      </c>
      <c r="N182" s="132">
        <f t="shared" si="36"/>
        <v>0</v>
      </c>
    </row>
    <row r="183" spans="2:14" x14ac:dyDescent="0.2">
      <c r="B183" s="129"/>
      <c r="C183" s="148" t="s">
        <v>90</v>
      </c>
      <c r="D183" s="112" t="s">
        <v>61</v>
      </c>
      <c r="E183" s="112" t="s">
        <v>22</v>
      </c>
      <c r="H183" s="132">
        <f t="shared" ref="H183:N183" si="37">+H120</f>
        <v>0</v>
      </c>
      <c r="I183" s="132">
        <f t="shared" si="37"/>
        <v>3319892.5057676472</v>
      </c>
      <c r="J183" s="132">
        <f t="shared" si="37"/>
        <v>3671450.3589323545</v>
      </c>
      <c r="K183" s="132">
        <f t="shared" si="37"/>
        <v>3732426.5142843379</v>
      </c>
      <c r="L183" s="132">
        <f t="shared" si="37"/>
        <v>3732426.5142843379</v>
      </c>
      <c r="M183" s="132">
        <f t="shared" si="37"/>
        <v>3732426.5142843379</v>
      </c>
      <c r="N183" s="132">
        <f t="shared" si="37"/>
        <v>3732426.5142843379</v>
      </c>
    </row>
    <row r="184" spans="2:14" x14ac:dyDescent="0.2">
      <c r="B184" s="130"/>
      <c r="C184" s="148" t="s">
        <v>98</v>
      </c>
      <c r="D184" s="112" t="s">
        <v>61</v>
      </c>
      <c r="E184" s="112" t="s">
        <v>22</v>
      </c>
      <c r="H184" s="132">
        <f t="shared" ref="H184:M184" si="38">+H165</f>
        <v>0</v>
      </c>
      <c r="I184" s="132">
        <f t="shared" si="38"/>
        <v>0</v>
      </c>
      <c r="J184" s="132">
        <f t="shared" si="38"/>
        <v>0</v>
      </c>
      <c r="K184" s="132">
        <f t="shared" si="38"/>
        <v>0</v>
      </c>
      <c r="L184" s="132">
        <f t="shared" si="38"/>
        <v>0</v>
      </c>
      <c r="M184" s="132">
        <f t="shared" si="38"/>
        <v>0</v>
      </c>
      <c r="N184" s="132">
        <f>+N165</f>
        <v>28936100.117083233</v>
      </c>
    </row>
    <row r="185" spans="2:14" x14ac:dyDescent="0.2">
      <c r="B185" s="130"/>
      <c r="C185" s="130"/>
    </row>
    <row r="186" spans="2:14" x14ac:dyDescent="0.2">
      <c r="B186" s="129" t="s">
        <v>6</v>
      </c>
      <c r="C186" s="146"/>
    </row>
    <row r="187" spans="2:14" x14ac:dyDescent="0.2">
      <c r="B187" s="130"/>
      <c r="C187" s="147"/>
      <c r="D187" s="113"/>
      <c r="E187" s="113"/>
      <c r="F187" s="113"/>
      <c r="G187" s="113"/>
    </row>
    <row r="188" spans="2:14" x14ac:dyDescent="0.2">
      <c r="C188" s="148" t="s">
        <v>88</v>
      </c>
      <c r="D188" s="112" t="s">
        <v>61</v>
      </c>
      <c r="E188" s="112" t="s">
        <v>22</v>
      </c>
      <c r="H188" s="132">
        <f t="shared" ref="H188:N188" si="39">+IF(H$2&lt;$F$12,H$49,0)</f>
        <v>7839550.2176681031</v>
      </c>
      <c r="I188" s="132">
        <f t="shared" si="39"/>
        <v>0</v>
      </c>
      <c r="J188" s="132">
        <f t="shared" si="39"/>
        <v>0</v>
      </c>
      <c r="K188" s="132">
        <f t="shared" si="39"/>
        <v>0</v>
      </c>
      <c r="L188" s="132">
        <f t="shared" si="39"/>
        <v>0</v>
      </c>
      <c r="M188" s="132">
        <f t="shared" si="39"/>
        <v>0</v>
      </c>
      <c r="N188" s="132">
        <f t="shared" si="39"/>
        <v>0</v>
      </c>
    </row>
    <row r="189" spans="2:14" x14ac:dyDescent="0.2">
      <c r="B189" s="129"/>
      <c r="C189" s="148" t="s">
        <v>97</v>
      </c>
      <c r="D189" s="112" t="s">
        <v>61</v>
      </c>
      <c r="E189" s="112" t="s">
        <v>22</v>
      </c>
      <c r="H189" s="132">
        <f t="shared" ref="H189:N189" si="40">+IF(AND(H$2&gt;=$F$12,H$2&lt;=$F$13),H$49,0)</f>
        <v>0</v>
      </c>
      <c r="I189" s="132">
        <f t="shared" si="40"/>
        <v>798357.27200126625</v>
      </c>
      <c r="J189" s="132">
        <f t="shared" si="40"/>
        <v>132607.5039561883</v>
      </c>
      <c r="K189" s="132">
        <f t="shared" si="40"/>
        <v>0</v>
      </c>
      <c r="L189" s="132">
        <f t="shared" si="40"/>
        <v>0</v>
      </c>
      <c r="M189" s="132">
        <f t="shared" si="40"/>
        <v>0</v>
      </c>
      <c r="N189" s="132">
        <f t="shared" si="40"/>
        <v>0</v>
      </c>
    </row>
    <row r="190" spans="2:14" x14ac:dyDescent="0.2">
      <c r="B190" s="129"/>
      <c r="C190" s="148" t="s">
        <v>90</v>
      </c>
      <c r="D190" s="112" t="s">
        <v>61</v>
      </c>
      <c r="E190" s="112" t="s">
        <v>22</v>
      </c>
      <c r="H190" s="132">
        <f t="shared" ref="H190:N190" si="41">+H151</f>
        <v>0</v>
      </c>
      <c r="I190" s="132">
        <f t="shared" si="41"/>
        <v>535607.09009117365</v>
      </c>
      <c r="J190" s="132">
        <f t="shared" si="41"/>
        <v>592770.89909827453</v>
      </c>
      <c r="K190" s="132">
        <f t="shared" si="41"/>
        <v>602789.86938613851</v>
      </c>
      <c r="L190" s="132">
        <f t="shared" si="41"/>
        <v>602789.86938613851</v>
      </c>
      <c r="M190" s="132">
        <f t="shared" si="41"/>
        <v>602789.86938613851</v>
      </c>
      <c r="N190" s="132">
        <f t="shared" si="41"/>
        <v>602789.86938613851</v>
      </c>
    </row>
    <row r="191" spans="2:14" x14ac:dyDescent="0.2">
      <c r="B191" s="130"/>
      <c r="C191" s="148" t="s">
        <v>98</v>
      </c>
      <c r="D191" s="112" t="s">
        <v>61</v>
      </c>
      <c r="E191" s="112" t="s">
        <v>22</v>
      </c>
      <c r="H191" s="132">
        <f t="shared" ref="H191:N191" si="42">+H175</f>
        <v>0</v>
      </c>
      <c r="I191" s="132">
        <f t="shared" si="42"/>
        <v>0</v>
      </c>
      <c r="J191" s="132">
        <f t="shared" si="42"/>
        <v>0</v>
      </c>
      <c r="K191" s="132">
        <f t="shared" si="42"/>
        <v>0</v>
      </c>
      <c r="L191" s="132">
        <f t="shared" si="42"/>
        <v>0</v>
      </c>
      <c r="M191" s="132">
        <f t="shared" si="42"/>
        <v>0</v>
      </c>
      <c r="N191" s="132">
        <f t="shared" si="42"/>
        <v>5230977.5268915556</v>
      </c>
    </row>
    <row r="192" spans="2:14" x14ac:dyDescent="0.2">
      <c r="B192" s="130"/>
      <c r="C192" s="146"/>
    </row>
    <row r="193" spans="2:14" x14ac:dyDescent="0.2">
      <c r="B193" s="130"/>
      <c r="C193" s="149"/>
      <c r="D193" s="113"/>
      <c r="E193" s="113"/>
      <c r="F193" s="113"/>
      <c r="G193" s="113"/>
    </row>
    <row r="194" spans="2:14" x14ac:dyDescent="0.2">
      <c r="B194" s="130"/>
      <c r="C194" s="149"/>
      <c r="D194" s="113"/>
      <c r="E194" s="113"/>
      <c r="F194" s="113"/>
      <c r="G194" s="113"/>
    </row>
    <row r="195" spans="2:14" x14ac:dyDescent="0.2">
      <c r="B195" s="130"/>
      <c r="C195" s="146"/>
    </row>
    <row r="196" spans="2:14" x14ac:dyDescent="0.2">
      <c r="B196" s="130"/>
      <c r="C196" s="146"/>
    </row>
    <row r="197" spans="2:14" x14ac:dyDescent="0.2">
      <c r="B197" s="130"/>
      <c r="C197" s="146"/>
    </row>
    <row r="198" spans="2:14" x14ac:dyDescent="0.2">
      <c r="B198" s="130"/>
      <c r="C198" s="147"/>
      <c r="D198" s="113"/>
      <c r="E198" s="113"/>
      <c r="F198" s="113"/>
      <c r="G198" s="113"/>
    </row>
    <row r="199" spans="2:14" x14ac:dyDescent="0.2">
      <c r="B199" s="130"/>
    </row>
    <row r="200" spans="2:14" x14ac:dyDescent="0.2">
      <c r="B200" s="150"/>
      <c r="C200" s="148"/>
      <c r="D200" s="151"/>
      <c r="E200" s="151"/>
      <c r="F200" s="151"/>
      <c r="G200" s="151"/>
      <c r="H200" s="148"/>
      <c r="I200" s="148"/>
      <c r="J200" s="148"/>
      <c r="K200" s="148"/>
      <c r="L200" s="148"/>
      <c r="M200" s="148"/>
      <c r="N200" s="148"/>
    </row>
    <row r="201" spans="2:14" x14ac:dyDescent="0.2">
      <c r="B201" s="130"/>
    </row>
    <row r="202" spans="2:14" x14ac:dyDescent="0.2">
      <c r="B202" s="129"/>
    </row>
    <row r="203" spans="2:14" x14ac:dyDescent="0.2">
      <c r="B203" s="129"/>
    </row>
    <row r="204" spans="2:14" x14ac:dyDescent="0.2">
      <c r="B204" s="130"/>
      <c r="C204" s="130"/>
    </row>
    <row r="205" spans="2:14" x14ac:dyDescent="0.2">
      <c r="B205" s="130"/>
      <c r="C205" s="146"/>
      <c r="G205" s="113"/>
    </row>
    <row r="206" spans="2:14" x14ac:dyDescent="0.2">
      <c r="B206" s="130"/>
      <c r="C206" s="146"/>
    </row>
    <row r="207" spans="2:14" x14ac:dyDescent="0.2">
      <c r="B207" s="130"/>
      <c r="C207" s="146"/>
    </row>
    <row r="208" spans="2:14" x14ac:dyDescent="0.2">
      <c r="B208" s="130"/>
      <c r="C208" s="146"/>
    </row>
    <row r="209" spans="2:7" x14ac:dyDescent="0.2">
      <c r="B209" s="130"/>
      <c r="C209" s="146"/>
    </row>
    <row r="210" spans="2:7" x14ac:dyDescent="0.2">
      <c r="B210" s="130"/>
      <c r="C210" s="146"/>
    </row>
    <row r="211" spans="2:7" x14ac:dyDescent="0.2">
      <c r="B211" s="130"/>
      <c r="C211" s="146"/>
    </row>
    <row r="212" spans="2:7" x14ac:dyDescent="0.2">
      <c r="B212" s="130"/>
      <c r="C212" s="146"/>
    </row>
    <row r="213" spans="2:7" x14ac:dyDescent="0.2">
      <c r="B213" s="130"/>
      <c r="C213" s="146"/>
    </row>
    <row r="214" spans="2:7" x14ac:dyDescent="0.2">
      <c r="B214" s="130"/>
      <c r="C214" s="146"/>
    </row>
    <row r="215" spans="2:7" x14ac:dyDescent="0.2">
      <c r="B215" s="130"/>
      <c r="C215" s="147"/>
      <c r="D215" s="113"/>
      <c r="E215" s="113"/>
      <c r="F215" s="113"/>
      <c r="G215" s="113"/>
    </row>
    <row r="216" spans="2:7" x14ac:dyDescent="0.2">
      <c r="B216" s="130"/>
      <c r="D216" s="113"/>
      <c r="E216" s="113"/>
      <c r="F216" s="113"/>
      <c r="G216" s="113"/>
    </row>
    <row r="217" spans="2:7" x14ac:dyDescent="0.2">
      <c r="B217" s="130"/>
      <c r="C217" s="130"/>
    </row>
    <row r="218" spans="2:7" x14ac:dyDescent="0.2">
      <c r="B218" s="130"/>
      <c r="C218" s="152"/>
    </row>
    <row r="219" spans="2:7" x14ac:dyDescent="0.2">
      <c r="B219" s="130"/>
      <c r="C219" s="152"/>
    </row>
    <row r="220" spans="2:7" x14ac:dyDescent="0.2">
      <c r="B220" s="130"/>
      <c r="C220" s="152"/>
    </row>
    <row r="221" spans="2:7" x14ac:dyDescent="0.2">
      <c r="B221" s="130"/>
      <c r="C221" s="152"/>
    </row>
    <row r="222" spans="2:7" x14ac:dyDescent="0.2">
      <c r="B222" s="130"/>
      <c r="C222" s="152"/>
    </row>
    <row r="223" spans="2:7" x14ac:dyDescent="0.2">
      <c r="B223" s="130"/>
      <c r="C223" s="152"/>
    </row>
    <row r="224" spans="2:7" x14ac:dyDescent="0.2">
      <c r="B224" s="130"/>
      <c r="C224" s="152"/>
    </row>
    <row r="225" spans="2:7" x14ac:dyDescent="0.2">
      <c r="B225" s="130"/>
      <c r="C225" s="152"/>
    </row>
    <row r="226" spans="2:7" x14ac:dyDescent="0.2">
      <c r="B226" s="130"/>
      <c r="C226" s="153"/>
      <c r="D226" s="113"/>
      <c r="E226" s="113"/>
      <c r="F226" s="113"/>
      <c r="G226" s="113"/>
    </row>
    <row r="227" spans="2:7" x14ac:dyDescent="0.2">
      <c r="B227" s="130"/>
      <c r="D227" s="113"/>
      <c r="E227" s="113"/>
      <c r="F227" s="113"/>
      <c r="G227" s="113"/>
    </row>
    <row r="228" spans="2:7" x14ac:dyDescent="0.2">
      <c r="B228" s="130"/>
      <c r="C228" s="149"/>
      <c r="D228" s="113"/>
      <c r="E228" s="113"/>
      <c r="F228" s="113"/>
      <c r="G228" s="113"/>
    </row>
    <row r="229" spans="2:7" x14ac:dyDescent="0.2">
      <c r="B229" s="130"/>
      <c r="C229" s="152"/>
    </row>
    <row r="230" spans="2:7" x14ac:dyDescent="0.2">
      <c r="B230" s="130"/>
      <c r="C230" s="152"/>
    </row>
    <row r="231" spans="2:7" x14ac:dyDescent="0.2">
      <c r="B231" s="130"/>
      <c r="C231" s="152"/>
    </row>
    <row r="232" spans="2:7" x14ac:dyDescent="0.2">
      <c r="B232" s="130"/>
      <c r="C232" s="152"/>
    </row>
    <row r="233" spans="2:7" x14ac:dyDescent="0.2">
      <c r="B233" s="130"/>
      <c r="C233" s="152"/>
    </row>
    <row r="234" spans="2:7" x14ac:dyDescent="0.2">
      <c r="B234" s="130"/>
      <c r="C234" s="152"/>
    </row>
    <row r="235" spans="2:7" x14ac:dyDescent="0.2">
      <c r="B235" s="130"/>
      <c r="C235" s="152"/>
    </row>
    <row r="236" spans="2:7" x14ac:dyDescent="0.2">
      <c r="B236" s="130"/>
      <c r="C236" s="152"/>
    </row>
    <row r="237" spans="2:7" x14ac:dyDescent="0.2">
      <c r="B237" s="130"/>
      <c r="C237" s="152"/>
    </row>
    <row r="238" spans="2:7" x14ac:dyDescent="0.2">
      <c r="B238" s="130"/>
      <c r="C238" s="152"/>
    </row>
    <row r="239" spans="2:7" x14ac:dyDescent="0.2">
      <c r="B239" s="130"/>
      <c r="C239" s="153"/>
      <c r="D239" s="113"/>
      <c r="E239" s="113"/>
      <c r="F239" s="113"/>
      <c r="G239" s="113"/>
    </row>
    <row r="240" spans="2:7" x14ac:dyDescent="0.2">
      <c r="B240" s="130"/>
    </row>
    <row r="241" spans="2:7" x14ac:dyDescent="0.2">
      <c r="B241" s="129"/>
    </row>
    <row r="242" spans="2:7" x14ac:dyDescent="0.2">
      <c r="B242" s="129"/>
    </row>
    <row r="243" spans="2:7" x14ac:dyDescent="0.2">
      <c r="B243" s="129"/>
      <c r="C243" s="130"/>
    </row>
    <row r="244" spans="2:7" x14ac:dyDescent="0.2">
      <c r="B244" s="129"/>
      <c r="C244" s="146"/>
      <c r="G244" s="113"/>
    </row>
    <row r="245" spans="2:7" x14ac:dyDescent="0.2">
      <c r="B245" s="129"/>
      <c r="C245" s="146"/>
    </row>
    <row r="246" spans="2:7" x14ac:dyDescent="0.2">
      <c r="B246" s="129"/>
      <c r="C246" s="146"/>
    </row>
    <row r="247" spans="2:7" x14ac:dyDescent="0.2">
      <c r="B247" s="129"/>
      <c r="C247" s="146"/>
    </row>
    <row r="248" spans="2:7" x14ac:dyDescent="0.2">
      <c r="B248" s="130"/>
      <c r="C248" s="146"/>
    </row>
    <row r="249" spans="2:7" ht="14.45" customHeight="1" x14ac:dyDescent="0.2">
      <c r="B249" s="130"/>
      <c r="C249" s="146"/>
    </row>
    <row r="250" spans="2:7" x14ac:dyDescent="0.2">
      <c r="B250" s="130"/>
      <c r="C250" s="146"/>
    </row>
    <row r="251" spans="2:7" x14ac:dyDescent="0.2">
      <c r="B251" s="130"/>
      <c r="C251" s="146"/>
    </row>
    <row r="252" spans="2:7" x14ac:dyDescent="0.2">
      <c r="B252" s="130"/>
      <c r="C252" s="146"/>
    </row>
    <row r="253" spans="2:7" x14ac:dyDescent="0.2">
      <c r="B253" s="130"/>
      <c r="C253" s="147"/>
      <c r="D253" s="113"/>
      <c r="E253" s="113"/>
      <c r="F253" s="113"/>
      <c r="G253" s="113"/>
    </row>
    <row r="254" spans="2:7" x14ac:dyDescent="0.2">
      <c r="B254" s="130"/>
      <c r="D254" s="113"/>
      <c r="E254" s="113"/>
      <c r="F254" s="113"/>
      <c r="G254" s="113"/>
    </row>
    <row r="255" spans="2:7" x14ac:dyDescent="0.2">
      <c r="B255" s="130"/>
      <c r="C255" s="130"/>
      <c r="D255" s="113"/>
      <c r="E255" s="113"/>
      <c r="F255" s="113"/>
      <c r="G255" s="113"/>
    </row>
    <row r="256" spans="2:7" x14ac:dyDescent="0.2">
      <c r="B256" s="130"/>
      <c r="C256" s="154"/>
    </row>
    <row r="257" spans="2:7" x14ac:dyDescent="0.2">
      <c r="B257" s="129"/>
    </row>
    <row r="258" spans="2:7" x14ac:dyDescent="0.2">
      <c r="B258" s="130"/>
    </row>
    <row r="259" spans="2:7" x14ac:dyDescent="0.2">
      <c r="B259" s="130"/>
    </row>
    <row r="260" spans="2:7" x14ac:dyDescent="0.2">
      <c r="B260" s="130"/>
    </row>
    <row r="261" spans="2:7" x14ac:dyDescent="0.2">
      <c r="B261" s="130"/>
    </row>
    <row r="262" spans="2:7" x14ac:dyDescent="0.2">
      <c r="B262" s="130"/>
    </row>
    <row r="263" spans="2:7" x14ac:dyDescent="0.2">
      <c r="B263" s="130"/>
      <c r="D263" s="113"/>
      <c r="E263" s="113"/>
      <c r="F263" s="113"/>
      <c r="G263" s="113"/>
    </row>
    <row r="264" spans="2:7" ht="12" customHeight="1" x14ac:dyDescent="0.2">
      <c r="B264" s="130"/>
      <c r="D264" s="113"/>
      <c r="E264" s="113"/>
      <c r="F264" s="113"/>
      <c r="G264" s="113"/>
    </row>
    <row r="265" spans="2:7" ht="12" customHeight="1" x14ac:dyDescent="0.2">
      <c r="B265" s="129"/>
      <c r="C265" s="130"/>
    </row>
    <row r="266" spans="2:7" ht="12" customHeight="1" x14ac:dyDescent="0.2">
      <c r="B266" s="129"/>
      <c r="C266" s="154"/>
      <c r="G266" s="113"/>
    </row>
    <row r="267" spans="2:7" ht="12" customHeight="1" x14ac:dyDescent="0.2">
      <c r="B267" s="129"/>
      <c r="C267" s="146"/>
    </row>
    <row r="268" spans="2:7" ht="12" customHeight="1" x14ac:dyDescent="0.2">
      <c r="B268" s="129"/>
      <c r="C268" s="146"/>
    </row>
    <row r="269" spans="2:7" ht="12" customHeight="1" x14ac:dyDescent="0.2">
      <c r="B269" s="129"/>
      <c r="C269" s="146"/>
    </row>
    <row r="270" spans="2:7" ht="12" customHeight="1" x14ac:dyDescent="0.2">
      <c r="B270" s="130"/>
      <c r="C270" s="146"/>
    </row>
    <row r="271" spans="2:7" ht="12" customHeight="1" x14ac:dyDescent="0.2">
      <c r="B271" s="130"/>
      <c r="C271" s="146"/>
    </row>
    <row r="272" spans="2:7" ht="12" customHeight="1" x14ac:dyDescent="0.2">
      <c r="B272" s="130"/>
      <c r="C272" s="146"/>
    </row>
    <row r="273" spans="2:14" ht="12" customHeight="1" x14ac:dyDescent="0.2">
      <c r="B273" s="130"/>
      <c r="C273" s="146"/>
    </row>
    <row r="274" spans="2:14" ht="12" customHeight="1" x14ac:dyDescent="0.2">
      <c r="B274" s="130"/>
      <c r="C274" s="146"/>
    </row>
    <row r="275" spans="2:14" ht="12" customHeight="1" x14ac:dyDescent="0.2">
      <c r="B275" s="130"/>
      <c r="C275" s="147"/>
      <c r="D275" s="113"/>
      <c r="E275" s="113"/>
      <c r="F275" s="113"/>
      <c r="G275" s="113"/>
    </row>
    <row r="276" spans="2:14" x14ac:dyDescent="0.2">
      <c r="B276" s="130"/>
    </row>
    <row r="277" spans="2:14" x14ac:dyDescent="0.2">
      <c r="B277" s="130"/>
    </row>
    <row r="278" spans="2:14" x14ac:dyDescent="0.2">
      <c r="B278" s="130"/>
      <c r="C278" s="155"/>
    </row>
    <row r="279" spans="2:14" x14ac:dyDescent="0.2">
      <c r="B279" s="130"/>
      <c r="C279" s="155"/>
    </row>
    <row r="280" spans="2:14" x14ac:dyDescent="0.2">
      <c r="B280" s="130"/>
      <c r="C280" s="155"/>
    </row>
    <row r="281" spans="2:14" x14ac:dyDescent="0.2">
      <c r="B281" s="130"/>
      <c r="C281" s="155"/>
    </row>
    <row r="282" spans="2:14" x14ac:dyDescent="0.2">
      <c r="B282" s="130"/>
      <c r="C282" s="150"/>
      <c r="D282" s="156"/>
      <c r="E282" s="156"/>
      <c r="F282" s="156"/>
      <c r="G282" s="156"/>
    </row>
    <row r="283" spans="2:14" x14ac:dyDescent="0.2">
      <c r="B283" s="130"/>
    </row>
    <row r="284" spans="2:14" x14ac:dyDescent="0.2">
      <c r="B284" s="150"/>
      <c r="C284" s="148"/>
      <c r="D284" s="151"/>
      <c r="E284" s="151"/>
      <c r="F284" s="151"/>
      <c r="G284" s="151"/>
      <c r="H284" s="148"/>
      <c r="I284" s="148"/>
      <c r="J284" s="148"/>
      <c r="K284" s="148"/>
      <c r="L284" s="148"/>
      <c r="M284" s="148"/>
      <c r="N284" s="148"/>
    </row>
    <row r="285" spans="2:14" x14ac:dyDescent="0.2">
      <c r="B285" s="130"/>
    </row>
    <row r="286" spans="2:14" x14ac:dyDescent="0.2">
      <c r="B286" s="130"/>
    </row>
    <row r="287" spans="2:14" x14ac:dyDescent="0.2">
      <c r="B287" s="130"/>
    </row>
    <row r="288" spans="2:14" x14ac:dyDescent="0.2">
      <c r="B288" s="130"/>
      <c r="C288" s="146"/>
    </row>
    <row r="289" spans="2:7" x14ac:dyDescent="0.2">
      <c r="B289" s="130"/>
      <c r="C289" s="146"/>
    </row>
    <row r="290" spans="2:7" x14ac:dyDescent="0.2">
      <c r="B290" s="130"/>
      <c r="C290" s="146"/>
    </row>
    <row r="291" spans="2:7" x14ac:dyDescent="0.2">
      <c r="B291" s="130"/>
      <c r="C291" s="146"/>
    </row>
    <row r="292" spans="2:7" x14ac:dyDescent="0.2">
      <c r="B292" s="130"/>
      <c r="C292" s="146"/>
    </row>
    <row r="293" spans="2:7" x14ac:dyDescent="0.2">
      <c r="B293" s="130"/>
    </row>
    <row r="294" spans="2:7" x14ac:dyDescent="0.2">
      <c r="B294" s="130"/>
    </row>
    <row r="295" spans="2:7" x14ac:dyDescent="0.2">
      <c r="B295" s="130"/>
    </row>
    <row r="296" spans="2:7" x14ac:dyDescent="0.2">
      <c r="B296" s="130"/>
      <c r="C296" s="130"/>
    </row>
    <row r="297" spans="2:7" x14ac:dyDescent="0.2">
      <c r="C297" s="146"/>
      <c r="D297" s="111"/>
      <c r="E297" s="111"/>
      <c r="F297" s="111"/>
      <c r="G297" s="111"/>
    </row>
    <row r="298" spans="2:7" x14ac:dyDescent="0.2">
      <c r="B298" s="130"/>
      <c r="C298" s="146"/>
    </row>
    <row r="299" spans="2:7" x14ac:dyDescent="0.2">
      <c r="B299" s="130"/>
      <c r="C299" s="146"/>
    </row>
    <row r="300" spans="2:7" x14ac:dyDescent="0.2">
      <c r="B300" s="130"/>
      <c r="C300" s="146"/>
    </row>
    <row r="301" spans="2:7" x14ac:dyDescent="0.2">
      <c r="B301" s="130"/>
      <c r="C301" s="146"/>
    </row>
    <row r="302" spans="2:7" x14ac:dyDescent="0.2">
      <c r="B302" s="130"/>
      <c r="C302" s="146"/>
    </row>
    <row r="303" spans="2:7" x14ac:dyDescent="0.2">
      <c r="B303" s="130"/>
      <c r="C303" s="146"/>
    </row>
    <row r="304" spans="2:7" x14ac:dyDescent="0.2">
      <c r="B304" s="130"/>
      <c r="C304" s="146"/>
    </row>
    <row r="305" spans="2:7" x14ac:dyDescent="0.2">
      <c r="B305" s="130"/>
      <c r="C305" s="146"/>
    </row>
    <row r="306" spans="2:7" x14ac:dyDescent="0.2">
      <c r="B306" s="130"/>
      <c r="C306" s="146"/>
    </row>
    <row r="307" spans="2:7" x14ac:dyDescent="0.2">
      <c r="C307" s="146"/>
    </row>
    <row r="308" spans="2:7" x14ac:dyDescent="0.2">
      <c r="B308" s="130"/>
      <c r="C308" s="146"/>
    </row>
    <row r="309" spans="2:7" x14ac:dyDescent="0.2">
      <c r="B309" s="130"/>
      <c r="C309" s="130"/>
    </row>
    <row r="310" spans="2:7" x14ac:dyDescent="0.2">
      <c r="C310" s="146"/>
      <c r="D310" s="111"/>
      <c r="E310" s="111"/>
      <c r="F310" s="111"/>
      <c r="G310" s="111"/>
    </row>
    <row r="311" spans="2:7" x14ac:dyDescent="0.2">
      <c r="B311" s="130"/>
      <c r="C311" s="146"/>
    </row>
    <row r="312" spans="2:7" x14ac:dyDescent="0.2">
      <c r="B312" s="130"/>
      <c r="C312" s="146"/>
    </row>
    <row r="313" spans="2:7" x14ac:dyDescent="0.2">
      <c r="B313" s="130"/>
      <c r="C313" s="146"/>
    </row>
    <row r="314" spans="2:7" x14ac:dyDescent="0.2">
      <c r="B314" s="130"/>
      <c r="C314" s="146"/>
    </row>
    <row r="315" spans="2:7" x14ac:dyDescent="0.2">
      <c r="B315" s="130"/>
      <c r="C315" s="146"/>
    </row>
    <row r="316" spans="2:7" x14ac:dyDescent="0.2">
      <c r="B316" s="130"/>
      <c r="C316" s="146"/>
    </row>
    <row r="317" spans="2:7" x14ac:dyDescent="0.2">
      <c r="B317" s="130"/>
      <c r="C317" s="146"/>
    </row>
    <row r="318" spans="2:7" x14ac:dyDescent="0.2">
      <c r="B318" s="130"/>
      <c r="C318" s="146"/>
    </row>
    <row r="319" spans="2:7" x14ac:dyDescent="0.2">
      <c r="B319" s="130"/>
      <c r="C319" s="146"/>
    </row>
    <row r="320" spans="2:7" x14ac:dyDescent="0.2">
      <c r="C320" s="146"/>
    </row>
    <row r="321" spans="2:7" x14ac:dyDescent="0.2">
      <c r="B321" s="130"/>
      <c r="C321" s="146"/>
    </row>
    <row r="322" spans="2:7" x14ac:dyDescent="0.2">
      <c r="B322" s="130"/>
      <c r="C322" s="130"/>
    </row>
    <row r="323" spans="2:7" x14ac:dyDescent="0.2">
      <c r="C323" s="146"/>
      <c r="D323" s="111"/>
      <c r="E323" s="111"/>
      <c r="F323" s="111"/>
      <c r="G323" s="111"/>
    </row>
    <row r="324" spans="2:7" x14ac:dyDescent="0.2">
      <c r="B324" s="130"/>
      <c r="C324" s="146"/>
      <c r="G324" s="111"/>
    </row>
    <row r="325" spans="2:7" x14ac:dyDescent="0.2">
      <c r="B325" s="130"/>
      <c r="C325" s="146"/>
    </row>
    <row r="326" spans="2:7" x14ac:dyDescent="0.2">
      <c r="B326" s="130"/>
      <c r="C326" s="146"/>
    </row>
    <row r="327" spans="2:7" x14ac:dyDescent="0.2">
      <c r="B327" s="130"/>
      <c r="C327" s="146"/>
    </row>
    <row r="328" spans="2:7" x14ac:dyDescent="0.2">
      <c r="B328" s="130"/>
      <c r="C328" s="146"/>
    </row>
    <row r="329" spans="2:7" x14ac:dyDescent="0.2">
      <c r="B329" s="130"/>
      <c r="C329" s="146"/>
    </row>
    <row r="330" spans="2:7" x14ac:dyDescent="0.2">
      <c r="B330" s="130"/>
      <c r="C330" s="146"/>
    </row>
    <row r="331" spans="2:7" x14ac:dyDescent="0.2">
      <c r="B331" s="130"/>
      <c r="C331" s="146"/>
    </row>
    <row r="332" spans="2:7" x14ac:dyDescent="0.2">
      <c r="B332" s="130"/>
      <c r="C332" s="146"/>
    </row>
    <row r="333" spans="2:7" x14ac:dyDescent="0.2">
      <c r="C333" s="146"/>
    </row>
    <row r="334" spans="2:7" x14ac:dyDescent="0.2">
      <c r="B334" s="130"/>
      <c r="C334" s="146"/>
    </row>
    <row r="335" spans="2:7" s="130" customFormat="1" x14ac:dyDescent="0.2">
      <c r="D335" s="113"/>
      <c r="E335" s="113"/>
      <c r="F335" s="113"/>
      <c r="G335" s="113"/>
    </row>
    <row r="336" spans="2:7" x14ac:dyDescent="0.2">
      <c r="B336" s="130"/>
      <c r="C336" s="146"/>
    </row>
    <row r="337" spans="2:7" x14ac:dyDescent="0.2">
      <c r="B337" s="130"/>
      <c r="C337" s="146"/>
    </row>
    <row r="338" spans="2:7" x14ac:dyDescent="0.2">
      <c r="B338" s="130"/>
      <c r="C338" s="146"/>
    </row>
    <row r="339" spans="2:7" x14ac:dyDescent="0.2">
      <c r="B339" s="130"/>
      <c r="C339" s="146"/>
    </row>
    <row r="340" spans="2:7" x14ac:dyDescent="0.2">
      <c r="B340" s="130"/>
      <c r="C340" s="146"/>
    </row>
    <row r="341" spans="2:7" x14ac:dyDescent="0.2">
      <c r="B341" s="130"/>
      <c r="C341" s="146"/>
    </row>
    <row r="342" spans="2:7" x14ac:dyDescent="0.2">
      <c r="B342" s="130"/>
      <c r="C342" s="146"/>
    </row>
    <row r="343" spans="2:7" x14ac:dyDescent="0.2">
      <c r="B343" s="130"/>
      <c r="C343" s="146"/>
    </row>
    <row r="344" spans="2:7" x14ac:dyDescent="0.2">
      <c r="B344" s="130"/>
      <c r="C344" s="146"/>
    </row>
    <row r="345" spans="2:7" s="130" customFormat="1" x14ac:dyDescent="0.2">
      <c r="C345" s="147"/>
      <c r="D345" s="113"/>
      <c r="E345" s="113"/>
      <c r="F345" s="113"/>
      <c r="G345" s="113"/>
    </row>
    <row r="346" spans="2:7" x14ac:dyDescent="0.2">
      <c r="C346" s="146"/>
    </row>
    <row r="347" spans="2:7" s="130" customFormat="1" x14ac:dyDescent="0.2">
      <c r="D347" s="113"/>
      <c r="E347" s="113"/>
      <c r="F347" s="113"/>
      <c r="G347" s="113"/>
    </row>
    <row r="348" spans="2:7" x14ac:dyDescent="0.2">
      <c r="B348" s="130"/>
      <c r="C348" s="146"/>
    </row>
    <row r="349" spans="2:7" x14ac:dyDescent="0.2">
      <c r="B349" s="130"/>
      <c r="C349" s="146"/>
    </row>
    <row r="350" spans="2:7" x14ac:dyDescent="0.2">
      <c r="B350" s="130"/>
      <c r="C350" s="146"/>
    </row>
    <row r="351" spans="2:7" x14ac:dyDescent="0.2">
      <c r="B351" s="130"/>
      <c r="C351" s="146"/>
    </row>
    <row r="352" spans="2:7" x14ac:dyDescent="0.2">
      <c r="B352" s="130"/>
      <c r="C352" s="146"/>
    </row>
    <row r="353" spans="2:7" x14ac:dyDescent="0.2">
      <c r="B353" s="130"/>
      <c r="C353" s="146"/>
    </row>
    <row r="354" spans="2:7" x14ac:dyDescent="0.2">
      <c r="B354" s="130"/>
      <c r="C354" s="146"/>
    </row>
    <row r="355" spans="2:7" x14ac:dyDescent="0.2">
      <c r="B355" s="130"/>
      <c r="C355" s="146"/>
    </row>
    <row r="356" spans="2:7" x14ac:dyDescent="0.2">
      <c r="B356" s="130"/>
      <c r="C356" s="146"/>
    </row>
    <row r="357" spans="2:7" s="130" customFormat="1" x14ac:dyDescent="0.2">
      <c r="C357" s="147"/>
      <c r="D357" s="113"/>
      <c r="E357" s="113"/>
      <c r="F357" s="113"/>
      <c r="G357" s="113"/>
    </row>
    <row r="358" spans="2:7" x14ac:dyDescent="0.2">
      <c r="B358" s="130"/>
      <c r="C358" s="146"/>
    </row>
    <row r="359" spans="2:7" x14ac:dyDescent="0.2">
      <c r="B359" s="130"/>
      <c r="C359" s="146"/>
    </row>
    <row r="360" spans="2:7" x14ac:dyDescent="0.2">
      <c r="B360" s="130"/>
      <c r="C360" s="146"/>
    </row>
    <row r="362" spans="2:7" x14ac:dyDescent="0.2">
      <c r="B362" s="130"/>
      <c r="C362" s="146"/>
    </row>
    <row r="363" spans="2:7" x14ac:dyDescent="0.2">
      <c r="B363" s="130"/>
    </row>
    <row r="364" spans="2:7" x14ac:dyDescent="0.2">
      <c r="B364" s="130"/>
      <c r="C364" s="146"/>
    </row>
    <row r="365" spans="2:7" x14ac:dyDescent="0.2">
      <c r="B365" s="130"/>
      <c r="C365" s="146"/>
    </row>
    <row r="366" spans="2:7" x14ac:dyDescent="0.2">
      <c r="B366" s="130"/>
    </row>
    <row r="367" spans="2:7" x14ac:dyDescent="0.2">
      <c r="B367" s="130"/>
      <c r="C367" s="146"/>
    </row>
    <row r="368" spans="2:7" x14ac:dyDescent="0.2">
      <c r="B368" s="130"/>
    </row>
    <row r="369" spans="2:7" x14ac:dyDescent="0.2">
      <c r="B369" s="130"/>
    </row>
    <row r="370" spans="2:7" x14ac:dyDescent="0.2">
      <c r="B370" s="130"/>
      <c r="C370" s="146"/>
    </row>
    <row r="371" spans="2:7" x14ac:dyDescent="0.2">
      <c r="B371" s="130"/>
    </row>
    <row r="372" spans="2:7" x14ac:dyDescent="0.2">
      <c r="B372" s="130"/>
    </row>
    <row r="373" spans="2:7" x14ac:dyDescent="0.2">
      <c r="B373" s="130"/>
      <c r="C373" s="146"/>
    </row>
    <row r="374" spans="2:7" x14ac:dyDescent="0.2">
      <c r="B374" s="130"/>
    </row>
    <row r="375" spans="2:7" x14ac:dyDescent="0.2">
      <c r="B375" s="130"/>
    </row>
    <row r="376" spans="2:7" x14ac:dyDescent="0.2">
      <c r="B376" s="130"/>
      <c r="C376" s="146"/>
    </row>
    <row r="377" spans="2:7" x14ac:dyDescent="0.2">
      <c r="B377" s="130"/>
    </row>
    <row r="378" spans="2:7" x14ac:dyDescent="0.2">
      <c r="B378" s="130"/>
    </row>
    <row r="379" spans="2:7" x14ac:dyDescent="0.2">
      <c r="B379" s="130"/>
      <c r="C379" s="146"/>
    </row>
    <row r="380" spans="2:7" x14ac:dyDescent="0.2">
      <c r="B380" s="130"/>
    </row>
    <row r="381" spans="2:7" x14ac:dyDescent="0.2">
      <c r="B381" s="130"/>
    </row>
    <row r="382" spans="2:7" x14ac:dyDescent="0.2">
      <c r="B382" s="130"/>
      <c r="C382" s="146"/>
    </row>
    <row r="383" spans="2:7" x14ac:dyDescent="0.2">
      <c r="B383" s="130"/>
      <c r="C383" s="130"/>
      <c r="D383" s="113"/>
      <c r="E383" s="113"/>
      <c r="F383" s="113"/>
      <c r="G383" s="113"/>
    </row>
    <row r="384" spans="2:7" x14ac:dyDescent="0.2">
      <c r="B384" s="130"/>
      <c r="C384" s="146"/>
    </row>
    <row r="385" spans="2:3" x14ac:dyDescent="0.2">
      <c r="B385" s="130"/>
      <c r="C385" s="146"/>
    </row>
    <row r="386" spans="2:3" x14ac:dyDescent="0.2">
      <c r="B386" s="130"/>
      <c r="C386" s="146"/>
    </row>
    <row r="387" spans="2:3" x14ac:dyDescent="0.2">
      <c r="B387" s="130"/>
      <c r="C387" s="146"/>
    </row>
    <row r="389" spans="2:3" x14ac:dyDescent="0.2">
      <c r="B389" s="130"/>
      <c r="C389" s="146"/>
    </row>
    <row r="390" spans="2:3" x14ac:dyDescent="0.2">
      <c r="B390" s="130"/>
    </row>
    <row r="391" spans="2:3" x14ac:dyDescent="0.2">
      <c r="B391" s="130"/>
      <c r="C391" s="146"/>
    </row>
    <row r="392" spans="2:3" x14ac:dyDescent="0.2">
      <c r="B392" s="130"/>
      <c r="C392" s="146"/>
    </row>
    <row r="393" spans="2:3" x14ac:dyDescent="0.2">
      <c r="B393" s="130"/>
    </row>
    <row r="394" spans="2:3" x14ac:dyDescent="0.2">
      <c r="B394" s="130"/>
      <c r="C394" s="146"/>
    </row>
    <row r="395" spans="2:3" x14ac:dyDescent="0.2">
      <c r="B395" s="130"/>
    </row>
    <row r="396" spans="2:3" x14ac:dyDescent="0.2">
      <c r="B396" s="130"/>
    </row>
    <row r="397" spans="2:3" x14ac:dyDescent="0.2">
      <c r="B397" s="130"/>
      <c r="C397" s="146"/>
    </row>
    <row r="398" spans="2:3" x14ac:dyDescent="0.2">
      <c r="B398" s="130"/>
    </row>
    <row r="399" spans="2:3" x14ac:dyDescent="0.2">
      <c r="B399" s="130"/>
    </row>
    <row r="400" spans="2:3" x14ac:dyDescent="0.2">
      <c r="B400" s="130"/>
      <c r="C400" s="146"/>
    </row>
    <row r="401" spans="2:14" x14ac:dyDescent="0.2">
      <c r="B401" s="130"/>
    </row>
    <row r="402" spans="2:14" x14ac:dyDescent="0.2">
      <c r="B402" s="130"/>
    </row>
    <row r="403" spans="2:14" x14ac:dyDescent="0.2">
      <c r="B403" s="130"/>
      <c r="C403" s="146"/>
    </row>
    <row r="404" spans="2:14" x14ac:dyDescent="0.2">
      <c r="B404" s="130"/>
    </row>
    <row r="405" spans="2:14" x14ac:dyDescent="0.2">
      <c r="B405" s="130"/>
    </row>
    <row r="406" spans="2:14" x14ac:dyDescent="0.2">
      <c r="B406" s="130"/>
      <c r="C406" s="146"/>
    </row>
    <row r="407" spans="2:14" x14ac:dyDescent="0.2">
      <c r="B407" s="130"/>
    </row>
    <row r="408" spans="2:14" x14ac:dyDescent="0.2">
      <c r="B408" s="130"/>
    </row>
    <row r="409" spans="2:14" x14ac:dyDescent="0.2">
      <c r="B409" s="130"/>
      <c r="C409" s="146"/>
    </row>
    <row r="410" spans="2:14" x14ac:dyDescent="0.2">
      <c r="B410" s="130"/>
      <c r="C410" s="130"/>
      <c r="D410" s="113"/>
      <c r="E410" s="113"/>
      <c r="F410" s="113"/>
      <c r="G410" s="113"/>
    </row>
    <row r="411" spans="2:14" x14ac:dyDescent="0.2">
      <c r="B411" s="130"/>
      <c r="C411" s="130"/>
    </row>
    <row r="412" spans="2:14" x14ac:dyDescent="0.2">
      <c r="B412" s="150"/>
      <c r="C412" s="148"/>
      <c r="D412" s="151"/>
      <c r="E412" s="151"/>
      <c r="F412" s="151"/>
      <c r="G412" s="151"/>
      <c r="H412" s="148"/>
      <c r="I412" s="148"/>
      <c r="J412" s="148"/>
      <c r="K412" s="148"/>
      <c r="L412" s="148"/>
      <c r="M412" s="148"/>
      <c r="N412" s="148"/>
    </row>
    <row r="413" spans="2:14" x14ac:dyDescent="0.2">
      <c r="B413" s="130"/>
      <c r="C413" s="130"/>
    </row>
    <row r="414" spans="2:14" x14ac:dyDescent="0.2">
      <c r="B414" s="150"/>
      <c r="C414" s="148"/>
      <c r="D414" s="151"/>
      <c r="E414" s="151"/>
      <c r="F414" s="151"/>
      <c r="G414" s="151"/>
      <c r="H414" s="148"/>
      <c r="I414" s="148"/>
      <c r="J414" s="148"/>
      <c r="K414" s="148"/>
      <c r="L414" s="148"/>
      <c r="M414" s="148"/>
      <c r="N414" s="148"/>
    </row>
    <row r="415" spans="2:14" x14ac:dyDescent="0.2">
      <c r="B415" s="130"/>
      <c r="C415" s="130"/>
    </row>
    <row r="416" spans="2:14" x14ac:dyDescent="0.2">
      <c r="B416" s="129"/>
      <c r="C416" s="146"/>
    </row>
    <row r="417" spans="2:3" x14ac:dyDescent="0.2">
      <c r="B417" s="130"/>
      <c r="C417" s="146"/>
    </row>
    <row r="418" spans="2:3" x14ac:dyDescent="0.2">
      <c r="B418" s="130"/>
      <c r="C418" s="146"/>
    </row>
    <row r="419" spans="2:3" x14ac:dyDescent="0.2">
      <c r="B419" s="130"/>
      <c r="C419" s="146"/>
    </row>
    <row r="420" spans="2:3" x14ac:dyDescent="0.2">
      <c r="B420" s="130"/>
      <c r="C420" s="146"/>
    </row>
    <row r="421" spans="2:3" x14ac:dyDescent="0.2">
      <c r="B421" s="130"/>
      <c r="C421" s="146"/>
    </row>
    <row r="422" spans="2:3" x14ac:dyDescent="0.2">
      <c r="B422" s="130"/>
      <c r="C422" s="146"/>
    </row>
    <row r="423" spans="2:3" x14ac:dyDescent="0.2">
      <c r="B423" s="130"/>
    </row>
    <row r="424" spans="2:3" x14ac:dyDescent="0.2">
      <c r="B424" s="130"/>
      <c r="C424" s="146"/>
    </row>
    <row r="425" spans="2:3" x14ac:dyDescent="0.2">
      <c r="B425" s="130"/>
      <c r="C425" s="146"/>
    </row>
    <row r="426" spans="2:3" x14ac:dyDescent="0.2">
      <c r="B426" s="130"/>
    </row>
    <row r="427" spans="2:3" x14ac:dyDescent="0.2">
      <c r="B427" s="130"/>
    </row>
    <row r="428" spans="2:3" x14ac:dyDescent="0.2">
      <c r="B428" s="130"/>
      <c r="C428" s="146"/>
    </row>
    <row r="429" spans="2:3" x14ac:dyDescent="0.2">
      <c r="B429" s="130"/>
      <c r="C429" s="146"/>
    </row>
    <row r="430" spans="2:3" x14ac:dyDescent="0.2">
      <c r="B430" s="130"/>
    </row>
    <row r="431" spans="2:3" x14ac:dyDescent="0.2">
      <c r="B431" s="130"/>
    </row>
    <row r="432" spans="2:3" x14ac:dyDescent="0.2">
      <c r="B432" s="130"/>
      <c r="C432" s="146"/>
    </row>
    <row r="433" spans="2:7" x14ac:dyDescent="0.2">
      <c r="B433" s="130"/>
      <c r="C433" s="146"/>
    </row>
    <row r="434" spans="2:7" x14ac:dyDescent="0.2">
      <c r="B434" s="130"/>
    </row>
    <row r="435" spans="2:7" x14ac:dyDescent="0.2">
      <c r="B435" s="130"/>
    </row>
    <row r="436" spans="2:7" x14ac:dyDescent="0.2">
      <c r="B436" s="130"/>
      <c r="C436" s="146"/>
    </row>
    <row r="437" spans="2:7" x14ac:dyDescent="0.2">
      <c r="B437" s="130"/>
      <c r="C437" s="146"/>
    </row>
    <row r="438" spans="2:7" x14ac:dyDescent="0.2">
      <c r="B438" s="130"/>
      <c r="C438" s="130"/>
    </row>
    <row r="439" spans="2:7" x14ac:dyDescent="0.2">
      <c r="B439" s="130"/>
      <c r="C439" s="130"/>
      <c r="D439" s="113"/>
      <c r="E439" s="113"/>
      <c r="F439" s="113"/>
      <c r="G439" s="113"/>
    </row>
    <row r="440" spans="2:7" x14ac:dyDescent="0.2">
      <c r="B440" s="130"/>
      <c r="C440" s="130"/>
    </row>
    <row r="441" spans="2:7" x14ac:dyDescent="0.2">
      <c r="B441" s="157"/>
      <c r="C441" s="146"/>
    </row>
    <row r="442" spans="2:7" x14ac:dyDescent="0.2">
      <c r="B442" s="130"/>
      <c r="C442" s="146"/>
    </row>
    <row r="443" spans="2:7" x14ac:dyDescent="0.2">
      <c r="B443" s="130"/>
      <c r="C443" s="146"/>
    </row>
    <row r="444" spans="2:7" x14ac:dyDescent="0.2">
      <c r="B444" s="130"/>
      <c r="C444" s="146"/>
    </row>
    <row r="445" spans="2:7" x14ac:dyDescent="0.2">
      <c r="B445" s="130"/>
      <c r="C445" s="146"/>
    </row>
    <row r="446" spans="2:7" x14ac:dyDescent="0.2">
      <c r="B446" s="130"/>
      <c r="C446" s="130"/>
    </row>
    <row r="447" spans="2:7" x14ac:dyDescent="0.2">
      <c r="B447" s="130"/>
      <c r="C447" s="146"/>
    </row>
    <row r="448" spans="2:7" x14ac:dyDescent="0.2">
      <c r="B448" s="130"/>
    </row>
    <row r="449" spans="2:7" x14ac:dyDescent="0.2">
      <c r="B449" s="130"/>
      <c r="C449" s="146"/>
    </row>
    <row r="450" spans="2:7" x14ac:dyDescent="0.2">
      <c r="B450" s="130"/>
      <c r="C450" s="146"/>
    </row>
    <row r="451" spans="2:7" x14ac:dyDescent="0.2">
      <c r="B451" s="130"/>
    </row>
    <row r="452" spans="2:7" x14ac:dyDescent="0.2">
      <c r="B452" s="130"/>
    </row>
    <row r="453" spans="2:7" x14ac:dyDescent="0.2">
      <c r="B453" s="130"/>
      <c r="C453" s="146"/>
    </row>
    <row r="454" spans="2:7" x14ac:dyDescent="0.2">
      <c r="B454" s="130"/>
      <c r="C454" s="146"/>
    </row>
    <row r="455" spans="2:7" x14ac:dyDescent="0.2">
      <c r="B455" s="130"/>
    </row>
    <row r="456" spans="2:7" x14ac:dyDescent="0.2">
      <c r="B456" s="130"/>
    </row>
    <row r="457" spans="2:7" x14ac:dyDescent="0.2">
      <c r="B457" s="130"/>
      <c r="C457" s="146"/>
    </row>
    <row r="458" spans="2:7" x14ac:dyDescent="0.2">
      <c r="B458" s="130"/>
      <c r="C458" s="146"/>
    </row>
    <row r="459" spans="2:7" x14ac:dyDescent="0.2">
      <c r="B459" s="130"/>
    </row>
    <row r="460" spans="2:7" x14ac:dyDescent="0.2">
      <c r="B460" s="130"/>
    </row>
    <row r="461" spans="2:7" x14ac:dyDescent="0.2">
      <c r="B461" s="130"/>
      <c r="C461" s="146"/>
    </row>
    <row r="462" spans="2:7" x14ac:dyDescent="0.2">
      <c r="B462" s="130"/>
      <c r="C462" s="146"/>
    </row>
    <row r="463" spans="2:7" x14ac:dyDescent="0.2">
      <c r="B463" s="130"/>
      <c r="C463" s="130"/>
    </row>
    <row r="464" spans="2:7" x14ac:dyDescent="0.2">
      <c r="B464" s="130"/>
      <c r="C464" s="130"/>
      <c r="D464" s="113"/>
      <c r="E464" s="113"/>
      <c r="F464" s="113"/>
      <c r="G464" s="113"/>
    </row>
    <row r="465" spans="2:14" x14ac:dyDescent="0.2">
      <c r="B465" s="130"/>
      <c r="C465" s="130"/>
    </row>
    <row r="466" spans="2:14" x14ac:dyDescent="0.2">
      <c r="B466" s="150"/>
      <c r="C466" s="148"/>
      <c r="D466" s="151"/>
      <c r="E466" s="151"/>
      <c r="F466" s="151"/>
      <c r="G466" s="151"/>
      <c r="H466" s="148"/>
      <c r="I466" s="148"/>
      <c r="J466" s="148"/>
      <c r="K466" s="148"/>
      <c r="L466" s="148"/>
      <c r="M466" s="148"/>
      <c r="N466" s="148"/>
    </row>
    <row r="467" spans="2:14" x14ac:dyDescent="0.2">
      <c r="B467" s="130"/>
      <c r="C467" s="130"/>
    </row>
    <row r="468" spans="2:14" x14ac:dyDescent="0.2">
      <c r="B468" s="129"/>
      <c r="C468" s="130"/>
    </row>
    <row r="469" spans="2:14" x14ac:dyDescent="0.2">
      <c r="B469" s="129"/>
      <c r="C469" s="130"/>
    </row>
    <row r="470" spans="2:14" x14ac:dyDescent="0.2">
      <c r="B470" s="130"/>
      <c r="C470" s="130"/>
    </row>
    <row r="471" spans="2:14" x14ac:dyDescent="0.2">
      <c r="B471" s="130"/>
      <c r="C471" s="130"/>
    </row>
    <row r="472" spans="2:14" x14ac:dyDescent="0.2">
      <c r="B472" s="130"/>
    </row>
    <row r="473" spans="2:14" x14ac:dyDescent="0.2">
      <c r="B473" s="130"/>
      <c r="C473" s="146"/>
    </row>
    <row r="474" spans="2:14" x14ac:dyDescent="0.2">
      <c r="B474" s="130"/>
      <c r="C474" s="146"/>
    </row>
    <row r="475" spans="2:14" x14ac:dyDescent="0.2">
      <c r="B475" s="130"/>
    </row>
    <row r="476" spans="2:14" x14ac:dyDescent="0.2">
      <c r="B476" s="130"/>
    </row>
    <row r="477" spans="2:14" x14ac:dyDescent="0.2">
      <c r="B477" s="130"/>
      <c r="C477" s="146"/>
    </row>
    <row r="478" spans="2:14" x14ac:dyDescent="0.2">
      <c r="B478" s="130"/>
      <c r="C478" s="146"/>
    </row>
    <row r="479" spans="2:14" x14ac:dyDescent="0.2">
      <c r="B479" s="130"/>
    </row>
    <row r="480" spans="2:14" x14ac:dyDescent="0.2">
      <c r="B480" s="130"/>
    </row>
    <row r="481" spans="2:7" x14ac:dyDescent="0.2">
      <c r="B481" s="130"/>
      <c r="C481" s="146"/>
    </row>
    <row r="482" spans="2:7" x14ac:dyDescent="0.2">
      <c r="B482" s="130"/>
      <c r="C482" s="146"/>
    </row>
    <row r="483" spans="2:7" x14ac:dyDescent="0.2">
      <c r="B483" s="130"/>
    </row>
    <row r="484" spans="2:7" x14ac:dyDescent="0.2">
      <c r="B484" s="130"/>
    </row>
    <row r="485" spans="2:7" x14ac:dyDescent="0.2">
      <c r="B485" s="130"/>
      <c r="C485" s="146"/>
    </row>
    <row r="486" spans="2:7" x14ac:dyDescent="0.2">
      <c r="B486" s="130"/>
      <c r="C486" s="146"/>
    </row>
    <row r="487" spans="2:7" x14ac:dyDescent="0.2">
      <c r="B487" s="130"/>
      <c r="C487" s="130"/>
    </row>
    <row r="488" spans="2:7" x14ac:dyDescent="0.2">
      <c r="B488" s="130"/>
      <c r="C488" s="130"/>
      <c r="D488" s="113"/>
      <c r="E488" s="113"/>
      <c r="F488" s="113"/>
      <c r="G488" s="113"/>
    </row>
    <row r="489" spans="2:7" x14ac:dyDescent="0.2">
      <c r="B489" s="130"/>
      <c r="C489" s="130"/>
    </row>
    <row r="490" spans="2:7" x14ac:dyDescent="0.2">
      <c r="B490" s="129"/>
      <c r="C490" s="130"/>
    </row>
    <row r="491" spans="2:7" x14ac:dyDescent="0.2">
      <c r="B491" s="129"/>
      <c r="C491" s="130"/>
    </row>
    <row r="492" spans="2:7" x14ac:dyDescent="0.2">
      <c r="B492" s="130"/>
      <c r="C492" s="130"/>
    </row>
    <row r="493" spans="2:7" x14ac:dyDescent="0.2">
      <c r="B493" s="130"/>
      <c r="C493" s="130"/>
    </row>
    <row r="494" spans="2:7" x14ac:dyDescent="0.2">
      <c r="B494" s="130"/>
    </row>
    <row r="495" spans="2:7" x14ac:dyDescent="0.2">
      <c r="B495" s="130"/>
      <c r="C495" s="146"/>
    </row>
    <row r="496" spans="2:7" x14ac:dyDescent="0.2">
      <c r="B496" s="130"/>
      <c r="C496" s="146"/>
    </row>
    <row r="497" spans="2:7" x14ac:dyDescent="0.2">
      <c r="B497" s="130"/>
    </row>
    <row r="498" spans="2:7" x14ac:dyDescent="0.2">
      <c r="B498" s="130"/>
    </row>
    <row r="499" spans="2:7" x14ac:dyDescent="0.2">
      <c r="B499" s="130"/>
      <c r="C499" s="146"/>
    </row>
    <row r="500" spans="2:7" x14ac:dyDescent="0.2">
      <c r="B500" s="130"/>
      <c r="C500" s="146"/>
    </row>
    <row r="501" spans="2:7" x14ac:dyDescent="0.2">
      <c r="B501" s="130"/>
    </row>
    <row r="502" spans="2:7" x14ac:dyDescent="0.2">
      <c r="B502" s="130"/>
    </row>
    <row r="503" spans="2:7" x14ac:dyDescent="0.2">
      <c r="B503" s="130"/>
      <c r="C503" s="146"/>
    </row>
    <row r="504" spans="2:7" x14ac:dyDescent="0.2">
      <c r="B504" s="130"/>
      <c r="C504" s="146"/>
    </row>
    <row r="505" spans="2:7" x14ac:dyDescent="0.2">
      <c r="B505" s="130"/>
    </row>
    <row r="506" spans="2:7" x14ac:dyDescent="0.2">
      <c r="B506" s="130"/>
    </row>
    <row r="507" spans="2:7" x14ac:dyDescent="0.2">
      <c r="B507" s="130"/>
      <c r="C507" s="146"/>
    </row>
    <row r="508" spans="2:7" x14ac:dyDescent="0.2">
      <c r="B508" s="130"/>
      <c r="C508" s="146"/>
    </row>
    <row r="509" spans="2:7" x14ac:dyDescent="0.2">
      <c r="B509" s="130"/>
      <c r="C509" s="130"/>
    </row>
    <row r="510" spans="2:7" x14ac:dyDescent="0.2">
      <c r="B510" s="130"/>
      <c r="C510" s="130"/>
      <c r="D510" s="113"/>
      <c r="E510" s="113"/>
      <c r="F510" s="113"/>
      <c r="G510" s="113"/>
    </row>
    <row r="511" spans="2:7" x14ac:dyDescent="0.2">
      <c r="B511" s="130"/>
    </row>
    <row r="512" spans="2:7" s="148" customFormat="1" x14ac:dyDescent="0.2">
      <c r="B512" s="150"/>
      <c r="D512" s="151"/>
      <c r="E512" s="151"/>
      <c r="F512" s="151"/>
      <c r="G512" s="151"/>
    </row>
    <row r="513" spans="2:14" s="148" customFormat="1" x14ac:dyDescent="0.2">
      <c r="B513" s="150"/>
      <c r="D513" s="151"/>
      <c r="E513" s="151"/>
      <c r="F513" s="151"/>
      <c r="G513" s="151"/>
    </row>
    <row r="514" spans="2:14" x14ac:dyDescent="0.2">
      <c r="B514" s="150"/>
      <c r="C514" s="148"/>
      <c r="D514" s="151"/>
      <c r="E514" s="151"/>
      <c r="F514" s="151"/>
      <c r="G514" s="151"/>
      <c r="H514" s="148"/>
      <c r="I514" s="148"/>
      <c r="J514" s="148"/>
      <c r="K514" s="148"/>
      <c r="L514" s="148"/>
      <c r="M514" s="148"/>
      <c r="N514" s="148"/>
    </row>
    <row r="515" spans="2:14" x14ac:dyDescent="0.2">
      <c r="B515" s="130"/>
      <c r="C515" s="130"/>
    </row>
    <row r="516" spans="2:14" x14ac:dyDescent="0.2">
      <c r="B516" s="150"/>
      <c r="C516" s="148"/>
      <c r="D516" s="151"/>
      <c r="E516" s="151"/>
      <c r="F516" s="151"/>
      <c r="G516" s="151"/>
      <c r="H516" s="148"/>
      <c r="I516" s="148"/>
      <c r="J516" s="148"/>
      <c r="K516" s="148"/>
      <c r="L516" s="148"/>
      <c r="M516" s="148"/>
      <c r="N516" s="148"/>
    </row>
    <row r="517" spans="2:14" x14ac:dyDescent="0.2">
      <c r="B517" s="130"/>
      <c r="C517" s="130"/>
    </row>
    <row r="518" spans="2:14" x14ac:dyDescent="0.2">
      <c r="B518" s="129"/>
    </row>
    <row r="519" spans="2:14" x14ac:dyDescent="0.2">
      <c r="B519" s="130"/>
    </row>
    <row r="520" spans="2:14" x14ac:dyDescent="0.2">
      <c r="C520" s="158"/>
    </row>
    <row r="521" spans="2:14" x14ac:dyDescent="0.2">
      <c r="C521" s="158"/>
    </row>
    <row r="522" spans="2:14" x14ac:dyDescent="0.2">
      <c r="C522" s="158"/>
    </row>
    <row r="523" spans="2:14" x14ac:dyDescent="0.2">
      <c r="C523" s="158"/>
    </row>
    <row r="524" spans="2:14" x14ac:dyDescent="0.2">
      <c r="B524" s="129"/>
    </row>
    <row r="525" spans="2:14" x14ac:dyDescent="0.2">
      <c r="C525" s="158"/>
    </row>
    <row r="526" spans="2:14" x14ac:dyDescent="0.2">
      <c r="C526" s="158"/>
    </row>
    <row r="527" spans="2:14" x14ac:dyDescent="0.2">
      <c r="C527" s="158"/>
    </row>
    <row r="528" spans="2:14" x14ac:dyDescent="0.2">
      <c r="C528" s="158"/>
    </row>
    <row r="529" spans="2:14" x14ac:dyDescent="0.2">
      <c r="C529" s="158"/>
    </row>
    <row r="530" spans="2:14" x14ac:dyDescent="0.2">
      <c r="B530" s="150"/>
      <c r="C530" s="148"/>
      <c r="D530" s="151"/>
      <c r="E530" s="151"/>
      <c r="F530" s="151"/>
      <c r="G530" s="151"/>
      <c r="H530" s="148"/>
      <c r="I530" s="148"/>
      <c r="J530" s="148"/>
      <c r="K530" s="148"/>
      <c r="L530" s="148"/>
      <c r="M530" s="148"/>
      <c r="N530" s="148"/>
    </row>
    <row r="531" spans="2:14" x14ac:dyDescent="0.2">
      <c r="B531" s="130"/>
    </row>
    <row r="532" spans="2:14" x14ac:dyDescent="0.2">
      <c r="B532" s="129"/>
    </row>
    <row r="533" spans="2:14" x14ac:dyDescent="0.2">
      <c r="C533" s="146"/>
    </row>
    <row r="534" spans="2:14" x14ac:dyDescent="0.2">
      <c r="C534" s="158"/>
    </row>
    <row r="535" spans="2:14" x14ac:dyDescent="0.2">
      <c r="C535" s="158"/>
    </row>
    <row r="536" spans="2:14" x14ac:dyDescent="0.2">
      <c r="C536" s="158"/>
    </row>
    <row r="537" spans="2:14" x14ac:dyDescent="0.2">
      <c r="C537" s="158"/>
    </row>
    <row r="538" spans="2:14" x14ac:dyDescent="0.2">
      <c r="B538" s="129"/>
    </row>
    <row r="539" spans="2:14" x14ac:dyDescent="0.2">
      <c r="C539" s="158"/>
    </row>
    <row r="540" spans="2:14" x14ac:dyDescent="0.2">
      <c r="C540" s="158"/>
    </row>
    <row r="541" spans="2:14" x14ac:dyDescent="0.2">
      <c r="C541" s="158"/>
    </row>
    <row r="542" spans="2:14" x14ac:dyDescent="0.2">
      <c r="C542" s="158"/>
    </row>
    <row r="543" spans="2:14" x14ac:dyDescent="0.2">
      <c r="C543" s="158"/>
    </row>
    <row r="544" spans="2:14" x14ac:dyDescent="0.2">
      <c r="B544" s="150"/>
      <c r="C544" s="148"/>
      <c r="D544" s="151"/>
      <c r="E544" s="151"/>
      <c r="F544" s="151"/>
      <c r="G544" s="151"/>
      <c r="H544" s="148"/>
      <c r="I544" s="148"/>
      <c r="J544" s="148"/>
      <c r="K544" s="148"/>
      <c r="L544" s="148"/>
      <c r="M544" s="148"/>
      <c r="N544" s="148"/>
    </row>
    <row r="545" spans="2:14" x14ac:dyDescent="0.2">
      <c r="B545" s="130"/>
      <c r="C545" s="130"/>
    </row>
    <row r="546" spans="2:14" x14ac:dyDescent="0.2">
      <c r="B546" s="150"/>
      <c r="C546" s="148"/>
      <c r="D546" s="151"/>
      <c r="E546" s="151"/>
      <c r="F546" s="151"/>
      <c r="G546" s="151"/>
      <c r="H546" s="148"/>
      <c r="I546" s="148"/>
      <c r="J546" s="148"/>
      <c r="K546" s="148"/>
      <c r="L546" s="148"/>
      <c r="M546" s="148"/>
      <c r="N546" s="148"/>
    </row>
    <row r="547" spans="2:14" x14ac:dyDescent="0.2">
      <c r="B547" s="130"/>
      <c r="C547" s="130"/>
    </row>
    <row r="548" spans="2:14" x14ac:dyDescent="0.2">
      <c r="B548" s="129"/>
    </row>
    <row r="549" spans="2:14" x14ac:dyDescent="0.2">
      <c r="B549" s="130"/>
    </row>
    <row r="550" spans="2:14" x14ac:dyDescent="0.2">
      <c r="C550" s="158"/>
    </row>
    <row r="551" spans="2:14" x14ac:dyDescent="0.2">
      <c r="C551" s="158"/>
    </row>
    <row r="552" spans="2:14" x14ac:dyDescent="0.2">
      <c r="C552" s="158"/>
    </row>
    <row r="553" spans="2:14" x14ac:dyDescent="0.2">
      <c r="C553" s="158"/>
    </row>
    <row r="554" spans="2:14" x14ac:dyDescent="0.2">
      <c r="B554" s="129"/>
    </row>
    <row r="555" spans="2:14" x14ac:dyDescent="0.2">
      <c r="C555" s="158"/>
    </row>
    <row r="556" spans="2:14" x14ac:dyDescent="0.2">
      <c r="C556" s="158"/>
    </row>
    <row r="557" spans="2:14" x14ac:dyDescent="0.2">
      <c r="C557" s="158"/>
    </row>
    <row r="558" spans="2:14" x14ac:dyDescent="0.2">
      <c r="C558" s="158"/>
    </row>
    <row r="559" spans="2:14" x14ac:dyDescent="0.2">
      <c r="C559" s="158"/>
    </row>
    <row r="560" spans="2:14" x14ac:dyDescent="0.2">
      <c r="B560" s="150"/>
      <c r="C560" s="148"/>
      <c r="D560" s="151"/>
      <c r="E560" s="151"/>
      <c r="F560" s="151"/>
      <c r="G560" s="151"/>
      <c r="H560" s="148"/>
      <c r="I560" s="148"/>
      <c r="J560" s="148"/>
      <c r="K560" s="148"/>
      <c r="L560" s="148"/>
      <c r="M560" s="148"/>
      <c r="N560" s="148"/>
    </row>
    <row r="561" spans="1:14" x14ac:dyDescent="0.2">
      <c r="B561" s="130"/>
    </row>
    <row r="562" spans="1:14" x14ac:dyDescent="0.2">
      <c r="B562" s="129"/>
    </row>
    <row r="563" spans="1:14" x14ac:dyDescent="0.2">
      <c r="C563" s="146"/>
    </row>
    <row r="564" spans="1:14" x14ac:dyDescent="0.2">
      <c r="C564" s="158"/>
    </row>
    <row r="565" spans="1:14" x14ac:dyDescent="0.2">
      <c r="C565" s="158"/>
    </row>
    <row r="566" spans="1:14" x14ac:dyDescent="0.2">
      <c r="C566" s="158"/>
    </row>
    <row r="567" spans="1:14" x14ac:dyDescent="0.2">
      <c r="C567" s="158"/>
    </row>
    <row r="568" spans="1:14" x14ac:dyDescent="0.2">
      <c r="B568" s="129"/>
    </row>
    <row r="569" spans="1:14" x14ac:dyDescent="0.2">
      <c r="C569" s="158"/>
    </row>
    <row r="570" spans="1:14" x14ac:dyDescent="0.2">
      <c r="C570" s="158"/>
    </row>
    <row r="571" spans="1:14" x14ac:dyDescent="0.2">
      <c r="C571" s="158"/>
    </row>
    <row r="572" spans="1:14" x14ac:dyDescent="0.2">
      <c r="C572" s="158"/>
    </row>
    <row r="573" spans="1:14" x14ac:dyDescent="0.2">
      <c r="C573" s="158"/>
    </row>
    <row r="574" spans="1:14" x14ac:dyDescent="0.2">
      <c r="B574" s="150"/>
      <c r="C574" s="148"/>
      <c r="D574" s="151"/>
      <c r="E574" s="151"/>
      <c r="F574" s="151"/>
      <c r="G574" s="151"/>
      <c r="H574" s="148"/>
      <c r="I574" s="148"/>
      <c r="J574" s="148"/>
      <c r="K574" s="148"/>
      <c r="L574" s="148"/>
      <c r="M574" s="148"/>
      <c r="N574" s="148"/>
    </row>
    <row r="575" spans="1:14" x14ac:dyDescent="0.2">
      <c r="B575" s="130"/>
      <c r="C575" s="130"/>
    </row>
    <row r="576" spans="1:14" x14ac:dyDescent="0.2">
      <c r="A576" s="116"/>
      <c r="B576" s="150"/>
      <c r="C576" s="150"/>
      <c r="D576" s="150"/>
      <c r="E576" s="150"/>
      <c r="F576" s="150"/>
      <c r="G576" s="150"/>
    </row>
    <row r="577" spans="1:14" x14ac:dyDescent="0.2">
      <c r="A577" s="116"/>
      <c r="B577" s="130"/>
      <c r="C577" s="130"/>
    </row>
    <row r="578" spans="1:14" x14ac:dyDescent="0.2">
      <c r="B578" s="150"/>
      <c r="C578" s="148"/>
      <c r="D578" s="151"/>
      <c r="E578" s="151"/>
      <c r="F578" s="151"/>
      <c r="G578" s="151"/>
      <c r="H578" s="148"/>
      <c r="I578" s="148"/>
      <c r="J578" s="148"/>
      <c r="K578" s="148"/>
      <c r="L578" s="148"/>
      <c r="M578" s="148"/>
      <c r="N578" s="148"/>
    </row>
    <row r="579" spans="1:14" x14ac:dyDescent="0.2">
      <c r="B579" s="130"/>
      <c r="C579" s="130"/>
    </row>
    <row r="580" spans="1:14" x14ac:dyDescent="0.2">
      <c r="B580" s="129"/>
    </row>
    <row r="581" spans="1:14" x14ac:dyDescent="0.2">
      <c r="B581" s="130"/>
    </row>
    <row r="582" spans="1:14" x14ac:dyDescent="0.2">
      <c r="C582" s="158"/>
    </row>
    <row r="583" spans="1:14" x14ac:dyDescent="0.2">
      <c r="C583" s="158"/>
    </row>
    <row r="584" spans="1:14" x14ac:dyDescent="0.2">
      <c r="C584" s="158"/>
    </row>
    <row r="585" spans="1:14" x14ac:dyDescent="0.2">
      <c r="C585" s="158"/>
    </row>
    <row r="586" spans="1:14" x14ac:dyDescent="0.2">
      <c r="C586" s="158"/>
    </row>
    <row r="587" spans="1:14" x14ac:dyDescent="0.2">
      <c r="C587" s="158"/>
    </row>
    <row r="588" spans="1:14" x14ac:dyDescent="0.2">
      <c r="B588" s="129"/>
    </row>
    <row r="589" spans="1:14" x14ac:dyDescent="0.2">
      <c r="C589" s="158"/>
    </row>
    <row r="590" spans="1:14" x14ac:dyDescent="0.2">
      <c r="C590" s="158"/>
    </row>
    <row r="591" spans="1:14" x14ac:dyDescent="0.2">
      <c r="C591" s="158"/>
    </row>
    <row r="592" spans="1:14" x14ac:dyDescent="0.2">
      <c r="C592" s="158"/>
    </row>
    <row r="593" spans="2:14" x14ac:dyDescent="0.2">
      <c r="C593" s="158"/>
    </row>
    <row r="594" spans="2:14" x14ac:dyDescent="0.2">
      <c r="C594" s="158"/>
    </row>
    <row r="595" spans="2:14" x14ac:dyDescent="0.2">
      <c r="C595" s="158"/>
    </row>
    <row r="596" spans="2:14" x14ac:dyDescent="0.2">
      <c r="B596" s="150"/>
      <c r="C596" s="148"/>
      <c r="D596" s="151"/>
      <c r="E596" s="151"/>
      <c r="F596" s="151"/>
      <c r="G596" s="151"/>
      <c r="H596" s="148"/>
      <c r="I596" s="148"/>
      <c r="J596" s="148"/>
      <c r="K596" s="148"/>
      <c r="L596" s="148"/>
      <c r="M596" s="148"/>
      <c r="N596" s="148"/>
    </row>
    <row r="597" spans="2:14" x14ac:dyDescent="0.2">
      <c r="B597" s="130"/>
    </row>
    <row r="598" spans="2:14" x14ac:dyDescent="0.2">
      <c r="B598" s="129"/>
    </row>
    <row r="599" spans="2:14" x14ac:dyDescent="0.2">
      <c r="C599" s="146"/>
    </row>
    <row r="600" spans="2:14" x14ac:dyDescent="0.2">
      <c r="C600" s="158"/>
    </row>
    <row r="601" spans="2:14" x14ac:dyDescent="0.2">
      <c r="C601" s="158"/>
    </row>
    <row r="602" spans="2:14" x14ac:dyDescent="0.2">
      <c r="C602" s="158"/>
    </row>
    <row r="603" spans="2:14" x14ac:dyDescent="0.2">
      <c r="C603" s="158"/>
    </row>
    <row r="604" spans="2:14" x14ac:dyDescent="0.2">
      <c r="C604" s="158"/>
    </row>
    <row r="605" spans="2:14" x14ac:dyDescent="0.2">
      <c r="C605" s="158"/>
    </row>
    <row r="606" spans="2:14" x14ac:dyDescent="0.2">
      <c r="B606" s="129"/>
    </row>
    <row r="607" spans="2:14" x14ac:dyDescent="0.2">
      <c r="C607" s="158"/>
    </row>
    <row r="608" spans="2:14" x14ac:dyDescent="0.2">
      <c r="C608" s="158"/>
    </row>
    <row r="609" spans="2:14" x14ac:dyDescent="0.2">
      <c r="C609" s="158"/>
    </row>
    <row r="610" spans="2:14" x14ac:dyDescent="0.2">
      <c r="C610" s="158"/>
    </row>
    <row r="611" spans="2:14" x14ac:dyDescent="0.2">
      <c r="C611" s="158"/>
    </row>
    <row r="612" spans="2:14" x14ac:dyDescent="0.2">
      <c r="C612" s="158"/>
    </row>
    <row r="613" spans="2:14" x14ac:dyDescent="0.2">
      <c r="C613" s="158"/>
    </row>
    <row r="615" spans="2:14" x14ac:dyDescent="0.2">
      <c r="B615" s="127"/>
      <c r="C615" s="127"/>
      <c r="D615" s="128"/>
      <c r="E615" s="128"/>
      <c r="F615" s="128"/>
      <c r="G615" s="128"/>
      <c r="H615" s="127"/>
      <c r="I615" s="127"/>
      <c r="J615" s="127"/>
      <c r="K615" s="127"/>
      <c r="L615" s="127"/>
      <c r="M615" s="127"/>
      <c r="N615" s="127"/>
    </row>
    <row r="616" spans="2:14" x14ac:dyDescent="0.2">
      <c r="B616" s="127"/>
      <c r="C616" s="127"/>
      <c r="D616" s="128"/>
      <c r="E616" s="128"/>
      <c r="F616" s="128"/>
      <c r="G616" s="128"/>
      <c r="H616" s="127"/>
      <c r="I616" s="127"/>
      <c r="J616" s="127"/>
      <c r="K616" s="127"/>
      <c r="L616" s="127"/>
      <c r="M616" s="127"/>
      <c r="N616" s="127"/>
    </row>
    <row r="617" spans="2:14" x14ac:dyDescent="0.2">
      <c r="B617" s="127"/>
    </row>
    <row r="618" spans="2:14" x14ac:dyDescent="0.2">
      <c r="B618" s="149"/>
      <c r="C618" s="146"/>
    </row>
    <row r="619" spans="2:14" x14ac:dyDescent="0.2">
      <c r="B619" s="147"/>
      <c r="C619" s="147"/>
    </row>
    <row r="620" spans="2:14" s="130" customFormat="1" x14ac:dyDescent="0.2">
      <c r="B620" s="147"/>
      <c r="C620" s="147"/>
      <c r="D620" s="112"/>
      <c r="E620" s="112"/>
      <c r="F620" s="112"/>
      <c r="G620" s="112"/>
    </row>
    <row r="621" spans="2:14" x14ac:dyDescent="0.2">
      <c r="B621" s="146"/>
      <c r="C621" s="146"/>
      <c r="H621" s="159"/>
      <c r="I621" s="159"/>
      <c r="J621" s="159"/>
      <c r="K621" s="159"/>
      <c r="L621" s="159"/>
      <c r="M621" s="159"/>
      <c r="N621" s="159"/>
    </row>
    <row r="622" spans="2:14" x14ac:dyDescent="0.2">
      <c r="B622" s="146"/>
      <c r="C622" s="146"/>
      <c r="H622" s="159"/>
      <c r="I622" s="159"/>
      <c r="J622" s="159"/>
      <c r="K622" s="159"/>
      <c r="L622" s="159"/>
      <c r="M622" s="159"/>
      <c r="N622" s="159"/>
    </row>
    <row r="623" spans="2:14" x14ac:dyDescent="0.2">
      <c r="B623" s="146"/>
      <c r="C623" s="146"/>
      <c r="H623" s="159"/>
      <c r="I623" s="159"/>
      <c r="J623" s="159"/>
      <c r="K623" s="159"/>
      <c r="L623" s="159"/>
      <c r="M623" s="159"/>
      <c r="N623" s="159"/>
    </row>
    <row r="624" spans="2:14" x14ac:dyDescent="0.2">
      <c r="B624" s="146"/>
      <c r="C624" s="146"/>
      <c r="H624" s="159"/>
      <c r="I624" s="159"/>
      <c r="J624" s="159"/>
      <c r="K624" s="159"/>
      <c r="L624" s="159"/>
      <c r="M624" s="159"/>
      <c r="N624" s="159"/>
    </row>
    <row r="625" spans="2:14" s="130" customFormat="1" x14ac:dyDescent="0.2">
      <c r="B625" s="147"/>
      <c r="C625" s="147"/>
      <c r="D625" s="112"/>
      <c r="E625" s="112"/>
      <c r="F625" s="112"/>
      <c r="G625" s="112"/>
      <c r="H625" s="160"/>
      <c r="I625" s="160"/>
      <c r="J625" s="160"/>
      <c r="K625" s="160"/>
      <c r="L625" s="160"/>
      <c r="M625" s="160"/>
      <c r="N625" s="160"/>
    </row>
    <row r="626" spans="2:14" x14ac:dyDescent="0.2">
      <c r="B626" s="146"/>
      <c r="C626" s="146"/>
      <c r="H626" s="159"/>
      <c r="I626" s="159"/>
      <c r="J626" s="159"/>
      <c r="K626" s="159"/>
      <c r="L626" s="159"/>
      <c r="M626" s="159"/>
      <c r="N626" s="159"/>
    </row>
    <row r="627" spans="2:14" x14ac:dyDescent="0.2">
      <c r="B627" s="146"/>
      <c r="C627" s="146"/>
      <c r="H627" s="159"/>
      <c r="I627" s="159"/>
      <c r="J627" s="159"/>
      <c r="K627" s="159"/>
      <c r="L627" s="159"/>
      <c r="M627" s="159"/>
      <c r="N627" s="159"/>
    </row>
    <row r="628" spans="2:14" s="130" customFormat="1" x14ac:dyDescent="0.2">
      <c r="B628" s="147"/>
      <c r="C628" s="147"/>
      <c r="D628" s="112"/>
      <c r="E628" s="112"/>
      <c r="F628" s="112"/>
      <c r="G628" s="112"/>
      <c r="H628" s="160"/>
      <c r="I628" s="160"/>
      <c r="J628" s="160"/>
      <c r="K628" s="160"/>
      <c r="L628" s="160"/>
      <c r="M628" s="160"/>
      <c r="N628" s="160"/>
    </row>
    <row r="629" spans="2:14" x14ac:dyDescent="0.2">
      <c r="B629" s="146"/>
      <c r="C629" s="146"/>
      <c r="H629" s="159"/>
      <c r="I629" s="159"/>
      <c r="J629" s="159"/>
      <c r="K629" s="159"/>
      <c r="L629" s="159"/>
      <c r="M629" s="159"/>
      <c r="N629" s="159"/>
    </row>
    <row r="630" spans="2:14" x14ac:dyDescent="0.2">
      <c r="B630" s="146"/>
      <c r="C630" s="146"/>
      <c r="H630" s="159"/>
      <c r="I630" s="159"/>
      <c r="J630" s="159"/>
      <c r="K630" s="159"/>
      <c r="L630" s="159"/>
      <c r="M630" s="159"/>
      <c r="N630" s="159"/>
    </row>
    <row r="631" spans="2:14" s="130" customFormat="1" x14ac:dyDescent="0.2">
      <c r="B631" s="147"/>
      <c r="C631" s="147"/>
      <c r="D631" s="112"/>
      <c r="E631" s="112"/>
      <c r="F631" s="112"/>
      <c r="G631" s="112"/>
      <c r="H631" s="160"/>
      <c r="I631" s="160"/>
      <c r="J631" s="160"/>
      <c r="K631" s="160"/>
      <c r="L631" s="160"/>
      <c r="M631" s="160"/>
      <c r="N631" s="160"/>
    </row>
    <row r="632" spans="2:14" x14ac:dyDescent="0.2">
      <c r="B632" s="146"/>
      <c r="C632" s="146"/>
      <c r="H632" s="159"/>
      <c r="I632" s="159"/>
      <c r="J632" s="159"/>
      <c r="K632" s="159"/>
      <c r="L632" s="159"/>
      <c r="M632" s="159"/>
      <c r="N632" s="159"/>
    </row>
    <row r="633" spans="2:14" s="130" customFormat="1" x14ac:dyDescent="0.2">
      <c r="B633" s="147"/>
      <c r="C633" s="147"/>
      <c r="D633" s="112"/>
      <c r="E633" s="112"/>
      <c r="F633" s="112"/>
      <c r="G633" s="112"/>
      <c r="H633" s="160"/>
      <c r="I633" s="160"/>
      <c r="J633" s="160"/>
      <c r="K633" s="160"/>
      <c r="L633" s="160"/>
      <c r="M633" s="160"/>
      <c r="N633" s="160"/>
    </row>
    <row r="634" spans="2:14" x14ac:dyDescent="0.2">
      <c r="B634" s="146"/>
      <c r="C634" s="146"/>
      <c r="H634" s="159"/>
      <c r="I634" s="159"/>
      <c r="J634" s="159"/>
      <c r="K634" s="159"/>
      <c r="L634" s="159"/>
      <c r="M634" s="159"/>
      <c r="N634" s="159"/>
    </row>
    <row r="635" spans="2:14" x14ac:dyDescent="0.2">
      <c r="B635" s="146"/>
      <c r="C635" s="146"/>
      <c r="H635" s="159"/>
      <c r="I635" s="159"/>
      <c r="J635" s="159"/>
      <c r="K635" s="159"/>
      <c r="L635" s="159"/>
      <c r="M635" s="159"/>
      <c r="N635" s="159"/>
    </row>
    <row r="636" spans="2:14" x14ac:dyDescent="0.2">
      <c r="B636" s="146"/>
      <c r="C636" s="146"/>
      <c r="H636" s="159"/>
      <c r="I636" s="159"/>
      <c r="J636" s="159"/>
      <c r="K636" s="159"/>
      <c r="L636" s="159"/>
      <c r="M636" s="159"/>
      <c r="N636" s="159"/>
    </row>
    <row r="637" spans="2:14" s="130" customFormat="1" x14ac:dyDescent="0.2">
      <c r="B637" s="147"/>
      <c r="C637" s="147"/>
      <c r="D637" s="112"/>
      <c r="E637" s="112"/>
      <c r="F637" s="112"/>
      <c r="G637" s="112"/>
      <c r="H637" s="160"/>
      <c r="I637" s="160"/>
      <c r="J637" s="160"/>
      <c r="K637" s="160"/>
      <c r="L637" s="160"/>
      <c r="M637" s="160"/>
      <c r="N637" s="160"/>
    </row>
    <row r="638" spans="2:14" x14ac:dyDescent="0.2">
      <c r="B638" s="146"/>
      <c r="C638" s="146"/>
      <c r="H638" s="159"/>
      <c r="I638" s="159"/>
      <c r="J638" s="159"/>
      <c r="K638" s="159"/>
      <c r="L638" s="159"/>
      <c r="M638" s="159"/>
      <c r="N638" s="159"/>
    </row>
    <row r="639" spans="2:14" x14ac:dyDescent="0.2">
      <c r="B639" s="146"/>
      <c r="C639" s="146"/>
      <c r="H639" s="159"/>
      <c r="I639" s="159"/>
      <c r="J639" s="159"/>
      <c r="K639" s="159"/>
      <c r="L639" s="159"/>
      <c r="M639" s="159"/>
      <c r="N639" s="159"/>
    </row>
    <row r="640" spans="2:14" s="130" customFormat="1" x14ac:dyDescent="0.2">
      <c r="B640" s="147"/>
      <c r="C640" s="147"/>
      <c r="D640" s="112"/>
      <c r="E640" s="112"/>
      <c r="F640" s="112"/>
      <c r="G640" s="112"/>
      <c r="H640" s="160"/>
      <c r="I640" s="160"/>
      <c r="J640" s="160"/>
      <c r="K640" s="160"/>
      <c r="L640" s="160"/>
      <c r="M640" s="160"/>
      <c r="N640" s="160"/>
    </row>
    <row r="641" spans="2:14" x14ac:dyDescent="0.2">
      <c r="B641" s="146"/>
      <c r="C641" s="146"/>
      <c r="H641" s="159"/>
      <c r="I641" s="159"/>
      <c r="J641" s="159"/>
      <c r="K641" s="159"/>
      <c r="L641" s="159"/>
      <c r="M641" s="159"/>
      <c r="N641" s="159"/>
    </row>
    <row r="642" spans="2:14" x14ac:dyDescent="0.2">
      <c r="B642" s="146"/>
      <c r="C642" s="146"/>
      <c r="H642" s="159"/>
      <c r="I642" s="159"/>
      <c r="J642" s="159"/>
      <c r="K642" s="159"/>
      <c r="L642" s="159"/>
      <c r="M642" s="159"/>
      <c r="N642" s="159"/>
    </row>
    <row r="643" spans="2:14" s="130" customFormat="1" x14ac:dyDescent="0.2">
      <c r="B643" s="147"/>
      <c r="C643" s="147"/>
      <c r="D643" s="112"/>
      <c r="E643" s="112"/>
      <c r="F643" s="112"/>
      <c r="G643" s="112"/>
      <c r="H643" s="160"/>
      <c r="I643" s="160"/>
      <c r="J643" s="160"/>
      <c r="K643" s="160"/>
      <c r="L643" s="160"/>
      <c r="M643" s="160"/>
      <c r="N643" s="160"/>
    </row>
    <row r="644" spans="2:14" x14ac:dyDescent="0.2">
      <c r="B644" s="146"/>
      <c r="C644" s="146"/>
      <c r="H644" s="159"/>
      <c r="I644" s="159"/>
      <c r="J644" s="159"/>
      <c r="K644" s="159"/>
      <c r="L644" s="159"/>
      <c r="M644" s="159"/>
      <c r="N644" s="159"/>
    </row>
    <row r="645" spans="2:14" x14ac:dyDescent="0.2">
      <c r="B645" s="146"/>
      <c r="C645" s="146"/>
      <c r="H645" s="159"/>
      <c r="I645" s="159"/>
      <c r="J645" s="159"/>
      <c r="K645" s="159"/>
      <c r="L645" s="159"/>
      <c r="M645" s="159"/>
      <c r="N645" s="159"/>
    </row>
    <row r="646" spans="2:14" x14ac:dyDescent="0.2">
      <c r="B646" s="146"/>
      <c r="C646" s="146"/>
      <c r="H646" s="159"/>
      <c r="I646" s="159"/>
      <c r="J646" s="159"/>
      <c r="K646" s="159"/>
      <c r="L646" s="159"/>
      <c r="M646" s="159"/>
      <c r="N646" s="159"/>
    </row>
    <row r="647" spans="2:14" s="130" customFormat="1" x14ac:dyDescent="0.2">
      <c r="B647" s="147"/>
      <c r="C647" s="147"/>
      <c r="D647" s="112"/>
      <c r="E647" s="112"/>
      <c r="F647" s="112"/>
      <c r="G647" s="112"/>
      <c r="H647" s="160"/>
      <c r="I647" s="160"/>
      <c r="J647" s="160"/>
      <c r="K647" s="160"/>
      <c r="L647" s="160"/>
      <c r="M647" s="160"/>
      <c r="N647" s="160"/>
    </row>
    <row r="648" spans="2:14" x14ac:dyDescent="0.2">
      <c r="B648" s="146"/>
      <c r="C648" s="146"/>
      <c r="H648" s="159"/>
      <c r="I648" s="159"/>
      <c r="J648" s="159"/>
      <c r="K648" s="159"/>
      <c r="L648" s="159"/>
      <c r="M648" s="159"/>
      <c r="N648" s="159"/>
    </row>
    <row r="649" spans="2:14" s="130" customFormat="1" x14ac:dyDescent="0.2">
      <c r="B649" s="147"/>
      <c r="C649" s="147"/>
      <c r="D649" s="112"/>
      <c r="E649" s="112"/>
      <c r="F649" s="112"/>
      <c r="G649" s="112"/>
      <c r="H649" s="136"/>
      <c r="I649" s="136"/>
      <c r="J649" s="136"/>
      <c r="K649" s="136"/>
      <c r="L649" s="136"/>
      <c r="M649" s="136"/>
      <c r="N649" s="136"/>
    </row>
    <row r="650" spans="2:14" x14ac:dyDescent="0.2">
      <c r="B650" s="146"/>
      <c r="C650" s="146"/>
    </row>
    <row r="651" spans="2:14" x14ac:dyDescent="0.2">
      <c r="B651" s="129"/>
      <c r="C651" s="146"/>
    </row>
    <row r="652" spans="2:14" x14ac:dyDescent="0.2">
      <c r="B652" s="146"/>
      <c r="C652" s="146"/>
    </row>
    <row r="653" spans="2:14" x14ac:dyDescent="0.2">
      <c r="B653" s="147"/>
      <c r="C653" s="147"/>
    </row>
    <row r="654" spans="2:14" s="130" customFormat="1" x14ac:dyDescent="0.2">
      <c r="B654" s="147"/>
      <c r="C654" s="147"/>
      <c r="D654" s="112"/>
      <c r="E654" s="112"/>
      <c r="F654" s="112"/>
      <c r="G654" s="112"/>
      <c r="H654" s="144"/>
      <c r="I654" s="144"/>
      <c r="J654" s="144"/>
      <c r="K654" s="144"/>
      <c r="L654" s="144"/>
      <c r="M654" s="144"/>
      <c r="N654" s="144"/>
    </row>
    <row r="655" spans="2:14" x14ac:dyDescent="0.2">
      <c r="B655" s="146"/>
      <c r="C655" s="146"/>
      <c r="H655" s="142"/>
      <c r="I655" s="142"/>
      <c r="J655" s="142"/>
      <c r="K655" s="142"/>
      <c r="L655" s="142"/>
      <c r="M655" s="142"/>
      <c r="N655" s="142"/>
    </row>
    <row r="656" spans="2:14" x14ac:dyDescent="0.2">
      <c r="B656" s="146"/>
      <c r="C656" s="146"/>
      <c r="H656" s="142"/>
      <c r="I656" s="142"/>
      <c r="J656" s="142"/>
      <c r="K656" s="142"/>
      <c r="L656" s="142"/>
      <c r="M656" s="142"/>
      <c r="N656" s="142"/>
    </row>
    <row r="657" spans="2:14" x14ac:dyDescent="0.2">
      <c r="B657" s="146"/>
      <c r="C657" s="146"/>
      <c r="H657" s="142"/>
      <c r="I657" s="142"/>
      <c r="J657" s="142"/>
      <c r="K657" s="142"/>
      <c r="L657" s="142"/>
      <c r="M657" s="142"/>
      <c r="N657" s="142"/>
    </row>
    <row r="658" spans="2:14" x14ac:dyDescent="0.2">
      <c r="B658" s="146"/>
      <c r="C658" s="146"/>
      <c r="H658" s="142"/>
      <c r="I658" s="142"/>
      <c r="J658" s="142"/>
      <c r="K658" s="142"/>
      <c r="L658" s="142"/>
      <c r="M658" s="142"/>
      <c r="N658" s="142"/>
    </row>
    <row r="659" spans="2:14" s="130" customFormat="1" x14ac:dyDescent="0.2">
      <c r="B659" s="147"/>
      <c r="C659" s="147"/>
      <c r="D659" s="112"/>
      <c r="E659" s="112"/>
      <c r="F659" s="112"/>
      <c r="G659" s="112"/>
      <c r="H659" s="144"/>
      <c r="I659" s="144"/>
      <c r="J659" s="144"/>
      <c r="K659" s="144"/>
      <c r="L659" s="144"/>
      <c r="M659" s="144"/>
      <c r="N659" s="144"/>
    </row>
    <row r="660" spans="2:14" x14ac:dyDescent="0.2">
      <c r="B660" s="146"/>
      <c r="C660" s="146"/>
      <c r="H660" s="142"/>
      <c r="I660" s="142"/>
      <c r="J660" s="142"/>
      <c r="K660" s="142"/>
      <c r="L660" s="142"/>
      <c r="M660" s="142"/>
      <c r="N660" s="142"/>
    </row>
    <row r="661" spans="2:14" x14ac:dyDescent="0.2">
      <c r="B661" s="146"/>
      <c r="C661" s="146"/>
      <c r="H661" s="142"/>
      <c r="I661" s="142"/>
      <c r="J661" s="142"/>
      <c r="K661" s="142"/>
      <c r="L661" s="142"/>
      <c r="M661" s="142"/>
      <c r="N661" s="142"/>
    </row>
    <row r="662" spans="2:14" s="130" customFormat="1" x14ac:dyDescent="0.2">
      <c r="B662" s="147"/>
      <c r="C662" s="147"/>
      <c r="D662" s="112"/>
      <c r="E662" s="112"/>
      <c r="F662" s="112"/>
      <c r="G662" s="112"/>
      <c r="H662" s="144"/>
      <c r="I662" s="144"/>
      <c r="J662" s="144"/>
      <c r="K662" s="144"/>
      <c r="L662" s="144"/>
      <c r="M662" s="144"/>
      <c r="N662" s="144"/>
    </row>
    <row r="663" spans="2:14" x14ac:dyDescent="0.2">
      <c r="B663" s="146"/>
      <c r="C663" s="146"/>
      <c r="H663" s="142"/>
      <c r="I663" s="142"/>
      <c r="J663" s="142"/>
      <c r="K663" s="142"/>
      <c r="L663" s="142"/>
      <c r="M663" s="142"/>
      <c r="N663" s="142"/>
    </row>
    <row r="664" spans="2:14" x14ac:dyDescent="0.2">
      <c r="B664" s="146"/>
      <c r="C664" s="146"/>
      <c r="H664" s="142"/>
      <c r="I664" s="142"/>
      <c r="J664" s="142"/>
      <c r="K664" s="142"/>
      <c r="L664" s="142"/>
      <c r="M664" s="142"/>
      <c r="N664" s="142"/>
    </row>
    <row r="665" spans="2:14" s="130" customFormat="1" x14ac:dyDescent="0.2">
      <c r="B665" s="147"/>
      <c r="C665" s="147"/>
      <c r="D665" s="112"/>
      <c r="E665" s="112"/>
      <c r="F665" s="112"/>
      <c r="G665" s="112"/>
      <c r="H665" s="144"/>
      <c r="I665" s="144"/>
      <c r="J665" s="144"/>
      <c r="K665" s="144"/>
      <c r="L665" s="144"/>
      <c r="M665" s="144"/>
      <c r="N665" s="144"/>
    </row>
    <row r="666" spans="2:14" x14ac:dyDescent="0.2">
      <c r="B666" s="146"/>
      <c r="C666" s="146"/>
      <c r="H666" s="142"/>
      <c r="I666" s="142"/>
      <c r="J666" s="142"/>
      <c r="K666" s="142"/>
      <c r="L666" s="142"/>
      <c r="M666" s="142"/>
      <c r="N666" s="142"/>
    </row>
    <row r="667" spans="2:14" s="130" customFormat="1" x14ac:dyDescent="0.2">
      <c r="B667" s="147"/>
      <c r="C667" s="147"/>
      <c r="D667" s="112"/>
      <c r="E667" s="112"/>
      <c r="F667" s="112"/>
      <c r="G667" s="112"/>
      <c r="H667" s="144"/>
      <c r="I667" s="144"/>
      <c r="J667" s="144"/>
      <c r="K667" s="144"/>
      <c r="L667" s="144"/>
      <c r="M667" s="144"/>
      <c r="N667" s="144"/>
    </row>
    <row r="668" spans="2:14" x14ac:dyDescent="0.2">
      <c r="B668" s="146"/>
      <c r="C668" s="146"/>
      <c r="H668" s="142"/>
      <c r="I668" s="142"/>
      <c r="J668" s="142"/>
      <c r="K668" s="142"/>
      <c r="L668" s="142"/>
      <c r="M668" s="142"/>
      <c r="N668" s="142"/>
    </row>
    <row r="669" spans="2:14" x14ac:dyDescent="0.2">
      <c r="B669" s="146"/>
      <c r="C669" s="146"/>
      <c r="H669" s="142"/>
      <c r="I669" s="142"/>
      <c r="J669" s="142"/>
      <c r="K669" s="142"/>
      <c r="L669" s="142"/>
      <c r="M669" s="142"/>
      <c r="N669" s="142"/>
    </row>
    <row r="670" spans="2:14" x14ac:dyDescent="0.2">
      <c r="B670" s="146"/>
      <c r="C670" s="146"/>
      <c r="H670" s="142"/>
      <c r="I670" s="142"/>
      <c r="J670" s="142"/>
      <c r="K670" s="142"/>
      <c r="L670" s="142"/>
      <c r="M670" s="142"/>
      <c r="N670" s="142"/>
    </row>
    <row r="671" spans="2:14" s="130" customFormat="1" x14ac:dyDescent="0.2">
      <c r="B671" s="147"/>
      <c r="C671" s="147"/>
      <c r="D671" s="112"/>
      <c r="E671" s="112"/>
      <c r="F671" s="112"/>
      <c r="G671" s="112"/>
      <c r="H671" s="144"/>
      <c r="I671" s="144"/>
      <c r="J671" s="144"/>
      <c r="K671" s="144"/>
      <c r="L671" s="144"/>
      <c r="M671" s="144"/>
      <c r="N671" s="144"/>
    </row>
    <row r="672" spans="2:14" x14ac:dyDescent="0.2">
      <c r="B672" s="146"/>
      <c r="C672" s="146"/>
      <c r="H672" s="142"/>
      <c r="I672" s="142"/>
      <c r="J672" s="142"/>
      <c r="K672" s="142"/>
      <c r="L672" s="142"/>
      <c r="M672" s="142"/>
      <c r="N672" s="142"/>
    </row>
    <row r="673" spans="2:14" x14ac:dyDescent="0.2">
      <c r="B673" s="146"/>
      <c r="C673" s="146"/>
      <c r="H673" s="142"/>
      <c r="I673" s="142"/>
      <c r="J673" s="142"/>
      <c r="K673" s="142"/>
      <c r="L673" s="142"/>
      <c r="M673" s="142"/>
      <c r="N673" s="142"/>
    </row>
    <row r="674" spans="2:14" s="130" customFormat="1" x14ac:dyDescent="0.2">
      <c r="B674" s="147"/>
      <c r="C674" s="147"/>
      <c r="D674" s="112"/>
      <c r="E674" s="112"/>
      <c r="F674" s="112"/>
      <c r="G674" s="112"/>
      <c r="H674" s="144"/>
      <c r="I674" s="144"/>
      <c r="J674" s="144"/>
      <c r="K674" s="144"/>
      <c r="L674" s="144"/>
      <c r="M674" s="144"/>
      <c r="N674" s="144"/>
    </row>
    <row r="675" spans="2:14" x14ac:dyDescent="0.2">
      <c r="B675" s="146"/>
      <c r="C675" s="146"/>
      <c r="H675" s="142"/>
      <c r="I675" s="142"/>
      <c r="J675" s="142"/>
      <c r="K675" s="142"/>
      <c r="L675" s="142"/>
      <c r="M675" s="142"/>
      <c r="N675" s="142"/>
    </row>
    <row r="676" spans="2:14" x14ac:dyDescent="0.2">
      <c r="B676" s="146"/>
      <c r="C676" s="146"/>
      <c r="H676" s="142"/>
      <c r="I676" s="142"/>
      <c r="J676" s="142"/>
      <c r="K676" s="142"/>
      <c r="L676" s="142"/>
      <c r="M676" s="142"/>
      <c r="N676" s="142"/>
    </row>
    <row r="677" spans="2:14" s="130" customFormat="1" x14ac:dyDescent="0.2">
      <c r="B677" s="147"/>
      <c r="C677" s="147"/>
      <c r="D677" s="112"/>
      <c r="E677" s="112"/>
      <c r="F677" s="112"/>
      <c r="G677" s="112"/>
      <c r="H677" s="144"/>
      <c r="I677" s="144"/>
      <c r="J677" s="144"/>
      <c r="K677" s="144"/>
      <c r="L677" s="144"/>
      <c r="M677" s="144"/>
      <c r="N677" s="144"/>
    </row>
    <row r="678" spans="2:14" x14ac:dyDescent="0.2">
      <c r="B678" s="146"/>
      <c r="C678" s="146"/>
      <c r="H678" s="142"/>
      <c r="I678" s="142"/>
      <c r="J678" s="142"/>
      <c r="K678" s="142"/>
      <c r="L678" s="142"/>
      <c r="M678" s="142"/>
      <c r="N678" s="142"/>
    </row>
    <row r="679" spans="2:14" x14ac:dyDescent="0.2">
      <c r="B679" s="146"/>
      <c r="C679" s="146"/>
      <c r="H679" s="142"/>
      <c r="I679" s="142"/>
      <c r="J679" s="142"/>
      <c r="K679" s="142"/>
      <c r="L679" s="142"/>
      <c r="M679" s="142"/>
      <c r="N679" s="142"/>
    </row>
    <row r="680" spans="2:14" x14ac:dyDescent="0.2">
      <c r="B680" s="146"/>
      <c r="C680" s="146"/>
      <c r="H680" s="142"/>
      <c r="I680" s="142"/>
      <c r="J680" s="142"/>
      <c r="K680" s="142"/>
      <c r="L680" s="142"/>
      <c r="M680" s="142"/>
      <c r="N680" s="142"/>
    </row>
    <row r="681" spans="2:14" s="130" customFormat="1" x14ac:dyDescent="0.2">
      <c r="B681" s="147"/>
      <c r="C681" s="147"/>
      <c r="D681" s="112"/>
      <c r="E681" s="112"/>
      <c r="F681" s="112"/>
      <c r="G681" s="112"/>
      <c r="H681" s="144"/>
      <c r="I681" s="144"/>
      <c r="J681" s="144"/>
      <c r="K681" s="144"/>
      <c r="L681" s="144"/>
      <c r="M681" s="144"/>
      <c r="N681" s="144"/>
    </row>
    <row r="682" spans="2:14" x14ac:dyDescent="0.2">
      <c r="B682" s="146"/>
      <c r="C682" s="146"/>
      <c r="H682" s="142"/>
      <c r="I682" s="142"/>
      <c r="J682" s="142"/>
      <c r="K682" s="142"/>
      <c r="L682" s="142"/>
      <c r="M682" s="142"/>
      <c r="N682" s="142"/>
    </row>
    <row r="683" spans="2:14" s="130" customFormat="1" x14ac:dyDescent="0.2">
      <c r="B683" s="147"/>
      <c r="C683" s="147"/>
      <c r="D683" s="112"/>
      <c r="E683" s="112"/>
      <c r="F683" s="112"/>
      <c r="G683" s="112"/>
      <c r="H683" s="144"/>
      <c r="I683" s="144"/>
      <c r="J683" s="144"/>
      <c r="K683" s="144"/>
      <c r="L683" s="144"/>
      <c r="M683" s="144"/>
      <c r="N683" s="144"/>
    </row>
    <row r="684" spans="2:14" x14ac:dyDescent="0.2">
      <c r="B684" s="146"/>
      <c r="C684" s="146"/>
    </row>
    <row r="685" spans="2:14" x14ac:dyDescent="0.2">
      <c r="B685" s="147"/>
      <c r="C685" s="147"/>
    </row>
    <row r="686" spans="2:14" x14ac:dyDescent="0.2">
      <c r="B686" s="146"/>
      <c r="C686" s="147"/>
      <c r="H686" s="144"/>
      <c r="I686" s="144"/>
      <c r="J686" s="144"/>
      <c r="K686" s="144"/>
      <c r="L686" s="144"/>
      <c r="M686" s="144"/>
      <c r="N686" s="144"/>
    </row>
    <row r="687" spans="2:14" x14ac:dyDescent="0.2">
      <c r="B687" s="146"/>
      <c r="C687" s="146"/>
      <c r="H687" s="142"/>
      <c r="I687" s="142"/>
      <c r="J687" s="142"/>
      <c r="K687" s="142"/>
      <c r="L687" s="142"/>
      <c r="M687" s="142"/>
      <c r="N687" s="142"/>
    </row>
    <row r="688" spans="2:14" x14ac:dyDescent="0.2">
      <c r="B688" s="146"/>
      <c r="C688" s="146"/>
      <c r="H688" s="142"/>
      <c r="I688" s="142"/>
      <c r="J688" s="142"/>
      <c r="K688" s="142"/>
      <c r="L688" s="142"/>
      <c r="M688" s="142"/>
      <c r="N688" s="142"/>
    </row>
    <row r="689" spans="2:14" x14ac:dyDescent="0.2">
      <c r="B689" s="146"/>
      <c r="C689" s="146"/>
      <c r="H689" s="142"/>
      <c r="I689" s="142"/>
      <c r="J689" s="142"/>
      <c r="K689" s="142"/>
      <c r="L689" s="142"/>
      <c r="M689" s="142"/>
      <c r="N689" s="142"/>
    </row>
    <row r="690" spans="2:14" x14ac:dyDescent="0.2">
      <c r="B690" s="146"/>
      <c r="C690" s="146"/>
      <c r="H690" s="142"/>
      <c r="I690" s="142"/>
      <c r="J690" s="142"/>
      <c r="K690" s="142"/>
      <c r="L690" s="142"/>
      <c r="M690" s="142"/>
      <c r="N690" s="142"/>
    </row>
    <row r="691" spans="2:14" x14ac:dyDescent="0.2">
      <c r="B691" s="146"/>
      <c r="C691" s="147"/>
      <c r="H691" s="144"/>
      <c r="I691" s="144"/>
      <c r="J691" s="144"/>
      <c r="K691" s="144"/>
      <c r="L691" s="144"/>
      <c r="M691" s="144"/>
      <c r="N691" s="144"/>
    </row>
    <row r="692" spans="2:14" x14ac:dyDescent="0.2">
      <c r="B692" s="146"/>
      <c r="C692" s="146"/>
      <c r="H692" s="142"/>
      <c r="I692" s="142"/>
      <c r="J692" s="142"/>
      <c r="K692" s="142"/>
      <c r="L692" s="142"/>
      <c r="M692" s="142"/>
      <c r="N692" s="142"/>
    </row>
    <row r="693" spans="2:14" x14ac:dyDescent="0.2">
      <c r="B693" s="146"/>
      <c r="C693" s="146"/>
      <c r="H693" s="142"/>
      <c r="I693" s="142"/>
      <c r="J693" s="142"/>
      <c r="K693" s="142"/>
      <c r="L693" s="142"/>
      <c r="M693" s="142"/>
      <c r="N693" s="142"/>
    </row>
    <row r="694" spans="2:14" x14ac:dyDescent="0.2">
      <c r="B694" s="146"/>
      <c r="C694" s="147"/>
      <c r="H694" s="144"/>
      <c r="I694" s="144"/>
      <c r="J694" s="144"/>
      <c r="K694" s="144"/>
      <c r="L694" s="144"/>
      <c r="M694" s="144"/>
      <c r="N694" s="144"/>
    </row>
    <row r="695" spans="2:14" x14ac:dyDescent="0.2">
      <c r="B695" s="146"/>
      <c r="C695" s="146"/>
      <c r="H695" s="142"/>
      <c r="I695" s="142"/>
      <c r="J695" s="142"/>
      <c r="K695" s="142"/>
      <c r="L695" s="142"/>
      <c r="M695" s="142"/>
      <c r="N695" s="142"/>
    </row>
    <row r="696" spans="2:14" x14ac:dyDescent="0.2">
      <c r="B696" s="146"/>
      <c r="C696" s="146"/>
      <c r="H696" s="142"/>
      <c r="I696" s="142"/>
      <c r="J696" s="142"/>
      <c r="K696" s="142"/>
      <c r="L696" s="142"/>
      <c r="M696" s="142"/>
      <c r="N696" s="142"/>
    </row>
    <row r="697" spans="2:14" s="130" customFormat="1" x14ac:dyDescent="0.2">
      <c r="B697" s="147"/>
      <c r="C697" s="147"/>
      <c r="D697" s="112"/>
      <c r="E697" s="112"/>
      <c r="F697" s="112"/>
      <c r="G697" s="112"/>
      <c r="H697" s="144"/>
      <c r="I697" s="144"/>
      <c r="J697" s="144"/>
      <c r="K697" s="144"/>
      <c r="L697" s="144"/>
      <c r="M697" s="144"/>
      <c r="N697" s="144"/>
    </row>
    <row r="698" spans="2:14" x14ac:dyDescent="0.2">
      <c r="B698" s="146"/>
      <c r="C698" s="146"/>
      <c r="H698" s="142"/>
      <c r="I698" s="142"/>
      <c r="J698" s="142"/>
      <c r="K698" s="142"/>
      <c r="L698" s="142"/>
      <c r="M698" s="142"/>
      <c r="N698" s="142"/>
    </row>
    <row r="699" spans="2:14" s="130" customFormat="1" x14ac:dyDescent="0.2">
      <c r="B699" s="147"/>
      <c r="C699" s="147"/>
      <c r="D699" s="112"/>
      <c r="E699" s="112"/>
      <c r="F699" s="112"/>
      <c r="G699" s="112"/>
      <c r="H699" s="144"/>
      <c r="I699" s="144"/>
      <c r="J699" s="144"/>
      <c r="K699" s="144"/>
      <c r="L699" s="144"/>
      <c r="M699" s="144"/>
      <c r="N699" s="144"/>
    </row>
    <row r="700" spans="2:14" x14ac:dyDescent="0.2">
      <c r="B700" s="146"/>
      <c r="C700" s="146"/>
      <c r="H700" s="142"/>
      <c r="I700" s="142"/>
      <c r="J700" s="142"/>
      <c r="K700" s="142"/>
      <c r="L700" s="142"/>
      <c r="M700" s="142"/>
      <c r="N700" s="142"/>
    </row>
    <row r="701" spans="2:14" x14ac:dyDescent="0.2">
      <c r="B701" s="146"/>
      <c r="C701" s="146"/>
      <c r="H701" s="142"/>
      <c r="I701" s="142"/>
      <c r="J701" s="142"/>
      <c r="K701" s="142"/>
      <c r="L701" s="142"/>
      <c r="M701" s="142"/>
      <c r="N701" s="142"/>
    </row>
    <row r="702" spans="2:14" x14ac:dyDescent="0.2">
      <c r="B702" s="146"/>
      <c r="C702" s="146"/>
      <c r="H702" s="142"/>
      <c r="I702" s="142"/>
      <c r="J702" s="142"/>
      <c r="K702" s="142"/>
      <c r="L702" s="142"/>
      <c r="M702" s="142"/>
      <c r="N702" s="142"/>
    </row>
    <row r="703" spans="2:14" s="130" customFormat="1" x14ac:dyDescent="0.2">
      <c r="B703" s="147"/>
      <c r="C703" s="147"/>
      <c r="D703" s="112"/>
      <c r="E703" s="112"/>
      <c r="F703" s="112"/>
      <c r="G703" s="112"/>
      <c r="H703" s="144"/>
      <c r="I703" s="144"/>
      <c r="J703" s="144"/>
      <c r="K703" s="144"/>
      <c r="L703" s="144"/>
      <c r="M703" s="144"/>
      <c r="N703" s="144"/>
    </row>
    <row r="704" spans="2:14" x14ac:dyDescent="0.2">
      <c r="B704" s="146"/>
      <c r="C704" s="146"/>
      <c r="H704" s="142"/>
      <c r="I704" s="142"/>
      <c r="J704" s="142"/>
      <c r="K704" s="142"/>
      <c r="L704" s="142"/>
      <c r="M704" s="142"/>
      <c r="N704" s="142"/>
    </row>
    <row r="705" spans="2:14" x14ac:dyDescent="0.2">
      <c r="B705" s="146"/>
      <c r="C705" s="146"/>
      <c r="H705" s="142"/>
      <c r="I705" s="142"/>
      <c r="J705" s="142"/>
      <c r="K705" s="142"/>
      <c r="L705" s="142"/>
      <c r="M705" s="142"/>
      <c r="N705" s="142"/>
    </row>
    <row r="706" spans="2:14" s="130" customFormat="1" x14ac:dyDescent="0.2">
      <c r="B706" s="147"/>
      <c r="C706" s="147"/>
      <c r="D706" s="112"/>
      <c r="E706" s="112"/>
      <c r="F706" s="112"/>
      <c r="G706" s="112"/>
      <c r="H706" s="144"/>
      <c r="I706" s="144"/>
      <c r="J706" s="144"/>
      <c r="K706" s="144"/>
      <c r="L706" s="144"/>
      <c r="M706" s="144"/>
      <c r="N706" s="144"/>
    </row>
    <row r="707" spans="2:14" x14ac:dyDescent="0.2">
      <c r="B707" s="146"/>
      <c r="C707" s="146"/>
      <c r="H707" s="142"/>
      <c r="I707" s="142"/>
      <c r="J707" s="142"/>
      <c r="K707" s="142"/>
      <c r="L707" s="142"/>
      <c r="M707" s="142"/>
      <c r="N707" s="142"/>
    </row>
    <row r="708" spans="2:14" x14ac:dyDescent="0.2">
      <c r="B708" s="146"/>
      <c r="C708" s="146"/>
      <c r="H708" s="142"/>
      <c r="I708" s="142"/>
      <c r="J708" s="142"/>
      <c r="K708" s="142"/>
      <c r="L708" s="142"/>
      <c r="M708" s="142"/>
      <c r="N708" s="142"/>
    </row>
    <row r="709" spans="2:14" s="130" customFormat="1" x14ac:dyDescent="0.2">
      <c r="B709" s="147"/>
      <c r="C709" s="147"/>
      <c r="D709" s="112"/>
      <c r="E709" s="112"/>
      <c r="F709" s="112"/>
      <c r="G709" s="112"/>
      <c r="H709" s="144"/>
      <c r="I709" s="144"/>
      <c r="J709" s="144"/>
      <c r="K709" s="144"/>
      <c r="L709" s="144"/>
      <c r="M709" s="144"/>
      <c r="N709" s="144"/>
    </row>
    <row r="710" spans="2:14" x14ac:dyDescent="0.2">
      <c r="B710" s="146"/>
      <c r="C710" s="146"/>
      <c r="H710" s="142"/>
      <c r="I710" s="142"/>
      <c r="J710" s="142"/>
      <c r="K710" s="142"/>
      <c r="L710" s="142"/>
      <c r="M710" s="142"/>
      <c r="N710" s="142"/>
    </row>
    <row r="711" spans="2:14" x14ac:dyDescent="0.2">
      <c r="B711" s="146"/>
      <c r="C711" s="146"/>
      <c r="H711" s="142"/>
      <c r="I711" s="142"/>
      <c r="J711" s="142"/>
      <c r="K711" s="142"/>
      <c r="L711" s="142"/>
      <c r="M711" s="142"/>
      <c r="N711" s="142"/>
    </row>
    <row r="712" spans="2:14" x14ac:dyDescent="0.2">
      <c r="B712" s="146"/>
      <c r="C712" s="146"/>
      <c r="H712" s="142"/>
      <c r="I712" s="142"/>
      <c r="J712" s="142"/>
      <c r="K712" s="142"/>
      <c r="L712" s="142"/>
      <c r="M712" s="142"/>
      <c r="N712" s="142"/>
    </row>
    <row r="713" spans="2:14" s="130" customFormat="1" x14ac:dyDescent="0.2">
      <c r="B713" s="147"/>
      <c r="C713" s="147"/>
      <c r="D713" s="112"/>
      <c r="E713" s="112"/>
      <c r="F713" s="112"/>
      <c r="G713" s="112"/>
      <c r="H713" s="144"/>
      <c r="I713" s="144"/>
      <c r="J713" s="144"/>
      <c r="K713" s="144"/>
      <c r="L713" s="144"/>
      <c r="M713" s="144"/>
      <c r="N713" s="144"/>
    </row>
    <row r="714" spans="2:14" x14ac:dyDescent="0.2">
      <c r="B714" s="146"/>
      <c r="C714" s="146"/>
      <c r="H714" s="142"/>
      <c r="I714" s="142"/>
      <c r="J714" s="142"/>
      <c r="K714" s="142"/>
      <c r="L714" s="142"/>
      <c r="M714" s="142"/>
      <c r="N714" s="142"/>
    </row>
    <row r="715" spans="2:14" s="130" customFormat="1" x14ac:dyDescent="0.2">
      <c r="B715" s="147"/>
      <c r="C715" s="147"/>
      <c r="D715" s="112"/>
      <c r="E715" s="112"/>
      <c r="F715" s="112"/>
      <c r="G715" s="112"/>
      <c r="H715" s="144"/>
      <c r="I715" s="144"/>
      <c r="J715" s="144"/>
      <c r="K715" s="144"/>
      <c r="L715" s="144"/>
      <c r="M715" s="144"/>
      <c r="N715" s="144"/>
    </row>
    <row r="716" spans="2:14" x14ac:dyDescent="0.2">
      <c r="B716" s="146"/>
      <c r="C716" s="146"/>
    </row>
    <row r="717" spans="2:14" x14ac:dyDescent="0.2">
      <c r="B717" s="147"/>
      <c r="C717" s="147"/>
    </row>
    <row r="718" spans="2:14" x14ac:dyDescent="0.2">
      <c r="B718" s="146"/>
      <c r="C718" s="147"/>
      <c r="H718" s="144"/>
      <c r="I718" s="144"/>
      <c r="J718" s="144"/>
      <c r="K718" s="144"/>
      <c r="L718" s="144"/>
      <c r="M718" s="144"/>
      <c r="N718" s="144"/>
    </row>
    <row r="719" spans="2:14" x14ac:dyDescent="0.2">
      <c r="B719" s="146"/>
      <c r="C719" s="146"/>
      <c r="H719" s="142"/>
      <c r="I719" s="142"/>
      <c r="J719" s="142"/>
      <c r="K719" s="142"/>
      <c r="L719" s="142"/>
      <c r="M719" s="142"/>
      <c r="N719" s="142"/>
    </row>
    <row r="720" spans="2:14" x14ac:dyDescent="0.2">
      <c r="B720" s="146"/>
      <c r="C720" s="146"/>
      <c r="H720" s="142"/>
      <c r="I720" s="142"/>
      <c r="J720" s="142"/>
      <c r="K720" s="142"/>
      <c r="L720" s="142"/>
      <c r="M720" s="142"/>
      <c r="N720" s="142"/>
    </row>
    <row r="721" spans="2:14" x14ac:dyDescent="0.2">
      <c r="B721" s="146"/>
      <c r="C721" s="146"/>
      <c r="H721" s="142"/>
      <c r="I721" s="142"/>
      <c r="J721" s="142"/>
      <c r="K721" s="142"/>
      <c r="L721" s="142"/>
      <c r="M721" s="142"/>
      <c r="N721" s="142"/>
    </row>
    <row r="722" spans="2:14" x14ac:dyDescent="0.2">
      <c r="B722" s="146"/>
      <c r="C722" s="146"/>
      <c r="H722" s="142"/>
      <c r="I722" s="142"/>
      <c r="J722" s="142"/>
      <c r="K722" s="142"/>
      <c r="L722" s="142"/>
      <c r="M722" s="142"/>
      <c r="N722" s="142"/>
    </row>
    <row r="723" spans="2:14" x14ac:dyDescent="0.2">
      <c r="B723" s="146"/>
      <c r="C723" s="147"/>
      <c r="H723" s="144"/>
      <c r="I723" s="144"/>
      <c r="J723" s="144"/>
      <c r="K723" s="144"/>
      <c r="L723" s="144"/>
      <c r="M723" s="144"/>
      <c r="N723" s="144"/>
    </row>
    <row r="724" spans="2:14" x14ac:dyDescent="0.2">
      <c r="B724" s="146"/>
      <c r="C724" s="146"/>
      <c r="H724" s="142"/>
      <c r="I724" s="142"/>
      <c r="J724" s="142"/>
      <c r="K724" s="142"/>
      <c r="L724" s="142"/>
      <c r="M724" s="142"/>
      <c r="N724" s="142"/>
    </row>
    <row r="725" spans="2:14" x14ac:dyDescent="0.2">
      <c r="B725" s="146"/>
      <c r="C725" s="146"/>
      <c r="H725" s="142"/>
      <c r="I725" s="142"/>
      <c r="J725" s="142"/>
      <c r="K725" s="142"/>
      <c r="L725" s="142"/>
      <c r="M725" s="142"/>
      <c r="N725" s="142"/>
    </row>
    <row r="726" spans="2:14" x14ac:dyDescent="0.2">
      <c r="B726" s="146"/>
      <c r="C726" s="147"/>
      <c r="H726" s="144"/>
      <c r="I726" s="144"/>
      <c r="J726" s="144"/>
      <c r="K726" s="144"/>
      <c r="L726" s="144"/>
      <c r="M726" s="144"/>
      <c r="N726" s="144"/>
    </row>
    <row r="727" spans="2:14" x14ac:dyDescent="0.2">
      <c r="B727" s="146"/>
      <c r="C727" s="146"/>
      <c r="H727" s="142"/>
      <c r="I727" s="142"/>
      <c r="J727" s="142"/>
      <c r="K727" s="142"/>
      <c r="L727" s="142"/>
      <c r="M727" s="142"/>
      <c r="N727" s="142"/>
    </row>
    <row r="728" spans="2:14" x14ac:dyDescent="0.2">
      <c r="B728" s="146"/>
      <c r="C728" s="146"/>
      <c r="H728" s="142"/>
      <c r="I728" s="142"/>
      <c r="J728" s="142"/>
      <c r="K728" s="142"/>
      <c r="L728" s="142"/>
      <c r="M728" s="142"/>
      <c r="N728" s="142"/>
    </row>
    <row r="729" spans="2:14" x14ac:dyDescent="0.2">
      <c r="B729" s="146"/>
      <c r="C729" s="147"/>
      <c r="H729" s="144"/>
      <c r="I729" s="144"/>
      <c r="J729" s="144"/>
      <c r="K729" s="144"/>
      <c r="L729" s="144"/>
      <c r="M729" s="144"/>
      <c r="N729" s="144"/>
    </row>
    <row r="730" spans="2:14" x14ac:dyDescent="0.2">
      <c r="B730" s="146"/>
      <c r="C730" s="146"/>
      <c r="H730" s="142"/>
      <c r="I730" s="142"/>
      <c r="J730" s="142"/>
      <c r="K730" s="142"/>
      <c r="L730" s="142"/>
      <c r="M730" s="142"/>
      <c r="N730" s="142"/>
    </row>
    <row r="731" spans="2:14" x14ac:dyDescent="0.2">
      <c r="B731" s="146"/>
      <c r="C731" s="147"/>
      <c r="H731" s="144"/>
      <c r="I731" s="144"/>
      <c r="J731" s="144"/>
      <c r="K731" s="144"/>
      <c r="L731" s="144"/>
      <c r="M731" s="144"/>
      <c r="N731" s="144"/>
    </row>
    <row r="732" spans="2:14" x14ac:dyDescent="0.2">
      <c r="B732" s="146"/>
      <c r="C732" s="146"/>
      <c r="H732" s="142"/>
      <c r="I732" s="142"/>
      <c r="J732" s="142"/>
      <c r="K732" s="142"/>
      <c r="L732" s="142"/>
      <c r="M732" s="142"/>
      <c r="N732" s="142"/>
    </row>
    <row r="733" spans="2:14" x14ac:dyDescent="0.2">
      <c r="B733" s="146"/>
      <c r="C733" s="146"/>
      <c r="H733" s="142"/>
      <c r="I733" s="142"/>
      <c r="J733" s="142"/>
      <c r="K733" s="142"/>
      <c r="L733" s="142"/>
      <c r="M733" s="142"/>
      <c r="N733" s="142"/>
    </row>
    <row r="734" spans="2:14" x14ac:dyDescent="0.2">
      <c r="B734" s="146"/>
      <c r="C734" s="146"/>
      <c r="H734" s="142"/>
      <c r="I734" s="142"/>
      <c r="J734" s="142"/>
      <c r="K734" s="142"/>
      <c r="L734" s="142"/>
      <c r="M734" s="142"/>
      <c r="N734" s="142"/>
    </row>
    <row r="735" spans="2:14" x14ac:dyDescent="0.2">
      <c r="B735" s="146"/>
      <c r="C735" s="147"/>
      <c r="H735" s="144"/>
      <c r="I735" s="144"/>
      <c r="J735" s="144"/>
      <c r="K735" s="144"/>
      <c r="L735" s="144"/>
      <c r="M735" s="144"/>
      <c r="N735" s="144"/>
    </row>
    <row r="736" spans="2:14" x14ac:dyDescent="0.2">
      <c r="B736" s="146"/>
      <c r="C736" s="146"/>
      <c r="H736" s="142"/>
      <c r="I736" s="142"/>
      <c r="J736" s="142"/>
      <c r="K736" s="142"/>
      <c r="L736" s="142"/>
      <c r="M736" s="142"/>
      <c r="N736" s="142"/>
    </row>
    <row r="737" spans="2:14" x14ac:dyDescent="0.2">
      <c r="B737" s="146"/>
      <c r="C737" s="146"/>
      <c r="H737" s="142"/>
      <c r="I737" s="142"/>
      <c r="J737" s="142"/>
      <c r="K737" s="142"/>
      <c r="L737" s="142"/>
      <c r="M737" s="142"/>
      <c r="N737" s="142"/>
    </row>
    <row r="738" spans="2:14" x14ac:dyDescent="0.2">
      <c r="B738" s="146"/>
      <c r="C738" s="147"/>
      <c r="H738" s="144"/>
      <c r="I738" s="144"/>
      <c r="J738" s="144"/>
      <c r="K738" s="144"/>
      <c r="L738" s="144"/>
      <c r="M738" s="144"/>
      <c r="N738" s="144"/>
    </row>
    <row r="739" spans="2:14" x14ac:dyDescent="0.2">
      <c r="B739" s="146"/>
      <c r="C739" s="146"/>
      <c r="H739" s="142"/>
      <c r="I739" s="142"/>
      <c r="J739" s="142"/>
      <c r="K739" s="142"/>
      <c r="L739" s="142"/>
      <c r="M739" s="142"/>
      <c r="N739" s="142"/>
    </row>
    <row r="740" spans="2:14" x14ac:dyDescent="0.2">
      <c r="B740" s="146"/>
      <c r="C740" s="146"/>
      <c r="H740" s="142"/>
      <c r="I740" s="142"/>
      <c r="J740" s="142"/>
      <c r="K740" s="142"/>
      <c r="L740" s="142"/>
      <c r="M740" s="142"/>
      <c r="N740" s="142"/>
    </row>
    <row r="741" spans="2:14" x14ac:dyDescent="0.2">
      <c r="B741" s="146"/>
      <c r="C741" s="147"/>
      <c r="H741" s="144"/>
      <c r="I741" s="144"/>
      <c r="J741" s="144"/>
      <c r="K741" s="144"/>
      <c r="L741" s="144"/>
      <c r="M741" s="144"/>
      <c r="N741" s="144"/>
    </row>
    <row r="742" spans="2:14" x14ac:dyDescent="0.2">
      <c r="B742" s="146"/>
      <c r="C742" s="146"/>
      <c r="H742" s="142"/>
      <c r="I742" s="142"/>
      <c r="J742" s="142"/>
      <c r="K742" s="142"/>
      <c r="L742" s="142"/>
      <c r="M742" s="142"/>
      <c r="N742" s="142"/>
    </row>
    <row r="743" spans="2:14" x14ac:dyDescent="0.2">
      <c r="B743" s="146"/>
      <c r="C743" s="146"/>
      <c r="H743" s="142"/>
      <c r="I743" s="142"/>
      <c r="J743" s="142"/>
      <c r="K743" s="142"/>
      <c r="L743" s="142"/>
      <c r="M743" s="142"/>
      <c r="N743" s="142"/>
    </row>
    <row r="744" spans="2:14" x14ac:dyDescent="0.2">
      <c r="B744" s="146"/>
      <c r="C744" s="146"/>
      <c r="H744" s="142"/>
      <c r="I744" s="142"/>
      <c r="J744" s="142"/>
      <c r="K744" s="142"/>
      <c r="L744" s="142"/>
      <c r="M744" s="142"/>
      <c r="N744" s="142"/>
    </row>
    <row r="745" spans="2:14" x14ac:dyDescent="0.2">
      <c r="B745" s="146"/>
      <c r="C745" s="147"/>
      <c r="H745" s="144"/>
      <c r="I745" s="144"/>
      <c r="J745" s="144"/>
      <c r="K745" s="144"/>
      <c r="L745" s="144"/>
      <c r="M745" s="144"/>
      <c r="N745" s="144"/>
    </row>
    <row r="746" spans="2:14" x14ac:dyDescent="0.2">
      <c r="B746" s="146"/>
      <c r="C746" s="146"/>
      <c r="H746" s="142"/>
      <c r="I746" s="142"/>
      <c r="J746" s="142"/>
      <c r="K746" s="142"/>
      <c r="L746" s="142"/>
      <c r="M746" s="142"/>
      <c r="N746" s="142"/>
    </row>
    <row r="747" spans="2:14" s="130" customFormat="1" x14ac:dyDescent="0.2">
      <c r="B747" s="147"/>
      <c r="C747" s="147"/>
      <c r="D747" s="112"/>
      <c r="E747" s="112"/>
      <c r="F747" s="112"/>
      <c r="G747" s="112"/>
      <c r="H747" s="144"/>
      <c r="I747" s="144"/>
      <c r="J747" s="144"/>
      <c r="K747" s="144"/>
      <c r="L747" s="144"/>
      <c r="M747" s="144"/>
      <c r="N747" s="144"/>
    </row>
    <row r="748" spans="2:14" x14ac:dyDescent="0.2">
      <c r="B748" s="146"/>
      <c r="C748" s="146"/>
    </row>
    <row r="749" spans="2:14" x14ac:dyDescent="0.2">
      <c r="B749" s="147"/>
      <c r="C749" s="147"/>
    </row>
    <row r="750" spans="2:14" x14ac:dyDescent="0.2">
      <c r="B750" s="146"/>
      <c r="C750" s="147"/>
    </row>
    <row r="751" spans="2:14" x14ac:dyDescent="0.2">
      <c r="B751" s="146"/>
      <c r="C751" s="146"/>
    </row>
    <row r="752" spans="2:14" x14ac:dyDescent="0.2">
      <c r="B752" s="146"/>
      <c r="C752" s="146"/>
    </row>
    <row r="753" spans="2:3" x14ac:dyDescent="0.2">
      <c r="B753" s="146"/>
      <c r="C753" s="146"/>
    </row>
    <row r="754" spans="2:3" x14ac:dyDescent="0.2">
      <c r="B754" s="146"/>
      <c r="C754" s="146"/>
    </row>
    <row r="755" spans="2:3" x14ac:dyDescent="0.2">
      <c r="B755" s="146"/>
      <c r="C755" s="147"/>
    </row>
    <row r="756" spans="2:3" x14ac:dyDescent="0.2">
      <c r="B756" s="146"/>
      <c r="C756" s="146"/>
    </row>
    <row r="757" spans="2:3" x14ac:dyDescent="0.2">
      <c r="B757" s="146"/>
      <c r="C757" s="146"/>
    </row>
    <row r="758" spans="2:3" x14ac:dyDescent="0.2">
      <c r="B758" s="146"/>
      <c r="C758" s="147"/>
    </row>
    <row r="759" spans="2:3" x14ac:dyDescent="0.2">
      <c r="B759" s="146"/>
      <c r="C759" s="146"/>
    </row>
    <row r="760" spans="2:3" x14ac:dyDescent="0.2">
      <c r="B760" s="146"/>
      <c r="C760" s="146"/>
    </row>
    <row r="761" spans="2:3" x14ac:dyDescent="0.2">
      <c r="B761" s="146"/>
      <c r="C761" s="147"/>
    </row>
    <row r="762" spans="2:3" x14ac:dyDescent="0.2">
      <c r="B762" s="146"/>
      <c r="C762" s="146"/>
    </row>
    <row r="763" spans="2:3" x14ac:dyDescent="0.2">
      <c r="B763" s="146"/>
      <c r="C763" s="147"/>
    </row>
    <row r="764" spans="2:3" x14ac:dyDescent="0.2">
      <c r="B764" s="146"/>
      <c r="C764" s="146"/>
    </row>
    <row r="765" spans="2:3" x14ac:dyDescent="0.2">
      <c r="B765" s="146"/>
      <c r="C765" s="146"/>
    </row>
    <row r="766" spans="2:3" x14ac:dyDescent="0.2">
      <c r="B766" s="146"/>
      <c r="C766" s="146"/>
    </row>
    <row r="767" spans="2:3" x14ac:dyDescent="0.2">
      <c r="B767" s="146"/>
      <c r="C767" s="147"/>
    </row>
    <row r="768" spans="2:3" x14ac:dyDescent="0.2">
      <c r="B768" s="146"/>
      <c r="C768" s="146"/>
    </row>
    <row r="769" spans="2:14" x14ac:dyDescent="0.2">
      <c r="B769" s="146"/>
      <c r="C769" s="146"/>
    </row>
    <row r="770" spans="2:14" x14ac:dyDescent="0.2">
      <c r="B770" s="146"/>
      <c r="C770" s="147"/>
    </row>
    <row r="771" spans="2:14" x14ac:dyDescent="0.2">
      <c r="B771" s="146"/>
      <c r="C771" s="146"/>
    </row>
    <row r="772" spans="2:14" x14ac:dyDescent="0.2">
      <c r="B772" s="146"/>
      <c r="C772" s="146"/>
    </row>
    <row r="773" spans="2:14" x14ac:dyDescent="0.2">
      <c r="B773" s="146"/>
      <c r="C773" s="147"/>
    </row>
    <row r="774" spans="2:14" x14ac:dyDescent="0.2">
      <c r="B774" s="146"/>
      <c r="C774" s="146"/>
    </row>
    <row r="775" spans="2:14" x14ac:dyDescent="0.2">
      <c r="B775" s="146"/>
      <c r="C775" s="146"/>
    </row>
    <row r="776" spans="2:14" x14ac:dyDescent="0.2">
      <c r="B776" s="146"/>
      <c r="C776" s="146"/>
    </row>
    <row r="777" spans="2:14" x14ac:dyDescent="0.2">
      <c r="B777" s="146"/>
      <c r="C777" s="147"/>
    </row>
    <row r="778" spans="2:14" x14ac:dyDescent="0.2">
      <c r="B778" s="146"/>
      <c r="C778" s="146"/>
    </row>
    <row r="779" spans="2:14" s="130" customFormat="1" x14ac:dyDescent="0.2">
      <c r="B779" s="147"/>
      <c r="C779" s="147"/>
      <c r="D779" s="112"/>
      <c r="E779" s="112"/>
      <c r="F779" s="112"/>
      <c r="G779" s="112"/>
    </row>
    <row r="780" spans="2:14" x14ac:dyDescent="0.2">
      <c r="B780" s="146"/>
      <c r="C780" s="146"/>
    </row>
    <row r="781" spans="2:14" x14ac:dyDescent="0.2">
      <c r="B781" s="147"/>
      <c r="C781" s="147"/>
    </row>
    <row r="782" spans="2:14" x14ac:dyDescent="0.2">
      <c r="B782" s="146"/>
      <c r="C782" s="147"/>
      <c r="H782" s="144"/>
      <c r="I782" s="144"/>
      <c r="J782" s="144"/>
      <c r="K782" s="144"/>
      <c r="L782" s="144"/>
      <c r="M782" s="144"/>
      <c r="N782" s="144"/>
    </row>
    <row r="783" spans="2:14" x14ac:dyDescent="0.2">
      <c r="B783" s="146"/>
      <c r="C783" s="146"/>
      <c r="H783" s="142"/>
      <c r="I783" s="142"/>
      <c r="J783" s="142"/>
      <c r="K783" s="142"/>
      <c r="L783" s="142"/>
      <c r="M783" s="142"/>
      <c r="N783" s="142"/>
    </row>
    <row r="784" spans="2:14" x14ac:dyDescent="0.2">
      <c r="B784" s="146"/>
      <c r="C784" s="146"/>
      <c r="H784" s="142"/>
      <c r="I784" s="142"/>
      <c r="J784" s="142"/>
      <c r="K784" s="142"/>
      <c r="L784" s="142"/>
      <c r="M784" s="142"/>
      <c r="N784" s="142"/>
    </row>
    <row r="785" spans="2:14" x14ac:dyDescent="0.2">
      <c r="B785" s="146"/>
      <c r="C785" s="146"/>
      <c r="H785" s="142"/>
      <c r="I785" s="142"/>
      <c r="J785" s="142"/>
      <c r="K785" s="142"/>
      <c r="L785" s="142"/>
      <c r="M785" s="142"/>
      <c r="N785" s="142"/>
    </row>
    <row r="786" spans="2:14" x14ac:dyDescent="0.2">
      <c r="B786" s="146"/>
      <c r="C786" s="146"/>
      <c r="H786" s="142"/>
      <c r="I786" s="142"/>
      <c r="J786" s="142"/>
      <c r="K786" s="142"/>
      <c r="L786" s="142"/>
      <c r="M786" s="142"/>
      <c r="N786" s="142"/>
    </row>
    <row r="787" spans="2:14" x14ac:dyDescent="0.2">
      <c r="B787" s="146"/>
      <c r="C787" s="147"/>
      <c r="H787" s="144"/>
      <c r="I787" s="144"/>
      <c r="J787" s="144"/>
      <c r="K787" s="144"/>
      <c r="L787" s="144"/>
      <c r="M787" s="144"/>
      <c r="N787" s="144"/>
    </row>
    <row r="788" spans="2:14" x14ac:dyDescent="0.2">
      <c r="B788" s="146"/>
      <c r="C788" s="146"/>
      <c r="H788" s="142"/>
      <c r="I788" s="142"/>
      <c r="J788" s="142"/>
      <c r="K788" s="142"/>
      <c r="L788" s="142"/>
      <c r="M788" s="142"/>
      <c r="N788" s="142"/>
    </row>
    <row r="789" spans="2:14" x14ac:dyDescent="0.2">
      <c r="B789" s="146"/>
      <c r="C789" s="146"/>
      <c r="H789" s="142"/>
      <c r="I789" s="142"/>
      <c r="J789" s="142"/>
      <c r="K789" s="142"/>
      <c r="L789" s="142"/>
      <c r="M789" s="142"/>
      <c r="N789" s="142"/>
    </row>
    <row r="790" spans="2:14" x14ac:dyDescent="0.2">
      <c r="B790" s="146"/>
      <c r="C790" s="147"/>
      <c r="H790" s="144"/>
      <c r="I790" s="144"/>
      <c r="J790" s="144"/>
      <c r="K790" s="144"/>
      <c r="L790" s="144"/>
      <c r="M790" s="144"/>
      <c r="N790" s="144"/>
    </row>
    <row r="791" spans="2:14" x14ac:dyDescent="0.2">
      <c r="B791" s="146"/>
      <c r="C791" s="146"/>
      <c r="H791" s="142"/>
      <c r="I791" s="142"/>
      <c r="J791" s="142"/>
      <c r="K791" s="142"/>
      <c r="L791" s="142"/>
      <c r="M791" s="142"/>
      <c r="N791" s="142"/>
    </row>
    <row r="792" spans="2:14" x14ac:dyDescent="0.2">
      <c r="B792" s="146"/>
      <c r="C792" s="146"/>
      <c r="H792" s="142"/>
      <c r="I792" s="142"/>
      <c r="J792" s="142"/>
      <c r="K792" s="142"/>
      <c r="L792" s="142"/>
      <c r="M792" s="142"/>
      <c r="N792" s="142"/>
    </row>
    <row r="793" spans="2:14" x14ac:dyDescent="0.2">
      <c r="B793" s="146"/>
      <c r="C793" s="147"/>
      <c r="H793" s="144"/>
      <c r="I793" s="144"/>
      <c r="J793" s="144"/>
      <c r="K793" s="144"/>
      <c r="L793" s="144"/>
      <c r="M793" s="144"/>
      <c r="N793" s="144"/>
    </row>
    <row r="794" spans="2:14" x14ac:dyDescent="0.2">
      <c r="B794" s="146"/>
      <c r="C794" s="146"/>
      <c r="H794" s="142"/>
      <c r="I794" s="142"/>
      <c r="J794" s="142"/>
      <c r="K794" s="142"/>
      <c r="L794" s="142"/>
      <c r="M794" s="142"/>
      <c r="N794" s="142"/>
    </row>
    <row r="795" spans="2:14" x14ac:dyDescent="0.2">
      <c r="B795" s="146"/>
      <c r="C795" s="147"/>
      <c r="H795" s="144"/>
      <c r="I795" s="144"/>
      <c r="J795" s="144"/>
      <c r="K795" s="144"/>
      <c r="L795" s="144"/>
      <c r="M795" s="144"/>
      <c r="N795" s="144"/>
    </row>
    <row r="796" spans="2:14" x14ac:dyDescent="0.2">
      <c r="B796" s="146"/>
      <c r="C796" s="146"/>
      <c r="H796" s="142"/>
      <c r="I796" s="142"/>
      <c r="J796" s="142"/>
      <c r="K796" s="142"/>
      <c r="L796" s="142"/>
      <c r="M796" s="142"/>
      <c r="N796" s="142"/>
    </row>
    <row r="797" spans="2:14" x14ac:dyDescent="0.2">
      <c r="B797" s="146"/>
      <c r="C797" s="146"/>
      <c r="H797" s="142"/>
      <c r="I797" s="142"/>
      <c r="J797" s="142"/>
      <c r="K797" s="142"/>
      <c r="L797" s="142"/>
      <c r="M797" s="142"/>
      <c r="N797" s="142"/>
    </row>
    <row r="798" spans="2:14" x14ac:dyDescent="0.2">
      <c r="B798" s="146"/>
      <c r="C798" s="146"/>
      <c r="H798" s="142"/>
      <c r="I798" s="142"/>
      <c r="J798" s="142"/>
      <c r="K798" s="142"/>
      <c r="L798" s="142"/>
      <c r="M798" s="142"/>
      <c r="N798" s="142"/>
    </row>
    <row r="799" spans="2:14" x14ac:dyDescent="0.2">
      <c r="B799" s="146"/>
      <c r="C799" s="147"/>
      <c r="H799" s="144"/>
      <c r="I799" s="144"/>
      <c r="J799" s="144"/>
      <c r="K799" s="144"/>
      <c r="L799" s="144"/>
      <c r="M799" s="144"/>
      <c r="N799" s="144"/>
    </row>
    <row r="800" spans="2:14" x14ac:dyDescent="0.2">
      <c r="B800" s="146"/>
      <c r="C800" s="146"/>
      <c r="H800" s="142"/>
      <c r="I800" s="142"/>
      <c r="J800" s="142"/>
      <c r="K800" s="142"/>
      <c r="L800" s="142"/>
      <c r="M800" s="142"/>
      <c r="N800" s="142"/>
    </row>
    <row r="801" spans="2:14" x14ac:dyDescent="0.2">
      <c r="B801" s="146"/>
      <c r="C801" s="146"/>
      <c r="H801" s="142"/>
      <c r="I801" s="142"/>
      <c r="J801" s="142"/>
      <c r="K801" s="142"/>
      <c r="L801" s="142"/>
      <c r="M801" s="142"/>
      <c r="N801" s="142"/>
    </row>
    <row r="802" spans="2:14" x14ac:dyDescent="0.2">
      <c r="B802" s="146"/>
      <c r="C802" s="147"/>
      <c r="H802" s="144"/>
      <c r="I802" s="144"/>
      <c r="J802" s="144"/>
      <c r="K802" s="144"/>
      <c r="L802" s="144"/>
      <c r="M802" s="144"/>
      <c r="N802" s="144"/>
    </row>
    <row r="803" spans="2:14" x14ac:dyDescent="0.2">
      <c r="B803" s="146"/>
      <c r="C803" s="146"/>
      <c r="H803" s="142"/>
      <c r="I803" s="142"/>
      <c r="J803" s="142"/>
      <c r="K803" s="142"/>
      <c r="L803" s="142"/>
      <c r="M803" s="142"/>
      <c r="N803" s="142"/>
    </row>
    <row r="804" spans="2:14" x14ac:dyDescent="0.2">
      <c r="B804" s="146"/>
      <c r="C804" s="146"/>
      <c r="H804" s="142"/>
      <c r="I804" s="142"/>
      <c r="J804" s="142"/>
      <c r="K804" s="142"/>
      <c r="L804" s="142"/>
      <c r="M804" s="142"/>
      <c r="N804" s="142"/>
    </row>
    <row r="805" spans="2:14" x14ac:dyDescent="0.2">
      <c r="B805" s="146"/>
      <c r="C805" s="147"/>
      <c r="H805" s="144"/>
      <c r="I805" s="144"/>
      <c r="J805" s="144"/>
      <c r="K805" s="144"/>
      <c r="L805" s="144"/>
      <c r="M805" s="144"/>
      <c r="N805" s="144"/>
    </row>
    <row r="806" spans="2:14" x14ac:dyDescent="0.2">
      <c r="B806" s="146"/>
      <c r="C806" s="146"/>
      <c r="H806" s="142"/>
      <c r="I806" s="142"/>
      <c r="J806" s="142"/>
      <c r="K806" s="142"/>
      <c r="L806" s="142"/>
      <c r="M806" s="142"/>
      <c r="N806" s="142"/>
    </row>
    <row r="807" spans="2:14" x14ac:dyDescent="0.2">
      <c r="B807" s="146"/>
      <c r="C807" s="146"/>
      <c r="H807" s="142"/>
      <c r="I807" s="142"/>
      <c r="J807" s="142"/>
      <c r="K807" s="142"/>
      <c r="L807" s="142"/>
      <c r="M807" s="142"/>
      <c r="N807" s="142"/>
    </row>
    <row r="808" spans="2:14" x14ac:dyDescent="0.2">
      <c r="B808" s="146"/>
      <c r="C808" s="146"/>
      <c r="H808" s="142"/>
      <c r="I808" s="142"/>
      <c r="J808" s="142"/>
      <c r="K808" s="142"/>
      <c r="L808" s="142"/>
      <c r="M808" s="142"/>
      <c r="N808" s="142"/>
    </row>
    <row r="809" spans="2:14" x14ac:dyDescent="0.2">
      <c r="B809" s="146"/>
      <c r="C809" s="147"/>
      <c r="H809" s="144"/>
      <c r="I809" s="144"/>
      <c r="J809" s="144"/>
      <c r="K809" s="144"/>
      <c r="L809" s="144"/>
      <c r="M809" s="144"/>
      <c r="N809" s="144"/>
    </row>
    <row r="810" spans="2:14" x14ac:dyDescent="0.2">
      <c r="B810" s="146"/>
      <c r="C810" s="146"/>
      <c r="H810" s="142"/>
      <c r="I810" s="142"/>
      <c r="J810" s="142"/>
      <c r="K810" s="142"/>
      <c r="L810" s="142"/>
      <c r="M810" s="142"/>
      <c r="N810" s="142"/>
    </row>
    <row r="811" spans="2:14" s="130" customFormat="1" x14ac:dyDescent="0.2">
      <c r="B811" s="147"/>
      <c r="C811" s="147"/>
      <c r="D811" s="113"/>
      <c r="E811" s="113"/>
      <c r="F811" s="113"/>
      <c r="G811" s="113"/>
      <c r="H811" s="144"/>
      <c r="I811" s="144"/>
      <c r="J811" s="144"/>
      <c r="K811" s="144"/>
      <c r="L811" s="144"/>
      <c r="M811" s="144"/>
      <c r="N811" s="144"/>
    </row>
    <row r="812" spans="2:14" x14ac:dyDescent="0.2">
      <c r="C812" s="146"/>
    </row>
    <row r="813" spans="2:14" x14ac:dyDescent="0.2">
      <c r="B813" s="129"/>
      <c r="C813" s="146"/>
    </row>
    <row r="814" spans="2:14" x14ac:dyDescent="0.2">
      <c r="B814" s="146"/>
      <c r="C814" s="146"/>
    </row>
    <row r="815" spans="2:14" x14ac:dyDescent="0.2">
      <c r="B815" s="147"/>
      <c r="C815" s="147"/>
    </row>
    <row r="816" spans="2:14" s="130" customFormat="1" x14ac:dyDescent="0.2">
      <c r="B816" s="147"/>
      <c r="C816" s="147"/>
      <c r="D816" s="112"/>
      <c r="E816" s="112"/>
      <c r="F816" s="112"/>
      <c r="G816" s="112"/>
      <c r="H816" s="144"/>
      <c r="I816" s="144"/>
      <c r="J816" s="144"/>
      <c r="K816" s="144"/>
      <c r="L816" s="144"/>
      <c r="M816" s="144"/>
      <c r="N816" s="144"/>
    </row>
    <row r="817" spans="2:14" x14ac:dyDescent="0.2">
      <c r="B817" s="146"/>
      <c r="C817" s="146"/>
      <c r="H817" s="142"/>
      <c r="I817" s="142"/>
      <c r="J817" s="142"/>
      <c r="K817" s="142"/>
      <c r="L817" s="142"/>
      <c r="M817" s="142"/>
      <c r="N817" s="142"/>
    </row>
    <row r="818" spans="2:14" x14ac:dyDescent="0.2">
      <c r="B818" s="146"/>
      <c r="C818" s="146"/>
      <c r="H818" s="142"/>
      <c r="I818" s="142"/>
      <c r="J818" s="142"/>
      <c r="K818" s="142"/>
      <c r="L818" s="142"/>
      <c r="M818" s="142"/>
      <c r="N818" s="142"/>
    </row>
    <row r="819" spans="2:14" x14ac:dyDescent="0.2">
      <c r="B819" s="146"/>
      <c r="C819" s="146"/>
      <c r="H819" s="142"/>
      <c r="I819" s="142"/>
      <c r="J819" s="142"/>
      <c r="K819" s="142"/>
      <c r="L819" s="142"/>
      <c r="M819" s="142"/>
      <c r="N819" s="142"/>
    </row>
    <row r="820" spans="2:14" x14ac:dyDescent="0.2">
      <c r="B820" s="146"/>
      <c r="C820" s="146"/>
      <c r="H820" s="142"/>
      <c r="I820" s="142"/>
      <c r="J820" s="142"/>
      <c r="K820" s="142"/>
      <c r="L820" s="142"/>
      <c r="M820" s="142"/>
      <c r="N820" s="142"/>
    </row>
    <row r="821" spans="2:14" s="130" customFormat="1" x14ac:dyDescent="0.2">
      <c r="B821" s="147"/>
      <c r="C821" s="147"/>
      <c r="D821" s="112"/>
      <c r="E821" s="112"/>
      <c r="F821" s="112"/>
      <c r="G821" s="112"/>
      <c r="H821" s="144"/>
      <c r="I821" s="144"/>
      <c r="J821" s="144"/>
      <c r="K821" s="144"/>
      <c r="L821" s="144"/>
      <c r="M821" s="144"/>
      <c r="N821" s="144"/>
    </row>
    <row r="822" spans="2:14" x14ac:dyDescent="0.2">
      <c r="B822" s="146"/>
      <c r="C822" s="146"/>
      <c r="H822" s="142"/>
      <c r="I822" s="142"/>
      <c r="J822" s="142"/>
      <c r="K822" s="142"/>
      <c r="L822" s="142"/>
      <c r="M822" s="142"/>
      <c r="N822" s="142"/>
    </row>
    <row r="823" spans="2:14" x14ac:dyDescent="0.2">
      <c r="B823" s="146"/>
      <c r="C823" s="146"/>
      <c r="H823" s="142"/>
      <c r="I823" s="142"/>
      <c r="J823" s="142"/>
      <c r="K823" s="142"/>
      <c r="L823" s="142"/>
      <c r="M823" s="142"/>
      <c r="N823" s="142"/>
    </row>
    <row r="824" spans="2:14" s="130" customFormat="1" x14ac:dyDescent="0.2">
      <c r="B824" s="147"/>
      <c r="C824" s="147"/>
      <c r="D824" s="112"/>
      <c r="E824" s="112"/>
      <c r="F824" s="112"/>
      <c r="G824" s="112"/>
      <c r="H824" s="144"/>
      <c r="I824" s="144"/>
      <c r="J824" s="144"/>
      <c r="K824" s="144"/>
      <c r="L824" s="144"/>
      <c r="M824" s="144"/>
      <c r="N824" s="144"/>
    </row>
    <row r="825" spans="2:14" x14ac:dyDescent="0.2">
      <c r="B825" s="146"/>
      <c r="C825" s="146"/>
      <c r="H825" s="142"/>
      <c r="I825" s="142"/>
      <c r="J825" s="142"/>
      <c r="K825" s="142"/>
      <c r="L825" s="142"/>
      <c r="M825" s="142"/>
      <c r="N825" s="142"/>
    </row>
    <row r="826" spans="2:14" x14ac:dyDescent="0.2">
      <c r="B826" s="146"/>
      <c r="C826" s="146"/>
      <c r="H826" s="142"/>
      <c r="I826" s="142"/>
      <c r="J826" s="142"/>
      <c r="K826" s="142"/>
      <c r="L826" s="142"/>
      <c r="M826" s="142"/>
      <c r="N826" s="142"/>
    </row>
    <row r="827" spans="2:14" s="130" customFormat="1" x14ac:dyDescent="0.2">
      <c r="B827" s="147"/>
      <c r="C827" s="147"/>
      <c r="D827" s="112"/>
      <c r="E827" s="112"/>
      <c r="F827" s="112"/>
      <c r="G827" s="112"/>
      <c r="H827" s="144"/>
      <c r="I827" s="144"/>
      <c r="J827" s="144"/>
      <c r="K827" s="144"/>
      <c r="L827" s="144"/>
      <c r="M827" s="144"/>
      <c r="N827" s="144"/>
    </row>
    <row r="828" spans="2:14" x14ac:dyDescent="0.2">
      <c r="B828" s="146"/>
      <c r="C828" s="146"/>
      <c r="H828" s="142"/>
      <c r="I828" s="142"/>
      <c r="J828" s="142"/>
      <c r="K828" s="142"/>
      <c r="L828" s="142"/>
      <c r="M828" s="142"/>
      <c r="N828" s="142"/>
    </row>
    <row r="829" spans="2:14" s="130" customFormat="1" x14ac:dyDescent="0.2">
      <c r="B829" s="147"/>
      <c r="C829" s="147"/>
      <c r="D829" s="112"/>
      <c r="E829" s="112"/>
      <c r="F829" s="112"/>
      <c r="G829" s="112"/>
      <c r="H829" s="144"/>
      <c r="I829" s="144"/>
      <c r="J829" s="144"/>
      <c r="K829" s="144"/>
      <c r="L829" s="144"/>
      <c r="M829" s="144"/>
      <c r="N829" s="144"/>
    </row>
    <row r="830" spans="2:14" x14ac:dyDescent="0.2">
      <c r="B830" s="146"/>
      <c r="C830" s="146"/>
      <c r="H830" s="142"/>
      <c r="I830" s="142"/>
      <c r="J830" s="142"/>
      <c r="K830" s="142"/>
      <c r="L830" s="142"/>
      <c r="M830" s="142"/>
      <c r="N830" s="142"/>
    </row>
    <row r="831" spans="2:14" x14ac:dyDescent="0.2">
      <c r="B831" s="146"/>
      <c r="C831" s="146"/>
      <c r="H831" s="142"/>
      <c r="I831" s="142"/>
      <c r="J831" s="142"/>
      <c r="K831" s="142"/>
      <c r="L831" s="142"/>
      <c r="M831" s="142"/>
      <c r="N831" s="142"/>
    </row>
    <row r="832" spans="2:14" x14ac:dyDescent="0.2">
      <c r="B832" s="146"/>
      <c r="C832" s="146"/>
      <c r="H832" s="142"/>
      <c r="I832" s="142"/>
      <c r="J832" s="142"/>
      <c r="K832" s="142"/>
      <c r="L832" s="142"/>
      <c r="M832" s="142"/>
      <c r="N832" s="142"/>
    </row>
    <row r="833" spans="2:14" s="130" customFormat="1" x14ac:dyDescent="0.2">
      <c r="B833" s="147"/>
      <c r="C833" s="147"/>
      <c r="D833" s="112"/>
      <c r="E833" s="112"/>
      <c r="F833" s="112"/>
      <c r="G833" s="112"/>
      <c r="H833" s="144"/>
      <c r="I833" s="144"/>
      <c r="J833" s="144"/>
      <c r="K833" s="144"/>
      <c r="L833" s="144"/>
      <c r="M833" s="144"/>
      <c r="N833" s="144"/>
    </row>
    <row r="834" spans="2:14" x14ac:dyDescent="0.2">
      <c r="B834" s="146"/>
      <c r="C834" s="146"/>
      <c r="H834" s="142"/>
      <c r="I834" s="142"/>
      <c r="J834" s="142"/>
      <c r="K834" s="142"/>
      <c r="L834" s="142"/>
      <c r="M834" s="142"/>
      <c r="N834" s="142"/>
    </row>
    <row r="835" spans="2:14" x14ac:dyDescent="0.2">
      <c r="B835" s="146"/>
      <c r="C835" s="146"/>
      <c r="H835" s="142"/>
      <c r="I835" s="142"/>
      <c r="J835" s="142"/>
      <c r="K835" s="142"/>
      <c r="L835" s="142"/>
      <c r="M835" s="142"/>
      <c r="N835" s="142"/>
    </row>
    <row r="836" spans="2:14" s="130" customFormat="1" x14ac:dyDescent="0.2">
      <c r="B836" s="147"/>
      <c r="C836" s="147"/>
      <c r="D836" s="112"/>
      <c r="E836" s="112"/>
      <c r="F836" s="112"/>
      <c r="G836" s="112"/>
      <c r="H836" s="144"/>
      <c r="I836" s="144"/>
      <c r="J836" s="144"/>
      <c r="K836" s="144"/>
      <c r="L836" s="144"/>
      <c r="M836" s="144"/>
      <c r="N836" s="144"/>
    </row>
    <row r="837" spans="2:14" x14ac:dyDescent="0.2">
      <c r="B837" s="146"/>
      <c r="C837" s="146"/>
      <c r="H837" s="142"/>
      <c r="I837" s="142"/>
      <c r="J837" s="142"/>
      <c r="K837" s="142"/>
      <c r="L837" s="142"/>
      <c r="M837" s="142"/>
      <c r="N837" s="142"/>
    </row>
    <row r="838" spans="2:14" x14ac:dyDescent="0.2">
      <c r="B838" s="146"/>
      <c r="C838" s="146"/>
      <c r="H838" s="142"/>
      <c r="I838" s="142"/>
      <c r="J838" s="142"/>
      <c r="K838" s="142"/>
      <c r="L838" s="142"/>
      <c r="M838" s="142"/>
      <c r="N838" s="142"/>
    </row>
    <row r="839" spans="2:14" s="130" customFormat="1" x14ac:dyDescent="0.2">
      <c r="B839" s="147"/>
      <c r="C839" s="147"/>
      <c r="D839" s="112"/>
      <c r="E839" s="112"/>
      <c r="F839" s="112"/>
      <c r="G839" s="112"/>
      <c r="H839" s="144"/>
      <c r="I839" s="144"/>
      <c r="J839" s="144"/>
      <c r="K839" s="144"/>
      <c r="L839" s="144"/>
      <c r="M839" s="144"/>
      <c r="N839" s="144"/>
    </row>
    <row r="840" spans="2:14" x14ac:dyDescent="0.2">
      <c r="B840" s="146"/>
      <c r="C840" s="146"/>
      <c r="H840" s="142"/>
      <c r="I840" s="142"/>
      <c r="J840" s="142"/>
      <c r="K840" s="142"/>
      <c r="L840" s="142"/>
      <c r="M840" s="142"/>
      <c r="N840" s="142"/>
    </row>
    <row r="841" spans="2:14" x14ac:dyDescent="0.2">
      <c r="B841" s="146"/>
      <c r="C841" s="146"/>
      <c r="H841" s="142"/>
      <c r="I841" s="142"/>
      <c r="J841" s="142"/>
      <c r="K841" s="142"/>
      <c r="L841" s="142"/>
      <c r="M841" s="142"/>
      <c r="N841" s="142"/>
    </row>
    <row r="842" spans="2:14" x14ac:dyDescent="0.2">
      <c r="B842" s="146"/>
      <c r="C842" s="146"/>
      <c r="H842" s="142"/>
      <c r="I842" s="142"/>
      <c r="J842" s="142"/>
      <c r="K842" s="142"/>
      <c r="L842" s="142"/>
      <c r="M842" s="142"/>
      <c r="N842" s="142"/>
    </row>
    <row r="843" spans="2:14" s="130" customFormat="1" x14ac:dyDescent="0.2">
      <c r="B843" s="147"/>
      <c r="C843" s="147"/>
      <c r="D843" s="112"/>
      <c r="E843" s="112"/>
      <c r="F843" s="112"/>
      <c r="G843" s="112"/>
      <c r="H843" s="144"/>
      <c r="I843" s="144"/>
      <c r="J843" s="144"/>
      <c r="K843" s="144"/>
      <c r="L843" s="144"/>
      <c r="M843" s="144"/>
      <c r="N843" s="144"/>
    </row>
    <row r="844" spans="2:14" x14ac:dyDescent="0.2">
      <c r="B844" s="146"/>
      <c r="C844" s="146"/>
      <c r="H844" s="142"/>
      <c r="I844" s="142"/>
      <c r="J844" s="142"/>
      <c r="K844" s="142"/>
      <c r="L844" s="142"/>
      <c r="M844" s="142"/>
      <c r="N844" s="142"/>
    </row>
    <row r="845" spans="2:14" s="130" customFormat="1" x14ac:dyDescent="0.2">
      <c r="B845" s="147"/>
      <c r="C845" s="147"/>
      <c r="D845" s="113"/>
      <c r="E845" s="113"/>
      <c r="F845" s="113"/>
      <c r="G845" s="113"/>
      <c r="H845" s="144"/>
      <c r="I845" s="144"/>
      <c r="J845" s="144"/>
      <c r="K845" s="144"/>
      <c r="L845" s="144"/>
      <c r="M845" s="144"/>
      <c r="N845" s="144"/>
    </row>
    <row r="846" spans="2:14" x14ac:dyDescent="0.2">
      <c r="B846" s="146"/>
      <c r="C846" s="146"/>
    </row>
    <row r="847" spans="2:14" x14ac:dyDescent="0.2">
      <c r="B847" s="147"/>
      <c r="C847" s="147"/>
    </row>
    <row r="848" spans="2:14" x14ac:dyDescent="0.2">
      <c r="B848" s="146"/>
      <c r="C848" s="147"/>
      <c r="H848" s="144"/>
      <c r="I848" s="144"/>
      <c r="J848" s="144"/>
      <c r="K848" s="144"/>
      <c r="L848" s="144"/>
      <c r="M848" s="144"/>
      <c r="N848" s="144"/>
    </row>
    <row r="849" spans="2:14" x14ac:dyDescent="0.2">
      <c r="B849" s="146"/>
      <c r="C849" s="146"/>
      <c r="H849" s="142"/>
      <c r="I849" s="142"/>
      <c r="J849" s="142"/>
      <c r="K849" s="142"/>
      <c r="L849" s="142"/>
      <c r="M849" s="142"/>
      <c r="N849" s="142"/>
    </row>
    <row r="850" spans="2:14" x14ac:dyDescent="0.2">
      <c r="B850" s="146"/>
      <c r="C850" s="146"/>
      <c r="H850" s="142"/>
      <c r="I850" s="142"/>
      <c r="J850" s="142"/>
      <c r="K850" s="142"/>
      <c r="L850" s="142"/>
      <c r="M850" s="142"/>
      <c r="N850" s="142"/>
    </row>
    <row r="851" spans="2:14" x14ac:dyDescent="0.2">
      <c r="B851" s="146"/>
      <c r="C851" s="146"/>
      <c r="H851" s="142"/>
      <c r="I851" s="142"/>
      <c r="J851" s="142"/>
      <c r="K851" s="142"/>
      <c r="L851" s="142"/>
      <c r="M851" s="142"/>
      <c r="N851" s="142"/>
    </row>
    <row r="852" spans="2:14" x14ac:dyDescent="0.2">
      <c r="B852" s="146"/>
      <c r="C852" s="146"/>
      <c r="H852" s="142"/>
      <c r="I852" s="142"/>
      <c r="J852" s="142"/>
      <c r="K852" s="142"/>
      <c r="L852" s="142"/>
      <c r="M852" s="142"/>
      <c r="N852" s="142"/>
    </row>
    <row r="853" spans="2:14" s="130" customFormat="1" x14ac:dyDescent="0.2">
      <c r="B853" s="147"/>
      <c r="C853" s="147"/>
      <c r="D853" s="112"/>
      <c r="E853" s="112"/>
      <c r="F853" s="112"/>
      <c r="G853" s="112"/>
      <c r="H853" s="144"/>
      <c r="I853" s="144"/>
      <c r="J853" s="144"/>
      <c r="K853" s="144"/>
      <c r="L853" s="144"/>
      <c r="M853" s="144"/>
      <c r="N853" s="144"/>
    </row>
    <row r="854" spans="2:14" x14ac:dyDescent="0.2">
      <c r="B854" s="146"/>
      <c r="C854" s="146"/>
      <c r="H854" s="142"/>
      <c r="I854" s="142"/>
      <c r="J854" s="142"/>
      <c r="K854" s="142"/>
      <c r="L854" s="142"/>
      <c r="M854" s="142"/>
      <c r="N854" s="142"/>
    </row>
    <row r="855" spans="2:14" x14ac:dyDescent="0.2">
      <c r="B855" s="146"/>
      <c r="C855" s="146"/>
      <c r="H855" s="142"/>
      <c r="I855" s="142"/>
      <c r="J855" s="142"/>
      <c r="K855" s="142"/>
      <c r="L855" s="142"/>
      <c r="M855" s="142"/>
      <c r="N855" s="142"/>
    </row>
    <row r="856" spans="2:14" s="130" customFormat="1" x14ac:dyDescent="0.2">
      <c r="B856" s="147"/>
      <c r="C856" s="147"/>
      <c r="D856" s="112"/>
      <c r="E856" s="112"/>
      <c r="F856" s="112"/>
      <c r="G856" s="112"/>
      <c r="H856" s="144"/>
      <c r="I856" s="144"/>
      <c r="J856" s="144"/>
      <c r="K856" s="144"/>
      <c r="L856" s="144"/>
      <c r="M856" s="144"/>
      <c r="N856" s="144"/>
    </row>
    <row r="857" spans="2:14" x14ac:dyDescent="0.2">
      <c r="B857" s="146"/>
      <c r="C857" s="146"/>
      <c r="H857" s="142"/>
      <c r="I857" s="142"/>
      <c r="J857" s="142"/>
      <c r="K857" s="142"/>
      <c r="L857" s="142"/>
      <c r="M857" s="142"/>
      <c r="N857" s="142"/>
    </row>
    <row r="858" spans="2:14" x14ac:dyDescent="0.2">
      <c r="B858" s="146"/>
      <c r="C858" s="146"/>
      <c r="H858" s="142"/>
      <c r="I858" s="142"/>
      <c r="J858" s="142"/>
      <c r="K858" s="142"/>
      <c r="L858" s="142"/>
      <c r="M858" s="142"/>
      <c r="N858" s="142"/>
    </row>
    <row r="859" spans="2:14" s="130" customFormat="1" x14ac:dyDescent="0.2">
      <c r="B859" s="147"/>
      <c r="C859" s="147"/>
      <c r="D859" s="112"/>
      <c r="E859" s="112"/>
      <c r="F859" s="112"/>
      <c r="G859" s="112"/>
      <c r="H859" s="144"/>
      <c r="I859" s="144"/>
      <c r="J859" s="144"/>
      <c r="K859" s="144"/>
      <c r="L859" s="144"/>
      <c r="M859" s="144"/>
      <c r="N859" s="144"/>
    </row>
    <row r="860" spans="2:14" x14ac:dyDescent="0.2">
      <c r="B860" s="146"/>
      <c r="C860" s="146"/>
      <c r="H860" s="142"/>
      <c r="I860" s="142"/>
      <c r="J860" s="142"/>
      <c r="K860" s="142"/>
      <c r="L860" s="142"/>
      <c r="M860" s="142"/>
      <c r="N860" s="142"/>
    </row>
    <row r="861" spans="2:14" s="130" customFormat="1" x14ac:dyDescent="0.2">
      <c r="B861" s="147"/>
      <c r="C861" s="147"/>
      <c r="D861" s="112"/>
      <c r="E861" s="112"/>
      <c r="F861" s="112"/>
      <c r="G861" s="112"/>
      <c r="H861" s="144"/>
      <c r="I861" s="144"/>
      <c r="J861" s="144"/>
      <c r="K861" s="144"/>
      <c r="L861" s="144"/>
      <c r="M861" s="144"/>
      <c r="N861" s="144"/>
    </row>
    <row r="862" spans="2:14" x14ac:dyDescent="0.2">
      <c r="B862" s="146"/>
      <c r="C862" s="146"/>
      <c r="H862" s="142"/>
      <c r="I862" s="142"/>
      <c r="J862" s="142"/>
      <c r="K862" s="142"/>
      <c r="L862" s="142"/>
      <c r="M862" s="142"/>
      <c r="N862" s="142"/>
    </row>
    <row r="863" spans="2:14" x14ac:dyDescent="0.2">
      <c r="B863" s="146"/>
      <c r="C863" s="146"/>
      <c r="H863" s="142"/>
      <c r="I863" s="142"/>
      <c r="J863" s="142"/>
      <c r="K863" s="142"/>
      <c r="L863" s="142"/>
      <c r="M863" s="142"/>
      <c r="N863" s="142"/>
    </row>
    <row r="864" spans="2:14" x14ac:dyDescent="0.2">
      <c r="B864" s="146"/>
      <c r="C864" s="146"/>
      <c r="H864" s="142"/>
      <c r="I864" s="142"/>
      <c r="J864" s="142"/>
      <c r="K864" s="142"/>
      <c r="L864" s="142"/>
      <c r="M864" s="142"/>
      <c r="N864" s="142"/>
    </row>
    <row r="865" spans="2:14" s="130" customFormat="1" x14ac:dyDescent="0.2">
      <c r="B865" s="147"/>
      <c r="C865" s="147"/>
      <c r="D865" s="112"/>
      <c r="E865" s="112"/>
      <c r="F865" s="112"/>
      <c r="G865" s="112"/>
      <c r="H865" s="144"/>
      <c r="I865" s="144"/>
      <c r="J865" s="144"/>
      <c r="K865" s="144"/>
      <c r="L865" s="144"/>
      <c r="M865" s="144"/>
      <c r="N865" s="144"/>
    </row>
    <row r="866" spans="2:14" x14ac:dyDescent="0.2">
      <c r="B866" s="146"/>
      <c r="C866" s="146"/>
      <c r="H866" s="142"/>
      <c r="I866" s="142"/>
      <c r="J866" s="142"/>
      <c r="K866" s="142"/>
      <c r="L866" s="142"/>
      <c r="M866" s="142"/>
      <c r="N866" s="142"/>
    </row>
    <row r="867" spans="2:14" x14ac:dyDescent="0.2">
      <c r="B867" s="146"/>
      <c r="C867" s="146"/>
      <c r="H867" s="142"/>
      <c r="I867" s="142"/>
      <c r="J867" s="142"/>
      <c r="K867" s="142"/>
      <c r="L867" s="142"/>
      <c r="M867" s="142"/>
      <c r="N867" s="142"/>
    </row>
    <row r="868" spans="2:14" s="130" customFormat="1" x14ac:dyDescent="0.2">
      <c r="B868" s="147"/>
      <c r="C868" s="147"/>
      <c r="D868" s="112"/>
      <c r="E868" s="112"/>
      <c r="F868" s="112"/>
      <c r="G868" s="112"/>
      <c r="H868" s="144"/>
      <c r="I868" s="144"/>
      <c r="J868" s="144"/>
      <c r="K868" s="144"/>
      <c r="L868" s="144"/>
      <c r="M868" s="144"/>
      <c r="N868" s="144"/>
    </row>
    <row r="869" spans="2:14" x14ac:dyDescent="0.2">
      <c r="B869" s="146"/>
      <c r="C869" s="146"/>
      <c r="H869" s="142"/>
      <c r="I869" s="142"/>
      <c r="J869" s="142"/>
      <c r="K869" s="142"/>
      <c r="L869" s="142"/>
      <c r="M869" s="142"/>
      <c r="N869" s="142"/>
    </row>
    <row r="870" spans="2:14" x14ac:dyDescent="0.2">
      <c r="B870" s="146"/>
      <c r="C870" s="146"/>
      <c r="H870" s="142"/>
      <c r="I870" s="142"/>
      <c r="J870" s="142"/>
      <c r="K870" s="142"/>
      <c r="L870" s="142"/>
      <c r="M870" s="142"/>
      <c r="N870" s="142"/>
    </row>
    <row r="871" spans="2:14" s="130" customFormat="1" x14ac:dyDescent="0.2">
      <c r="B871" s="147"/>
      <c r="C871" s="147"/>
      <c r="D871" s="112"/>
      <c r="E871" s="112"/>
      <c r="F871" s="112"/>
      <c r="G871" s="112"/>
      <c r="H871" s="144"/>
      <c r="I871" s="144"/>
      <c r="J871" s="144"/>
      <c r="K871" s="144"/>
      <c r="L871" s="144"/>
      <c r="M871" s="144"/>
      <c r="N871" s="144"/>
    </row>
    <row r="872" spans="2:14" x14ac:dyDescent="0.2">
      <c r="B872" s="146"/>
      <c r="C872" s="146"/>
      <c r="H872" s="142"/>
      <c r="I872" s="142"/>
      <c r="J872" s="142"/>
      <c r="K872" s="142"/>
      <c r="L872" s="142"/>
      <c r="M872" s="142"/>
      <c r="N872" s="142"/>
    </row>
    <row r="873" spans="2:14" x14ac:dyDescent="0.2">
      <c r="B873" s="146"/>
      <c r="C873" s="146"/>
      <c r="H873" s="142"/>
      <c r="I873" s="142"/>
      <c r="J873" s="142"/>
      <c r="K873" s="142"/>
      <c r="L873" s="142"/>
      <c r="M873" s="142"/>
      <c r="N873" s="142"/>
    </row>
    <row r="874" spans="2:14" x14ac:dyDescent="0.2">
      <c r="B874" s="146"/>
      <c r="C874" s="146"/>
      <c r="H874" s="142"/>
      <c r="I874" s="142"/>
      <c r="J874" s="142"/>
      <c r="K874" s="142"/>
      <c r="L874" s="142"/>
      <c r="M874" s="142"/>
      <c r="N874" s="142"/>
    </row>
    <row r="875" spans="2:14" s="130" customFormat="1" x14ac:dyDescent="0.2">
      <c r="B875" s="147"/>
      <c r="C875" s="147"/>
      <c r="D875" s="112"/>
      <c r="E875" s="112"/>
      <c r="F875" s="112"/>
      <c r="G875" s="112"/>
      <c r="H875" s="144"/>
      <c r="I875" s="144"/>
      <c r="J875" s="144"/>
      <c r="K875" s="144"/>
      <c r="L875" s="144"/>
      <c r="M875" s="144"/>
      <c r="N875" s="144"/>
    </row>
    <row r="876" spans="2:14" x14ac:dyDescent="0.2">
      <c r="B876" s="146"/>
      <c r="C876" s="146"/>
      <c r="H876" s="142"/>
      <c r="I876" s="142"/>
      <c r="J876" s="142"/>
      <c r="K876" s="142"/>
      <c r="L876" s="142"/>
      <c r="M876" s="142"/>
      <c r="N876" s="142"/>
    </row>
    <row r="877" spans="2:14" s="130" customFormat="1" x14ac:dyDescent="0.2">
      <c r="B877" s="147"/>
      <c r="C877" s="147"/>
      <c r="D877" s="113"/>
      <c r="E877" s="113"/>
      <c r="F877" s="113"/>
      <c r="G877" s="113"/>
      <c r="H877" s="144"/>
      <c r="I877" s="144"/>
      <c r="J877" s="144"/>
      <c r="K877" s="144"/>
      <c r="L877" s="144"/>
      <c r="M877" s="144"/>
      <c r="N877" s="144"/>
    </row>
    <row r="878" spans="2:14" x14ac:dyDescent="0.2">
      <c r="B878" s="146"/>
      <c r="C878" s="146"/>
    </row>
    <row r="879" spans="2:14" x14ac:dyDescent="0.2">
      <c r="B879" s="147"/>
      <c r="C879" s="147"/>
    </row>
    <row r="880" spans="2:14" x14ac:dyDescent="0.2">
      <c r="B880" s="146"/>
      <c r="C880" s="147"/>
      <c r="H880" s="144"/>
      <c r="I880" s="144"/>
      <c r="J880" s="144"/>
      <c r="K880" s="144"/>
      <c r="L880" s="144"/>
      <c r="M880" s="144"/>
      <c r="N880" s="144"/>
    </row>
    <row r="881" spans="2:14" x14ac:dyDescent="0.2">
      <c r="B881" s="146"/>
      <c r="C881" s="146"/>
      <c r="H881" s="142"/>
      <c r="I881" s="142"/>
      <c r="J881" s="142"/>
      <c r="K881" s="142"/>
      <c r="L881" s="142"/>
      <c r="M881" s="142"/>
      <c r="N881" s="142"/>
    </row>
    <row r="882" spans="2:14" x14ac:dyDescent="0.2">
      <c r="B882" s="146"/>
      <c r="C882" s="146"/>
      <c r="H882" s="142"/>
      <c r="I882" s="142"/>
      <c r="J882" s="142"/>
      <c r="K882" s="142"/>
      <c r="L882" s="142"/>
      <c r="M882" s="142"/>
      <c r="N882" s="142"/>
    </row>
    <row r="883" spans="2:14" x14ac:dyDescent="0.2">
      <c r="B883" s="146"/>
      <c r="C883" s="146"/>
      <c r="H883" s="142"/>
      <c r="I883" s="142"/>
      <c r="J883" s="142"/>
      <c r="K883" s="142"/>
      <c r="L883" s="142"/>
      <c r="M883" s="142"/>
      <c r="N883" s="142"/>
    </row>
    <row r="884" spans="2:14" x14ac:dyDescent="0.2">
      <c r="B884" s="146"/>
      <c r="C884" s="146"/>
      <c r="H884" s="142"/>
      <c r="I884" s="142"/>
      <c r="J884" s="142"/>
      <c r="K884" s="142"/>
      <c r="L884" s="142"/>
      <c r="M884" s="142"/>
      <c r="N884" s="142"/>
    </row>
    <row r="885" spans="2:14" x14ac:dyDescent="0.2">
      <c r="B885" s="146"/>
      <c r="C885" s="147"/>
      <c r="H885" s="144"/>
      <c r="I885" s="144"/>
      <c r="J885" s="144"/>
      <c r="K885" s="144"/>
      <c r="L885" s="144"/>
      <c r="M885" s="144"/>
      <c r="N885" s="144"/>
    </row>
    <row r="886" spans="2:14" x14ac:dyDescent="0.2">
      <c r="B886" s="146"/>
      <c r="C886" s="146"/>
      <c r="H886" s="142"/>
      <c r="I886" s="142"/>
      <c r="J886" s="142"/>
      <c r="K886" s="142"/>
      <c r="L886" s="142"/>
      <c r="M886" s="142"/>
      <c r="N886" s="142"/>
    </row>
    <row r="887" spans="2:14" x14ac:dyDescent="0.2">
      <c r="B887" s="146"/>
      <c r="C887" s="146"/>
      <c r="H887" s="142"/>
      <c r="I887" s="142"/>
      <c r="J887" s="142"/>
      <c r="K887" s="142"/>
      <c r="L887" s="142"/>
      <c r="M887" s="142"/>
      <c r="N887" s="142"/>
    </row>
    <row r="888" spans="2:14" x14ac:dyDescent="0.2">
      <c r="B888" s="146"/>
      <c r="C888" s="147"/>
      <c r="H888" s="144"/>
      <c r="I888" s="144"/>
      <c r="J888" s="144"/>
      <c r="K888" s="144"/>
      <c r="L888" s="144"/>
      <c r="M888" s="144"/>
      <c r="N888" s="144"/>
    </row>
    <row r="889" spans="2:14" x14ac:dyDescent="0.2">
      <c r="B889" s="146"/>
      <c r="C889" s="146"/>
      <c r="H889" s="142"/>
      <c r="I889" s="142"/>
      <c r="J889" s="142"/>
      <c r="K889" s="142"/>
      <c r="L889" s="142"/>
      <c r="M889" s="142"/>
      <c r="N889" s="142"/>
    </row>
    <row r="890" spans="2:14" x14ac:dyDescent="0.2">
      <c r="B890" s="146"/>
      <c r="C890" s="146"/>
      <c r="H890" s="142"/>
      <c r="I890" s="142"/>
      <c r="J890" s="142"/>
      <c r="K890" s="142"/>
      <c r="L890" s="142"/>
      <c r="M890" s="142"/>
      <c r="N890" s="142"/>
    </row>
    <row r="891" spans="2:14" x14ac:dyDescent="0.2">
      <c r="B891" s="146"/>
      <c r="C891" s="147"/>
      <c r="H891" s="144"/>
      <c r="I891" s="144"/>
      <c r="J891" s="144"/>
      <c r="K891" s="144"/>
      <c r="L891" s="144"/>
      <c r="M891" s="144"/>
      <c r="N891" s="144"/>
    </row>
    <row r="892" spans="2:14" x14ac:dyDescent="0.2">
      <c r="B892" s="146"/>
      <c r="C892" s="146"/>
      <c r="H892" s="142"/>
      <c r="I892" s="142"/>
      <c r="J892" s="142"/>
      <c r="K892" s="142"/>
      <c r="L892" s="142"/>
      <c r="M892" s="142"/>
      <c r="N892" s="142"/>
    </row>
    <row r="893" spans="2:14" x14ac:dyDescent="0.2">
      <c r="B893" s="146"/>
      <c r="C893" s="147"/>
      <c r="H893" s="144"/>
      <c r="I893" s="144"/>
      <c r="J893" s="144"/>
      <c r="K893" s="144"/>
      <c r="L893" s="144"/>
      <c r="M893" s="144"/>
      <c r="N893" s="144"/>
    </row>
    <row r="894" spans="2:14" x14ac:dyDescent="0.2">
      <c r="B894" s="146"/>
      <c r="C894" s="146"/>
      <c r="H894" s="142"/>
      <c r="I894" s="142"/>
      <c r="J894" s="142"/>
      <c r="K894" s="142"/>
      <c r="L894" s="142"/>
      <c r="M894" s="142"/>
      <c r="N894" s="142"/>
    </row>
    <row r="895" spans="2:14" x14ac:dyDescent="0.2">
      <c r="B895" s="146"/>
      <c r="C895" s="146"/>
      <c r="H895" s="142"/>
      <c r="I895" s="142"/>
      <c r="J895" s="142"/>
      <c r="K895" s="142"/>
      <c r="L895" s="142"/>
      <c r="M895" s="142"/>
      <c r="N895" s="142"/>
    </row>
    <row r="896" spans="2:14" x14ac:dyDescent="0.2">
      <c r="B896" s="146"/>
      <c r="C896" s="146"/>
      <c r="H896" s="142"/>
      <c r="I896" s="142"/>
      <c r="J896" s="142"/>
      <c r="K896" s="142"/>
      <c r="L896" s="142"/>
      <c r="M896" s="142"/>
      <c r="N896" s="142"/>
    </row>
    <row r="897" spans="2:14" x14ac:dyDescent="0.2">
      <c r="B897" s="146"/>
      <c r="C897" s="147"/>
      <c r="H897" s="144"/>
      <c r="I897" s="144"/>
      <c r="J897" s="144"/>
      <c r="K897" s="144"/>
      <c r="L897" s="144"/>
      <c r="M897" s="144"/>
      <c r="N897" s="144"/>
    </row>
    <row r="898" spans="2:14" x14ac:dyDescent="0.2">
      <c r="B898" s="146"/>
      <c r="C898" s="146"/>
      <c r="H898" s="142"/>
      <c r="I898" s="142"/>
      <c r="J898" s="142"/>
      <c r="K898" s="142"/>
      <c r="L898" s="142"/>
      <c r="M898" s="142"/>
      <c r="N898" s="142"/>
    </row>
    <row r="899" spans="2:14" x14ac:dyDescent="0.2">
      <c r="B899" s="146"/>
      <c r="C899" s="146"/>
      <c r="H899" s="142"/>
      <c r="I899" s="142"/>
      <c r="J899" s="142"/>
      <c r="K899" s="142"/>
      <c r="L899" s="142"/>
      <c r="M899" s="142"/>
      <c r="N899" s="142"/>
    </row>
    <row r="900" spans="2:14" x14ac:dyDescent="0.2">
      <c r="B900" s="146"/>
      <c r="C900" s="147"/>
      <c r="H900" s="144"/>
      <c r="I900" s="144"/>
      <c r="J900" s="144"/>
      <c r="K900" s="144"/>
      <c r="L900" s="144"/>
      <c r="M900" s="144"/>
      <c r="N900" s="144"/>
    </row>
    <row r="901" spans="2:14" x14ac:dyDescent="0.2">
      <c r="B901" s="146"/>
      <c r="C901" s="146"/>
      <c r="H901" s="142"/>
      <c r="I901" s="142"/>
      <c r="J901" s="142"/>
      <c r="K901" s="142"/>
      <c r="L901" s="142"/>
      <c r="M901" s="142"/>
      <c r="N901" s="142"/>
    </row>
    <row r="902" spans="2:14" x14ac:dyDescent="0.2">
      <c r="B902" s="146"/>
      <c r="C902" s="146"/>
      <c r="H902" s="142"/>
      <c r="I902" s="142"/>
      <c r="J902" s="142"/>
      <c r="K902" s="142"/>
      <c r="L902" s="142"/>
      <c r="M902" s="142"/>
      <c r="N902" s="142"/>
    </row>
    <row r="903" spans="2:14" x14ac:dyDescent="0.2">
      <c r="B903" s="146"/>
      <c r="C903" s="147"/>
      <c r="H903" s="144"/>
      <c r="I903" s="144"/>
      <c r="J903" s="144"/>
      <c r="K903" s="144"/>
      <c r="L903" s="144"/>
      <c r="M903" s="144"/>
      <c r="N903" s="144"/>
    </row>
    <row r="904" spans="2:14" x14ac:dyDescent="0.2">
      <c r="B904" s="146"/>
      <c r="C904" s="146"/>
      <c r="H904" s="142"/>
      <c r="I904" s="142"/>
      <c r="J904" s="142"/>
      <c r="K904" s="142"/>
      <c r="L904" s="142"/>
      <c r="M904" s="142"/>
      <c r="N904" s="142"/>
    </row>
    <row r="905" spans="2:14" x14ac:dyDescent="0.2">
      <c r="B905" s="146"/>
      <c r="C905" s="146"/>
      <c r="H905" s="142"/>
      <c r="I905" s="142"/>
      <c r="J905" s="142"/>
      <c r="K905" s="142"/>
      <c r="L905" s="142"/>
      <c r="M905" s="142"/>
      <c r="N905" s="142"/>
    </row>
    <row r="906" spans="2:14" x14ac:dyDescent="0.2">
      <c r="B906" s="146"/>
      <c r="C906" s="146"/>
      <c r="H906" s="142"/>
      <c r="I906" s="142"/>
      <c r="J906" s="142"/>
      <c r="K906" s="142"/>
      <c r="L906" s="142"/>
      <c r="M906" s="142"/>
      <c r="N906" s="142"/>
    </row>
    <row r="907" spans="2:14" x14ac:dyDescent="0.2">
      <c r="B907" s="146"/>
      <c r="C907" s="147"/>
      <c r="H907" s="144"/>
      <c r="I907" s="144"/>
      <c r="J907" s="144"/>
      <c r="K907" s="144"/>
      <c r="L907" s="144"/>
      <c r="M907" s="144"/>
      <c r="N907" s="144"/>
    </row>
    <row r="908" spans="2:14" x14ac:dyDescent="0.2">
      <c r="B908" s="146"/>
      <c r="C908" s="146"/>
      <c r="H908" s="142"/>
      <c r="I908" s="142"/>
      <c r="J908" s="142"/>
      <c r="K908" s="142"/>
      <c r="L908" s="142"/>
      <c r="M908" s="142"/>
      <c r="N908" s="142"/>
    </row>
    <row r="909" spans="2:14" s="130" customFormat="1" x14ac:dyDescent="0.2">
      <c r="B909" s="147"/>
      <c r="C909" s="147"/>
      <c r="D909" s="113"/>
      <c r="E909" s="113"/>
      <c r="F909" s="113"/>
      <c r="G909" s="113"/>
      <c r="H909" s="144"/>
      <c r="I909" s="144"/>
      <c r="J909" s="144"/>
      <c r="K909" s="144"/>
      <c r="L909" s="144"/>
      <c r="M909" s="144"/>
      <c r="N909" s="144"/>
    </row>
    <row r="910" spans="2:14" s="130" customFormat="1" x14ac:dyDescent="0.2">
      <c r="B910" s="147"/>
      <c r="C910" s="147"/>
      <c r="D910" s="112"/>
      <c r="E910" s="112"/>
      <c r="F910" s="112"/>
      <c r="G910" s="112"/>
    </row>
    <row r="911" spans="2:14" x14ac:dyDescent="0.2">
      <c r="B911" s="147"/>
      <c r="C911" s="147"/>
    </row>
    <row r="912" spans="2:14" x14ac:dyDescent="0.2">
      <c r="B912" s="146"/>
      <c r="C912" s="147"/>
    </row>
    <row r="913" spans="2:3" x14ac:dyDescent="0.2">
      <c r="B913" s="146"/>
      <c r="C913" s="146"/>
    </row>
    <row r="914" spans="2:3" x14ac:dyDescent="0.2">
      <c r="B914" s="146"/>
      <c r="C914" s="146"/>
    </row>
    <row r="915" spans="2:3" x14ac:dyDescent="0.2">
      <c r="B915" s="146"/>
      <c r="C915" s="146"/>
    </row>
    <row r="916" spans="2:3" x14ac:dyDescent="0.2">
      <c r="B916" s="146"/>
      <c r="C916" s="146"/>
    </row>
    <row r="917" spans="2:3" x14ac:dyDescent="0.2">
      <c r="B917" s="146"/>
      <c r="C917" s="147"/>
    </row>
    <row r="918" spans="2:3" x14ac:dyDescent="0.2">
      <c r="B918" s="146"/>
      <c r="C918" s="146"/>
    </row>
    <row r="919" spans="2:3" x14ac:dyDescent="0.2">
      <c r="B919" s="146"/>
      <c r="C919" s="146"/>
    </row>
    <row r="920" spans="2:3" x14ac:dyDescent="0.2">
      <c r="B920" s="146"/>
      <c r="C920" s="147"/>
    </row>
    <row r="921" spans="2:3" x14ac:dyDescent="0.2">
      <c r="B921" s="146"/>
      <c r="C921" s="146"/>
    </row>
    <row r="922" spans="2:3" x14ac:dyDescent="0.2">
      <c r="B922" s="146"/>
      <c r="C922" s="146"/>
    </row>
    <row r="923" spans="2:3" x14ac:dyDescent="0.2">
      <c r="B923" s="146"/>
      <c r="C923" s="147"/>
    </row>
    <row r="924" spans="2:3" x14ac:dyDescent="0.2">
      <c r="B924" s="146"/>
      <c r="C924" s="146"/>
    </row>
    <row r="925" spans="2:3" x14ac:dyDescent="0.2">
      <c r="B925" s="146"/>
      <c r="C925" s="147"/>
    </row>
    <row r="926" spans="2:3" x14ac:dyDescent="0.2">
      <c r="B926" s="146"/>
      <c r="C926" s="146"/>
    </row>
    <row r="927" spans="2:3" x14ac:dyDescent="0.2">
      <c r="B927" s="146"/>
      <c r="C927" s="146"/>
    </row>
    <row r="928" spans="2:3" x14ac:dyDescent="0.2">
      <c r="B928" s="146"/>
      <c r="C928" s="146"/>
    </row>
    <row r="929" spans="2:14" x14ac:dyDescent="0.2">
      <c r="B929" s="146"/>
      <c r="C929" s="147"/>
    </row>
    <row r="930" spans="2:14" x14ac:dyDescent="0.2">
      <c r="B930" s="146"/>
      <c r="C930" s="146"/>
    </row>
    <row r="931" spans="2:14" x14ac:dyDescent="0.2">
      <c r="B931" s="146"/>
      <c r="C931" s="146"/>
    </row>
    <row r="932" spans="2:14" x14ac:dyDescent="0.2">
      <c r="B932" s="146"/>
      <c r="C932" s="147"/>
    </row>
    <row r="933" spans="2:14" x14ac:dyDescent="0.2">
      <c r="B933" s="146"/>
      <c r="C933" s="146"/>
    </row>
    <row r="934" spans="2:14" x14ac:dyDescent="0.2">
      <c r="B934" s="146"/>
      <c r="C934" s="146"/>
    </row>
    <row r="935" spans="2:14" x14ac:dyDescent="0.2">
      <c r="B935" s="146"/>
      <c r="C935" s="147"/>
    </row>
    <row r="936" spans="2:14" x14ac:dyDescent="0.2">
      <c r="B936" s="146"/>
      <c r="C936" s="146"/>
    </row>
    <row r="937" spans="2:14" x14ac:dyDescent="0.2">
      <c r="B937" s="146"/>
      <c r="C937" s="146"/>
    </row>
    <row r="938" spans="2:14" x14ac:dyDescent="0.2">
      <c r="B938" s="146"/>
      <c r="C938" s="146"/>
    </row>
    <row r="939" spans="2:14" x14ac:dyDescent="0.2">
      <c r="B939" s="146"/>
      <c r="C939" s="147"/>
    </row>
    <row r="940" spans="2:14" x14ac:dyDescent="0.2">
      <c r="B940" s="146"/>
      <c r="C940" s="146"/>
    </row>
    <row r="941" spans="2:14" x14ac:dyDescent="0.2">
      <c r="B941" s="146"/>
      <c r="C941" s="147"/>
    </row>
    <row r="942" spans="2:14" x14ac:dyDescent="0.2">
      <c r="B942" s="146"/>
      <c r="C942" s="146"/>
    </row>
    <row r="943" spans="2:14" x14ac:dyDescent="0.2">
      <c r="B943" s="147"/>
      <c r="C943" s="147"/>
    </row>
    <row r="944" spans="2:14" x14ac:dyDescent="0.2">
      <c r="B944" s="146"/>
      <c r="C944" s="147"/>
      <c r="H944" s="144"/>
      <c r="I944" s="144"/>
      <c r="J944" s="144"/>
      <c r="K944" s="144"/>
      <c r="L944" s="144"/>
      <c r="M944" s="144"/>
      <c r="N944" s="144"/>
    </row>
    <row r="945" spans="2:14" x14ac:dyDescent="0.2">
      <c r="B945" s="146"/>
      <c r="C945" s="146"/>
      <c r="H945" s="142"/>
      <c r="I945" s="142"/>
      <c r="J945" s="142"/>
      <c r="K945" s="142"/>
      <c r="L945" s="142"/>
      <c r="M945" s="142"/>
      <c r="N945" s="142"/>
    </row>
    <row r="946" spans="2:14" x14ac:dyDescent="0.2">
      <c r="B946" s="146"/>
      <c r="C946" s="146"/>
      <c r="H946" s="142"/>
      <c r="I946" s="142"/>
      <c r="J946" s="142"/>
      <c r="K946" s="142"/>
      <c r="L946" s="142"/>
      <c r="M946" s="142"/>
      <c r="N946" s="142"/>
    </row>
    <row r="947" spans="2:14" x14ac:dyDescent="0.2">
      <c r="B947" s="146"/>
      <c r="C947" s="146"/>
      <c r="H947" s="142"/>
      <c r="I947" s="142"/>
      <c r="J947" s="142"/>
      <c r="K947" s="142"/>
      <c r="L947" s="142"/>
      <c r="M947" s="142"/>
      <c r="N947" s="142"/>
    </row>
    <row r="948" spans="2:14" x14ac:dyDescent="0.2">
      <c r="B948" s="146"/>
      <c r="C948" s="146"/>
      <c r="H948" s="142"/>
      <c r="I948" s="142"/>
      <c r="J948" s="142"/>
      <c r="K948" s="142"/>
      <c r="L948" s="142"/>
      <c r="M948" s="142"/>
      <c r="N948" s="142"/>
    </row>
    <row r="949" spans="2:14" x14ac:dyDescent="0.2">
      <c r="B949" s="146"/>
      <c r="C949" s="147"/>
      <c r="H949" s="144"/>
      <c r="I949" s="144"/>
      <c r="J949" s="144"/>
      <c r="K949" s="144"/>
      <c r="L949" s="144"/>
      <c r="M949" s="144"/>
      <c r="N949" s="144"/>
    </row>
    <row r="950" spans="2:14" x14ac:dyDescent="0.2">
      <c r="B950" s="146"/>
      <c r="C950" s="146"/>
      <c r="H950" s="142"/>
      <c r="I950" s="142"/>
      <c r="J950" s="142"/>
      <c r="K950" s="142"/>
      <c r="L950" s="142"/>
      <c r="M950" s="142"/>
      <c r="N950" s="142"/>
    </row>
    <row r="951" spans="2:14" x14ac:dyDescent="0.2">
      <c r="B951" s="146"/>
      <c r="C951" s="146"/>
      <c r="H951" s="142"/>
      <c r="I951" s="142"/>
      <c r="J951" s="142"/>
      <c r="K951" s="142"/>
      <c r="L951" s="142"/>
      <c r="M951" s="142"/>
      <c r="N951" s="142"/>
    </row>
    <row r="952" spans="2:14" x14ac:dyDescent="0.2">
      <c r="B952" s="146"/>
      <c r="C952" s="147"/>
      <c r="H952" s="142"/>
      <c r="I952" s="142"/>
      <c r="J952" s="142"/>
      <c r="K952" s="142"/>
      <c r="L952" s="142"/>
      <c r="M952" s="142"/>
      <c r="N952" s="142"/>
    </row>
    <row r="953" spans="2:14" x14ac:dyDescent="0.2">
      <c r="B953" s="146"/>
      <c r="C953" s="146"/>
      <c r="H953" s="142"/>
      <c r="I953" s="142"/>
      <c r="J953" s="142"/>
      <c r="K953" s="142"/>
      <c r="L953" s="142"/>
      <c r="M953" s="142"/>
      <c r="N953" s="142"/>
    </row>
    <row r="954" spans="2:14" x14ac:dyDescent="0.2">
      <c r="B954" s="146"/>
      <c r="C954" s="146"/>
      <c r="H954" s="142"/>
      <c r="I954" s="142"/>
      <c r="J954" s="142"/>
      <c r="K954" s="142"/>
      <c r="L954" s="142"/>
      <c r="M954" s="142"/>
      <c r="N954" s="142"/>
    </row>
    <row r="955" spans="2:14" x14ac:dyDescent="0.2">
      <c r="B955" s="146"/>
      <c r="C955" s="147"/>
      <c r="H955" s="142"/>
      <c r="I955" s="142"/>
      <c r="J955" s="142"/>
      <c r="K955" s="142"/>
      <c r="L955" s="142"/>
      <c r="M955" s="142"/>
      <c r="N955" s="142"/>
    </row>
    <row r="956" spans="2:14" x14ac:dyDescent="0.2">
      <c r="B956" s="146"/>
      <c r="C956" s="146"/>
      <c r="H956" s="142"/>
      <c r="I956" s="142"/>
      <c r="J956" s="142"/>
      <c r="K956" s="142"/>
      <c r="L956" s="142"/>
      <c r="M956" s="142"/>
      <c r="N956" s="142"/>
    </row>
    <row r="957" spans="2:14" x14ac:dyDescent="0.2">
      <c r="B957" s="146"/>
      <c r="C957" s="147"/>
      <c r="H957" s="144"/>
      <c r="I957" s="144"/>
      <c r="J957" s="144"/>
      <c r="K957" s="144"/>
      <c r="L957" s="144"/>
      <c r="M957" s="144"/>
      <c r="N957" s="144"/>
    </row>
    <row r="958" spans="2:14" x14ac:dyDescent="0.2">
      <c r="B958" s="146"/>
      <c r="C958" s="146"/>
      <c r="H958" s="142"/>
      <c r="I958" s="142"/>
      <c r="J958" s="142"/>
      <c r="K958" s="142"/>
      <c r="L958" s="142"/>
      <c r="M958" s="142"/>
      <c r="N958" s="142"/>
    </row>
    <row r="959" spans="2:14" x14ac:dyDescent="0.2">
      <c r="B959" s="146"/>
      <c r="C959" s="146"/>
      <c r="H959" s="142"/>
      <c r="I959" s="142"/>
      <c r="J959" s="142"/>
      <c r="K959" s="142"/>
      <c r="L959" s="142"/>
      <c r="M959" s="142"/>
      <c r="N959" s="142"/>
    </row>
    <row r="960" spans="2:14" x14ac:dyDescent="0.2">
      <c r="B960" s="146"/>
      <c r="C960" s="146"/>
      <c r="H960" s="142"/>
      <c r="I960" s="142"/>
      <c r="J960" s="142"/>
      <c r="K960" s="142"/>
      <c r="L960" s="142"/>
      <c r="M960" s="142"/>
      <c r="N960" s="142"/>
    </row>
    <row r="961" spans="2:14" x14ac:dyDescent="0.2">
      <c r="B961" s="146"/>
      <c r="C961" s="147"/>
      <c r="H961" s="144"/>
      <c r="I961" s="144"/>
      <c r="J961" s="144"/>
      <c r="K961" s="144"/>
      <c r="L961" s="144"/>
      <c r="M961" s="144"/>
      <c r="N961" s="144"/>
    </row>
    <row r="962" spans="2:14" x14ac:dyDescent="0.2">
      <c r="B962" s="146"/>
      <c r="C962" s="146"/>
      <c r="H962" s="142"/>
      <c r="I962" s="142"/>
      <c r="J962" s="142"/>
      <c r="K962" s="142"/>
      <c r="L962" s="142"/>
      <c r="M962" s="142"/>
      <c r="N962" s="142"/>
    </row>
    <row r="963" spans="2:14" x14ac:dyDescent="0.2">
      <c r="B963" s="146"/>
      <c r="C963" s="146"/>
      <c r="H963" s="142"/>
      <c r="I963" s="142"/>
      <c r="J963" s="142"/>
      <c r="K963" s="142"/>
      <c r="L963" s="142"/>
      <c r="M963" s="142"/>
      <c r="N963" s="142"/>
    </row>
    <row r="964" spans="2:14" x14ac:dyDescent="0.2">
      <c r="B964" s="146"/>
      <c r="C964" s="147"/>
      <c r="H964" s="142"/>
      <c r="I964" s="142"/>
      <c r="J964" s="142"/>
      <c r="K964" s="142"/>
      <c r="L964" s="142"/>
      <c r="M964" s="142"/>
      <c r="N964" s="142"/>
    </row>
    <row r="965" spans="2:14" x14ac:dyDescent="0.2">
      <c r="B965" s="146"/>
      <c r="C965" s="146"/>
      <c r="H965" s="142"/>
      <c r="I965" s="142"/>
      <c r="J965" s="142"/>
      <c r="K965" s="142"/>
      <c r="L965" s="142"/>
      <c r="M965" s="142"/>
      <c r="N965" s="142"/>
    </row>
    <row r="966" spans="2:14" x14ac:dyDescent="0.2">
      <c r="B966" s="146"/>
      <c r="C966" s="146"/>
      <c r="H966" s="142"/>
      <c r="I966" s="142"/>
      <c r="J966" s="142"/>
      <c r="K966" s="142"/>
      <c r="L966" s="142"/>
      <c r="M966" s="142"/>
      <c r="N966" s="142"/>
    </row>
    <row r="967" spans="2:14" x14ac:dyDescent="0.2">
      <c r="B967" s="146"/>
      <c r="C967" s="147"/>
      <c r="H967" s="144"/>
      <c r="I967" s="144"/>
      <c r="J967" s="144"/>
      <c r="K967" s="144"/>
      <c r="L967" s="144"/>
      <c r="M967" s="144"/>
      <c r="N967" s="144"/>
    </row>
    <row r="968" spans="2:14" x14ac:dyDescent="0.2">
      <c r="B968" s="146"/>
      <c r="C968" s="146"/>
      <c r="H968" s="142"/>
      <c r="I968" s="142"/>
      <c r="J968" s="142"/>
      <c r="K968" s="142"/>
      <c r="L968" s="142"/>
      <c r="M968" s="142"/>
      <c r="N968" s="142"/>
    </row>
    <row r="969" spans="2:14" x14ac:dyDescent="0.2">
      <c r="B969" s="146"/>
      <c r="C969" s="146"/>
      <c r="H969" s="142"/>
      <c r="I969" s="142"/>
      <c r="J969" s="142"/>
      <c r="K969" s="142"/>
      <c r="L969" s="142"/>
      <c r="M969" s="142"/>
      <c r="N969" s="142"/>
    </row>
    <row r="970" spans="2:14" x14ac:dyDescent="0.2">
      <c r="B970" s="146"/>
      <c r="C970" s="146"/>
      <c r="H970" s="142"/>
      <c r="I970" s="142"/>
      <c r="J970" s="142"/>
      <c r="K970" s="142"/>
      <c r="L970" s="142"/>
      <c r="M970" s="142"/>
      <c r="N970" s="142"/>
    </row>
    <row r="971" spans="2:14" x14ac:dyDescent="0.2">
      <c r="B971" s="146"/>
      <c r="C971" s="147"/>
      <c r="H971" s="144"/>
      <c r="I971" s="144"/>
      <c r="J971" s="144"/>
      <c r="K971" s="144"/>
      <c r="L971" s="144"/>
      <c r="M971" s="144"/>
      <c r="N971" s="144"/>
    </row>
    <row r="972" spans="2:14" x14ac:dyDescent="0.2">
      <c r="B972" s="146"/>
      <c r="C972" s="146"/>
      <c r="H972" s="142"/>
      <c r="I972" s="142"/>
      <c r="J972" s="142"/>
      <c r="K972" s="142"/>
      <c r="L972" s="142"/>
      <c r="M972" s="142"/>
      <c r="N972" s="142"/>
    </row>
    <row r="973" spans="2:14" s="130" customFormat="1" x14ac:dyDescent="0.2">
      <c r="B973" s="147"/>
      <c r="C973" s="147"/>
      <c r="D973" s="112"/>
      <c r="E973" s="113"/>
      <c r="F973" s="113"/>
      <c r="G973" s="113"/>
      <c r="H973" s="144"/>
      <c r="I973" s="144"/>
      <c r="J973" s="144"/>
      <c r="K973" s="144"/>
      <c r="L973" s="144"/>
      <c r="M973" s="144"/>
      <c r="N973" s="144"/>
    </row>
    <row r="974" spans="2:14" s="130" customFormat="1" x14ac:dyDescent="0.2">
      <c r="B974" s="147"/>
      <c r="C974" s="147"/>
      <c r="D974" s="112"/>
      <c r="E974" s="112"/>
      <c r="F974" s="112"/>
      <c r="G974" s="112"/>
    </row>
    <row r="975" spans="2:14" x14ac:dyDescent="0.2">
      <c r="B975" s="127"/>
    </row>
    <row r="976" spans="2:14" x14ac:dyDescent="0.2">
      <c r="B976" s="130"/>
    </row>
    <row r="977" spans="2:14" x14ac:dyDescent="0.2">
      <c r="B977" s="130"/>
    </row>
    <row r="978" spans="2:14" x14ac:dyDescent="0.2">
      <c r="B978" s="130"/>
    </row>
    <row r="979" spans="2:14" x14ac:dyDescent="0.2">
      <c r="B979" s="129"/>
    </row>
    <row r="980" spans="2:14" x14ac:dyDescent="0.2">
      <c r="B980" s="130"/>
    </row>
    <row r="981" spans="2:14" x14ac:dyDescent="0.2">
      <c r="B981" s="130"/>
      <c r="C981" s="130"/>
    </row>
    <row r="982" spans="2:14" x14ac:dyDescent="0.2">
      <c r="C982" s="161"/>
      <c r="H982" s="141"/>
      <c r="I982" s="141"/>
      <c r="J982" s="141"/>
      <c r="K982" s="141"/>
      <c r="L982" s="141"/>
      <c r="M982" s="141"/>
      <c r="N982" s="141"/>
    </row>
    <row r="983" spans="2:14" x14ac:dyDescent="0.2">
      <c r="C983" s="161"/>
      <c r="H983" s="141"/>
      <c r="I983" s="141"/>
      <c r="J983" s="141"/>
      <c r="K983" s="141"/>
      <c r="L983" s="141"/>
      <c r="M983" s="141"/>
      <c r="N983" s="141"/>
    </row>
    <row r="984" spans="2:14" x14ac:dyDescent="0.2">
      <c r="C984" s="161"/>
      <c r="H984" s="141"/>
      <c r="I984" s="141"/>
      <c r="J984" s="141"/>
      <c r="K984" s="141"/>
      <c r="L984" s="141"/>
      <c r="M984" s="141"/>
      <c r="N984" s="141"/>
    </row>
    <row r="985" spans="2:14" x14ac:dyDescent="0.2">
      <c r="C985" s="161"/>
      <c r="H985" s="141"/>
      <c r="I985" s="141"/>
      <c r="J985" s="141"/>
      <c r="K985" s="141"/>
      <c r="L985" s="141"/>
      <c r="M985" s="141"/>
      <c r="N985" s="141"/>
    </row>
    <row r="986" spans="2:14" x14ac:dyDescent="0.2">
      <c r="C986" s="161"/>
      <c r="H986" s="141"/>
      <c r="I986" s="141"/>
      <c r="J986" s="141"/>
      <c r="K986" s="141"/>
      <c r="L986" s="141"/>
      <c r="M986" s="141"/>
      <c r="N986" s="141"/>
    </row>
    <row r="987" spans="2:14" s="130" customFormat="1" x14ac:dyDescent="0.2">
      <c r="D987" s="113"/>
      <c r="E987" s="113"/>
      <c r="F987" s="113"/>
      <c r="G987" s="113"/>
    </row>
    <row r="988" spans="2:14" s="130" customFormat="1" x14ac:dyDescent="0.2">
      <c r="D988" s="113"/>
      <c r="E988" s="113"/>
      <c r="F988" s="113"/>
      <c r="G988" s="113"/>
    </row>
    <row r="989" spans="2:14" x14ac:dyDescent="0.2">
      <c r="C989" s="161"/>
      <c r="H989" s="142"/>
      <c r="I989" s="142"/>
      <c r="J989" s="142"/>
      <c r="K989" s="142"/>
      <c r="L989" s="142"/>
      <c r="M989" s="142"/>
      <c r="N989" s="142"/>
    </row>
    <row r="990" spans="2:14" x14ac:dyDescent="0.2">
      <c r="C990" s="161"/>
      <c r="H990" s="145"/>
      <c r="I990" s="145"/>
      <c r="J990" s="145"/>
      <c r="K990" s="145"/>
      <c r="L990" s="145"/>
      <c r="M990" s="145"/>
      <c r="N990" s="145"/>
    </row>
    <row r="991" spans="2:14" x14ac:dyDescent="0.2">
      <c r="C991" s="161"/>
      <c r="H991" s="145"/>
      <c r="I991" s="145"/>
      <c r="J991" s="145"/>
      <c r="K991" s="145"/>
      <c r="L991" s="145"/>
      <c r="M991" s="145"/>
      <c r="N991" s="145"/>
    </row>
    <row r="992" spans="2:14" x14ac:dyDescent="0.2">
      <c r="C992" s="161"/>
      <c r="H992" s="145"/>
      <c r="I992" s="145"/>
      <c r="J992" s="145"/>
      <c r="K992" s="145"/>
      <c r="L992" s="145"/>
      <c r="M992" s="145"/>
      <c r="N992" s="145"/>
    </row>
    <row r="993" spans="3:14" x14ac:dyDescent="0.2">
      <c r="C993" s="161"/>
      <c r="H993" s="145"/>
      <c r="I993" s="145"/>
      <c r="J993" s="145"/>
      <c r="K993" s="145"/>
      <c r="L993" s="145"/>
      <c r="M993" s="145"/>
      <c r="N993" s="145"/>
    </row>
    <row r="994" spans="3:14" s="130" customFormat="1" x14ac:dyDescent="0.2">
      <c r="D994" s="113"/>
      <c r="E994" s="113"/>
      <c r="F994" s="113"/>
      <c r="G994" s="113"/>
    </row>
    <row r="995" spans="3:14" s="130" customFormat="1" x14ac:dyDescent="0.2">
      <c r="D995" s="113"/>
      <c r="E995" s="113"/>
      <c r="F995" s="113"/>
      <c r="G995" s="113"/>
    </row>
    <row r="996" spans="3:14" s="130" customFormat="1" x14ac:dyDescent="0.2">
      <c r="C996" s="161"/>
      <c r="D996" s="112"/>
      <c r="E996" s="112"/>
      <c r="F996" s="112"/>
      <c r="G996" s="112"/>
      <c r="H996" s="142"/>
      <c r="I996" s="142"/>
      <c r="J996" s="142"/>
      <c r="K996" s="142"/>
      <c r="L996" s="142"/>
      <c r="M996" s="142"/>
      <c r="N996" s="142"/>
    </row>
    <row r="997" spans="3:14" s="130" customFormat="1" x14ac:dyDescent="0.2">
      <c r="C997" s="161"/>
      <c r="D997" s="112"/>
      <c r="E997" s="112"/>
      <c r="F997" s="112"/>
      <c r="G997" s="112"/>
      <c r="H997" s="142"/>
      <c r="I997" s="142"/>
      <c r="J997" s="142"/>
      <c r="K997" s="142"/>
      <c r="L997" s="142"/>
      <c r="M997" s="142"/>
      <c r="N997" s="142"/>
    </row>
    <row r="998" spans="3:14" s="130" customFormat="1" x14ac:dyDescent="0.2">
      <c r="C998" s="161"/>
      <c r="D998" s="112"/>
      <c r="E998" s="112"/>
      <c r="F998" s="112"/>
      <c r="G998" s="112"/>
      <c r="H998" s="142"/>
      <c r="I998" s="142"/>
      <c r="J998" s="142"/>
      <c r="K998" s="142"/>
      <c r="L998" s="142"/>
      <c r="M998" s="142"/>
      <c r="N998" s="142"/>
    </row>
    <row r="999" spans="3:14" s="130" customFormat="1" x14ac:dyDescent="0.2">
      <c r="C999" s="161"/>
      <c r="D999" s="112"/>
      <c r="E999" s="112"/>
      <c r="F999" s="112"/>
      <c r="G999" s="112"/>
      <c r="H999" s="142"/>
      <c r="I999" s="142"/>
      <c r="J999" s="142"/>
      <c r="K999" s="142"/>
      <c r="L999" s="142"/>
      <c r="M999" s="142"/>
      <c r="N999" s="142"/>
    </row>
    <row r="1000" spans="3:14" s="130" customFormat="1" x14ac:dyDescent="0.2">
      <c r="C1000" s="161"/>
      <c r="D1000" s="112"/>
      <c r="E1000" s="112"/>
      <c r="F1000" s="112"/>
      <c r="G1000" s="112"/>
      <c r="H1000" s="142"/>
      <c r="I1000" s="142"/>
      <c r="J1000" s="142"/>
      <c r="K1000" s="142"/>
      <c r="L1000" s="142"/>
      <c r="M1000" s="142"/>
      <c r="N1000" s="142"/>
    </row>
    <row r="1001" spans="3:14" s="130" customFormat="1" x14ac:dyDescent="0.2">
      <c r="D1001" s="113"/>
      <c r="E1001" s="113"/>
      <c r="F1001" s="113"/>
      <c r="G1001" s="113"/>
      <c r="H1001" s="144"/>
      <c r="I1001" s="144"/>
      <c r="J1001" s="144"/>
      <c r="K1001" s="144"/>
      <c r="L1001" s="144"/>
      <c r="M1001" s="144"/>
      <c r="N1001" s="144"/>
    </row>
    <row r="1002" spans="3:14" s="130" customFormat="1" x14ac:dyDescent="0.2">
      <c r="D1002" s="113"/>
      <c r="E1002" s="113"/>
      <c r="F1002" s="113"/>
      <c r="G1002" s="113"/>
    </row>
    <row r="1003" spans="3:14" s="130" customFormat="1" x14ac:dyDescent="0.2">
      <c r="D1003" s="113"/>
      <c r="E1003" s="113"/>
      <c r="F1003" s="113"/>
      <c r="G1003" s="113"/>
    </row>
    <row r="1004" spans="3:14" s="130" customFormat="1" x14ac:dyDescent="0.2">
      <c r="C1004" s="161"/>
      <c r="D1004" s="112"/>
      <c r="E1004" s="112"/>
      <c r="F1004" s="112"/>
      <c r="G1004" s="112"/>
      <c r="H1004" s="142"/>
      <c r="I1004" s="142"/>
      <c r="J1004" s="142"/>
      <c r="K1004" s="142"/>
      <c r="L1004" s="142"/>
      <c r="M1004" s="142"/>
      <c r="N1004" s="142"/>
    </row>
    <row r="1005" spans="3:14" s="130" customFormat="1" x14ac:dyDescent="0.2">
      <c r="C1005" s="161"/>
      <c r="D1005" s="112"/>
      <c r="E1005" s="112"/>
      <c r="F1005" s="112"/>
      <c r="G1005" s="112"/>
      <c r="H1005" s="142"/>
      <c r="I1005" s="142"/>
      <c r="J1005" s="142"/>
      <c r="K1005" s="142"/>
      <c r="L1005" s="142"/>
      <c r="M1005" s="142"/>
      <c r="N1005" s="142"/>
    </row>
    <row r="1006" spans="3:14" s="130" customFormat="1" x14ac:dyDescent="0.2">
      <c r="C1006" s="161"/>
      <c r="D1006" s="112"/>
      <c r="E1006" s="112"/>
      <c r="F1006" s="112"/>
      <c r="G1006" s="112"/>
      <c r="H1006" s="142"/>
      <c r="I1006" s="142"/>
      <c r="J1006" s="142"/>
      <c r="K1006" s="142"/>
      <c r="L1006" s="142"/>
      <c r="M1006" s="142"/>
      <c r="N1006" s="142"/>
    </row>
    <row r="1007" spans="3:14" s="130" customFormat="1" x14ac:dyDescent="0.2">
      <c r="C1007" s="161"/>
      <c r="D1007" s="112"/>
      <c r="E1007" s="112"/>
      <c r="F1007" s="112"/>
      <c r="G1007" s="112"/>
      <c r="H1007" s="142"/>
      <c r="I1007" s="142"/>
      <c r="J1007" s="142"/>
      <c r="K1007" s="142"/>
      <c r="L1007" s="142"/>
      <c r="M1007" s="142"/>
      <c r="N1007" s="142"/>
    </row>
    <row r="1008" spans="3:14" s="130" customFormat="1" x14ac:dyDescent="0.2">
      <c r="C1008" s="161"/>
      <c r="D1008" s="112"/>
      <c r="E1008" s="112"/>
      <c r="F1008" s="112"/>
      <c r="G1008" s="112"/>
      <c r="H1008" s="142"/>
      <c r="I1008" s="142"/>
      <c r="J1008" s="142"/>
      <c r="K1008" s="142"/>
      <c r="L1008" s="142"/>
      <c r="M1008" s="142"/>
      <c r="N1008" s="142"/>
    </row>
    <row r="1009" spans="2:14" s="130" customFormat="1" x14ac:dyDescent="0.2">
      <c r="D1009" s="113"/>
      <c r="E1009" s="113"/>
      <c r="F1009" s="113"/>
      <c r="G1009" s="113"/>
      <c r="H1009" s="144"/>
      <c r="I1009" s="144"/>
      <c r="J1009" s="144"/>
      <c r="K1009" s="144"/>
      <c r="L1009" s="144"/>
      <c r="M1009" s="144"/>
      <c r="N1009" s="144"/>
    </row>
    <row r="1010" spans="2:14" s="130" customFormat="1" x14ac:dyDescent="0.2">
      <c r="D1010" s="113"/>
      <c r="E1010" s="113"/>
      <c r="F1010" s="113"/>
      <c r="G1010" s="113"/>
    </row>
    <row r="1011" spans="2:14" s="130" customFormat="1" x14ac:dyDescent="0.2">
      <c r="D1011" s="113"/>
      <c r="E1011" s="113"/>
      <c r="F1011" s="113"/>
      <c r="G1011" s="113"/>
    </row>
    <row r="1012" spans="2:14" s="130" customFormat="1" x14ac:dyDescent="0.2">
      <c r="C1012" s="161"/>
      <c r="D1012" s="112"/>
      <c r="E1012" s="112"/>
      <c r="F1012" s="112"/>
      <c r="G1012" s="112"/>
      <c r="H1012" s="142"/>
      <c r="I1012" s="142"/>
      <c r="J1012" s="142"/>
      <c r="K1012" s="142"/>
      <c r="L1012" s="142"/>
      <c r="M1012" s="142"/>
      <c r="N1012" s="142"/>
    </row>
    <row r="1013" spans="2:14" s="130" customFormat="1" x14ac:dyDescent="0.2">
      <c r="C1013" s="161"/>
      <c r="D1013" s="112"/>
      <c r="E1013" s="112"/>
      <c r="F1013" s="112"/>
      <c r="G1013" s="112"/>
      <c r="H1013" s="142"/>
      <c r="I1013" s="142"/>
      <c r="J1013" s="142"/>
      <c r="K1013" s="142"/>
      <c r="L1013" s="142"/>
      <c r="M1013" s="142"/>
      <c r="N1013" s="142"/>
    </row>
    <row r="1014" spans="2:14" s="130" customFormat="1" x14ac:dyDescent="0.2">
      <c r="C1014" s="161"/>
      <c r="D1014" s="112"/>
      <c r="E1014" s="112"/>
      <c r="F1014" s="112"/>
      <c r="G1014" s="112"/>
      <c r="H1014" s="142"/>
      <c r="I1014" s="142"/>
      <c r="J1014" s="142"/>
      <c r="K1014" s="142"/>
      <c r="L1014" s="142"/>
      <c r="M1014" s="142"/>
      <c r="N1014" s="142"/>
    </row>
    <row r="1015" spans="2:14" s="130" customFormat="1" x14ac:dyDescent="0.2">
      <c r="C1015" s="161"/>
      <c r="D1015" s="112"/>
      <c r="E1015" s="112"/>
      <c r="F1015" s="112"/>
      <c r="G1015" s="112"/>
      <c r="H1015" s="142"/>
      <c r="I1015" s="142"/>
      <c r="J1015" s="142"/>
      <c r="K1015" s="142"/>
      <c r="L1015" s="142"/>
      <c r="M1015" s="142"/>
      <c r="N1015" s="142"/>
    </row>
    <row r="1016" spans="2:14" s="130" customFormat="1" x14ac:dyDescent="0.2">
      <c r="C1016" s="161"/>
      <c r="D1016" s="112"/>
      <c r="E1016" s="112"/>
      <c r="F1016" s="112"/>
      <c r="G1016" s="112"/>
      <c r="H1016" s="142"/>
      <c r="I1016" s="142"/>
      <c r="J1016" s="142"/>
      <c r="K1016" s="142"/>
      <c r="L1016" s="142"/>
      <c r="M1016" s="142"/>
      <c r="N1016" s="142"/>
    </row>
    <row r="1017" spans="2:14" s="130" customFormat="1" x14ac:dyDescent="0.2">
      <c r="D1017" s="113"/>
      <c r="E1017" s="113"/>
      <c r="F1017" s="113"/>
      <c r="G1017" s="113"/>
      <c r="H1017" s="144"/>
      <c r="I1017" s="144"/>
      <c r="J1017" s="144"/>
      <c r="K1017" s="144"/>
      <c r="L1017" s="144"/>
      <c r="M1017" s="144"/>
      <c r="N1017" s="144"/>
    </row>
    <row r="1018" spans="2:14" s="130" customFormat="1" x14ac:dyDescent="0.2">
      <c r="D1018" s="113"/>
      <c r="E1018" s="113"/>
      <c r="F1018" s="113"/>
      <c r="G1018" s="113"/>
    </row>
    <row r="1019" spans="2:14" x14ac:dyDescent="0.2">
      <c r="B1019" s="129"/>
    </row>
    <row r="1021" spans="2:14" x14ac:dyDescent="0.2">
      <c r="C1021" s="161"/>
      <c r="H1021" s="141"/>
      <c r="I1021" s="141"/>
      <c r="J1021" s="141"/>
      <c r="K1021" s="141"/>
      <c r="L1021" s="141"/>
      <c r="M1021" s="141"/>
      <c r="N1021" s="141"/>
    </row>
    <row r="1022" spans="2:14" x14ac:dyDescent="0.2">
      <c r="C1022" s="161"/>
      <c r="H1022" s="141"/>
      <c r="I1022" s="141"/>
      <c r="J1022" s="141"/>
      <c r="K1022" s="141"/>
      <c r="L1022" s="141"/>
      <c r="M1022" s="141"/>
      <c r="N1022" s="141"/>
    </row>
    <row r="1023" spans="2:14" x14ac:dyDescent="0.2">
      <c r="C1023" s="161"/>
      <c r="H1023" s="141"/>
      <c r="I1023" s="141"/>
      <c r="J1023" s="141"/>
      <c r="K1023" s="141"/>
      <c r="L1023" s="141"/>
      <c r="M1023" s="141"/>
      <c r="N1023" s="141"/>
    </row>
    <row r="1024" spans="2:14" x14ac:dyDescent="0.2">
      <c r="C1024" s="161"/>
      <c r="H1024" s="141"/>
      <c r="I1024" s="141"/>
      <c r="J1024" s="141"/>
      <c r="K1024" s="141"/>
      <c r="L1024" s="141"/>
      <c r="M1024" s="141"/>
      <c r="N1024" s="141"/>
    </row>
    <row r="1026" spans="3:14" s="130" customFormat="1" x14ac:dyDescent="0.2">
      <c r="D1026" s="113"/>
      <c r="E1026" s="113"/>
      <c r="F1026" s="113"/>
      <c r="G1026" s="113"/>
    </row>
    <row r="1027" spans="3:14" x14ac:dyDescent="0.2">
      <c r="C1027" s="161"/>
      <c r="H1027" s="142"/>
      <c r="I1027" s="142"/>
      <c r="J1027" s="142"/>
      <c r="K1027" s="142"/>
      <c r="L1027" s="142"/>
      <c r="M1027" s="142"/>
      <c r="N1027" s="142"/>
    </row>
    <row r="1028" spans="3:14" x14ac:dyDescent="0.2">
      <c r="C1028" s="161"/>
      <c r="H1028" s="145"/>
      <c r="I1028" s="145"/>
      <c r="J1028" s="145"/>
      <c r="K1028" s="145"/>
      <c r="L1028" s="145"/>
      <c r="M1028" s="145"/>
      <c r="N1028" s="145"/>
    </row>
    <row r="1029" spans="3:14" x14ac:dyDescent="0.2">
      <c r="C1029" s="161"/>
      <c r="H1029" s="145"/>
      <c r="I1029" s="145"/>
      <c r="J1029" s="145"/>
      <c r="K1029" s="145"/>
      <c r="L1029" s="145"/>
      <c r="M1029" s="145"/>
      <c r="N1029" s="145"/>
    </row>
    <row r="1030" spans="3:14" x14ac:dyDescent="0.2">
      <c r="C1030" s="161"/>
      <c r="H1030" s="145"/>
      <c r="I1030" s="145"/>
      <c r="J1030" s="145"/>
      <c r="K1030" s="145"/>
      <c r="L1030" s="145"/>
      <c r="M1030" s="145"/>
      <c r="N1030" s="145"/>
    </row>
    <row r="1031" spans="3:14" x14ac:dyDescent="0.2">
      <c r="C1031" s="161"/>
    </row>
    <row r="1032" spans="3:14" s="130" customFormat="1" x14ac:dyDescent="0.2">
      <c r="D1032" s="113"/>
      <c r="E1032" s="113"/>
      <c r="F1032" s="113"/>
      <c r="G1032" s="113"/>
    </row>
    <row r="1033" spans="3:14" s="130" customFormat="1" x14ac:dyDescent="0.2">
      <c r="C1033" s="161"/>
      <c r="D1033" s="112"/>
      <c r="E1033" s="112"/>
      <c r="F1033" s="112"/>
      <c r="G1033" s="112"/>
      <c r="H1033" s="142"/>
      <c r="I1033" s="142"/>
      <c r="J1033" s="142"/>
      <c r="K1033" s="142"/>
      <c r="L1033" s="142"/>
      <c r="M1033" s="142"/>
      <c r="N1033" s="142"/>
    </row>
    <row r="1034" spans="3:14" s="130" customFormat="1" x14ac:dyDescent="0.2">
      <c r="C1034" s="161"/>
      <c r="D1034" s="112"/>
      <c r="E1034" s="112"/>
      <c r="F1034" s="112"/>
      <c r="G1034" s="112"/>
      <c r="H1034" s="142"/>
      <c r="I1034" s="142"/>
      <c r="J1034" s="142"/>
      <c r="K1034" s="142"/>
      <c r="L1034" s="142"/>
      <c r="M1034" s="142"/>
      <c r="N1034" s="142"/>
    </row>
    <row r="1035" spans="3:14" s="130" customFormat="1" x14ac:dyDescent="0.2">
      <c r="C1035" s="161"/>
      <c r="D1035" s="112"/>
      <c r="E1035" s="112"/>
      <c r="F1035" s="112"/>
      <c r="G1035" s="112"/>
      <c r="H1035" s="142"/>
      <c r="I1035" s="142"/>
      <c r="J1035" s="142"/>
      <c r="K1035" s="142"/>
      <c r="L1035" s="142"/>
      <c r="M1035" s="142"/>
      <c r="N1035" s="142"/>
    </row>
    <row r="1036" spans="3:14" s="130" customFormat="1" x14ac:dyDescent="0.2">
      <c r="C1036" s="161"/>
      <c r="D1036" s="112"/>
      <c r="E1036" s="112"/>
      <c r="F1036" s="112"/>
      <c r="G1036" s="112"/>
      <c r="H1036" s="142"/>
      <c r="I1036" s="142"/>
      <c r="J1036" s="142"/>
      <c r="K1036" s="142"/>
      <c r="L1036" s="142"/>
      <c r="M1036" s="142"/>
      <c r="N1036" s="142"/>
    </row>
    <row r="1037" spans="3:14" s="130" customFormat="1" x14ac:dyDescent="0.2">
      <c r="D1037" s="113"/>
      <c r="E1037" s="113"/>
      <c r="F1037" s="113"/>
      <c r="G1037" s="113"/>
      <c r="H1037" s="144"/>
      <c r="I1037" s="144"/>
      <c r="J1037" s="144"/>
      <c r="K1037" s="144"/>
      <c r="L1037" s="144"/>
      <c r="M1037" s="144"/>
      <c r="N1037" s="144"/>
    </row>
    <row r="1038" spans="3:14" s="130" customFormat="1" x14ac:dyDescent="0.2">
      <c r="D1038" s="113"/>
      <c r="E1038" s="113"/>
      <c r="F1038" s="113"/>
      <c r="G1038" s="113"/>
    </row>
    <row r="1039" spans="3:14" s="130" customFormat="1" x14ac:dyDescent="0.2">
      <c r="D1039" s="113"/>
      <c r="E1039" s="113"/>
      <c r="F1039" s="113"/>
      <c r="G1039" s="113"/>
    </row>
    <row r="1040" spans="3:14" s="130" customFormat="1" x14ac:dyDescent="0.2">
      <c r="C1040" s="161"/>
      <c r="D1040" s="112"/>
      <c r="E1040" s="112"/>
      <c r="F1040" s="112"/>
      <c r="G1040" s="112"/>
      <c r="H1040" s="142"/>
      <c r="I1040" s="142"/>
      <c r="J1040" s="142"/>
      <c r="K1040" s="142"/>
      <c r="L1040" s="142"/>
      <c r="M1040" s="142"/>
      <c r="N1040" s="142"/>
    </row>
    <row r="1041" spans="2:14" s="130" customFormat="1" x14ac:dyDescent="0.2">
      <c r="C1041" s="161"/>
      <c r="D1041" s="112"/>
      <c r="E1041" s="112"/>
      <c r="F1041" s="112"/>
      <c r="G1041" s="112"/>
      <c r="H1041" s="142"/>
      <c r="I1041" s="142"/>
      <c r="J1041" s="142"/>
      <c r="K1041" s="142"/>
      <c r="L1041" s="142"/>
      <c r="M1041" s="142"/>
      <c r="N1041" s="142"/>
    </row>
    <row r="1042" spans="2:14" s="130" customFormat="1" x14ac:dyDescent="0.2">
      <c r="C1042" s="161"/>
      <c r="D1042" s="112"/>
      <c r="E1042" s="112"/>
      <c r="F1042" s="112"/>
      <c r="G1042" s="112"/>
      <c r="H1042" s="142"/>
      <c r="I1042" s="142"/>
      <c r="J1042" s="142"/>
      <c r="K1042" s="142"/>
      <c r="L1042" s="142"/>
      <c r="M1042" s="142"/>
      <c r="N1042" s="142"/>
    </row>
    <row r="1043" spans="2:14" s="130" customFormat="1" x14ac:dyDescent="0.2">
      <c r="C1043" s="161"/>
      <c r="D1043" s="112"/>
      <c r="E1043" s="112"/>
      <c r="F1043" s="112"/>
      <c r="G1043" s="112"/>
      <c r="H1043" s="142"/>
      <c r="I1043" s="142"/>
      <c r="J1043" s="142"/>
      <c r="K1043" s="142"/>
      <c r="L1043" s="142"/>
      <c r="M1043" s="142"/>
      <c r="N1043" s="142"/>
    </row>
    <row r="1044" spans="2:14" s="130" customFormat="1" x14ac:dyDescent="0.2">
      <c r="D1044" s="113"/>
      <c r="E1044" s="113"/>
      <c r="F1044" s="113"/>
      <c r="G1044" s="113"/>
      <c r="H1044" s="144"/>
      <c r="I1044" s="144"/>
      <c r="J1044" s="144"/>
      <c r="K1044" s="144"/>
      <c r="L1044" s="144"/>
      <c r="M1044" s="144"/>
      <c r="N1044" s="144"/>
    </row>
    <row r="1045" spans="2:14" s="130" customFormat="1" x14ac:dyDescent="0.2">
      <c r="D1045" s="113"/>
      <c r="E1045" s="113"/>
      <c r="F1045" s="113"/>
      <c r="G1045" s="113"/>
    </row>
    <row r="1046" spans="2:14" s="130" customFormat="1" x14ac:dyDescent="0.2">
      <c r="D1046" s="113"/>
      <c r="E1046" s="113"/>
      <c r="F1046" s="113"/>
      <c r="G1046" s="113"/>
    </row>
    <row r="1047" spans="2:14" s="130" customFormat="1" x14ac:dyDescent="0.2">
      <c r="C1047" s="161"/>
      <c r="D1047" s="112"/>
      <c r="E1047" s="112"/>
      <c r="F1047" s="112"/>
      <c r="G1047" s="112"/>
      <c r="H1047" s="142"/>
      <c r="I1047" s="142"/>
      <c r="J1047" s="142"/>
      <c r="K1047" s="142"/>
      <c r="L1047" s="142"/>
      <c r="M1047" s="142"/>
      <c r="N1047" s="142"/>
    </row>
    <row r="1048" spans="2:14" s="130" customFormat="1" x14ac:dyDescent="0.2">
      <c r="C1048" s="161"/>
      <c r="D1048" s="112"/>
      <c r="E1048" s="112"/>
      <c r="F1048" s="112"/>
      <c r="G1048" s="112"/>
      <c r="H1048" s="142"/>
      <c r="I1048" s="142"/>
      <c r="J1048" s="142"/>
      <c r="K1048" s="142"/>
      <c r="L1048" s="142"/>
      <c r="M1048" s="142"/>
      <c r="N1048" s="142"/>
    </row>
    <row r="1049" spans="2:14" s="130" customFormat="1" x14ac:dyDescent="0.2">
      <c r="C1049" s="161"/>
      <c r="D1049" s="112"/>
      <c r="E1049" s="112"/>
      <c r="F1049" s="112"/>
      <c r="G1049" s="112"/>
      <c r="H1049" s="142"/>
      <c r="I1049" s="142"/>
      <c r="J1049" s="142"/>
      <c r="K1049" s="142"/>
      <c r="L1049" s="142"/>
      <c r="M1049" s="142"/>
      <c r="N1049" s="142"/>
    </row>
    <row r="1050" spans="2:14" s="130" customFormat="1" x14ac:dyDescent="0.2">
      <c r="C1050" s="161"/>
      <c r="D1050" s="112"/>
      <c r="E1050" s="112"/>
      <c r="F1050" s="112"/>
      <c r="G1050" s="112"/>
      <c r="H1050" s="142"/>
      <c r="I1050" s="142"/>
      <c r="J1050" s="142"/>
      <c r="K1050" s="142"/>
      <c r="L1050" s="142"/>
      <c r="M1050" s="142"/>
      <c r="N1050" s="142"/>
    </row>
    <row r="1051" spans="2:14" s="130" customFormat="1" x14ac:dyDescent="0.2">
      <c r="D1051" s="113"/>
      <c r="E1051" s="113"/>
      <c r="F1051" s="113"/>
      <c r="G1051" s="113"/>
      <c r="H1051" s="144"/>
      <c r="I1051" s="144"/>
      <c r="J1051" s="144"/>
      <c r="K1051" s="144"/>
      <c r="L1051" s="144"/>
      <c r="M1051" s="144"/>
      <c r="N1051" s="144"/>
    </row>
    <row r="1053" spans="2:14" x14ac:dyDescent="0.2">
      <c r="B1053" s="127"/>
      <c r="C1053" s="127"/>
      <c r="D1053" s="128"/>
      <c r="E1053" s="128"/>
      <c r="F1053" s="128"/>
      <c r="G1053" s="128"/>
      <c r="H1053" s="127"/>
      <c r="I1053" s="127"/>
      <c r="J1053" s="127"/>
      <c r="K1053" s="127"/>
      <c r="L1053" s="127"/>
      <c r="M1053" s="127"/>
      <c r="N1053" s="127"/>
    </row>
    <row r="1055" spans="2:14" x14ac:dyDescent="0.2">
      <c r="B1055" s="127"/>
      <c r="C1055" s="127"/>
      <c r="D1055" s="128"/>
      <c r="E1055" s="128"/>
      <c r="F1055" s="128"/>
      <c r="G1055" s="128"/>
      <c r="H1055" s="127"/>
      <c r="I1055" s="127"/>
      <c r="J1055" s="127"/>
      <c r="K1055" s="127"/>
      <c r="L1055" s="127"/>
      <c r="M1055" s="127"/>
      <c r="N1055" s="127"/>
    </row>
    <row r="1057" spans="2:14" x14ac:dyDescent="0.2">
      <c r="B1057" s="130"/>
    </row>
    <row r="1059" spans="2:14" x14ac:dyDescent="0.2">
      <c r="B1059" s="129"/>
    </row>
    <row r="1061" spans="2:14" s="130" customFormat="1" x14ac:dyDescent="0.2">
      <c r="D1061" s="113"/>
      <c r="E1061" s="113"/>
      <c r="F1061" s="113"/>
      <c r="G1061" s="113"/>
    </row>
    <row r="1062" spans="2:14" x14ac:dyDescent="0.2">
      <c r="B1062" s="116"/>
      <c r="C1062" s="162"/>
      <c r="H1062" s="132"/>
      <c r="I1062" s="132"/>
      <c r="J1062" s="132"/>
      <c r="K1062" s="132"/>
      <c r="L1062" s="132"/>
      <c r="M1062" s="132"/>
      <c r="N1062" s="132"/>
    </row>
    <row r="1063" spans="2:14" x14ac:dyDescent="0.2">
      <c r="B1063" s="116"/>
      <c r="C1063" s="162"/>
      <c r="H1063" s="132"/>
      <c r="I1063" s="132"/>
      <c r="J1063" s="132"/>
      <c r="K1063" s="132"/>
      <c r="L1063" s="132"/>
      <c r="M1063" s="132"/>
      <c r="N1063" s="132"/>
    </row>
    <row r="1064" spans="2:14" x14ac:dyDescent="0.2">
      <c r="B1064" s="116"/>
      <c r="C1064" s="162"/>
      <c r="H1064" s="132"/>
      <c r="I1064" s="132"/>
      <c r="J1064" s="132"/>
      <c r="K1064" s="132"/>
      <c r="L1064" s="132"/>
      <c r="M1064" s="132"/>
      <c r="N1064" s="132"/>
    </row>
    <row r="1065" spans="2:14" x14ac:dyDescent="0.2">
      <c r="B1065" s="116"/>
      <c r="C1065" s="162"/>
      <c r="H1065" s="132"/>
      <c r="I1065" s="132"/>
      <c r="J1065" s="132"/>
      <c r="K1065" s="132"/>
      <c r="L1065" s="132"/>
      <c r="M1065" s="132"/>
      <c r="N1065" s="132"/>
    </row>
    <row r="1066" spans="2:14" x14ac:dyDescent="0.2">
      <c r="B1066" s="116"/>
      <c r="C1066" s="162"/>
      <c r="H1066" s="132"/>
      <c r="I1066" s="132"/>
      <c r="J1066" s="132"/>
      <c r="K1066" s="132"/>
      <c r="L1066" s="132"/>
      <c r="M1066" s="132"/>
      <c r="N1066" s="132"/>
    </row>
    <row r="1067" spans="2:14" x14ac:dyDescent="0.2">
      <c r="B1067" s="116"/>
      <c r="C1067" s="162"/>
      <c r="H1067" s="132"/>
      <c r="I1067" s="132"/>
      <c r="J1067" s="132"/>
      <c r="K1067" s="132"/>
      <c r="L1067" s="132"/>
      <c r="M1067" s="132"/>
      <c r="N1067" s="132"/>
    </row>
    <row r="1068" spans="2:14" x14ac:dyDescent="0.2">
      <c r="C1068" s="130"/>
      <c r="D1068" s="113"/>
      <c r="E1068" s="113"/>
      <c r="F1068" s="113"/>
      <c r="G1068" s="113"/>
      <c r="H1068" s="136"/>
      <c r="I1068" s="136"/>
      <c r="J1068" s="136"/>
      <c r="K1068" s="136"/>
      <c r="L1068" s="136"/>
      <c r="M1068" s="136"/>
      <c r="N1068" s="136"/>
    </row>
    <row r="1069" spans="2:14" x14ac:dyDescent="0.2">
      <c r="C1069" s="130"/>
      <c r="D1069" s="113"/>
      <c r="E1069" s="113"/>
      <c r="F1069" s="113"/>
      <c r="G1069" s="113"/>
    </row>
    <row r="1070" spans="2:14" x14ac:dyDescent="0.2">
      <c r="C1070" s="130"/>
      <c r="D1070" s="113"/>
      <c r="E1070" s="113"/>
      <c r="F1070" s="113"/>
      <c r="G1070" s="113"/>
    </row>
    <row r="1071" spans="2:14" s="130" customFormat="1" x14ac:dyDescent="0.2">
      <c r="D1071" s="113"/>
      <c r="E1071" s="113"/>
      <c r="F1071" s="113"/>
      <c r="G1071" s="113"/>
    </row>
    <row r="1072" spans="2:14" x14ac:dyDescent="0.2">
      <c r="B1072" s="116"/>
      <c r="C1072" s="162"/>
      <c r="H1072" s="132"/>
      <c r="I1072" s="132"/>
      <c r="J1072" s="132"/>
      <c r="K1072" s="132"/>
      <c r="L1072" s="132"/>
      <c r="M1072" s="132"/>
      <c r="N1072" s="132"/>
    </row>
    <row r="1073" spans="2:14" x14ac:dyDescent="0.2">
      <c r="B1073" s="116"/>
      <c r="C1073" s="162"/>
      <c r="H1073" s="132"/>
      <c r="I1073" s="132"/>
      <c r="J1073" s="132"/>
      <c r="K1073" s="132"/>
      <c r="L1073" s="132"/>
      <c r="M1073" s="132"/>
      <c r="N1073" s="132"/>
    </row>
    <row r="1074" spans="2:14" x14ac:dyDescent="0.2">
      <c r="B1074" s="116"/>
      <c r="C1074" s="162"/>
      <c r="H1074" s="132"/>
      <c r="I1074" s="132"/>
      <c r="J1074" s="132"/>
      <c r="K1074" s="132"/>
      <c r="L1074" s="132"/>
      <c r="M1074" s="132"/>
      <c r="N1074" s="132"/>
    </row>
    <row r="1075" spans="2:14" x14ac:dyDescent="0.2">
      <c r="B1075" s="116"/>
      <c r="C1075" s="162"/>
      <c r="H1075" s="132"/>
      <c r="I1075" s="132"/>
      <c r="J1075" s="132"/>
      <c r="K1075" s="132"/>
      <c r="L1075" s="132"/>
      <c r="M1075" s="132"/>
      <c r="N1075" s="132"/>
    </row>
    <row r="1076" spans="2:14" x14ac:dyDescent="0.2">
      <c r="B1076" s="116"/>
      <c r="C1076" s="162"/>
      <c r="H1076" s="132"/>
      <c r="I1076" s="132"/>
      <c r="J1076" s="132"/>
      <c r="K1076" s="132"/>
      <c r="L1076" s="132"/>
      <c r="M1076" s="132"/>
      <c r="N1076" s="132"/>
    </row>
    <row r="1077" spans="2:14" x14ac:dyDescent="0.2">
      <c r="B1077" s="116"/>
      <c r="C1077" s="162"/>
      <c r="H1077" s="132"/>
      <c r="I1077" s="132"/>
      <c r="J1077" s="132"/>
      <c r="K1077" s="132"/>
      <c r="L1077" s="132"/>
      <c r="M1077" s="132"/>
      <c r="N1077" s="132"/>
    </row>
    <row r="1078" spans="2:14" s="130" customFormat="1" x14ac:dyDescent="0.2">
      <c r="D1078" s="113"/>
      <c r="E1078" s="113"/>
      <c r="F1078" s="113"/>
      <c r="G1078" s="113"/>
      <c r="H1078" s="136"/>
      <c r="I1078" s="136"/>
      <c r="J1078" s="136"/>
      <c r="K1078" s="136"/>
      <c r="L1078" s="136"/>
      <c r="M1078" s="136"/>
      <c r="N1078" s="136"/>
    </row>
    <row r="1080" spans="2:14" x14ac:dyDescent="0.2">
      <c r="B1080" s="129"/>
    </row>
    <row r="1082" spans="2:14" s="130" customFormat="1" x14ac:dyDescent="0.2">
      <c r="D1082" s="113"/>
      <c r="E1082" s="113"/>
      <c r="F1082" s="113"/>
      <c r="G1082" s="113"/>
    </row>
    <row r="1083" spans="2:14" x14ac:dyDescent="0.2">
      <c r="B1083" s="116"/>
      <c r="C1083" s="162"/>
      <c r="H1083" s="132"/>
      <c r="I1083" s="132"/>
      <c r="J1083" s="132"/>
      <c r="K1083" s="132"/>
      <c r="L1083" s="132"/>
      <c r="M1083" s="132"/>
      <c r="N1083" s="132"/>
    </row>
    <row r="1084" spans="2:14" x14ac:dyDescent="0.2">
      <c r="B1084" s="116"/>
      <c r="C1084" s="162"/>
      <c r="H1084" s="132"/>
      <c r="I1084" s="132"/>
      <c r="J1084" s="132"/>
      <c r="K1084" s="132"/>
      <c r="L1084" s="132"/>
      <c r="M1084" s="132"/>
      <c r="N1084" s="132"/>
    </row>
    <row r="1085" spans="2:14" x14ac:dyDescent="0.2">
      <c r="B1085" s="116"/>
      <c r="C1085" s="162"/>
      <c r="H1085" s="132"/>
      <c r="I1085" s="132"/>
      <c r="J1085" s="132"/>
      <c r="K1085" s="132"/>
      <c r="L1085" s="132"/>
      <c r="M1085" s="132"/>
      <c r="N1085" s="132"/>
    </row>
    <row r="1086" spans="2:14" x14ac:dyDescent="0.2">
      <c r="B1086" s="116"/>
      <c r="C1086" s="162"/>
      <c r="H1086" s="132"/>
      <c r="I1086" s="132"/>
      <c r="J1086" s="132"/>
      <c r="K1086" s="132"/>
      <c r="L1086" s="132"/>
      <c r="M1086" s="132"/>
      <c r="N1086" s="132"/>
    </row>
    <row r="1087" spans="2:14" x14ac:dyDescent="0.2">
      <c r="B1087" s="116"/>
      <c r="C1087" s="162"/>
      <c r="H1087" s="132"/>
      <c r="I1087" s="132"/>
      <c r="J1087" s="132"/>
      <c r="K1087" s="132"/>
      <c r="L1087" s="132"/>
      <c r="M1087" s="132"/>
      <c r="N1087" s="132"/>
    </row>
    <row r="1088" spans="2:14" s="130" customFormat="1" x14ac:dyDescent="0.2">
      <c r="D1088" s="113"/>
      <c r="E1088" s="113"/>
      <c r="F1088" s="113"/>
      <c r="G1088" s="113"/>
      <c r="H1088" s="136"/>
      <c r="I1088" s="136"/>
      <c r="J1088" s="136"/>
      <c r="K1088" s="136"/>
      <c r="L1088" s="136"/>
      <c r="M1088" s="136"/>
      <c r="N1088" s="136"/>
    </row>
    <row r="1090" spans="2:14" s="130" customFormat="1" x14ac:dyDescent="0.2">
      <c r="D1090" s="113"/>
      <c r="E1090" s="113"/>
      <c r="F1090" s="113"/>
      <c r="G1090" s="113"/>
    </row>
    <row r="1091" spans="2:14" x14ac:dyDescent="0.2">
      <c r="B1091" s="116"/>
      <c r="C1091" s="162"/>
      <c r="H1091" s="132"/>
      <c r="I1091" s="132"/>
      <c r="J1091" s="132"/>
      <c r="K1091" s="132"/>
      <c r="L1091" s="132"/>
      <c r="M1091" s="132"/>
      <c r="N1091" s="132"/>
    </row>
    <row r="1092" spans="2:14" x14ac:dyDescent="0.2">
      <c r="B1092" s="116"/>
      <c r="C1092" s="162"/>
      <c r="H1092" s="132"/>
      <c r="I1092" s="132"/>
      <c r="J1092" s="132"/>
      <c r="K1092" s="132"/>
      <c r="L1092" s="132"/>
      <c r="M1092" s="132"/>
      <c r="N1092" s="132"/>
    </row>
    <row r="1093" spans="2:14" x14ac:dyDescent="0.2">
      <c r="B1093" s="116"/>
      <c r="C1093" s="162"/>
      <c r="H1093" s="132"/>
      <c r="I1093" s="132"/>
      <c r="J1093" s="132"/>
      <c r="K1093" s="132"/>
      <c r="L1093" s="132"/>
      <c r="M1093" s="132"/>
      <c r="N1093" s="132"/>
    </row>
    <row r="1094" spans="2:14" x14ac:dyDescent="0.2">
      <c r="B1094" s="116"/>
      <c r="C1094" s="162"/>
      <c r="H1094" s="132"/>
      <c r="I1094" s="132"/>
      <c r="J1094" s="132"/>
      <c r="K1094" s="132"/>
      <c r="L1094" s="132"/>
      <c r="M1094" s="132"/>
      <c r="N1094" s="132"/>
    </row>
    <row r="1095" spans="2:14" x14ac:dyDescent="0.2">
      <c r="B1095" s="116"/>
      <c r="C1095" s="162"/>
      <c r="H1095" s="132"/>
      <c r="I1095" s="132"/>
      <c r="J1095" s="132"/>
      <c r="K1095" s="132"/>
      <c r="L1095" s="132"/>
      <c r="M1095" s="132"/>
      <c r="N1095" s="132"/>
    </row>
    <row r="1096" spans="2:14" s="130" customFormat="1" x14ac:dyDescent="0.2">
      <c r="D1096" s="113"/>
      <c r="E1096" s="113"/>
      <c r="F1096" s="113"/>
      <c r="G1096" s="113"/>
      <c r="H1096" s="136"/>
      <c r="I1096" s="136"/>
      <c r="J1096" s="136"/>
      <c r="K1096" s="136"/>
      <c r="L1096" s="136"/>
      <c r="M1096" s="136"/>
      <c r="N1096" s="136"/>
    </row>
    <row r="1098" spans="2:14" x14ac:dyDescent="0.2">
      <c r="B1098" s="130"/>
    </row>
    <row r="1100" spans="2:14" x14ac:dyDescent="0.2">
      <c r="H1100" s="145"/>
      <c r="I1100" s="145"/>
      <c r="J1100" s="145"/>
      <c r="K1100" s="145"/>
      <c r="L1100" s="145"/>
      <c r="M1100" s="145"/>
      <c r="N1100" s="145"/>
    </row>
    <row r="1102" spans="2:14" x14ac:dyDescent="0.2">
      <c r="B1102" s="130"/>
    </row>
    <row r="1104" spans="2:14" x14ac:dyDescent="0.2">
      <c r="H1104" s="145"/>
      <c r="I1104" s="145"/>
      <c r="J1104" s="145"/>
      <c r="K1104" s="145"/>
      <c r="L1104" s="145"/>
      <c r="M1104" s="145"/>
      <c r="N1104" s="145"/>
    </row>
    <row r="1106" spans="2:14" x14ac:dyDescent="0.2">
      <c r="B1106" s="130"/>
    </row>
    <row r="1108" spans="2:14" x14ac:dyDescent="0.2">
      <c r="B1108" s="129"/>
    </row>
    <row r="1110" spans="2:14" x14ac:dyDescent="0.2">
      <c r="B1110" s="130"/>
    </row>
    <row r="1111" spans="2:14" x14ac:dyDescent="0.2">
      <c r="B1111" s="116"/>
      <c r="H1111" s="142"/>
      <c r="I1111" s="142"/>
      <c r="J1111" s="142"/>
      <c r="K1111" s="142"/>
      <c r="L1111" s="142"/>
      <c r="M1111" s="142"/>
      <c r="N1111" s="142"/>
    </row>
    <row r="1112" spans="2:14" x14ac:dyDescent="0.2">
      <c r="B1112" s="116"/>
      <c r="H1112" s="142"/>
      <c r="I1112" s="142"/>
      <c r="J1112" s="142"/>
      <c r="K1112" s="142"/>
      <c r="L1112" s="142"/>
      <c r="M1112" s="142"/>
      <c r="N1112" s="142"/>
    </row>
    <row r="1114" spans="2:14" x14ac:dyDescent="0.2">
      <c r="B1114" s="130"/>
    </row>
    <row r="1115" spans="2:14" x14ac:dyDescent="0.2">
      <c r="B1115" s="116"/>
      <c r="H1115" s="142"/>
      <c r="I1115" s="142"/>
      <c r="J1115" s="142"/>
      <c r="K1115" s="142"/>
      <c r="L1115" s="142"/>
      <c r="M1115" s="142"/>
      <c r="N1115" s="142"/>
    </row>
    <row r="1116" spans="2:14" x14ac:dyDescent="0.2">
      <c r="B1116" s="116"/>
      <c r="H1116" s="142"/>
      <c r="I1116" s="142"/>
      <c r="J1116" s="142"/>
      <c r="K1116" s="142"/>
      <c r="L1116" s="142"/>
      <c r="M1116" s="142"/>
      <c r="N1116" s="142"/>
    </row>
    <row r="1118" spans="2:14" s="130" customFormat="1" x14ac:dyDescent="0.2">
      <c r="D1118" s="113"/>
      <c r="E1118" s="113"/>
      <c r="F1118" s="113"/>
      <c r="G1118" s="113"/>
      <c r="H1118" s="144"/>
      <c r="I1118" s="144"/>
      <c r="J1118" s="144"/>
      <c r="K1118" s="144"/>
      <c r="L1118" s="144"/>
      <c r="M1118" s="144"/>
      <c r="N1118" s="144"/>
    </row>
    <row r="1120" spans="2:14" x14ac:dyDescent="0.2">
      <c r="B1120" s="129"/>
    </row>
    <row r="1121" spans="2:14" x14ac:dyDescent="0.2">
      <c r="B1121" s="129"/>
    </row>
    <row r="1122" spans="2:14" x14ac:dyDescent="0.2">
      <c r="B1122" s="130"/>
    </row>
    <row r="1123" spans="2:14" x14ac:dyDescent="0.2">
      <c r="B1123" s="116"/>
      <c r="H1123" s="142"/>
      <c r="I1123" s="142"/>
      <c r="J1123" s="142"/>
      <c r="K1123" s="142"/>
      <c r="L1123" s="142"/>
      <c r="M1123" s="142"/>
      <c r="N1123" s="142"/>
    </row>
    <row r="1124" spans="2:14" x14ac:dyDescent="0.2">
      <c r="B1124" s="116"/>
      <c r="H1124" s="142"/>
      <c r="I1124" s="142"/>
      <c r="J1124" s="142"/>
      <c r="K1124" s="142"/>
      <c r="L1124" s="142"/>
      <c r="M1124" s="142"/>
      <c r="N1124" s="142"/>
    </row>
    <row r="1125" spans="2:14" x14ac:dyDescent="0.2">
      <c r="B1125" s="116"/>
      <c r="H1125" s="145"/>
      <c r="I1125" s="145"/>
      <c r="J1125" s="145"/>
      <c r="K1125" s="145"/>
      <c r="L1125" s="145"/>
      <c r="M1125" s="145"/>
      <c r="N1125" s="145"/>
    </row>
    <row r="1126" spans="2:14" s="130" customFormat="1" x14ac:dyDescent="0.2">
      <c r="D1126" s="113"/>
      <c r="E1126" s="113"/>
      <c r="F1126" s="113"/>
      <c r="G1126" s="113"/>
      <c r="H1126" s="144"/>
      <c r="I1126" s="144"/>
      <c r="J1126" s="144"/>
      <c r="K1126" s="144"/>
      <c r="L1126" s="144"/>
      <c r="M1126" s="144"/>
      <c r="N1126" s="144"/>
    </row>
    <row r="1128" spans="2:14" x14ac:dyDescent="0.2">
      <c r="B1128" s="127"/>
      <c r="C1128" s="127"/>
      <c r="D1128" s="128"/>
      <c r="E1128" s="128"/>
      <c r="F1128" s="128"/>
      <c r="G1128" s="128"/>
      <c r="H1128" s="127"/>
      <c r="I1128" s="127"/>
      <c r="J1128" s="127"/>
      <c r="K1128" s="127"/>
      <c r="L1128" s="127"/>
      <c r="M1128" s="127"/>
      <c r="N1128" s="127"/>
    </row>
    <row r="1129" spans="2:14" x14ac:dyDescent="0.2">
      <c r="B1129" s="127"/>
      <c r="C1129" s="127"/>
      <c r="D1129" s="128"/>
      <c r="E1129" s="128"/>
      <c r="F1129" s="128"/>
      <c r="G1129" s="128"/>
      <c r="H1129" s="127"/>
      <c r="I1129" s="127"/>
      <c r="J1129" s="127"/>
      <c r="K1129" s="127"/>
      <c r="L1129" s="127"/>
      <c r="M1129" s="127"/>
      <c r="N1129" s="127"/>
    </row>
    <row r="1130" spans="2:14" x14ac:dyDescent="0.2">
      <c r="B1130" s="130"/>
    </row>
    <row r="1131" spans="2:14" x14ac:dyDescent="0.2">
      <c r="B1131" s="130"/>
    </row>
    <row r="1132" spans="2:14" x14ac:dyDescent="0.2">
      <c r="B1132" s="130"/>
    </row>
    <row r="1133" spans="2:14" x14ac:dyDescent="0.2">
      <c r="B1133" s="130"/>
      <c r="C1133" s="163"/>
    </row>
    <row r="1134" spans="2:14" x14ac:dyDescent="0.2">
      <c r="B1134" s="130"/>
      <c r="C1134" s="163"/>
    </row>
    <row r="1135" spans="2:14" x14ac:dyDescent="0.2">
      <c r="B1135" s="130"/>
      <c r="C1135" s="163"/>
    </row>
    <row r="1136" spans="2:14" x14ac:dyDescent="0.2">
      <c r="B1136" s="130"/>
      <c r="C1136" s="163"/>
    </row>
    <row r="1137" spans="2:14" x14ac:dyDescent="0.2">
      <c r="B1137" s="130"/>
      <c r="C1137" s="163"/>
    </row>
    <row r="1138" spans="2:14" s="130" customFormat="1" x14ac:dyDescent="0.2">
      <c r="D1138" s="113"/>
      <c r="E1138" s="113"/>
      <c r="F1138" s="113"/>
      <c r="G1138" s="113"/>
    </row>
    <row r="1139" spans="2:14" s="130" customFormat="1" x14ac:dyDescent="0.2">
      <c r="D1139" s="113"/>
      <c r="E1139" s="113"/>
      <c r="F1139" s="113"/>
      <c r="G1139" s="113"/>
    </row>
    <row r="1141" spans="2:14" s="130" customFormat="1" x14ac:dyDescent="0.2">
      <c r="D1141" s="113"/>
      <c r="E1141" s="113"/>
      <c r="F1141" s="113"/>
      <c r="G1141" s="113"/>
    </row>
    <row r="1145" spans="2:14" x14ac:dyDescent="0.2">
      <c r="B1145" s="130"/>
    </row>
    <row r="1146" spans="2:14" x14ac:dyDescent="0.2">
      <c r="B1146" s="129"/>
    </row>
    <row r="1147" spans="2:14" x14ac:dyDescent="0.2">
      <c r="B1147" s="130"/>
    </row>
    <row r="1148" spans="2:14" x14ac:dyDescent="0.2">
      <c r="H1148" s="142"/>
      <c r="I1148" s="142"/>
      <c r="J1148" s="142"/>
      <c r="K1148" s="142"/>
      <c r="L1148" s="142"/>
      <c r="M1148" s="142"/>
      <c r="N1148" s="142"/>
    </row>
    <row r="1149" spans="2:14" x14ac:dyDescent="0.2">
      <c r="H1149" s="142"/>
      <c r="I1149" s="142"/>
      <c r="J1149" s="142"/>
      <c r="K1149" s="142"/>
      <c r="L1149" s="142"/>
      <c r="M1149" s="142"/>
      <c r="N1149" s="142"/>
    </row>
    <row r="1150" spans="2:14" s="130" customFormat="1" x14ac:dyDescent="0.2">
      <c r="D1150" s="113"/>
      <c r="E1150" s="113"/>
      <c r="F1150" s="113"/>
      <c r="G1150" s="113"/>
      <c r="H1150" s="136"/>
      <c r="I1150" s="136"/>
      <c r="J1150" s="136"/>
      <c r="K1150" s="136"/>
      <c r="L1150" s="136"/>
      <c r="M1150" s="136"/>
      <c r="N1150" s="136"/>
    </row>
    <row r="1151" spans="2:14" x14ac:dyDescent="0.2">
      <c r="B1151" s="130"/>
    </row>
    <row r="1152" spans="2:14" s="130" customFormat="1" x14ac:dyDescent="0.2">
      <c r="D1152" s="113"/>
      <c r="E1152" s="113"/>
      <c r="F1152" s="113"/>
      <c r="G1152" s="113"/>
    </row>
    <row r="1153" spans="2:14" x14ac:dyDescent="0.2">
      <c r="B1153" s="130"/>
    </row>
    <row r="1154" spans="2:14" x14ac:dyDescent="0.2">
      <c r="B1154" s="129"/>
    </row>
    <row r="1155" spans="2:14" x14ac:dyDescent="0.2">
      <c r="B1155" s="130"/>
    </row>
    <row r="1156" spans="2:14" x14ac:dyDescent="0.2">
      <c r="H1156" s="142"/>
      <c r="I1156" s="142"/>
      <c r="J1156" s="142"/>
      <c r="K1156" s="142"/>
      <c r="L1156" s="142"/>
      <c r="M1156" s="142"/>
      <c r="N1156" s="142"/>
    </row>
    <row r="1157" spans="2:14" x14ac:dyDescent="0.2">
      <c r="H1157" s="142"/>
      <c r="I1157" s="142"/>
      <c r="J1157" s="142"/>
      <c r="K1157" s="142"/>
      <c r="L1157" s="142"/>
      <c r="M1157" s="142"/>
      <c r="N1157" s="142"/>
    </row>
    <row r="1158" spans="2:14" s="130" customFormat="1" x14ac:dyDescent="0.2">
      <c r="D1158" s="113"/>
      <c r="E1158" s="113"/>
      <c r="F1158" s="113"/>
      <c r="G1158" s="113"/>
      <c r="H1158" s="136"/>
      <c r="I1158" s="136"/>
      <c r="J1158" s="136"/>
      <c r="K1158" s="136"/>
      <c r="L1158" s="136"/>
      <c r="M1158" s="136"/>
      <c r="N1158" s="136"/>
    </row>
    <row r="1159" spans="2:14" x14ac:dyDescent="0.2">
      <c r="B1159" s="130"/>
    </row>
    <row r="1160" spans="2:14" s="130" customFormat="1" x14ac:dyDescent="0.2">
      <c r="D1160" s="113"/>
      <c r="E1160" s="113"/>
      <c r="F1160" s="113"/>
      <c r="G1160" s="113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ECC0C3-3EF1-421B-8B3A-1EEA35CDC05B}">
  <dimension ref="B1:F26"/>
  <sheetViews>
    <sheetView showGridLines="0" workbookViewId="0">
      <selection activeCell="C10" sqref="C10"/>
    </sheetView>
  </sheetViews>
  <sheetFormatPr baseColWidth="10" defaultColWidth="11.25" defaultRowHeight="14.25" x14ac:dyDescent="0.2"/>
  <cols>
    <col min="1" max="1" width="3.125" customWidth="1"/>
    <col min="2" max="2" width="21.375" customWidth="1"/>
    <col min="3" max="3" width="99.25" customWidth="1"/>
    <col min="4" max="4" width="11.375" bestFit="1" customWidth="1"/>
  </cols>
  <sheetData>
    <row r="1" spans="2:4" s="165" customFormat="1" ht="13.5" thickBot="1" x14ac:dyDescent="0.25"/>
    <row r="2" spans="2:4" s="165" customFormat="1" ht="12.75" x14ac:dyDescent="0.2">
      <c r="B2" s="175" t="s">
        <v>0</v>
      </c>
      <c r="C2" s="176" t="s">
        <v>280</v>
      </c>
      <c r="D2" s="177">
        <v>2024</v>
      </c>
    </row>
    <row r="3" spans="2:4" s="165" customFormat="1" ht="12.75" x14ac:dyDescent="0.2">
      <c r="B3" s="204"/>
      <c r="C3" s="204"/>
      <c r="D3" s="204"/>
    </row>
    <row r="4" spans="2:4" s="165" customFormat="1" ht="12.75" x14ac:dyDescent="0.2">
      <c r="B4" s="209" t="s">
        <v>446</v>
      </c>
      <c r="C4" s="204"/>
      <c r="D4" s="204"/>
    </row>
    <row r="5" spans="2:4" s="165" customFormat="1" ht="12.75" x14ac:dyDescent="0.2">
      <c r="B5" s="204"/>
      <c r="C5" s="204"/>
      <c r="D5" s="204"/>
    </row>
    <row r="6" spans="2:4" s="165" customFormat="1" ht="12.75" x14ac:dyDescent="0.2">
      <c r="B6" s="166" t="s">
        <v>278</v>
      </c>
      <c r="C6" s="167" t="s">
        <v>282</v>
      </c>
      <c r="D6" s="201">
        <v>4.8586785606841654E-2</v>
      </c>
    </row>
    <row r="7" spans="2:4" s="165" customFormat="1" ht="12.75" x14ac:dyDescent="0.2">
      <c r="B7" s="166" t="s">
        <v>437</v>
      </c>
      <c r="C7" s="167" t="s">
        <v>283</v>
      </c>
      <c r="D7" s="202">
        <f>'Insumos - WACC'!E7*(1+(1-D12)*D11)</f>
        <v>1.3521107010923912</v>
      </c>
    </row>
    <row r="8" spans="2:4" s="165" customFormat="1" ht="12.75" x14ac:dyDescent="0.2">
      <c r="B8" s="166" t="s">
        <v>279</v>
      </c>
      <c r="C8" s="167" t="s">
        <v>284</v>
      </c>
      <c r="D8" s="201">
        <v>6.7991707556000716E-2</v>
      </c>
    </row>
    <row r="9" spans="2:4" s="165" customFormat="1" ht="12.75" x14ac:dyDescent="0.2">
      <c r="B9" s="166" t="s">
        <v>281</v>
      </c>
      <c r="C9" s="167" t="s">
        <v>285</v>
      </c>
      <c r="D9" s="201">
        <v>1.9637499999999999E-2</v>
      </c>
    </row>
    <row r="10" spans="2:4" s="165" customFormat="1" ht="12.75" x14ac:dyDescent="0.2">
      <c r="B10" s="166" t="s">
        <v>286</v>
      </c>
      <c r="C10" s="167" t="s">
        <v>521</v>
      </c>
      <c r="D10" s="201">
        <v>7.3808480036003793E-2</v>
      </c>
    </row>
    <row r="11" spans="2:4" s="165" customFormat="1" ht="12.75" x14ac:dyDescent="0.2">
      <c r="B11" s="166" t="s">
        <v>287</v>
      </c>
      <c r="C11" s="167" t="s">
        <v>288</v>
      </c>
      <c r="D11" s="203">
        <f>D22/D20</f>
        <v>1.2932696613761934</v>
      </c>
    </row>
    <row r="12" spans="2:4" s="165" customFormat="1" ht="12.75" x14ac:dyDescent="0.2">
      <c r="B12" s="166" t="s">
        <v>289</v>
      </c>
      <c r="C12" s="167" t="s">
        <v>290</v>
      </c>
      <c r="D12" s="203">
        <f>(22%+5%*(1-0.22))</f>
        <v>0.25900000000000001</v>
      </c>
    </row>
    <row r="13" spans="2:4" s="165" customFormat="1" ht="12.75" x14ac:dyDescent="0.2">
      <c r="B13" s="166"/>
      <c r="C13" s="166"/>
    </row>
    <row r="14" spans="2:4" s="165" customFormat="1" ht="12.75" x14ac:dyDescent="0.2">
      <c r="B14" s="206" t="s">
        <v>91</v>
      </c>
      <c r="C14" s="207"/>
      <c r="D14" s="208">
        <f>IFERROR((1-1/(1+D11))*D10*(1-D12)+(1/(1+D11))*(D6+D7*D8+D9),"NA")</f>
        <v>0.10068079539132493</v>
      </c>
    </row>
    <row r="15" spans="2:4" s="165" customFormat="1" ht="13.5" hidden="1" thickBot="1" x14ac:dyDescent="0.25">
      <c r="B15" s="170" t="s">
        <v>291</v>
      </c>
      <c r="C15" s="171"/>
      <c r="D15" s="205"/>
    </row>
    <row r="16" spans="2:4" s="165" customFormat="1" ht="12.75" x14ac:dyDescent="0.2">
      <c r="D16" s="172"/>
    </row>
    <row r="17" spans="2:6" s="165" customFormat="1" ht="12.75" x14ac:dyDescent="0.2">
      <c r="B17" s="210" t="s">
        <v>447</v>
      </c>
      <c r="D17" s="172"/>
    </row>
    <row r="18" spans="2:6" s="165" customFormat="1" ht="12.75" x14ac:dyDescent="0.2">
      <c r="D18" s="172"/>
    </row>
    <row r="19" spans="2:6" s="165" customFormat="1" ht="12.75" x14ac:dyDescent="0.2">
      <c r="B19" s="166" t="s">
        <v>292</v>
      </c>
      <c r="C19" s="167" t="s">
        <v>293</v>
      </c>
      <c r="D19" s="203">
        <f>D6+D9+D7*D8</f>
        <v>0.16015660097885462</v>
      </c>
    </row>
    <row r="20" spans="2:6" s="165" customFormat="1" ht="12.75" x14ac:dyDescent="0.2">
      <c r="B20" s="166" t="s">
        <v>294</v>
      </c>
      <c r="C20" s="167" t="s">
        <v>295</v>
      </c>
      <c r="D20" s="203">
        <f>1-D22</f>
        <v>0.43605861833095505</v>
      </c>
    </row>
    <row r="21" spans="2:6" s="165" customFormat="1" ht="12.75" x14ac:dyDescent="0.2">
      <c r="B21" s="166" t="s">
        <v>286</v>
      </c>
      <c r="C21" s="167" t="s">
        <v>296</v>
      </c>
      <c r="D21" s="203">
        <f>D10</f>
        <v>7.3808480036003793E-2</v>
      </c>
    </row>
    <row r="22" spans="2:6" s="165" customFormat="1" ht="12.75" x14ac:dyDescent="0.2">
      <c r="B22" s="166" t="s">
        <v>297</v>
      </c>
      <c r="C22" s="167" t="s">
        <v>298</v>
      </c>
      <c r="D22" s="203">
        <f>+'Insumos - WACC'!E17</f>
        <v>0.56394138166904495</v>
      </c>
    </row>
    <row r="23" spans="2:6" s="165" customFormat="1" ht="12.75" x14ac:dyDescent="0.2">
      <c r="C23" s="173"/>
      <c r="D23" s="173"/>
    </row>
    <row r="24" spans="2:6" s="165" customFormat="1" ht="12.75" x14ac:dyDescent="0.2">
      <c r="B24" s="206" t="s">
        <v>91</v>
      </c>
      <c r="C24" s="207"/>
      <c r="D24" s="208">
        <f>D22*D21*(1-D12)+D19*D20</f>
        <v>0.10068079539132493</v>
      </c>
      <c r="F24" s="174"/>
    </row>
    <row r="25" spans="2:6" s="165" customFormat="1" ht="12.75" x14ac:dyDescent="0.2">
      <c r="D25" s="168"/>
    </row>
    <row r="26" spans="2:6" s="165" customFormat="1" ht="12.75" x14ac:dyDescent="0.2">
      <c r="D26" s="168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093B66-11EA-452C-A206-57EF13D5E200}">
  <sheetPr codeName="Hoja3"/>
  <dimension ref="B1:N42"/>
  <sheetViews>
    <sheetView showGridLines="0" workbookViewId="0">
      <pane xSplit="6" ySplit="3" topLeftCell="G4" activePane="bottomRight" state="frozen"/>
      <selection pane="topRight" activeCell="G1" sqref="G1"/>
      <selection pane="bottomLeft" activeCell="A6" sqref="A6"/>
      <selection pane="bottomRight"/>
    </sheetView>
  </sheetViews>
  <sheetFormatPr baseColWidth="10" defaultColWidth="11.5" defaultRowHeight="12.75" x14ac:dyDescent="0.2"/>
  <cols>
    <col min="1" max="1" width="4.25" style="1" customWidth="1"/>
    <col min="2" max="2" width="2" style="1" customWidth="1"/>
    <col min="3" max="3" width="25" style="1" customWidth="1"/>
    <col min="4" max="4" width="13.25" style="1" customWidth="1"/>
    <col min="5" max="6" width="11.5" style="1"/>
    <col min="7" max="7" width="5.625" style="1" customWidth="1"/>
    <col min="8" max="8" width="12.25" style="1" customWidth="1"/>
    <col min="9" max="16384" width="11.5" style="1"/>
  </cols>
  <sheetData>
    <row r="1" spans="2:14" x14ac:dyDescent="0.2">
      <c r="D1" s="13"/>
      <c r="E1" s="13"/>
    </row>
    <row r="2" spans="2:14" s="11" customFormat="1" x14ac:dyDescent="0.2">
      <c r="C2" s="11" t="s">
        <v>0</v>
      </c>
      <c r="D2" s="11" t="s">
        <v>1</v>
      </c>
      <c r="E2" s="11" t="s">
        <v>2</v>
      </c>
      <c r="F2" s="11" t="s">
        <v>3</v>
      </c>
      <c r="H2" s="11">
        <v>2024</v>
      </c>
      <c r="I2" s="11">
        <v>2025</v>
      </c>
      <c r="J2" s="11">
        <v>2026</v>
      </c>
      <c r="K2" s="11">
        <v>2027</v>
      </c>
      <c r="L2" s="11">
        <v>2028</v>
      </c>
      <c r="M2" s="11">
        <v>2029</v>
      </c>
      <c r="N2" s="11">
        <v>2030</v>
      </c>
    </row>
    <row r="3" spans="2:14" x14ac:dyDescent="0.2">
      <c r="B3" s="2"/>
      <c r="C3" s="2"/>
      <c r="D3" s="12"/>
      <c r="E3" s="12"/>
      <c r="F3" s="2"/>
      <c r="H3" s="2"/>
      <c r="I3" s="2"/>
      <c r="J3" s="2"/>
      <c r="K3" s="2"/>
      <c r="L3" s="2"/>
      <c r="M3" s="2"/>
      <c r="N3" s="2"/>
    </row>
    <row r="5" spans="2:14" x14ac:dyDescent="0.2">
      <c r="D5" s="13"/>
      <c r="E5" s="13"/>
    </row>
    <row r="6" spans="2:14" x14ac:dyDescent="0.2">
      <c r="B6" s="4" t="s">
        <v>147</v>
      </c>
      <c r="C6" s="4"/>
      <c r="D6" s="14"/>
      <c r="E6" s="14"/>
      <c r="F6" s="4"/>
      <c r="G6" s="5"/>
      <c r="H6" s="4"/>
      <c r="I6" s="4"/>
      <c r="J6" s="4"/>
      <c r="K6" s="4"/>
      <c r="L6" s="4"/>
      <c r="M6" s="4"/>
      <c r="N6" s="4"/>
    </row>
    <row r="8" spans="2:14" x14ac:dyDescent="0.2">
      <c r="B8" s="26" t="s">
        <v>149</v>
      </c>
      <c r="C8" s="27"/>
      <c r="D8" s="28"/>
      <c r="E8" s="28"/>
      <c r="F8" s="28"/>
      <c r="H8" s="27"/>
      <c r="I8" s="27"/>
      <c r="J8" s="27"/>
      <c r="K8" s="27"/>
      <c r="L8" s="27"/>
      <c r="M8" s="27"/>
      <c r="N8" s="27"/>
    </row>
    <row r="10" spans="2:14" x14ac:dyDescent="0.2">
      <c r="C10" s="74" t="s">
        <v>151</v>
      </c>
      <c r="D10" s="1" t="s">
        <v>137</v>
      </c>
      <c r="E10" s="1" t="s">
        <v>14</v>
      </c>
      <c r="H10" s="16">
        <v>0</v>
      </c>
      <c r="I10" s="16">
        <f t="shared" ref="I10:N10" si="0">IF(H14&lt;0,H14,0)</f>
        <v>-8182.5857819533112</v>
      </c>
      <c r="J10" s="16">
        <f t="shared" si="0"/>
        <v>-5998.3527980786648</v>
      </c>
      <c r="K10" s="16">
        <f t="shared" si="0"/>
        <v>-2430.4420836720155</v>
      </c>
      <c r="L10" s="16">
        <f t="shared" si="0"/>
        <v>0</v>
      </c>
      <c r="M10" s="16">
        <f t="shared" si="0"/>
        <v>0</v>
      </c>
      <c r="N10" s="16">
        <f t="shared" si="0"/>
        <v>0</v>
      </c>
    </row>
    <row r="11" spans="2:14" x14ac:dyDescent="0.2">
      <c r="C11" s="75" t="s">
        <v>152</v>
      </c>
      <c r="D11" s="1" t="s">
        <v>137</v>
      </c>
      <c r="E11" s="1" t="s">
        <v>14</v>
      </c>
      <c r="H11" s="16">
        <f>(H12+H13)</f>
        <v>-8182.5857819533112</v>
      </c>
      <c r="I11" s="16">
        <f t="shared" ref="I11:N11" si="1">(I12+I13)</f>
        <v>2184.2329838746464</v>
      </c>
      <c r="J11" s="16">
        <f t="shared" si="1"/>
        <v>3567.9107144066493</v>
      </c>
      <c r="K11" s="16">
        <f t="shared" si="1"/>
        <v>4306.9507620446693</v>
      </c>
      <c r="L11" s="16">
        <f t="shared" si="1"/>
        <v>4714.8733744289857</v>
      </c>
      <c r="M11" s="16">
        <f t="shared" si="1"/>
        <v>5084.5539103016672</v>
      </c>
      <c r="N11" s="16">
        <f t="shared" si="1"/>
        <v>5479.9491429429145</v>
      </c>
    </row>
    <row r="12" spans="2:14" x14ac:dyDescent="0.2">
      <c r="C12" s="76" t="s">
        <v>153</v>
      </c>
      <c r="D12" s="1" t="s">
        <v>137</v>
      </c>
      <c r="E12" s="1" t="s">
        <v>14</v>
      </c>
      <c r="F12" s="77">
        <v>0.18</v>
      </c>
      <c r="H12" s="16">
        <f>SUMIFS(Flujos!19:19,Flujos!2:2,EE.FF!H2)*$F$12</f>
        <v>0</v>
      </c>
      <c r="I12" s="16">
        <f>SUMIFS(Flujos!19:19,Flujos!2:2,EE.FF!I2)*$F$12</f>
        <v>3463.0783441602271</v>
      </c>
      <c r="J12" s="16">
        <f>SUMIFS(Flujos!19:19,Flujos!2:2,EE.FF!J2)*$F$12</f>
        <v>4232.4496528587697</v>
      </c>
      <c r="K12" s="16">
        <f>SUMIFS(Flujos!19:19,Flujos!2:2,EE.FF!K2)*$F$12</f>
        <v>4907.8972764101818</v>
      </c>
      <c r="L12" s="16">
        <f>SUMIFS(Flujos!19:19,Flujos!2:2,EE.FF!L2)*$F$12</f>
        <v>5362.249966944165</v>
      </c>
      <c r="M12" s="16">
        <f>SUMIFS(Flujos!19:19,Flujos!2:2,EE.FF!M2)*$F$12</f>
        <v>5772.5910891642143</v>
      </c>
      <c r="N12" s="16">
        <f>SUMIFS(Flujos!19:19,Flujos!2:2,EE.FF!N2)*$F$12</f>
        <v>6212.9514087942662</v>
      </c>
    </row>
    <row r="13" spans="2:14" x14ac:dyDescent="0.2">
      <c r="C13" s="76" t="s">
        <v>154</v>
      </c>
      <c r="D13" s="1" t="s">
        <v>137</v>
      </c>
      <c r="E13" s="1" t="s">
        <v>14</v>
      </c>
      <c r="F13" s="77">
        <v>0.75</v>
      </c>
      <c r="H13" s="16">
        <f>(Flujos!H24*EE.FF!$F$13+Flujos!H32+Flujos!H33)*EE.FF!$F$12</f>
        <v>-8182.5857819533112</v>
      </c>
      <c r="I13" s="16">
        <f>(Flujos!I24*EE.FF!$F$13+Flujos!I32+Flujos!I33)*EE.FF!$F$12</f>
        <v>-1278.8453602855807</v>
      </c>
      <c r="J13" s="16">
        <f>(Flujos!J24*EE.FF!$F$13+Flujos!J32+Flujos!J33)*EE.FF!$F$12</f>
        <v>-664.53893845212053</v>
      </c>
      <c r="K13" s="16">
        <f>(Flujos!K24*EE.FF!$F$13+Flujos!K32+Flujos!K33)*EE.FF!$F$12</f>
        <v>-600.9465143655126</v>
      </c>
      <c r="L13" s="16">
        <f>(Flujos!L24*EE.FF!$F$13+Flujos!L32+Flujos!L33)*EE.FF!$F$12</f>
        <v>-647.37659251517948</v>
      </c>
      <c r="M13" s="16">
        <f>(Flujos!M24*EE.FF!$F$13+Flujos!M32+Flujos!M33)*EE.FF!$F$12</f>
        <v>-688.03717886254708</v>
      </c>
      <c r="N13" s="16">
        <f>(Flujos!N24*EE.FF!$F$13+Flujos!N32+Flujos!N33)*EE.FF!$F$12</f>
        <v>-733.00226585135181</v>
      </c>
    </row>
    <row r="14" spans="2:14" x14ac:dyDescent="0.2">
      <c r="C14" s="74" t="s">
        <v>155</v>
      </c>
      <c r="D14" s="1" t="s">
        <v>137</v>
      </c>
      <c r="E14" s="1" t="s">
        <v>14</v>
      </c>
      <c r="H14" s="16">
        <f>IF(H10+H11&lt;0,H10+H11,0)</f>
        <v>-8182.5857819533112</v>
      </c>
      <c r="I14" s="16">
        <f t="shared" ref="I14:N14" si="2">IF(I10+I11&lt;0,I10+I11,0)</f>
        <v>-5998.3527980786648</v>
      </c>
      <c r="J14" s="16">
        <f t="shared" si="2"/>
        <v>-2430.4420836720155</v>
      </c>
      <c r="K14" s="16">
        <f t="shared" si="2"/>
        <v>0</v>
      </c>
      <c r="L14" s="16">
        <f t="shared" si="2"/>
        <v>0</v>
      </c>
      <c r="M14" s="16">
        <f t="shared" si="2"/>
        <v>0</v>
      </c>
      <c r="N14" s="16">
        <f t="shared" si="2"/>
        <v>0</v>
      </c>
    </row>
    <row r="15" spans="2:14" x14ac:dyDescent="0.2">
      <c r="C15" s="78" t="s">
        <v>149</v>
      </c>
      <c r="D15" s="23" t="s">
        <v>137</v>
      </c>
      <c r="E15" s="23" t="s">
        <v>14</v>
      </c>
      <c r="F15" s="23"/>
      <c r="G15" s="23"/>
      <c r="H15" s="36">
        <f t="shared" ref="H15:N15" si="3">IF(H10+H11&lt;0,0,H10+H11)</f>
        <v>0</v>
      </c>
      <c r="I15" s="36">
        <f t="shared" si="3"/>
        <v>0</v>
      </c>
      <c r="J15" s="36">
        <f t="shared" si="3"/>
        <v>0</v>
      </c>
      <c r="K15" s="36">
        <f t="shared" si="3"/>
        <v>1876.5086783726538</v>
      </c>
      <c r="L15" s="36">
        <f t="shared" si="3"/>
        <v>4714.8733744289857</v>
      </c>
      <c r="M15" s="36">
        <f t="shared" si="3"/>
        <v>5084.5539103016672</v>
      </c>
      <c r="N15" s="36">
        <f t="shared" si="3"/>
        <v>5479.9491429429145</v>
      </c>
    </row>
    <row r="17" spans="2:14" x14ac:dyDescent="0.2">
      <c r="B17" s="26" t="s">
        <v>150</v>
      </c>
      <c r="C17" s="27"/>
      <c r="D17" s="28"/>
      <c r="E17" s="28"/>
      <c r="F17" s="28"/>
      <c r="H17" s="27"/>
      <c r="I17" s="27"/>
      <c r="J17" s="27"/>
      <c r="K17" s="27"/>
      <c r="L17" s="27"/>
      <c r="M17" s="27"/>
      <c r="N17" s="27"/>
    </row>
    <row r="18" spans="2:14" x14ac:dyDescent="0.2">
      <c r="H18" s="16"/>
    </row>
    <row r="19" spans="2:14" x14ac:dyDescent="0.2">
      <c r="C19" s="75" t="s">
        <v>159</v>
      </c>
      <c r="D19" s="1" t="s">
        <v>137</v>
      </c>
      <c r="E19" s="1" t="s">
        <v>14</v>
      </c>
      <c r="H19" s="16">
        <f>SUMIFS(Flujos!19:19,Flujos!2:2,EE.FF!H2)</f>
        <v>0</v>
      </c>
      <c r="I19" s="16">
        <f>SUMIFS(Flujos!19:19,Flujos!2:2,EE.FF!I2)</f>
        <v>19239.324134223483</v>
      </c>
      <c r="J19" s="16">
        <f>SUMIFS(Flujos!19:19,Flujos!2:2,EE.FF!J2)</f>
        <v>23513.60918254872</v>
      </c>
      <c r="K19" s="16">
        <f>SUMIFS(Flujos!19:19,Flujos!2:2,EE.FF!K2)</f>
        <v>27266.095980056565</v>
      </c>
      <c r="L19" s="16">
        <f>SUMIFS(Flujos!19:19,Flujos!2:2,EE.FF!L2)</f>
        <v>29790.277594134252</v>
      </c>
      <c r="M19" s="16">
        <f>SUMIFS(Flujos!19:19,Flujos!2:2,EE.FF!M2)</f>
        <v>32069.950495356745</v>
      </c>
      <c r="N19" s="16">
        <f>SUMIFS(Flujos!19:19,Flujos!2:2,EE.FF!N2)</f>
        <v>34516.396715523704</v>
      </c>
    </row>
    <row r="20" spans="2:14" x14ac:dyDescent="0.2">
      <c r="C20" s="75" t="s">
        <v>160</v>
      </c>
      <c r="D20" s="1" t="s">
        <v>137</v>
      </c>
      <c r="E20" s="1" t="s">
        <v>14</v>
      </c>
      <c r="H20" s="16">
        <f>SUMIFS(Flujos!21:21,Flujos!2:2,EE.FF!H2)</f>
        <v>0</v>
      </c>
      <c r="I20" s="16">
        <f>SUMIFS(Flujos!21:21,Flujos!2:2,EE.FF!I2)</f>
        <v>-9140.7952894109203</v>
      </c>
      <c r="J20" s="16">
        <f>SUMIFS(Flujos!21:21,Flujos!2:2,EE.FF!J2)</f>
        <v>-11171.550858720722</v>
      </c>
      <c r="K20" s="16">
        <f>SUMIFS(Flujos!21:21,Flujos!2:2,EE.FF!K2)</f>
        <v>-12954.394861084676</v>
      </c>
      <c r="L20" s="16">
        <f>SUMIFS(Flujos!21:21,Flujos!2:2,EE.FF!L2)</f>
        <v>-14153.658787749126</v>
      </c>
      <c r="M20" s="16">
        <f>SUMIFS(Flujos!21:21,Flujos!2:2,EE.FF!M2)</f>
        <v>-15236.754179848944</v>
      </c>
      <c r="N20" s="16">
        <f>SUMIFS(Flujos!21:21,Flujos!2:2,EE.FF!N2)</f>
        <v>-16399.085243512469</v>
      </c>
    </row>
    <row r="21" spans="2:14" x14ac:dyDescent="0.2">
      <c r="C21" s="75" t="s">
        <v>161</v>
      </c>
      <c r="D21" s="1" t="s">
        <v>137</v>
      </c>
      <c r="E21" s="1" t="s">
        <v>14</v>
      </c>
      <c r="H21" s="16">
        <f>SUMIFS(Flujos!24:24,Flujos!2:2,EE.FF!H2)</f>
        <v>0</v>
      </c>
      <c r="I21" s="16">
        <f>SUMIFS(Flujos!24:24,Flujos!2:2,EE.FF!I2)</f>
        <v>-3300.4024586739165</v>
      </c>
      <c r="J21" s="16">
        <f>SUMIFS(Flujos!24:24,Flujos!2:2,EE.FF!J2)</f>
        <v>-3897.2512723283612</v>
      </c>
      <c r="K21" s="16">
        <f>SUMIFS(Flujos!24:24,Flujos!2:2,EE.FF!K2)</f>
        <v>-4451.4556619667601</v>
      </c>
      <c r="L21" s="16">
        <f>SUMIFS(Flujos!24:24,Flujos!2:2,EE.FF!L2)</f>
        <v>-4795.382166779108</v>
      </c>
      <c r="M21" s="16">
        <f>SUMIFS(Flujos!24:24,Flujos!2:2,EE.FF!M2)</f>
        <v>-5096.5716952781268</v>
      </c>
      <c r="N21" s="16">
        <f>SUMIFS(Flujos!24:24,Flujos!2:2,EE.FF!N2)</f>
        <v>-5429.6464137137173</v>
      </c>
    </row>
    <row r="22" spans="2:14" x14ac:dyDescent="0.2">
      <c r="C22" s="75" t="s">
        <v>90</v>
      </c>
      <c r="D22" s="1" t="s">
        <v>137</v>
      </c>
      <c r="E22" s="1" t="s">
        <v>14</v>
      </c>
      <c r="H22" s="16">
        <f>-CAPEX!H183/1000</f>
        <v>0</v>
      </c>
      <c r="I22" s="16">
        <f>-CAPEX!I183/1000</f>
        <v>-3319.892505767647</v>
      </c>
      <c r="J22" s="16">
        <f>-CAPEX!J183/1000</f>
        <v>-3671.4503589323544</v>
      </c>
      <c r="K22" s="16">
        <f>-CAPEX!K183/1000</f>
        <v>-3732.4265142843378</v>
      </c>
      <c r="L22" s="16">
        <f>-CAPEX!L183/1000</f>
        <v>-3732.4265142843378</v>
      </c>
      <c r="M22" s="16">
        <f>-CAPEX!M183/1000</f>
        <v>-3732.4265142843378</v>
      </c>
      <c r="N22" s="16">
        <f>-CAPEX!N183/1000</f>
        <v>-3732.4265142843378</v>
      </c>
    </row>
    <row r="23" spans="2:14" x14ac:dyDescent="0.2">
      <c r="C23" s="78" t="s">
        <v>162</v>
      </c>
      <c r="D23" s="23" t="s">
        <v>137</v>
      </c>
      <c r="E23" s="23" t="s">
        <v>14</v>
      </c>
      <c r="H23" s="36">
        <f t="shared" ref="H23:N23" si="4">SUM(H19:H22)</f>
        <v>0</v>
      </c>
      <c r="I23" s="36">
        <f t="shared" si="4"/>
        <v>3478.2338803709999</v>
      </c>
      <c r="J23" s="36">
        <f t="shared" si="4"/>
        <v>4773.3566925672822</v>
      </c>
      <c r="K23" s="36">
        <f t="shared" si="4"/>
        <v>6127.8189427207908</v>
      </c>
      <c r="L23" s="36">
        <f t="shared" si="4"/>
        <v>7108.8101253216792</v>
      </c>
      <c r="M23" s="36">
        <f t="shared" si="4"/>
        <v>8004.1981059453374</v>
      </c>
      <c r="N23" s="36">
        <f t="shared" si="4"/>
        <v>8955.2385440131802</v>
      </c>
    </row>
    <row r="25" spans="2:14" x14ac:dyDescent="0.2">
      <c r="B25" s="4" t="s">
        <v>168</v>
      </c>
      <c r="C25" s="4"/>
      <c r="D25" s="14"/>
      <c r="E25" s="14"/>
      <c r="F25" s="4"/>
      <c r="G25" s="5"/>
      <c r="H25" s="4"/>
      <c r="I25" s="4"/>
      <c r="J25" s="4"/>
      <c r="K25" s="4"/>
      <c r="L25" s="4"/>
      <c r="M25" s="4"/>
      <c r="N25" s="4"/>
    </row>
    <row r="27" spans="2:14" x14ac:dyDescent="0.2">
      <c r="B27" s="26" t="s">
        <v>149</v>
      </c>
      <c r="C27" s="27"/>
      <c r="D27" s="28"/>
      <c r="E27" s="28"/>
      <c r="F27" s="28"/>
      <c r="H27" s="27"/>
      <c r="I27" s="27"/>
      <c r="J27" s="27"/>
      <c r="K27" s="27"/>
      <c r="L27" s="27"/>
      <c r="M27" s="27"/>
      <c r="N27" s="27"/>
    </row>
    <row r="29" spans="2:14" x14ac:dyDescent="0.2">
      <c r="C29" s="74" t="s">
        <v>151</v>
      </c>
      <c r="D29" s="1" t="s">
        <v>137</v>
      </c>
      <c r="E29" s="1" t="s">
        <v>14</v>
      </c>
      <c r="H29" s="16">
        <v>0</v>
      </c>
      <c r="I29" s="16">
        <f t="shared" ref="I29:N29" si="5">IF(H33&lt;0,H33,0)</f>
        <v>-1411.1190391802584</v>
      </c>
      <c r="J29" s="16">
        <f t="shared" si="5"/>
        <v>-732.70168391305697</v>
      </c>
      <c r="K29" s="16">
        <f t="shared" si="5"/>
        <v>0</v>
      </c>
      <c r="L29" s="16">
        <f t="shared" si="5"/>
        <v>0</v>
      </c>
      <c r="M29" s="16">
        <f t="shared" si="5"/>
        <v>0</v>
      </c>
      <c r="N29" s="16">
        <f t="shared" si="5"/>
        <v>0</v>
      </c>
    </row>
    <row r="30" spans="2:14" x14ac:dyDescent="0.2">
      <c r="C30" s="75" t="s">
        <v>152</v>
      </c>
      <c r="D30" s="1" t="s">
        <v>137</v>
      </c>
      <c r="E30" s="1" t="s">
        <v>14</v>
      </c>
      <c r="H30" s="16">
        <f>(H31+H32)</f>
        <v>-1411.1190391802584</v>
      </c>
      <c r="I30" s="16">
        <f t="shared" ref="I30:N30" si="6">(I31+I32)</f>
        <v>678.4173552672014</v>
      </c>
      <c r="J30" s="16">
        <f t="shared" si="6"/>
        <v>824.23523596425503</v>
      </c>
      <c r="K30" s="16">
        <f t="shared" si="6"/>
        <v>870.89247359505009</v>
      </c>
      <c r="L30" s="16">
        <f t="shared" si="6"/>
        <v>894.03633197297722</v>
      </c>
      <c r="M30" s="16">
        <f t="shared" si="6"/>
        <v>931.62504614820591</v>
      </c>
      <c r="N30" s="16">
        <f t="shared" si="6"/>
        <v>962.73134679350267</v>
      </c>
    </row>
    <row r="31" spans="2:14" x14ac:dyDescent="0.2">
      <c r="C31" s="76" t="s">
        <v>153</v>
      </c>
      <c r="D31" s="1" t="s">
        <v>137</v>
      </c>
      <c r="E31" s="1" t="s">
        <v>14</v>
      </c>
      <c r="F31" s="77">
        <v>0.18</v>
      </c>
      <c r="H31" s="16">
        <f>SUMIFS(Flujos!44:44,Flujos!2:2,EE.FF!H2)*$F$31</f>
        <v>0</v>
      </c>
      <c r="I31" s="16">
        <f>SUMIFS(Flujos!44:44,Flujos!2:2,EE.FF!I2)*$F$31</f>
        <v>1023.4700163560219</v>
      </c>
      <c r="J31" s="16">
        <f>SUMIFS(Flujos!44:44,Flujos!2:2,EE.FF!J2)*$F$31</f>
        <v>1050.3593561973878</v>
      </c>
      <c r="K31" s="16">
        <f>SUMIFS(Flujos!44:44,Flujos!2:2,EE.FF!K2)*$F$31</f>
        <v>1076.722485865733</v>
      </c>
      <c r="L31" s="16">
        <f>SUMIFS(Flujos!44:44,Flujos!2:2,EE.FF!L2)*$F$31</f>
        <v>1103.085615534078</v>
      </c>
      <c r="M31" s="16">
        <f>SUMIFS(Flujos!44:44,Flujos!2:2,EE.FF!M2)*$F$31</f>
        <v>1146.8024049798325</v>
      </c>
      <c r="N31" s="16">
        <f>SUMIFS(Flujos!44:44,Flujos!2:2,EE.FF!N2)*$F$31</f>
        <v>1183.2462181056201</v>
      </c>
    </row>
    <row r="32" spans="2:14" x14ac:dyDescent="0.2">
      <c r="C32" s="76" t="s">
        <v>154</v>
      </c>
      <c r="D32" s="1" t="s">
        <v>137</v>
      </c>
      <c r="E32" s="1" t="s">
        <v>14</v>
      </c>
      <c r="F32" s="77">
        <v>0.75</v>
      </c>
      <c r="H32" s="16">
        <f>(Flujos!H49*EE.FF!$F$32+Flujos!H57+Flujos!H58)*EE.FF!$F$31</f>
        <v>-1411.1190391802584</v>
      </c>
      <c r="I32" s="16">
        <f>(Flujos!I49*EE.FF!$F$32+Flujos!I57+Flujos!I58)*EE.FF!$F$31</f>
        <v>-345.05266108882051</v>
      </c>
      <c r="J32" s="16">
        <f>(Flujos!J49*EE.FF!$F$32+Flujos!J57+Flujos!J58)*EE.FF!$F$31</f>
        <v>-226.12412023313277</v>
      </c>
      <c r="K32" s="16">
        <f>(Flujos!K49*EE.FF!$F$32+Flujos!K57+Flujos!K58)*EE.FF!$F$31</f>
        <v>-205.83001227068289</v>
      </c>
      <c r="L32" s="16">
        <f>(Flujos!L49*EE.FF!$F$32+Flujos!L57+Flujos!L58)*EE.FF!$F$31</f>
        <v>-209.04928356110074</v>
      </c>
      <c r="M32" s="16">
        <f>(Flujos!M49*EE.FF!$F$32+Flujos!M57+Flujos!M58)*EE.FF!$F$31</f>
        <v>-215.17735883162663</v>
      </c>
      <c r="N32" s="16">
        <f>(Flujos!N49*EE.FF!$F$32+Flujos!N57+Flujos!N58)*EE.FF!$F$31</f>
        <v>-220.51487131211741</v>
      </c>
    </row>
    <row r="33" spans="2:14" x14ac:dyDescent="0.2">
      <c r="C33" s="74" t="s">
        <v>155</v>
      </c>
      <c r="D33" s="1" t="s">
        <v>137</v>
      </c>
      <c r="E33" s="1" t="s">
        <v>14</v>
      </c>
      <c r="H33" s="16">
        <f>IF(H29+H30&lt;0,H29+H30,0)</f>
        <v>-1411.1190391802584</v>
      </c>
      <c r="I33" s="16">
        <f t="shared" ref="I33:N33" si="7">IF(I29+I30&lt;0,I29+I30,0)</f>
        <v>-732.70168391305697</v>
      </c>
      <c r="J33" s="16">
        <f t="shared" si="7"/>
        <v>0</v>
      </c>
      <c r="K33" s="16">
        <f t="shared" si="7"/>
        <v>0</v>
      </c>
      <c r="L33" s="16">
        <f t="shared" si="7"/>
        <v>0</v>
      </c>
      <c r="M33" s="16">
        <f t="shared" si="7"/>
        <v>0</v>
      </c>
      <c r="N33" s="16">
        <f t="shared" si="7"/>
        <v>0</v>
      </c>
    </row>
    <row r="34" spans="2:14" x14ac:dyDescent="0.2">
      <c r="C34" s="78" t="s">
        <v>149</v>
      </c>
      <c r="D34" s="23" t="s">
        <v>137</v>
      </c>
      <c r="E34" s="23" t="s">
        <v>14</v>
      </c>
      <c r="F34" s="23"/>
      <c r="G34" s="23"/>
      <c r="H34" s="36">
        <f>IF(H29+H30&lt;0,0,H29+H30)</f>
        <v>0</v>
      </c>
      <c r="I34" s="36">
        <f t="shared" ref="I34:N34" si="8">IF(I29+I30&lt;0,0,I29+I30)</f>
        <v>0</v>
      </c>
      <c r="J34" s="36">
        <f t="shared" si="8"/>
        <v>91.533552051198058</v>
      </c>
      <c r="K34" s="36">
        <f t="shared" si="8"/>
        <v>870.89247359505009</v>
      </c>
      <c r="L34" s="36">
        <f t="shared" si="8"/>
        <v>894.03633197297722</v>
      </c>
      <c r="M34" s="36">
        <f t="shared" si="8"/>
        <v>931.62504614820591</v>
      </c>
      <c r="N34" s="36">
        <f t="shared" si="8"/>
        <v>962.73134679350267</v>
      </c>
    </row>
    <row r="36" spans="2:14" x14ac:dyDescent="0.2">
      <c r="B36" s="26" t="s">
        <v>150</v>
      </c>
      <c r="C36" s="27"/>
      <c r="D36" s="28"/>
      <c r="E36" s="28"/>
      <c r="F36" s="28"/>
      <c r="H36" s="27"/>
      <c r="I36" s="27"/>
      <c r="J36" s="27"/>
      <c r="K36" s="27"/>
      <c r="L36" s="27"/>
      <c r="M36" s="27"/>
      <c r="N36" s="27"/>
    </row>
    <row r="37" spans="2:14" x14ac:dyDescent="0.2">
      <c r="H37" s="16"/>
    </row>
    <row r="38" spans="2:14" x14ac:dyDescent="0.2">
      <c r="C38" s="75" t="s">
        <v>159</v>
      </c>
      <c r="D38" s="1" t="s">
        <v>137</v>
      </c>
      <c r="E38" s="1" t="s">
        <v>14</v>
      </c>
      <c r="H38" s="16">
        <f>SUMIFS(Flujos!44:44,Flujos!2:2,EE.FF!H2)</f>
        <v>0</v>
      </c>
      <c r="I38" s="16">
        <f>SUMIFS(Flujos!44:44,Flujos!2:2,EE.FF!I2)</f>
        <v>5685.9445353112333</v>
      </c>
      <c r="J38" s="16">
        <f>SUMIFS(Flujos!44:44,Flujos!2:2,EE.FF!J2)</f>
        <v>5835.3297566521551</v>
      </c>
      <c r="K38" s="16">
        <f>SUMIFS(Flujos!44:44,Flujos!2:2,EE.FF!K2)</f>
        <v>5981.7915881429617</v>
      </c>
      <c r="L38" s="16">
        <f>SUMIFS(Flujos!44:44,Flujos!2:2,EE.FF!L2)</f>
        <v>6128.2534196337674</v>
      </c>
      <c r="M38" s="16">
        <f>SUMIFS(Flujos!44:44,Flujos!2:2,EE.FF!M2)</f>
        <v>6371.1244721101812</v>
      </c>
      <c r="N38" s="16">
        <f>SUMIFS(Flujos!44:44,Flujos!2:2,EE.FF!N2)</f>
        <v>6573.5901005867781</v>
      </c>
    </row>
    <row r="39" spans="2:14" x14ac:dyDescent="0.2">
      <c r="C39" s="75" t="s">
        <v>160</v>
      </c>
      <c r="D39" s="1" t="s">
        <v>137</v>
      </c>
      <c r="E39" s="1" t="s">
        <v>14</v>
      </c>
      <c r="H39" s="16">
        <f>SUMIFS(Flujos!46:46,Flujos!2:2,EE.FF!H2)</f>
        <v>0</v>
      </c>
      <c r="I39" s="16">
        <f>SUMIFS(Flujos!46:46,Flujos!2:2,EE.FF!I2)</f>
        <v>-2701.4491081717201</v>
      </c>
      <c r="J39" s="16">
        <f>SUMIFS(Flujos!46:46,Flujos!2:2,EE.FF!J2)</f>
        <v>-2772.4235206830058</v>
      </c>
      <c r="K39" s="16">
        <f>SUMIFS(Flujos!46:46,Flujos!2:2,EE.FF!K2)</f>
        <v>-2842.0090014426028</v>
      </c>
      <c r="L39" s="16">
        <f>SUMIFS(Flujos!46:46,Flujos!2:2,EE.FF!L2)</f>
        <v>-2911.5944822021993</v>
      </c>
      <c r="M39" s="16">
        <f>SUMIFS(Flujos!46:46,Flujos!2:2,EE.FF!M2)</f>
        <v>-3026.9849479442682</v>
      </c>
      <c r="N39" s="16">
        <f>SUMIFS(Flujos!46:46,Flujos!2:2,EE.FF!N2)</f>
        <v>-3123.1783926897842</v>
      </c>
    </row>
    <row r="40" spans="2:14" x14ac:dyDescent="0.2">
      <c r="C40" s="75" t="s">
        <v>161</v>
      </c>
      <c r="D40" s="1" t="s">
        <v>137</v>
      </c>
      <c r="E40" s="1" t="s">
        <v>14</v>
      </c>
      <c r="H40" s="16">
        <f>SUMIFS(Flujos!49:49,Flujos!2:2,EE.FF!H2)</f>
        <v>0</v>
      </c>
      <c r="I40" s="16">
        <f>SUMIFS(Flujos!49:49,Flujos!2:2,EE.FF!I2)</f>
        <v>-1491.4692750266117</v>
      </c>
      <c r="J40" s="16">
        <f>SUMIFS(Flujos!49:49,Flujos!2:2,EE.FF!J2)</f>
        <v>-1498.1834779334731</v>
      </c>
      <c r="K40" s="16">
        <f>SUMIFS(Flujos!49:49,Flujos!2:2,EE.FF!K2)</f>
        <v>-1524.6667575606141</v>
      </c>
      <c r="L40" s="16">
        <f>SUMIFS(Flujos!49:49,Flujos!2:2,EE.FF!L2)</f>
        <v>-1548.5132115637093</v>
      </c>
      <c r="M40" s="16">
        <f>SUMIFS(Flujos!49:49,Flujos!2:2,EE.FF!M2)</f>
        <v>-1593.9063617157531</v>
      </c>
      <c r="N40" s="16">
        <f>SUMIFS(Flujos!49:49,Flujos!2:2,EE.FF!N2)</f>
        <v>-1633.4434912008696</v>
      </c>
    </row>
    <row r="41" spans="2:14" x14ac:dyDescent="0.2">
      <c r="C41" s="75" t="s">
        <v>90</v>
      </c>
      <c r="D41" s="1" t="s">
        <v>137</v>
      </c>
      <c r="E41" s="1" t="s">
        <v>14</v>
      </c>
      <c r="H41" s="16">
        <f>-CAPEX!H190/1000</f>
        <v>0</v>
      </c>
      <c r="I41" s="16">
        <f>-CAPEX!I190/1000</f>
        <v>-535.60709009117363</v>
      </c>
      <c r="J41" s="16">
        <f>-CAPEX!J190/1000</f>
        <v>-592.77089909827453</v>
      </c>
      <c r="K41" s="16">
        <f>-CAPEX!K190/1000</f>
        <v>-602.78986938613855</v>
      </c>
      <c r="L41" s="16">
        <f>-CAPEX!L190/1000</f>
        <v>-602.78986938613855</v>
      </c>
      <c r="M41" s="16">
        <f>-CAPEX!M190/1000</f>
        <v>-602.78986938613855</v>
      </c>
      <c r="N41" s="16">
        <f>-CAPEX!N190/1000</f>
        <v>-602.78986938613855</v>
      </c>
    </row>
    <row r="42" spans="2:14" x14ac:dyDescent="0.2">
      <c r="C42" s="78" t="s">
        <v>162</v>
      </c>
      <c r="D42" s="23" t="s">
        <v>137</v>
      </c>
      <c r="E42" s="23" t="s">
        <v>14</v>
      </c>
      <c r="H42" s="36">
        <f t="shared" ref="H42:N42" si="9">SUM(H38:H41)</f>
        <v>0</v>
      </c>
      <c r="I42" s="36">
        <f t="shared" si="9"/>
        <v>957.41906202172777</v>
      </c>
      <c r="J42" s="36">
        <f t="shared" si="9"/>
        <v>971.95185893740165</v>
      </c>
      <c r="K42" s="36">
        <f t="shared" si="9"/>
        <v>1012.3259597536063</v>
      </c>
      <c r="L42" s="36">
        <f t="shared" si="9"/>
        <v>1065.3558564817204</v>
      </c>
      <c r="M42" s="36">
        <f t="shared" si="9"/>
        <v>1147.4432930640214</v>
      </c>
      <c r="N42" s="36">
        <f t="shared" si="9"/>
        <v>1214.1783473099858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5DBDF4-FDE7-4B4B-A7AA-8C2ADB79E059}">
  <sheetPr>
    <tabColor rgb="FFC00000"/>
  </sheetPr>
  <dimension ref="A1"/>
  <sheetViews>
    <sheetView workbookViewId="0"/>
  </sheetViews>
  <sheetFormatPr baseColWidth="10" defaultColWidth="11.25" defaultRowHeight="14.25" x14ac:dyDescent="0.2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27B2A2-A1F3-47E0-9729-800645F709F7}">
  <sheetPr codeName="Hoja11"/>
  <dimension ref="B2:N239"/>
  <sheetViews>
    <sheetView showGridLines="0" zoomScale="70" zoomScaleNormal="70" workbookViewId="0">
      <pane xSplit="4" ySplit="3" topLeftCell="E25" activePane="bottomRight" state="frozen"/>
      <selection pane="topRight" activeCell="D1" sqref="D1"/>
      <selection pane="bottomLeft" activeCell="A4" sqref="A4"/>
      <selection pane="bottomRight" activeCell="P56" sqref="P56"/>
    </sheetView>
  </sheetViews>
  <sheetFormatPr baseColWidth="10" defaultColWidth="11.5" defaultRowHeight="12.75" x14ac:dyDescent="0.2"/>
  <cols>
    <col min="1" max="1" width="3.875" style="1" customWidth="1"/>
    <col min="2" max="2" width="6.25" style="1" customWidth="1"/>
    <col min="3" max="3" width="2.375" style="1" customWidth="1"/>
    <col min="4" max="4" width="51.625" style="1" customWidth="1"/>
    <col min="5" max="5" width="24.75" style="13" customWidth="1"/>
    <col min="6" max="6" width="13.25" style="13" customWidth="1"/>
    <col min="7" max="7" width="17.375" style="13" bestFit="1" customWidth="1"/>
    <col min="8" max="8" width="10.25" style="1" customWidth="1"/>
    <col min="9" max="13" width="11.5" style="1"/>
    <col min="14" max="14" width="11.5" style="1" customWidth="1"/>
    <col min="15" max="16384" width="11.5" style="1"/>
  </cols>
  <sheetData>
    <row r="2" spans="2:14" s="11" customFormat="1" x14ac:dyDescent="0.2">
      <c r="B2" s="11" t="s">
        <v>277</v>
      </c>
      <c r="D2" s="11" t="s">
        <v>0</v>
      </c>
      <c r="E2" s="11" t="s">
        <v>1</v>
      </c>
      <c r="F2" s="11" t="s">
        <v>2</v>
      </c>
      <c r="G2" s="11" t="s">
        <v>3</v>
      </c>
      <c r="I2" s="11">
        <v>2025</v>
      </c>
      <c r="J2" s="11">
        <f>I2+1</f>
        <v>2026</v>
      </c>
      <c r="K2" s="11">
        <f>J2+1</f>
        <v>2027</v>
      </c>
      <c r="L2" s="11">
        <f>K2+1</f>
        <v>2028</v>
      </c>
      <c r="M2" s="11">
        <f>L2+1</f>
        <v>2029</v>
      </c>
      <c r="N2" s="11">
        <f>M2+1</f>
        <v>2030</v>
      </c>
    </row>
    <row r="3" spans="2:14" x14ac:dyDescent="0.2">
      <c r="B3" s="2"/>
      <c r="C3" s="2"/>
      <c r="D3" s="2"/>
      <c r="E3" s="12"/>
      <c r="F3" s="12"/>
      <c r="G3" s="12"/>
      <c r="I3" s="2"/>
      <c r="J3" s="2"/>
      <c r="K3" s="2" t="s">
        <v>20</v>
      </c>
      <c r="L3" s="2"/>
      <c r="M3" s="2"/>
      <c r="N3" s="2"/>
    </row>
    <row r="5" spans="2:14" x14ac:dyDescent="0.2">
      <c r="B5" s="4" t="s">
        <v>60</v>
      </c>
      <c r="C5" s="4"/>
      <c r="D5" s="4"/>
      <c r="E5" s="14"/>
      <c r="F5" s="14"/>
      <c r="G5" s="14"/>
      <c r="H5" s="5"/>
      <c r="I5" s="4"/>
      <c r="J5" s="4"/>
      <c r="K5" s="4"/>
      <c r="L5" s="4"/>
      <c r="M5" s="4"/>
      <c r="N5" s="4"/>
    </row>
    <row r="6" spans="2:14" x14ac:dyDescent="0.2">
      <c r="B6" s="5"/>
      <c r="C6" s="5"/>
      <c r="D6" s="5"/>
      <c r="E6" s="30"/>
      <c r="F6" s="30"/>
      <c r="G6" s="30"/>
      <c r="H6" s="5"/>
      <c r="I6" s="5"/>
      <c r="J6" s="5"/>
      <c r="K6" s="5"/>
      <c r="L6" s="5"/>
      <c r="M6" s="5"/>
      <c r="N6" s="5"/>
    </row>
    <row r="7" spans="2:14" x14ac:dyDescent="0.2">
      <c r="D7" s="21" t="s">
        <v>17</v>
      </c>
      <c r="E7" s="13" t="s">
        <v>13</v>
      </c>
      <c r="F7" s="13" t="s">
        <v>14</v>
      </c>
      <c r="G7" s="1"/>
      <c r="I7" s="15">
        <v>1.964</v>
      </c>
      <c r="J7" s="15">
        <v>2.101</v>
      </c>
      <c r="K7" s="15">
        <v>2.371</v>
      </c>
      <c r="L7" s="15">
        <v>2.1349999999999998</v>
      </c>
      <c r="M7" s="15">
        <v>2.1520000000000001</v>
      </c>
      <c r="N7" s="15">
        <v>2.1520000000000001</v>
      </c>
    </row>
    <row r="8" spans="2:14" x14ac:dyDescent="0.2">
      <c r="G8" s="1"/>
    </row>
    <row r="9" spans="2:14" x14ac:dyDescent="0.2">
      <c r="B9" s="4" t="s">
        <v>4</v>
      </c>
      <c r="C9" s="4"/>
      <c r="D9" s="4"/>
      <c r="E9" s="14"/>
      <c r="F9" s="14"/>
      <c r="G9" s="14"/>
      <c r="H9" s="5"/>
      <c r="I9" s="4"/>
      <c r="J9" s="4"/>
      <c r="K9" s="4"/>
      <c r="L9" s="4"/>
      <c r="M9" s="4"/>
      <c r="N9" s="4"/>
    </row>
    <row r="10" spans="2:14" x14ac:dyDescent="0.2">
      <c r="B10" s="71"/>
      <c r="C10" s="71"/>
    </row>
    <row r="11" spans="2:14" ht="14.25" x14ac:dyDescent="0.2">
      <c r="C11" s="108" t="s">
        <v>192</v>
      </c>
      <c r="E11" s="13" t="s">
        <v>4</v>
      </c>
      <c r="F11" s="13" t="s">
        <v>14</v>
      </c>
      <c r="G11" s="1"/>
      <c r="I11" s="17">
        <v>7326514</v>
      </c>
      <c r="J11" s="17">
        <v>7373911</v>
      </c>
      <c r="K11" s="17">
        <v>7464687.5</v>
      </c>
      <c r="L11" s="17">
        <v>7541971</v>
      </c>
      <c r="M11" s="17">
        <v>7775739.5</v>
      </c>
      <c r="N11" s="17">
        <v>7939221.5</v>
      </c>
    </row>
    <row r="12" spans="2:14" ht="14.25" x14ac:dyDescent="0.2">
      <c r="C12" s="108" t="s">
        <v>193</v>
      </c>
      <c r="D12" s="8"/>
      <c r="E12" s="13" t="s">
        <v>4</v>
      </c>
      <c r="F12" s="13" t="s">
        <v>14</v>
      </c>
      <c r="G12" s="1"/>
      <c r="I12" s="17">
        <v>7326514</v>
      </c>
      <c r="J12" s="17">
        <v>7373911</v>
      </c>
      <c r="K12" s="17">
        <v>7464687.5</v>
      </c>
      <c r="L12" s="17">
        <v>7541971</v>
      </c>
      <c r="M12" s="17">
        <v>7775739.5</v>
      </c>
      <c r="N12" s="17">
        <v>7939221.5</v>
      </c>
    </row>
    <row r="13" spans="2:14" ht="14.25" x14ac:dyDescent="0.2">
      <c r="C13" s="108" t="s">
        <v>194</v>
      </c>
      <c r="D13" s="8"/>
      <c r="E13" s="13" t="s">
        <v>4</v>
      </c>
      <c r="F13" s="13" t="s">
        <v>14</v>
      </c>
      <c r="G13" s="1"/>
      <c r="I13" s="17">
        <v>3297456.5</v>
      </c>
      <c r="J13" s="17">
        <v>3731793</v>
      </c>
      <c r="K13" s="17">
        <v>4019935.5</v>
      </c>
      <c r="L13" s="17">
        <v>4386963</v>
      </c>
      <c r="M13" s="17">
        <v>4717141.5</v>
      </c>
      <c r="N13" s="17">
        <v>5071014</v>
      </c>
    </row>
    <row r="14" spans="2:14" ht="14.25" x14ac:dyDescent="0.2">
      <c r="C14" s="108" t="s">
        <v>195</v>
      </c>
      <c r="E14" s="13" t="s">
        <v>4</v>
      </c>
      <c r="F14" s="13" t="s">
        <v>14</v>
      </c>
      <c r="G14" s="1"/>
      <c r="I14" s="17">
        <v>3297456.5</v>
      </c>
      <c r="J14" s="17">
        <v>3731793</v>
      </c>
      <c r="K14" s="17">
        <v>4019935.5</v>
      </c>
      <c r="L14" s="17">
        <v>4386963</v>
      </c>
      <c r="M14" s="17">
        <v>4717141.5</v>
      </c>
      <c r="N14" s="17">
        <v>5071014</v>
      </c>
    </row>
    <row r="15" spans="2:14" ht="14.25" x14ac:dyDescent="0.2">
      <c r="C15" s="108" t="s">
        <v>6</v>
      </c>
      <c r="D15" s="9"/>
      <c r="E15" s="13" t="s">
        <v>4</v>
      </c>
      <c r="F15" s="13" t="s">
        <v>14</v>
      </c>
      <c r="G15" s="1"/>
      <c r="I15" s="17">
        <v>816893</v>
      </c>
      <c r="J15" s="17">
        <v>838355</v>
      </c>
      <c r="K15" s="17">
        <v>859397</v>
      </c>
      <c r="L15" s="17">
        <v>880439</v>
      </c>
      <c r="M15" s="17">
        <v>915332</v>
      </c>
      <c r="N15" s="17">
        <v>944420</v>
      </c>
    </row>
    <row r="16" spans="2:14" ht="14.25" x14ac:dyDescent="0.2">
      <c r="C16" s="108" t="s">
        <v>5</v>
      </c>
      <c r="D16" s="8"/>
      <c r="E16" s="13" t="s">
        <v>4</v>
      </c>
      <c r="F16" s="13" t="s">
        <v>14</v>
      </c>
      <c r="G16" s="1"/>
      <c r="I16" s="17">
        <v>1656254</v>
      </c>
      <c r="J16" s="17">
        <v>2024214</v>
      </c>
      <c r="K16" s="17">
        <v>2347254</v>
      </c>
      <c r="L16" s="17">
        <v>2564553</v>
      </c>
      <c r="M16" s="17">
        <v>2760803</v>
      </c>
      <c r="N16" s="17">
        <v>2971410</v>
      </c>
    </row>
    <row r="17" spans="2:14" ht="14.25" x14ac:dyDescent="0.2">
      <c r="C17" s="108" t="s">
        <v>10</v>
      </c>
      <c r="D17" s="9"/>
      <c r="E17" s="13" t="s">
        <v>4</v>
      </c>
      <c r="F17" s="13" t="s">
        <v>14</v>
      </c>
      <c r="G17" s="1"/>
      <c r="I17" s="17">
        <v>2340130</v>
      </c>
      <c r="J17" s="17">
        <v>2691786</v>
      </c>
      <c r="K17" s="17">
        <v>2947952</v>
      </c>
      <c r="L17" s="17">
        <v>3231104</v>
      </c>
      <c r="M17" s="17">
        <v>3489424</v>
      </c>
      <c r="N17" s="17">
        <v>3767558</v>
      </c>
    </row>
    <row r="18" spans="2:14" ht="14.25" x14ac:dyDescent="0.2">
      <c r="C18" s="108" t="s">
        <v>67</v>
      </c>
      <c r="D18" s="8"/>
      <c r="E18" s="13" t="s">
        <v>4</v>
      </c>
      <c r="F18" s="13" t="s">
        <v>14</v>
      </c>
      <c r="G18" s="1"/>
      <c r="I18" s="17">
        <v>2340130</v>
      </c>
      <c r="J18" s="17">
        <v>2691786</v>
      </c>
      <c r="K18" s="17">
        <v>2947952</v>
      </c>
      <c r="L18" s="17">
        <v>3231104</v>
      </c>
      <c r="M18" s="17">
        <v>3489424</v>
      </c>
      <c r="N18" s="17">
        <v>3767558</v>
      </c>
    </row>
    <row r="19" spans="2:14" ht="14.25" x14ac:dyDescent="0.2">
      <c r="C19" s="108" t="s">
        <v>196</v>
      </c>
      <c r="E19" s="13" t="s">
        <v>4</v>
      </c>
      <c r="F19" s="13" t="s">
        <v>14</v>
      </c>
      <c r="G19" s="1"/>
      <c r="I19" s="17">
        <v>45658</v>
      </c>
      <c r="J19" s="17">
        <v>55802</v>
      </c>
      <c r="K19" s="17">
        <v>64708</v>
      </c>
      <c r="L19" s="17">
        <v>70698</v>
      </c>
      <c r="M19" s="17">
        <v>76108</v>
      </c>
      <c r="N19" s="17">
        <v>81914</v>
      </c>
    </row>
    <row r="20" spans="2:14" ht="14.25" x14ac:dyDescent="0.2">
      <c r="C20" s="108" t="s">
        <v>7</v>
      </c>
      <c r="D20" s="9"/>
      <c r="E20" s="13" t="s">
        <v>4</v>
      </c>
      <c r="F20" s="13" t="s">
        <v>14</v>
      </c>
      <c r="G20" s="1"/>
      <c r="I20" s="17">
        <v>28447006</v>
      </c>
      <c r="J20" s="17">
        <v>30513351</v>
      </c>
      <c r="K20" s="17">
        <v>32136509</v>
      </c>
      <c r="L20" s="17">
        <v>33835766</v>
      </c>
      <c r="M20" s="17">
        <v>35716853</v>
      </c>
      <c r="N20" s="17">
        <v>37553331</v>
      </c>
    </row>
    <row r="21" spans="2:14" x14ac:dyDescent="0.2">
      <c r="D21" s="9"/>
      <c r="E21" s="13" t="s">
        <v>4</v>
      </c>
      <c r="F21" s="13" t="s">
        <v>14</v>
      </c>
      <c r="G21" s="1"/>
      <c r="I21" s="31"/>
      <c r="J21" s="31"/>
      <c r="K21" s="31"/>
      <c r="L21" s="31"/>
      <c r="M21" s="31"/>
      <c r="N21" s="31"/>
    </row>
    <row r="22" spans="2:14" x14ac:dyDescent="0.2">
      <c r="G22" s="39"/>
    </row>
    <row r="23" spans="2:14" x14ac:dyDescent="0.2">
      <c r="B23" s="4" t="s">
        <v>459</v>
      </c>
      <c r="C23" s="4"/>
      <c r="D23" s="59"/>
      <c r="E23" s="60"/>
      <c r="F23" s="60"/>
      <c r="G23" s="60"/>
      <c r="I23" s="59"/>
      <c r="J23" s="59"/>
      <c r="K23" s="59"/>
      <c r="L23" s="59"/>
      <c r="M23" s="59"/>
      <c r="N23" s="59"/>
    </row>
    <row r="24" spans="2:14" x14ac:dyDescent="0.2">
      <c r="G24" s="39"/>
    </row>
    <row r="25" spans="2:14" x14ac:dyDescent="0.2">
      <c r="B25" s="6" t="s">
        <v>240</v>
      </c>
      <c r="C25" s="61"/>
      <c r="D25" s="62"/>
      <c r="E25" s="62"/>
      <c r="F25" s="61"/>
      <c r="G25" s="61"/>
      <c r="I25" s="61"/>
      <c r="J25" s="61"/>
      <c r="K25" s="61"/>
      <c r="L25" s="61"/>
      <c r="M25" s="61"/>
      <c r="N25" s="61"/>
    </row>
    <row r="26" spans="2:14" x14ac:dyDescent="0.2">
      <c r="G26" s="39"/>
    </row>
    <row r="27" spans="2:14" x14ac:dyDescent="0.2">
      <c r="C27" s="3" t="s">
        <v>243</v>
      </c>
      <c r="G27" s="39"/>
    </row>
    <row r="28" spans="2:14" x14ac:dyDescent="0.2">
      <c r="C28" s="224" t="s">
        <v>244</v>
      </c>
      <c r="D28" s="3"/>
      <c r="G28" s="39"/>
    </row>
    <row r="29" spans="2:14" x14ac:dyDescent="0.2">
      <c r="D29" s="8" t="s">
        <v>241</v>
      </c>
      <c r="E29" s="13" t="s">
        <v>13</v>
      </c>
      <c r="F29" s="13" t="s">
        <v>242</v>
      </c>
      <c r="G29" s="107">
        <v>0.49</v>
      </c>
      <c r="I29" s="97">
        <f t="shared" ref="I29:N29" si="0">$G$29</f>
        <v>0.49</v>
      </c>
      <c r="J29" s="97">
        <f t="shared" si="0"/>
        <v>0.49</v>
      </c>
      <c r="K29" s="97">
        <f t="shared" si="0"/>
        <v>0.49</v>
      </c>
      <c r="L29" s="97">
        <f t="shared" si="0"/>
        <v>0.49</v>
      </c>
      <c r="M29" s="97">
        <f t="shared" si="0"/>
        <v>0.49</v>
      </c>
      <c r="N29" s="97">
        <f t="shared" si="0"/>
        <v>0.49</v>
      </c>
    </row>
    <row r="30" spans="2:14" x14ac:dyDescent="0.2">
      <c r="G30" s="39"/>
    </row>
    <row r="31" spans="2:14" x14ac:dyDescent="0.2">
      <c r="C31" s="3" t="s">
        <v>250</v>
      </c>
      <c r="G31" s="39"/>
    </row>
    <row r="32" spans="2:14" x14ac:dyDescent="0.2">
      <c r="D32" s="8" t="s">
        <v>248</v>
      </c>
      <c r="E32" s="13" t="s">
        <v>246</v>
      </c>
      <c r="F32" s="13" t="s">
        <v>14</v>
      </c>
      <c r="G32" s="107"/>
      <c r="I32" s="92">
        <v>100</v>
      </c>
      <c r="J32" s="109">
        <f>I32*(1+J7/100)</f>
        <v>102.101</v>
      </c>
      <c r="K32" s="109">
        <f>J32*(1+K7/100)</f>
        <v>104.52181470999999</v>
      </c>
      <c r="L32" s="109">
        <f>K32*(1+L7/100)</f>
        <v>106.75335545405848</v>
      </c>
      <c r="M32" s="109">
        <f>L32*(1+M7/100)</f>
        <v>109.05068766342981</v>
      </c>
      <c r="N32" s="109">
        <f>M32*(1+N7/100)</f>
        <v>111.39745846194683</v>
      </c>
    </row>
    <row r="33" spans="2:14" x14ac:dyDescent="0.2">
      <c r="D33" s="8" t="s">
        <v>249</v>
      </c>
      <c r="E33" s="13" t="s">
        <v>247</v>
      </c>
      <c r="F33" s="13" t="s">
        <v>14</v>
      </c>
      <c r="G33" s="39"/>
      <c r="I33" s="92">
        <v>100</v>
      </c>
      <c r="J33" s="109">
        <f>(J20/I20)*I33</f>
        <v>107.26383999778395</v>
      </c>
      <c r="K33" s="109">
        <f>(K20/J20)*J33</f>
        <v>112.96974099840244</v>
      </c>
      <c r="L33" s="109">
        <f>(L20/K20)*K33</f>
        <v>118.94315345523533</v>
      </c>
      <c r="M33" s="109">
        <f>(M20/L20)*L33</f>
        <v>125.55575444389473</v>
      </c>
      <c r="N33" s="109">
        <f>(N20/M20)*M33</f>
        <v>132.01154103880035</v>
      </c>
    </row>
    <row r="34" spans="2:14" x14ac:dyDescent="0.2">
      <c r="D34" s="8" t="s">
        <v>477</v>
      </c>
      <c r="E34" s="13" t="s">
        <v>473</v>
      </c>
      <c r="F34" s="13" t="s">
        <v>14</v>
      </c>
      <c r="G34" s="39"/>
      <c r="I34" s="92">
        <v>100</v>
      </c>
      <c r="J34" s="109">
        <f>(J16/I16)*I34</f>
        <v>122.21639917548879</v>
      </c>
      <c r="K34" s="109">
        <f>(K16/J16)*J34</f>
        <v>141.72065395766592</v>
      </c>
      <c r="L34" s="109">
        <f>(L16/K16)*K34</f>
        <v>154.84056189449205</v>
      </c>
      <c r="M34" s="109">
        <f>(M16/L16)*L34</f>
        <v>166.68958988174521</v>
      </c>
      <c r="N34" s="109">
        <f>(N16/M16)*M34</f>
        <v>179.40545351135759</v>
      </c>
    </row>
    <row r="35" spans="2:14" x14ac:dyDescent="0.2">
      <c r="D35" s="8" t="s">
        <v>476</v>
      </c>
      <c r="E35" s="13" t="s">
        <v>472</v>
      </c>
      <c r="F35" s="13" t="s">
        <v>14</v>
      </c>
      <c r="G35" s="39"/>
      <c r="I35" s="92">
        <v>100</v>
      </c>
      <c r="J35" s="109">
        <f>(J15/I15)*I35</f>
        <v>102.62727187036735</v>
      </c>
      <c r="K35" s="109">
        <f>(K15/J15)*J35</f>
        <v>105.20312941841831</v>
      </c>
      <c r="L35" s="109">
        <f>(L15/K15)*K35</f>
        <v>107.77898696646928</v>
      </c>
      <c r="M35" s="109">
        <f>(M15/L15)*L35</f>
        <v>112.0504154154828</v>
      </c>
      <c r="N35" s="109">
        <f>(N15/M15)*M35</f>
        <v>115.61122448105196</v>
      </c>
    </row>
    <row r="37" spans="2:14" x14ac:dyDescent="0.2">
      <c r="C37" s="3" t="s">
        <v>245</v>
      </c>
      <c r="G37" s="39"/>
    </row>
    <row r="38" spans="2:14" x14ac:dyDescent="0.2">
      <c r="D38" s="8" t="s">
        <v>251</v>
      </c>
      <c r="E38" s="13" t="s">
        <v>13</v>
      </c>
      <c r="F38" s="13" t="s">
        <v>242</v>
      </c>
      <c r="G38" s="39"/>
      <c r="I38" s="231">
        <f t="shared" ref="I38:N41" si="1">(I32-100)/100</f>
        <v>0</v>
      </c>
      <c r="J38" s="231">
        <f t="shared" si="1"/>
        <v>2.100999999999999E-2</v>
      </c>
      <c r="K38" s="231">
        <f t="shared" si="1"/>
        <v>4.521814709999987E-2</v>
      </c>
      <c r="L38" s="231">
        <f t="shared" si="1"/>
        <v>6.7533554540584795E-2</v>
      </c>
      <c r="M38" s="231">
        <f t="shared" si="1"/>
        <v>9.0506876634298128E-2</v>
      </c>
      <c r="N38" s="231">
        <f t="shared" si="1"/>
        <v>0.11397458461946826</v>
      </c>
    </row>
    <row r="39" spans="2:14" x14ac:dyDescent="0.2">
      <c r="D39" s="8" t="s">
        <v>252</v>
      </c>
      <c r="E39" s="13" t="s">
        <v>13</v>
      </c>
      <c r="F39" s="13" t="s">
        <v>242</v>
      </c>
      <c r="G39" s="39"/>
      <c r="I39" s="231">
        <f t="shared" si="1"/>
        <v>0</v>
      </c>
      <c r="J39" s="231">
        <f t="shared" si="1"/>
        <v>7.2638399977839468E-2</v>
      </c>
      <c r="K39" s="231">
        <f t="shared" si="1"/>
        <v>0.12969740998402443</v>
      </c>
      <c r="L39" s="231">
        <f t="shared" si="1"/>
        <v>0.18943153455235331</v>
      </c>
      <c r="M39" s="231">
        <f t="shared" si="1"/>
        <v>0.25555754443894729</v>
      </c>
      <c r="N39" s="231">
        <f t="shared" si="1"/>
        <v>0.32011541038800345</v>
      </c>
    </row>
    <row r="40" spans="2:14" x14ac:dyDescent="0.2">
      <c r="D40" s="8" t="s">
        <v>475</v>
      </c>
      <c r="E40" s="13" t="s">
        <v>13</v>
      </c>
      <c r="F40" s="13" t="s">
        <v>242</v>
      </c>
      <c r="G40" s="39"/>
      <c r="I40" s="231">
        <f t="shared" si="1"/>
        <v>0</v>
      </c>
      <c r="J40" s="231">
        <f t="shared" si="1"/>
        <v>0.22216399175488788</v>
      </c>
      <c r="K40" s="231">
        <f t="shared" si="1"/>
        <v>0.41720653957665915</v>
      </c>
      <c r="L40" s="231">
        <f t="shared" si="1"/>
        <v>0.54840561894492057</v>
      </c>
      <c r="M40" s="231">
        <f t="shared" si="1"/>
        <v>0.66689589881745204</v>
      </c>
      <c r="N40" s="231">
        <f t="shared" si="1"/>
        <v>0.79405453511357593</v>
      </c>
    </row>
    <row r="41" spans="2:14" x14ac:dyDescent="0.2">
      <c r="D41" s="8" t="s">
        <v>474</v>
      </c>
      <c r="E41" s="13" t="s">
        <v>13</v>
      </c>
      <c r="F41" s="13" t="s">
        <v>242</v>
      </c>
      <c r="G41" s="39"/>
      <c r="I41" s="231">
        <f t="shared" si="1"/>
        <v>0</v>
      </c>
      <c r="J41" s="231">
        <f t="shared" si="1"/>
        <v>2.6272718703673519E-2</v>
      </c>
      <c r="K41" s="231">
        <f t="shared" si="1"/>
        <v>5.203129418418314E-2</v>
      </c>
      <c r="L41" s="231">
        <f t="shared" si="1"/>
        <v>7.7789869664692757E-2</v>
      </c>
      <c r="M41" s="231">
        <f t="shared" si="1"/>
        <v>0.12050415415482803</v>
      </c>
      <c r="N41" s="231">
        <f t="shared" si="1"/>
        <v>0.15611224481051963</v>
      </c>
    </row>
    <row r="42" spans="2:14" x14ac:dyDescent="0.2">
      <c r="G42" s="39"/>
      <c r="I42" s="110"/>
      <c r="J42" s="110"/>
      <c r="K42" s="110"/>
      <c r="L42" s="110"/>
      <c r="M42" s="110"/>
      <c r="N42" s="110"/>
    </row>
    <row r="43" spans="2:14" x14ac:dyDescent="0.2">
      <c r="B43" s="4" t="s">
        <v>460</v>
      </c>
      <c r="C43" s="4"/>
      <c r="D43" s="59"/>
      <c r="E43" s="60"/>
      <c r="F43" s="60"/>
      <c r="G43" s="60"/>
      <c r="I43" s="59"/>
      <c r="J43" s="59"/>
      <c r="K43" s="59"/>
      <c r="L43" s="59"/>
      <c r="M43" s="59"/>
      <c r="N43" s="59"/>
    </row>
    <row r="44" spans="2:14" x14ac:dyDescent="0.2">
      <c r="G44" s="39"/>
    </row>
    <row r="45" spans="2:14" x14ac:dyDescent="0.2">
      <c r="B45" s="6" t="s">
        <v>462</v>
      </c>
      <c r="C45" s="61"/>
      <c r="D45" s="62"/>
      <c r="E45" s="62"/>
      <c r="F45" s="61"/>
      <c r="G45" s="61"/>
      <c r="I45" s="61"/>
      <c r="J45" s="61"/>
      <c r="K45" s="61"/>
      <c r="L45" s="61"/>
      <c r="M45" s="61"/>
      <c r="N45" s="61"/>
    </row>
    <row r="46" spans="2:14" x14ac:dyDescent="0.2">
      <c r="B46" s="3"/>
      <c r="D46" s="13"/>
      <c r="F46" s="1"/>
      <c r="G46" s="1"/>
    </row>
    <row r="47" spans="2:14" x14ac:dyDescent="0.2">
      <c r="C47" s="3" t="s">
        <v>58</v>
      </c>
      <c r="G47" s="3"/>
      <c r="I47" s="110"/>
      <c r="J47" s="110"/>
      <c r="K47" s="110"/>
      <c r="L47" s="110"/>
      <c r="M47" s="110"/>
      <c r="N47" s="110"/>
    </row>
    <row r="48" spans="2:14" x14ac:dyDescent="0.2">
      <c r="D48" s="8" t="s">
        <v>238</v>
      </c>
      <c r="E48" s="13" t="s">
        <v>4</v>
      </c>
      <c r="F48" s="13" t="s">
        <v>24</v>
      </c>
      <c r="G48" s="3"/>
      <c r="I48" s="110">
        <f t="shared" ref="I48:N48" si="2">I16/I20</f>
        <v>5.822243648417693E-2</v>
      </c>
      <c r="J48" s="110">
        <f t="shared" si="2"/>
        <v>6.6338633210098752E-2</v>
      </c>
      <c r="K48" s="110">
        <f t="shared" si="2"/>
        <v>7.3040105258477206E-2</v>
      </c>
      <c r="L48" s="110">
        <f t="shared" si="2"/>
        <v>7.5794146347979832E-2</v>
      </c>
      <c r="M48" s="110">
        <f t="shared" si="2"/>
        <v>7.7296927587657285E-2</v>
      </c>
      <c r="N48" s="110">
        <f t="shared" si="2"/>
        <v>7.9125071488332158E-2</v>
      </c>
    </row>
    <row r="49" spans="2:14" x14ac:dyDescent="0.2">
      <c r="G49" s="3"/>
    </row>
    <row r="50" spans="2:14" x14ac:dyDescent="0.2">
      <c r="C50" s="3" t="s">
        <v>74</v>
      </c>
      <c r="G50" s="3"/>
      <c r="I50" s="110"/>
    </row>
    <row r="51" spans="2:14" x14ac:dyDescent="0.2">
      <c r="D51" s="8" t="s">
        <v>239</v>
      </c>
      <c r="E51" s="13" t="s">
        <v>4</v>
      </c>
      <c r="F51" s="13" t="s">
        <v>24</v>
      </c>
      <c r="G51" s="3"/>
      <c r="I51" s="110">
        <f t="shared" ref="I51:N51" si="3">I15/I20</f>
        <v>2.8716308493062503E-2</v>
      </c>
      <c r="J51" s="110">
        <f t="shared" si="3"/>
        <v>2.7475022327111829E-2</v>
      </c>
      <c r="K51" s="110">
        <f t="shared" si="3"/>
        <v>2.6742077056347346E-2</v>
      </c>
      <c r="L51" s="110">
        <f t="shared" si="3"/>
        <v>2.6020956640969796E-2</v>
      </c>
      <c r="M51" s="110">
        <f t="shared" si="3"/>
        <v>2.5627453796111321E-2</v>
      </c>
      <c r="N51" s="110">
        <f t="shared" si="3"/>
        <v>2.5148767761773251E-2</v>
      </c>
    </row>
    <row r="53" spans="2:14" x14ac:dyDescent="0.2">
      <c r="B53" s="6" t="s">
        <v>461</v>
      </c>
      <c r="C53" s="61"/>
      <c r="D53" s="62"/>
      <c r="E53" s="62"/>
      <c r="F53" s="61"/>
      <c r="G53" s="61"/>
      <c r="I53" s="61"/>
      <c r="J53" s="61"/>
      <c r="K53" s="61"/>
      <c r="L53" s="61"/>
      <c r="M53" s="61"/>
      <c r="N53" s="61"/>
    </row>
    <row r="54" spans="2:14" x14ac:dyDescent="0.2">
      <c r="B54" s="3"/>
      <c r="D54" s="13"/>
      <c r="F54" s="1"/>
      <c r="G54" s="1"/>
    </row>
    <row r="55" spans="2:14" x14ac:dyDescent="0.2">
      <c r="C55" s="3" t="s">
        <v>463</v>
      </c>
      <c r="D55" s="13"/>
      <c r="F55" s="16"/>
      <c r="G55" s="1"/>
    </row>
    <row r="56" spans="2:14" x14ac:dyDescent="0.2">
      <c r="C56" s="224" t="s">
        <v>467</v>
      </c>
      <c r="D56" s="13"/>
      <c r="F56" s="16"/>
      <c r="G56" s="1"/>
    </row>
    <row r="57" spans="2:14" x14ac:dyDescent="0.2">
      <c r="B57" s="3"/>
      <c r="C57" s="3"/>
      <c r="D57" s="58"/>
      <c r="G57" s="19"/>
      <c r="I57" s="16"/>
      <c r="J57" s="16"/>
      <c r="K57" s="16"/>
      <c r="L57" s="16"/>
      <c r="M57" s="16"/>
      <c r="N57" s="16"/>
    </row>
    <row r="58" spans="2:14" x14ac:dyDescent="0.2">
      <c r="B58" s="3"/>
      <c r="C58" s="3"/>
      <c r="D58" s="58"/>
      <c r="G58" s="19"/>
      <c r="I58" s="16"/>
      <c r="J58" s="16"/>
      <c r="K58" s="16"/>
      <c r="L58" s="16"/>
      <c r="M58" s="16"/>
      <c r="N58" s="16"/>
    </row>
    <row r="59" spans="2:14" x14ac:dyDescent="0.2">
      <c r="B59" s="3"/>
      <c r="C59" s="3"/>
      <c r="D59" s="58"/>
      <c r="G59" s="19"/>
      <c r="I59" s="16"/>
      <c r="J59" s="16"/>
      <c r="K59" s="16"/>
      <c r="L59" s="16"/>
      <c r="M59" s="16"/>
      <c r="N59" s="16"/>
    </row>
    <row r="60" spans="2:14" x14ac:dyDescent="0.2">
      <c r="B60" s="3"/>
      <c r="C60" s="3"/>
      <c r="D60" s="58"/>
      <c r="G60" s="19"/>
      <c r="I60" s="16"/>
      <c r="J60" s="16"/>
      <c r="K60" s="16"/>
      <c r="L60" s="16"/>
      <c r="M60" s="16"/>
      <c r="N60" s="16"/>
    </row>
    <row r="61" spans="2:14" x14ac:dyDescent="0.2">
      <c r="B61" s="3"/>
      <c r="C61" s="3"/>
      <c r="D61" s="58"/>
      <c r="G61" s="17"/>
      <c r="I61" s="19"/>
      <c r="J61" s="19"/>
      <c r="K61" s="19"/>
      <c r="L61" s="19"/>
      <c r="M61" s="19"/>
      <c r="N61" s="19"/>
    </row>
    <row r="62" spans="2:14" x14ac:dyDescent="0.2">
      <c r="B62" s="3"/>
      <c r="C62" s="3"/>
      <c r="D62" s="56" t="s">
        <v>463</v>
      </c>
      <c r="E62" s="57" t="s">
        <v>16</v>
      </c>
      <c r="F62" s="57" t="s">
        <v>14</v>
      </c>
      <c r="G62" s="34">
        <f>+'Insumos - CAPEX'!F62</f>
        <v>265000</v>
      </c>
      <c r="I62" s="34">
        <f>+$G$62</f>
        <v>265000</v>
      </c>
      <c r="J62" s="34">
        <f t="shared" ref="J62:N62" si="4">+$G$62</f>
        <v>265000</v>
      </c>
      <c r="K62" s="34">
        <f t="shared" si="4"/>
        <v>265000</v>
      </c>
      <c r="L62" s="34">
        <f t="shared" si="4"/>
        <v>265000</v>
      </c>
      <c r="M62" s="34">
        <f t="shared" si="4"/>
        <v>265000</v>
      </c>
      <c r="N62" s="34">
        <f t="shared" si="4"/>
        <v>265000</v>
      </c>
    </row>
    <row r="64" spans="2:14" x14ac:dyDescent="0.2">
      <c r="C64" s="3" t="s">
        <v>5</v>
      </c>
      <c r="D64" s="13"/>
      <c r="E64" s="1"/>
      <c r="F64" s="1"/>
      <c r="G64" s="1"/>
    </row>
    <row r="65" spans="2:14" x14ac:dyDescent="0.2">
      <c r="C65" s="3"/>
      <c r="D65" s="1" t="s">
        <v>205</v>
      </c>
      <c r="E65" s="13" t="s">
        <v>16</v>
      </c>
      <c r="F65" s="13" t="s">
        <v>14</v>
      </c>
      <c r="G65" s="16">
        <f>'Insumos - CAPEX'!F674</f>
        <v>9949.6407020819588</v>
      </c>
      <c r="I65" s="16">
        <f>SUMPRODUCT('Insumos - CAPEX'!I347:I377,'Insumos - CAPEX'!I383:I413)</f>
        <v>9035.0472052196819</v>
      </c>
      <c r="J65" s="16">
        <f>SUMPRODUCT('Insumos - CAPEX'!J347:J377,'Insumos - CAPEX'!J383:J413)</f>
        <v>9597.937148018591</v>
      </c>
      <c r="K65" s="16">
        <f>SUMPRODUCT('Insumos - CAPEX'!K347:K377,'Insumos - CAPEX'!K383:K413)</f>
        <v>10130.762876234869</v>
      </c>
      <c r="L65" s="16">
        <f>SUMPRODUCT('Insumos - CAPEX'!L347:L377,'Insumos - CAPEX'!L383:L413)</f>
        <v>10176.060066164282</v>
      </c>
      <c r="M65" s="16">
        <f>SUMPRODUCT('Insumos - CAPEX'!M347:M377,'Insumos - CAPEX'!M383:M413)</f>
        <v>10201.096150731089</v>
      </c>
      <c r="N65" s="16">
        <f>SUMPRODUCT('Insumos - CAPEX'!N347:N377,'Insumos - CAPEX'!N383:N413)</f>
        <v>10231.753945715351</v>
      </c>
    </row>
    <row r="66" spans="2:14" x14ac:dyDescent="0.2">
      <c r="C66" s="3"/>
      <c r="D66" s="1" t="s">
        <v>206</v>
      </c>
      <c r="E66" s="13" t="s">
        <v>16</v>
      </c>
      <c r="F66" s="13" t="s">
        <v>24</v>
      </c>
      <c r="G66" s="16">
        <f>'Insumos - CAPEX'!F675</f>
        <v>2017</v>
      </c>
      <c r="I66" s="16">
        <f t="shared" ref="I66:N66" si="5">$G66</f>
        <v>2017</v>
      </c>
      <c r="J66" s="16">
        <f t="shared" si="5"/>
        <v>2017</v>
      </c>
      <c r="K66" s="16">
        <f t="shared" si="5"/>
        <v>2017</v>
      </c>
      <c r="L66" s="16">
        <f t="shared" si="5"/>
        <v>2017</v>
      </c>
      <c r="M66" s="16">
        <f t="shared" si="5"/>
        <v>2017</v>
      </c>
      <c r="N66" s="16">
        <f t="shared" si="5"/>
        <v>2017</v>
      </c>
    </row>
    <row r="67" spans="2:14" s="3" customFormat="1" x14ac:dyDescent="0.2">
      <c r="D67" s="23" t="s">
        <v>7</v>
      </c>
      <c r="E67" s="25" t="s">
        <v>16</v>
      </c>
      <c r="F67" s="25" t="s">
        <v>24</v>
      </c>
      <c r="G67" s="36">
        <f>+SUM(G65:G66)</f>
        <v>11966.640702081959</v>
      </c>
      <c r="I67" s="36">
        <f t="shared" ref="I67:N67" si="6">+SUM(I65:I66)</f>
        <v>11052.047205219682</v>
      </c>
      <c r="J67" s="36">
        <f t="shared" si="6"/>
        <v>11614.937148018591</v>
      </c>
      <c r="K67" s="36">
        <f t="shared" si="6"/>
        <v>12147.762876234869</v>
      </c>
      <c r="L67" s="36">
        <f t="shared" si="6"/>
        <v>12193.060066164282</v>
      </c>
      <c r="M67" s="36">
        <f t="shared" si="6"/>
        <v>12218.096150731089</v>
      </c>
      <c r="N67" s="36">
        <f t="shared" si="6"/>
        <v>12248.753945715351</v>
      </c>
    </row>
    <row r="68" spans="2:14" x14ac:dyDescent="0.2">
      <c r="C68" s="3"/>
      <c r="D68" s="13"/>
      <c r="F68" s="1"/>
      <c r="G68" s="1"/>
    </row>
    <row r="69" spans="2:14" x14ac:dyDescent="0.2">
      <c r="C69" s="3" t="s">
        <v>6</v>
      </c>
      <c r="D69" s="13"/>
      <c r="F69" s="1"/>
      <c r="G69" s="1"/>
    </row>
    <row r="70" spans="2:14" x14ac:dyDescent="0.2">
      <c r="C70" s="3"/>
      <c r="D70" s="1" t="s">
        <v>205</v>
      </c>
      <c r="E70" s="13" t="s">
        <v>16</v>
      </c>
      <c r="F70" s="13" t="s">
        <v>14</v>
      </c>
      <c r="G70" s="16">
        <f>'Insumos - CAPEX'!F680</f>
        <v>1653.9987665279998</v>
      </c>
      <c r="I70" s="16">
        <f>SUMPRODUCT('Insumos - CAPEX'!I347:I377,'Insumos - CAPEX'!I490:I520)</f>
        <v>1699.3254571108096</v>
      </c>
      <c r="J70" s="16">
        <f>SUMPRODUCT('Insumos - CAPEX'!J347:J377,'Insumos - CAPEX'!J490:J520)</f>
        <v>1673.6837872366395</v>
      </c>
      <c r="K70" s="16">
        <f>SUMPRODUCT('Insumos - CAPEX'!K347:K377,'Insumos - CAPEX'!K490:K520)</f>
        <v>1658.2440124998002</v>
      </c>
      <c r="L70" s="16">
        <f>SUMPRODUCT('Insumos - CAPEX'!L347:L377,'Insumos - CAPEX'!L490:L520)</f>
        <v>1644.1034898524629</v>
      </c>
      <c r="M70" s="16">
        <f>SUMPRODUCT('Insumos - CAPEX'!M347:M377,'Insumos - CAPEX'!M490:M520)</f>
        <v>1636.3570690484835</v>
      </c>
      <c r="N70" s="16">
        <f>SUMPRODUCT('Insumos - CAPEX'!N347:N377,'Insumos - CAPEX'!N490:N520)</f>
        <v>1627.0506896940037</v>
      </c>
    </row>
    <row r="71" spans="2:14" x14ac:dyDescent="0.2">
      <c r="D71" s="1" t="s">
        <v>206</v>
      </c>
      <c r="E71" s="13" t="s">
        <v>16</v>
      </c>
      <c r="F71" s="13" t="s">
        <v>24</v>
      </c>
      <c r="G71" s="16">
        <f>'Insumos - CAPEX'!F681</f>
        <v>515</v>
      </c>
      <c r="I71" s="16">
        <f t="shared" ref="I71:N71" si="7">$G71</f>
        <v>515</v>
      </c>
      <c r="J71" s="16">
        <f t="shared" si="7"/>
        <v>515</v>
      </c>
      <c r="K71" s="16">
        <f t="shared" si="7"/>
        <v>515</v>
      </c>
      <c r="L71" s="16">
        <f t="shared" si="7"/>
        <v>515</v>
      </c>
      <c r="M71" s="16">
        <f t="shared" si="7"/>
        <v>515</v>
      </c>
      <c r="N71" s="16">
        <f t="shared" si="7"/>
        <v>515</v>
      </c>
    </row>
    <row r="72" spans="2:14" x14ac:dyDescent="0.2">
      <c r="D72" s="23" t="s">
        <v>7</v>
      </c>
      <c r="E72" s="25" t="s">
        <v>16</v>
      </c>
      <c r="F72" s="25" t="s">
        <v>24</v>
      </c>
      <c r="G72" s="36">
        <f>+SUM(G70:G71)</f>
        <v>2168.9987665279996</v>
      </c>
      <c r="I72" s="36">
        <f t="shared" ref="I72:N72" si="8">+SUM(I70:I71)</f>
        <v>2214.3254571108096</v>
      </c>
      <c r="J72" s="36">
        <f t="shared" si="8"/>
        <v>2188.6837872366395</v>
      </c>
      <c r="K72" s="36">
        <f t="shared" si="8"/>
        <v>2173.2440124998002</v>
      </c>
      <c r="L72" s="36">
        <f t="shared" si="8"/>
        <v>2159.1034898524631</v>
      </c>
      <c r="M72" s="36">
        <f t="shared" si="8"/>
        <v>2151.3570690484835</v>
      </c>
      <c r="N72" s="36">
        <f t="shared" si="8"/>
        <v>2142.0506896940037</v>
      </c>
    </row>
    <row r="74" spans="2:14" x14ac:dyDescent="0.2">
      <c r="C74" s="3" t="s">
        <v>466</v>
      </c>
    </row>
    <row r="75" spans="2:14" x14ac:dyDescent="0.2">
      <c r="D75" s="1" t="s">
        <v>464</v>
      </c>
      <c r="E75" s="13" t="s">
        <v>13</v>
      </c>
      <c r="F75" s="13" t="s">
        <v>14</v>
      </c>
      <c r="G75" s="232">
        <f>G67/G62</f>
        <v>4.515713472483758E-2</v>
      </c>
      <c r="H75" s="42"/>
      <c r="I75" s="102">
        <f t="shared" ref="I75:N75" si="9">I67/I62</f>
        <v>4.1705838510262952E-2</v>
      </c>
      <c r="J75" s="102">
        <f t="shared" si="9"/>
        <v>4.3829951501956947E-2</v>
      </c>
      <c r="K75" s="102">
        <f t="shared" si="9"/>
        <v>4.5840614627301393E-2</v>
      </c>
      <c r="L75" s="102">
        <f t="shared" si="9"/>
        <v>4.6011547419487854E-2</v>
      </c>
      <c r="M75" s="102">
        <f t="shared" si="9"/>
        <v>4.6106023210305998E-2</v>
      </c>
      <c r="N75" s="102">
        <f t="shared" si="9"/>
        <v>4.6221713002699436E-2</v>
      </c>
    </row>
    <row r="76" spans="2:14" x14ac:dyDescent="0.2">
      <c r="D76" s="1" t="s">
        <v>465</v>
      </c>
      <c r="E76" s="13" t="s">
        <v>13</v>
      </c>
      <c r="F76" s="13" t="s">
        <v>14</v>
      </c>
      <c r="G76" s="232">
        <f>G72/G62</f>
        <v>8.1849010057660366E-3</v>
      </c>
      <c r="H76" s="42"/>
      <c r="I76" s="102">
        <f t="shared" ref="I76:N76" si="10">I72/I62</f>
        <v>8.3559451211728669E-3</v>
      </c>
      <c r="J76" s="102">
        <f t="shared" si="10"/>
        <v>8.2591841027797718E-3</v>
      </c>
      <c r="K76" s="102">
        <f t="shared" si="10"/>
        <v>8.2009208018860389E-3</v>
      </c>
      <c r="L76" s="102">
        <f t="shared" si="10"/>
        <v>8.1475603390658985E-3</v>
      </c>
      <c r="M76" s="102">
        <f t="shared" si="10"/>
        <v>8.1183285624471073E-3</v>
      </c>
      <c r="N76" s="102">
        <f t="shared" si="10"/>
        <v>8.083210149788694E-3</v>
      </c>
    </row>
    <row r="78" spans="2:14" x14ac:dyDescent="0.2">
      <c r="B78" s="4" t="s">
        <v>458</v>
      </c>
      <c r="C78" s="4"/>
      <c r="D78" s="59"/>
      <c r="E78" s="60"/>
      <c r="F78" s="60"/>
      <c r="G78" s="60"/>
      <c r="I78" s="59"/>
      <c r="J78" s="59"/>
      <c r="K78" s="59"/>
      <c r="L78" s="59"/>
      <c r="M78" s="59"/>
      <c r="N78" s="59"/>
    </row>
    <row r="79" spans="2:14" x14ac:dyDescent="0.2">
      <c r="G79" s="39"/>
    </row>
    <row r="80" spans="2:14" x14ac:dyDescent="0.2">
      <c r="C80" s="3" t="s">
        <v>457</v>
      </c>
      <c r="D80" s="3"/>
    </row>
    <row r="81" spans="2:10" x14ac:dyDescent="0.2">
      <c r="C81" s="224"/>
      <c r="D81" s="224"/>
    </row>
    <row r="82" spans="2:10" x14ac:dyDescent="0.2">
      <c r="B82" s="96">
        <v>6211000001</v>
      </c>
      <c r="C82" s="96"/>
      <c r="D82" s="8" t="s">
        <v>253</v>
      </c>
      <c r="E82" s="13" t="s">
        <v>13</v>
      </c>
      <c r="F82" s="13" t="s">
        <v>14</v>
      </c>
      <c r="G82" s="233">
        <v>0.43616913080391062</v>
      </c>
    </row>
    <row r="83" spans="2:10" x14ac:dyDescent="0.2">
      <c r="B83" s="96">
        <v>6212000001</v>
      </c>
      <c r="C83" s="96"/>
      <c r="D83" s="8" t="s">
        <v>254</v>
      </c>
      <c r="E83" s="13" t="s">
        <v>13</v>
      </c>
      <c r="F83" s="13" t="s">
        <v>14</v>
      </c>
      <c r="G83" s="233">
        <v>0.43616913080391062</v>
      </c>
    </row>
    <row r="84" spans="2:10" x14ac:dyDescent="0.2">
      <c r="B84" s="96">
        <v>6213000001</v>
      </c>
      <c r="C84" s="96"/>
      <c r="D84" s="8" t="s">
        <v>255</v>
      </c>
      <c r="E84" s="13" t="s">
        <v>13</v>
      </c>
      <c r="F84" s="13" t="s">
        <v>14</v>
      </c>
      <c r="G84" s="233">
        <v>0.43616913080391062</v>
      </c>
    </row>
    <row r="85" spans="2:10" x14ac:dyDescent="0.2">
      <c r="B85" s="96">
        <v>6214000001</v>
      </c>
      <c r="C85" s="96"/>
      <c r="D85" s="8" t="s">
        <v>256</v>
      </c>
      <c r="E85" s="13" t="s">
        <v>13</v>
      </c>
      <c r="F85" s="13" t="s">
        <v>14</v>
      </c>
      <c r="G85" s="233">
        <v>0.43616913080391062</v>
      </c>
    </row>
    <row r="86" spans="2:10" x14ac:dyDescent="0.2">
      <c r="B86" s="96">
        <v>6221000001</v>
      </c>
      <c r="C86" s="96"/>
      <c r="D86" s="8" t="s">
        <v>257</v>
      </c>
      <c r="E86" s="13" t="s">
        <v>13</v>
      </c>
      <c r="F86" s="13" t="s">
        <v>14</v>
      </c>
      <c r="G86" s="233">
        <v>0.43616913080391062</v>
      </c>
    </row>
    <row r="87" spans="2:10" x14ac:dyDescent="0.2">
      <c r="B87" s="96">
        <v>6231000001</v>
      </c>
      <c r="C87" s="96"/>
      <c r="D87" s="8" t="s">
        <v>258</v>
      </c>
      <c r="E87" s="13" t="s">
        <v>13</v>
      </c>
      <c r="F87" s="13" t="s">
        <v>14</v>
      </c>
      <c r="G87" s="233">
        <v>0.43616913080391062</v>
      </c>
    </row>
    <row r="88" spans="2:10" x14ac:dyDescent="0.2">
      <c r="B88" s="96">
        <v>6240000001</v>
      </c>
      <c r="C88" s="96"/>
      <c r="D88" s="8" t="s">
        <v>265</v>
      </c>
      <c r="E88" s="13" t="s">
        <v>13</v>
      </c>
      <c r="F88" s="13" t="s">
        <v>14</v>
      </c>
      <c r="G88" s="233">
        <v>0.43616913080391062</v>
      </c>
    </row>
    <row r="89" spans="2:10" x14ac:dyDescent="0.2">
      <c r="B89" s="96">
        <v>6250000001</v>
      </c>
      <c r="C89" s="96"/>
      <c r="D89" s="8" t="s">
        <v>262</v>
      </c>
      <c r="E89" s="13" t="s">
        <v>13</v>
      </c>
      <c r="F89" s="13" t="s">
        <v>14</v>
      </c>
      <c r="G89" s="233">
        <v>0.43616913080391062</v>
      </c>
    </row>
    <row r="90" spans="2:10" x14ac:dyDescent="0.2">
      <c r="B90" s="96">
        <v>6250000003</v>
      </c>
      <c r="C90" s="96"/>
      <c r="D90" s="8" t="s">
        <v>428</v>
      </c>
      <c r="E90" s="13" t="s">
        <v>13</v>
      </c>
      <c r="F90" s="13" t="s">
        <v>14</v>
      </c>
      <c r="G90" s="233">
        <v>0.43616913080391062</v>
      </c>
    </row>
    <row r="91" spans="2:10" x14ac:dyDescent="0.2">
      <c r="B91" s="96">
        <v>6250000004</v>
      </c>
      <c r="C91" s="96"/>
      <c r="D91" s="8" t="s">
        <v>264</v>
      </c>
      <c r="E91" s="13" t="s">
        <v>13</v>
      </c>
      <c r="F91" s="13" t="s">
        <v>14</v>
      </c>
      <c r="G91" s="233">
        <v>0.43616913080391062</v>
      </c>
    </row>
    <row r="92" spans="2:10" x14ac:dyDescent="0.2">
      <c r="B92" s="96">
        <v>6250000005</v>
      </c>
      <c r="C92" s="96"/>
      <c r="D92" s="8" t="s">
        <v>266</v>
      </c>
      <c r="E92" s="13" t="s">
        <v>13</v>
      </c>
      <c r="F92" s="13" t="s">
        <v>14</v>
      </c>
      <c r="G92" s="233">
        <v>0.43616913080391062</v>
      </c>
    </row>
    <row r="93" spans="2:10" ht="14.25" x14ac:dyDescent="0.2">
      <c r="B93" s="96">
        <v>6250000006</v>
      </c>
      <c r="C93" s="96"/>
      <c r="D93" s="8" t="s">
        <v>429</v>
      </c>
      <c r="E93" s="13" t="s">
        <v>13</v>
      </c>
      <c r="F93" s="13" t="s">
        <v>14</v>
      </c>
      <c r="G93" s="233">
        <v>0.43616913080391062</v>
      </c>
      <c r="I93" s="237"/>
      <c r="J93"/>
    </row>
    <row r="94" spans="2:10" ht="14.25" x14ac:dyDescent="0.2">
      <c r="B94" s="96">
        <v>6250000007</v>
      </c>
      <c r="C94" s="96"/>
      <c r="D94" s="8" t="s">
        <v>260</v>
      </c>
      <c r="E94" s="13" t="s">
        <v>13</v>
      </c>
      <c r="F94" s="13" t="s">
        <v>14</v>
      </c>
      <c r="G94" s="233">
        <v>0.43616913080391062</v>
      </c>
      <c r="I94" s="237"/>
      <c r="J94"/>
    </row>
    <row r="95" spans="2:10" ht="14.25" x14ac:dyDescent="0.2">
      <c r="B95" s="96">
        <v>6250000008</v>
      </c>
      <c r="C95" s="96"/>
      <c r="D95" s="8" t="s">
        <v>267</v>
      </c>
      <c r="E95" s="13" t="s">
        <v>13</v>
      </c>
      <c r="F95" s="13" t="s">
        <v>14</v>
      </c>
      <c r="G95" s="233">
        <v>0.43616913080391062</v>
      </c>
      <c r="I95" s="237"/>
      <c r="J95"/>
    </row>
    <row r="96" spans="2:10" ht="14.25" x14ac:dyDescent="0.2">
      <c r="B96" s="96">
        <v>6250000009</v>
      </c>
      <c r="C96" s="96"/>
      <c r="D96" s="8" t="s">
        <v>433</v>
      </c>
      <c r="E96" s="13" t="s">
        <v>13</v>
      </c>
      <c r="F96" s="13" t="s">
        <v>14</v>
      </c>
      <c r="G96" s="233">
        <v>0.43616913080391062</v>
      </c>
      <c r="I96" s="237"/>
      <c r="J96"/>
    </row>
    <row r="97" spans="2:7" x14ac:dyDescent="0.2">
      <c r="B97" s="96">
        <v>6270000001</v>
      </c>
      <c r="C97" s="96"/>
      <c r="D97" s="8" t="s">
        <v>259</v>
      </c>
      <c r="E97" s="13" t="s">
        <v>13</v>
      </c>
      <c r="F97" s="13" t="s">
        <v>14</v>
      </c>
      <c r="G97" s="233">
        <v>0.43616913080391062</v>
      </c>
    </row>
    <row r="98" spans="2:7" x14ac:dyDescent="0.2">
      <c r="B98" s="96">
        <v>6270000002</v>
      </c>
      <c r="C98" s="96"/>
      <c r="D98" s="8" t="s">
        <v>427</v>
      </c>
      <c r="E98" s="13" t="s">
        <v>13</v>
      </c>
      <c r="F98" s="13" t="s">
        <v>14</v>
      </c>
      <c r="G98" s="233">
        <v>0.43616913080391062</v>
      </c>
    </row>
    <row r="99" spans="2:7" x14ac:dyDescent="0.2">
      <c r="B99" s="96">
        <v>6270000003</v>
      </c>
      <c r="C99" s="96"/>
      <c r="D99" s="8" t="s">
        <v>432</v>
      </c>
      <c r="E99" s="13" t="s">
        <v>13</v>
      </c>
      <c r="F99" s="13" t="s">
        <v>14</v>
      </c>
      <c r="G99" s="233">
        <v>0.43616913080391062</v>
      </c>
    </row>
    <row r="100" spans="2:7" x14ac:dyDescent="0.2">
      <c r="B100" s="96">
        <v>6270000004</v>
      </c>
      <c r="C100" s="96"/>
      <c r="D100" s="8" t="s">
        <v>431</v>
      </c>
      <c r="E100" s="13" t="s">
        <v>13</v>
      </c>
      <c r="F100" s="13" t="s">
        <v>14</v>
      </c>
      <c r="G100" s="233">
        <v>0.43616913080391062</v>
      </c>
    </row>
    <row r="101" spans="2:7" x14ac:dyDescent="0.2">
      <c r="B101" s="96">
        <v>6270000005</v>
      </c>
      <c r="C101" s="96"/>
      <c r="D101" s="8" t="s">
        <v>430</v>
      </c>
      <c r="E101" s="13" t="s">
        <v>13</v>
      </c>
      <c r="F101" s="13" t="s">
        <v>14</v>
      </c>
      <c r="G101" s="233">
        <v>0.43616913080391062</v>
      </c>
    </row>
    <row r="102" spans="2:7" x14ac:dyDescent="0.2">
      <c r="B102" s="96">
        <v>6270000006</v>
      </c>
      <c r="C102" s="96"/>
      <c r="D102" s="8" t="s">
        <v>261</v>
      </c>
      <c r="E102" s="13" t="s">
        <v>13</v>
      </c>
      <c r="F102" s="13" t="s">
        <v>14</v>
      </c>
      <c r="G102" s="233">
        <v>0.43616913080391062</v>
      </c>
    </row>
    <row r="103" spans="2:7" x14ac:dyDescent="0.2">
      <c r="B103" s="96">
        <v>6270000007</v>
      </c>
      <c r="C103" s="96"/>
      <c r="D103" s="8" t="s">
        <v>263</v>
      </c>
      <c r="E103" s="13" t="s">
        <v>13</v>
      </c>
      <c r="F103" s="13" t="s">
        <v>14</v>
      </c>
      <c r="G103" s="233">
        <v>0.43616913080391062</v>
      </c>
    </row>
    <row r="104" spans="2:7" x14ac:dyDescent="0.2">
      <c r="B104" s="96">
        <v>6290000001</v>
      </c>
      <c r="C104" s="96"/>
      <c r="D104" s="8" t="s">
        <v>426</v>
      </c>
      <c r="E104" s="13" t="s">
        <v>13</v>
      </c>
      <c r="F104" s="13" t="s">
        <v>14</v>
      </c>
      <c r="G104" s="233">
        <v>0.43616913080391062</v>
      </c>
    </row>
    <row r="105" spans="2:7" x14ac:dyDescent="0.2">
      <c r="B105" s="96">
        <v>6310000001</v>
      </c>
      <c r="C105" s="96"/>
      <c r="D105" s="8" t="s">
        <v>371</v>
      </c>
      <c r="E105" s="13" t="s">
        <v>13</v>
      </c>
      <c r="F105" s="13" t="s">
        <v>14</v>
      </c>
      <c r="G105" s="233">
        <v>4.4009396000000089E-2</v>
      </c>
    </row>
    <row r="106" spans="2:7" x14ac:dyDescent="0.2">
      <c r="B106" s="96">
        <v>6311300001</v>
      </c>
      <c r="C106" s="96"/>
      <c r="D106" s="8" t="s">
        <v>352</v>
      </c>
      <c r="E106" s="13" t="s">
        <v>13</v>
      </c>
      <c r="F106" s="13" t="s">
        <v>14</v>
      </c>
      <c r="G106" s="233">
        <v>4.4009396000000089E-2</v>
      </c>
    </row>
    <row r="107" spans="2:7" x14ac:dyDescent="0.2">
      <c r="B107" s="96">
        <v>6311300002</v>
      </c>
      <c r="C107" s="96"/>
      <c r="D107" s="8" t="s">
        <v>347</v>
      </c>
      <c r="E107" s="13" t="s">
        <v>13</v>
      </c>
      <c r="F107" s="13" t="s">
        <v>14</v>
      </c>
      <c r="G107" s="233">
        <v>4.4009396000000089E-2</v>
      </c>
    </row>
    <row r="108" spans="2:7" x14ac:dyDescent="0.2">
      <c r="B108" s="96">
        <v>6320000001</v>
      </c>
      <c r="C108" s="96"/>
      <c r="D108" s="8" t="s">
        <v>324</v>
      </c>
      <c r="E108" s="13" t="s">
        <v>13</v>
      </c>
      <c r="F108" s="13" t="s">
        <v>14</v>
      </c>
      <c r="G108" s="233">
        <v>0.90181437821531596</v>
      </c>
    </row>
    <row r="109" spans="2:7" x14ac:dyDescent="0.2">
      <c r="B109" s="96">
        <v>6320000002</v>
      </c>
      <c r="C109" s="96"/>
      <c r="D109" s="8" t="s">
        <v>346</v>
      </c>
      <c r="E109" s="13" t="s">
        <v>13</v>
      </c>
      <c r="F109" s="13" t="s">
        <v>14</v>
      </c>
      <c r="G109" s="233">
        <v>4.4009396000000089E-2</v>
      </c>
    </row>
    <row r="110" spans="2:7" x14ac:dyDescent="0.2">
      <c r="B110" s="96">
        <v>6320000003</v>
      </c>
      <c r="C110" s="96"/>
      <c r="D110" s="8" t="s">
        <v>325</v>
      </c>
      <c r="E110" s="13" t="s">
        <v>13</v>
      </c>
      <c r="F110" s="13" t="s">
        <v>14</v>
      </c>
      <c r="G110" s="233">
        <v>4.4009396000000089E-2</v>
      </c>
    </row>
    <row r="111" spans="2:7" x14ac:dyDescent="0.2">
      <c r="B111" s="96">
        <v>6320000004</v>
      </c>
      <c r="C111" s="96"/>
      <c r="D111" s="8" t="s">
        <v>340</v>
      </c>
      <c r="E111" s="13" t="s">
        <v>13</v>
      </c>
      <c r="F111" s="13" t="s">
        <v>14</v>
      </c>
      <c r="G111" s="233">
        <v>4.4009396000000089E-2</v>
      </c>
    </row>
    <row r="112" spans="2:7" x14ac:dyDescent="0.2">
      <c r="B112" s="96">
        <v>6320000005</v>
      </c>
      <c r="C112" s="96"/>
      <c r="D112" s="8" t="s">
        <v>342</v>
      </c>
      <c r="E112" s="13" t="s">
        <v>13</v>
      </c>
      <c r="F112" s="13" t="s">
        <v>14</v>
      </c>
      <c r="G112" s="233">
        <v>4.4009396000000089E-2</v>
      </c>
    </row>
    <row r="113" spans="2:7" x14ac:dyDescent="0.2">
      <c r="B113" s="96">
        <v>6320000006</v>
      </c>
      <c r="C113" s="96"/>
      <c r="D113" s="8" t="s">
        <v>344</v>
      </c>
      <c r="E113" s="13" t="s">
        <v>13</v>
      </c>
      <c r="F113" s="13" t="s">
        <v>14</v>
      </c>
      <c r="G113" s="233">
        <v>4.4009396000000089E-2</v>
      </c>
    </row>
    <row r="114" spans="2:7" x14ac:dyDescent="0.2">
      <c r="B114" s="96">
        <v>6320000007</v>
      </c>
      <c r="C114" s="96"/>
      <c r="D114" s="8" t="s">
        <v>303</v>
      </c>
      <c r="E114" s="13" t="s">
        <v>13</v>
      </c>
      <c r="F114" s="13" t="s">
        <v>14</v>
      </c>
      <c r="G114" s="233">
        <v>1.1142170281388211</v>
      </c>
    </row>
    <row r="115" spans="2:7" x14ac:dyDescent="0.2">
      <c r="B115" s="96">
        <v>6329000003</v>
      </c>
      <c r="C115" s="96"/>
      <c r="D115" s="8" t="s">
        <v>341</v>
      </c>
      <c r="E115" s="13" t="s">
        <v>13</v>
      </c>
      <c r="F115" s="13" t="s">
        <v>14</v>
      </c>
      <c r="G115" s="233">
        <v>4.4009396000000089E-2</v>
      </c>
    </row>
    <row r="116" spans="2:7" x14ac:dyDescent="0.2">
      <c r="B116" s="96">
        <v>6341100001</v>
      </c>
      <c r="C116" s="96"/>
      <c r="D116" s="8" t="s">
        <v>399</v>
      </c>
      <c r="E116" s="13" t="s">
        <v>13</v>
      </c>
      <c r="F116" s="13" t="s">
        <v>14</v>
      </c>
      <c r="G116" s="233">
        <v>4.4009396000000089E-2</v>
      </c>
    </row>
    <row r="117" spans="2:7" x14ac:dyDescent="0.2">
      <c r="B117" s="96">
        <v>6341100002</v>
      </c>
      <c r="C117" s="96"/>
      <c r="D117" s="8" t="s">
        <v>398</v>
      </c>
      <c r="E117" s="13" t="s">
        <v>13</v>
      </c>
      <c r="F117" s="13" t="s">
        <v>14</v>
      </c>
      <c r="G117" s="233">
        <v>4.4009396000000089E-2</v>
      </c>
    </row>
    <row r="118" spans="2:7" x14ac:dyDescent="0.2">
      <c r="B118" s="96">
        <v>6341100003</v>
      </c>
      <c r="C118" s="96"/>
      <c r="D118" s="8" t="s">
        <v>392</v>
      </c>
      <c r="E118" s="13" t="s">
        <v>13</v>
      </c>
      <c r="F118" s="13" t="s">
        <v>14</v>
      </c>
      <c r="G118" s="233">
        <v>1.0555354130397658</v>
      </c>
    </row>
    <row r="119" spans="2:7" x14ac:dyDescent="0.2">
      <c r="B119" s="96">
        <v>6341100004</v>
      </c>
      <c r="C119" s="96"/>
      <c r="D119" s="8" t="s">
        <v>400</v>
      </c>
      <c r="E119" s="13" t="s">
        <v>13</v>
      </c>
      <c r="F119" s="13" t="s">
        <v>14</v>
      </c>
      <c r="G119" s="233">
        <v>4.4009396000000089E-2</v>
      </c>
    </row>
    <row r="120" spans="2:7" x14ac:dyDescent="0.2">
      <c r="B120" s="96">
        <v>6341100005</v>
      </c>
      <c r="C120" s="96"/>
      <c r="D120" s="8" t="s">
        <v>411</v>
      </c>
      <c r="E120" s="13" t="s">
        <v>13</v>
      </c>
      <c r="F120" s="13" t="s">
        <v>14</v>
      </c>
      <c r="G120" s="233">
        <v>4.4009396000000089E-2</v>
      </c>
    </row>
    <row r="121" spans="2:7" x14ac:dyDescent="0.2">
      <c r="B121" s="96">
        <v>6341100007</v>
      </c>
      <c r="C121" s="96"/>
      <c r="D121" s="8" t="s">
        <v>414</v>
      </c>
      <c r="E121" s="13" t="s">
        <v>13</v>
      </c>
      <c r="F121" s="13" t="s">
        <v>14</v>
      </c>
      <c r="G121" s="233">
        <v>4.4009396000000089E-2</v>
      </c>
    </row>
    <row r="122" spans="2:7" x14ac:dyDescent="0.2">
      <c r="B122" s="96">
        <v>6341100008</v>
      </c>
      <c r="C122" s="96"/>
      <c r="D122" s="8" t="s">
        <v>416</v>
      </c>
      <c r="E122" s="13" t="s">
        <v>13</v>
      </c>
      <c r="F122" s="13" t="s">
        <v>14</v>
      </c>
      <c r="G122" s="233">
        <v>4.4009396000000089E-2</v>
      </c>
    </row>
    <row r="123" spans="2:7" x14ac:dyDescent="0.2">
      <c r="B123" s="96">
        <v>6341100009</v>
      </c>
      <c r="C123" s="96"/>
      <c r="D123" s="8" t="s">
        <v>407</v>
      </c>
      <c r="E123" s="13" t="s">
        <v>13</v>
      </c>
      <c r="F123" s="13" t="s">
        <v>14</v>
      </c>
      <c r="G123" s="233">
        <v>4.4009396000000089E-2</v>
      </c>
    </row>
    <row r="124" spans="2:7" x14ac:dyDescent="0.2">
      <c r="B124" s="96">
        <v>6341100010</v>
      </c>
      <c r="C124" s="96"/>
      <c r="D124" s="8" t="s">
        <v>393</v>
      </c>
      <c r="E124" s="13" t="s">
        <v>13</v>
      </c>
      <c r="F124" s="13" t="s">
        <v>14</v>
      </c>
      <c r="G124" s="233">
        <v>4.4009396000000089E-2</v>
      </c>
    </row>
    <row r="125" spans="2:7" x14ac:dyDescent="0.2">
      <c r="B125" s="96">
        <v>6342000001</v>
      </c>
      <c r="C125" s="96"/>
      <c r="D125" s="8" t="s">
        <v>410</v>
      </c>
      <c r="E125" s="13" t="s">
        <v>13</v>
      </c>
      <c r="F125" s="13" t="s">
        <v>14</v>
      </c>
      <c r="G125" s="233">
        <v>4.4009396000000089E-2</v>
      </c>
    </row>
    <row r="126" spans="2:7" x14ac:dyDescent="0.2">
      <c r="B126" s="96">
        <v>6342000002</v>
      </c>
      <c r="C126" s="96"/>
      <c r="D126" s="8" t="s">
        <v>412</v>
      </c>
      <c r="E126" s="13" t="s">
        <v>13</v>
      </c>
      <c r="F126" s="13" t="s">
        <v>14</v>
      </c>
      <c r="G126" s="233">
        <v>4.4009396000000089E-2</v>
      </c>
    </row>
    <row r="127" spans="2:7" x14ac:dyDescent="0.2">
      <c r="B127" s="96">
        <v>6343000001</v>
      </c>
      <c r="C127" s="96"/>
      <c r="D127" s="8" t="s">
        <v>389</v>
      </c>
      <c r="E127" s="13" t="s">
        <v>13</v>
      </c>
      <c r="F127" s="13" t="s">
        <v>14</v>
      </c>
      <c r="G127" s="233">
        <v>1.9475913064732362</v>
      </c>
    </row>
    <row r="128" spans="2:7" x14ac:dyDescent="0.2">
      <c r="B128" s="96">
        <v>6343000002</v>
      </c>
      <c r="C128" s="96"/>
      <c r="D128" s="8" t="s">
        <v>391</v>
      </c>
      <c r="E128" s="13" t="s">
        <v>13</v>
      </c>
      <c r="F128" s="13" t="s">
        <v>14</v>
      </c>
      <c r="G128" s="233">
        <v>4.4009396000000089E-2</v>
      </c>
    </row>
    <row r="129" spans="2:8" x14ac:dyDescent="0.2">
      <c r="B129" s="96">
        <v>6343100001</v>
      </c>
      <c r="C129" s="96"/>
      <c r="D129" s="8" t="s">
        <v>397</v>
      </c>
      <c r="E129" s="13" t="s">
        <v>13</v>
      </c>
      <c r="F129" s="13" t="s">
        <v>14</v>
      </c>
      <c r="G129" s="233">
        <v>4.4009396000000089E-2</v>
      </c>
    </row>
    <row r="130" spans="2:8" x14ac:dyDescent="0.2">
      <c r="B130" s="96">
        <v>6343100002</v>
      </c>
      <c r="C130" s="96"/>
      <c r="D130" s="8" t="s">
        <v>396</v>
      </c>
      <c r="E130" s="13" t="s">
        <v>13</v>
      </c>
      <c r="F130" s="13" t="s">
        <v>14</v>
      </c>
      <c r="G130" s="233">
        <v>4.4009396000000089E-2</v>
      </c>
    </row>
    <row r="131" spans="2:8" x14ac:dyDescent="0.2">
      <c r="B131" s="96">
        <v>6343100003</v>
      </c>
      <c r="C131" s="96"/>
      <c r="D131" s="8" t="s">
        <v>406</v>
      </c>
      <c r="E131" s="13" t="s">
        <v>13</v>
      </c>
      <c r="F131" s="13" t="s">
        <v>14</v>
      </c>
      <c r="G131" s="233">
        <v>4.4009396000000089E-2</v>
      </c>
    </row>
    <row r="132" spans="2:8" x14ac:dyDescent="0.2">
      <c r="B132" s="96">
        <v>6343100004</v>
      </c>
      <c r="C132" s="96"/>
      <c r="D132" s="8" t="s">
        <v>408</v>
      </c>
      <c r="E132" s="13" t="s">
        <v>13</v>
      </c>
      <c r="F132" s="13" t="s">
        <v>14</v>
      </c>
      <c r="G132" s="233">
        <v>4.4009396000000089E-2</v>
      </c>
    </row>
    <row r="133" spans="2:8" x14ac:dyDescent="0.2">
      <c r="B133" s="96">
        <v>6343100005</v>
      </c>
      <c r="C133" s="96"/>
      <c r="D133" s="8" t="s">
        <v>424</v>
      </c>
      <c r="E133" s="13" t="s">
        <v>13</v>
      </c>
      <c r="F133" s="13" t="s">
        <v>14</v>
      </c>
      <c r="G133" s="233">
        <v>4.4009396000000089E-2</v>
      </c>
    </row>
    <row r="134" spans="2:8" x14ac:dyDescent="0.2">
      <c r="B134" s="96">
        <v>6343100006</v>
      </c>
      <c r="C134" s="96"/>
      <c r="D134" s="8" t="s">
        <v>425</v>
      </c>
      <c r="E134" s="13" t="s">
        <v>13</v>
      </c>
      <c r="F134" s="13" t="s">
        <v>14</v>
      </c>
      <c r="G134" s="233">
        <v>4.4009396000000089E-2</v>
      </c>
      <c r="H134" s="3"/>
    </row>
    <row r="135" spans="2:8" x14ac:dyDescent="0.2">
      <c r="B135" s="96">
        <v>6343100007</v>
      </c>
      <c r="C135" s="96"/>
      <c r="D135" s="8" t="s">
        <v>390</v>
      </c>
      <c r="E135" s="13" t="s">
        <v>13</v>
      </c>
      <c r="F135" s="13" t="s">
        <v>14</v>
      </c>
      <c r="G135" s="233">
        <v>4.4009396000000089E-2</v>
      </c>
      <c r="H135" s="3"/>
    </row>
    <row r="136" spans="2:8" x14ac:dyDescent="0.2">
      <c r="B136" s="96">
        <v>6343100008</v>
      </c>
      <c r="C136" s="96"/>
      <c r="D136" s="8" t="s">
        <v>395</v>
      </c>
      <c r="E136" s="13" t="s">
        <v>13</v>
      </c>
      <c r="F136" s="13" t="s">
        <v>14</v>
      </c>
      <c r="G136" s="233">
        <v>4.4009396000000089E-2</v>
      </c>
      <c r="H136" s="3"/>
    </row>
    <row r="137" spans="2:8" s="3" customFormat="1" x14ac:dyDescent="0.2">
      <c r="B137" s="96">
        <v>6343100009</v>
      </c>
      <c r="C137" s="96"/>
      <c r="D137" s="8" t="s">
        <v>418</v>
      </c>
      <c r="E137" s="13" t="s">
        <v>13</v>
      </c>
      <c r="F137" s="13" t="s">
        <v>14</v>
      </c>
      <c r="G137" s="233">
        <v>4.4009396000000089E-2</v>
      </c>
    </row>
    <row r="138" spans="2:8" s="3" customFormat="1" x14ac:dyDescent="0.2">
      <c r="B138" s="96">
        <v>6343100010</v>
      </c>
      <c r="C138" s="96"/>
      <c r="D138" s="8" t="s">
        <v>420</v>
      </c>
      <c r="E138" s="13" t="s">
        <v>13</v>
      </c>
      <c r="F138" s="13" t="s">
        <v>14</v>
      </c>
      <c r="G138" s="233">
        <v>4.4009396000000089E-2</v>
      </c>
    </row>
    <row r="139" spans="2:8" x14ac:dyDescent="0.2">
      <c r="B139" s="96">
        <v>6343100011</v>
      </c>
      <c r="C139" s="96"/>
      <c r="D139" s="8" t="s">
        <v>422</v>
      </c>
      <c r="E139" s="13" t="s">
        <v>13</v>
      </c>
      <c r="F139" s="13" t="s">
        <v>14</v>
      </c>
      <c r="G139" s="233">
        <v>4.4009396000000089E-2</v>
      </c>
    </row>
    <row r="140" spans="2:8" x14ac:dyDescent="0.2">
      <c r="B140" s="96">
        <v>6343100012</v>
      </c>
      <c r="C140" s="96"/>
      <c r="D140" s="8" t="s">
        <v>423</v>
      </c>
      <c r="E140" s="13" t="s">
        <v>13</v>
      </c>
      <c r="F140" s="13" t="s">
        <v>14</v>
      </c>
      <c r="G140" s="233">
        <v>4.4009396000000089E-2</v>
      </c>
    </row>
    <row r="141" spans="2:8" x14ac:dyDescent="0.2">
      <c r="B141" s="96">
        <v>6343100013</v>
      </c>
      <c r="C141" s="96"/>
      <c r="D141" s="8" t="s">
        <v>404</v>
      </c>
      <c r="E141" s="13" t="s">
        <v>13</v>
      </c>
      <c r="F141" s="13" t="s">
        <v>14</v>
      </c>
      <c r="G141" s="233">
        <v>4.4009396000000089E-2</v>
      </c>
    </row>
    <row r="142" spans="2:8" x14ac:dyDescent="0.2">
      <c r="B142" s="96">
        <v>6343100014</v>
      </c>
      <c r="C142" s="96"/>
      <c r="D142" s="8" t="s">
        <v>413</v>
      </c>
      <c r="E142" s="13" t="s">
        <v>13</v>
      </c>
      <c r="F142" s="13" t="s">
        <v>14</v>
      </c>
      <c r="G142" s="233">
        <v>4.4009396000000089E-2</v>
      </c>
    </row>
    <row r="143" spans="2:8" x14ac:dyDescent="0.2">
      <c r="B143" s="96">
        <v>6343100015</v>
      </c>
      <c r="C143" s="96"/>
      <c r="D143" s="8" t="s">
        <v>401</v>
      </c>
      <c r="E143" s="13" t="s">
        <v>13</v>
      </c>
      <c r="F143" s="13" t="s">
        <v>14</v>
      </c>
      <c r="G143" s="233">
        <v>4.4009396000000089E-2</v>
      </c>
    </row>
    <row r="144" spans="2:8" x14ac:dyDescent="0.2">
      <c r="B144" s="96">
        <v>6343100016</v>
      </c>
      <c r="C144" s="96"/>
      <c r="D144" s="8" t="s">
        <v>415</v>
      </c>
      <c r="E144" s="13" t="s">
        <v>13</v>
      </c>
      <c r="F144" s="13" t="s">
        <v>14</v>
      </c>
      <c r="G144" s="233">
        <v>4.4009396000000089E-2</v>
      </c>
    </row>
    <row r="145" spans="2:8" x14ac:dyDescent="0.2">
      <c r="B145" s="96">
        <v>6343100017</v>
      </c>
      <c r="C145" s="96"/>
      <c r="D145" s="8" t="s">
        <v>403</v>
      </c>
      <c r="E145" s="13" t="s">
        <v>13</v>
      </c>
      <c r="F145" s="13" t="s">
        <v>14</v>
      </c>
      <c r="G145" s="233">
        <v>4.4009396000000089E-2</v>
      </c>
    </row>
    <row r="146" spans="2:8" x14ac:dyDescent="0.2">
      <c r="B146" s="96">
        <v>6344000001</v>
      </c>
      <c r="C146" s="96"/>
      <c r="D146" s="8" t="s">
        <v>417</v>
      </c>
      <c r="E146" s="13" t="s">
        <v>13</v>
      </c>
      <c r="F146" s="13" t="s">
        <v>14</v>
      </c>
      <c r="G146" s="233">
        <v>4.4009396000000089E-2</v>
      </c>
    </row>
    <row r="147" spans="2:8" x14ac:dyDescent="0.2">
      <c r="B147" s="96">
        <v>6344000002</v>
      </c>
      <c r="C147" s="96"/>
      <c r="D147" s="8" t="s">
        <v>409</v>
      </c>
      <c r="E147" s="13" t="s">
        <v>13</v>
      </c>
      <c r="F147" s="13" t="s">
        <v>14</v>
      </c>
      <c r="G147" s="233">
        <v>4.4009396000000089E-2</v>
      </c>
    </row>
    <row r="148" spans="2:8" x14ac:dyDescent="0.2">
      <c r="B148" s="96">
        <v>6344000003</v>
      </c>
      <c r="C148" s="96"/>
      <c r="D148" s="8" t="s">
        <v>419</v>
      </c>
      <c r="E148" s="13" t="s">
        <v>13</v>
      </c>
      <c r="F148" s="13" t="s">
        <v>14</v>
      </c>
      <c r="G148" s="233">
        <v>4.4009396000000089E-2</v>
      </c>
    </row>
    <row r="149" spans="2:8" x14ac:dyDescent="0.2">
      <c r="B149" s="96">
        <v>6345000001</v>
      </c>
      <c r="C149" s="96"/>
      <c r="D149" s="8" t="s">
        <v>405</v>
      </c>
      <c r="E149" s="13" t="s">
        <v>13</v>
      </c>
      <c r="F149" s="13" t="s">
        <v>14</v>
      </c>
      <c r="G149" s="233">
        <v>4.4009396000000089E-2</v>
      </c>
    </row>
    <row r="150" spans="2:8" x14ac:dyDescent="0.2">
      <c r="B150" s="96">
        <v>6346000001</v>
      </c>
      <c r="C150" s="96"/>
      <c r="D150" s="8" t="s">
        <v>421</v>
      </c>
      <c r="E150" s="13" t="s">
        <v>13</v>
      </c>
      <c r="F150" s="13" t="s">
        <v>14</v>
      </c>
      <c r="G150" s="233">
        <v>4.4009396000000089E-2</v>
      </c>
    </row>
    <row r="151" spans="2:8" x14ac:dyDescent="0.2">
      <c r="B151" s="96">
        <v>6347000001</v>
      </c>
      <c r="C151" s="96"/>
      <c r="D151" s="8" t="s">
        <v>394</v>
      </c>
      <c r="E151" s="13" t="s">
        <v>13</v>
      </c>
      <c r="F151" s="13" t="s">
        <v>14</v>
      </c>
      <c r="G151" s="233">
        <v>1.1246051731824811</v>
      </c>
    </row>
    <row r="152" spans="2:8" x14ac:dyDescent="0.2">
      <c r="B152" s="96">
        <v>6348000001</v>
      </c>
      <c r="C152" s="96"/>
      <c r="D152" s="8" t="s">
        <v>402</v>
      </c>
      <c r="E152" s="13" t="s">
        <v>13</v>
      </c>
      <c r="F152" s="13" t="s">
        <v>14</v>
      </c>
      <c r="G152" s="233">
        <v>4.4009396000000089E-2</v>
      </c>
    </row>
    <row r="153" spans="2:8" x14ac:dyDescent="0.2">
      <c r="B153" s="96">
        <v>6354000001</v>
      </c>
      <c r="C153" s="96"/>
      <c r="D153" s="8" t="s">
        <v>336</v>
      </c>
      <c r="E153" s="13" t="s">
        <v>13</v>
      </c>
      <c r="F153" s="13" t="s">
        <v>14</v>
      </c>
      <c r="G153" s="233">
        <v>1.1277145310168262</v>
      </c>
      <c r="H153" s="110"/>
    </row>
    <row r="154" spans="2:8" x14ac:dyDescent="0.2">
      <c r="B154" s="96">
        <v>6356000001</v>
      </c>
      <c r="C154" s="96"/>
      <c r="D154" s="8" t="s">
        <v>343</v>
      </c>
      <c r="E154" s="13" t="s">
        <v>13</v>
      </c>
      <c r="F154" s="13" t="s">
        <v>14</v>
      </c>
      <c r="G154" s="233">
        <v>4.4009396000000089E-2</v>
      </c>
    </row>
    <row r="155" spans="2:8" x14ac:dyDescent="0.2">
      <c r="B155" s="96">
        <v>6356000002</v>
      </c>
      <c r="C155" s="96"/>
      <c r="D155" s="8" t="s">
        <v>337</v>
      </c>
      <c r="E155" s="13" t="s">
        <v>13</v>
      </c>
      <c r="F155" s="13" t="s">
        <v>14</v>
      </c>
      <c r="G155" s="233">
        <v>4.4009396000000089E-2</v>
      </c>
    </row>
    <row r="156" spans="2:8" x14ac:dyDescent="0.2">
      <c r="B156" s="96">
        <v>6357000001</v>
      </c>
      <c r="C156" s="96"/>
      <c r="D156" s="8" t="s">
        <v>334</v>
      </c>
      <c r="E156" s="13" t="s">
        <v>13</v>
      </c>
      <c r="F156" s="13" t="s">
        <v>14</v>
      </c>
      <c r="G156" s="233">
        <v>4.4009396000000089E-2</v>
      </c>
    </row>
    <row r="157" spans="2:8" x14ac:dyDescent="0.2">
      <c r="B157" s="96">
        <v>6358000001</v>
      </c>
      <c r="C157" s="96"/>
      <c r="D157" s="8" t="s">
        <v>335</v>
      </c>
      <c r="E157" s="13" t="s">
        <v>13</v>
      </c>
      <c r="F157" s="13" t="s">
        <v>14</v>
      </c>
      <c r="G157" s="233">
        <v>4.4009396000000089E-2</v>
      </c>
    </row>
    <row r="158" spans="2:8" x14ac:dyDescent="0.2">
      <c r="B158" s="96">
        <v>6360000001</v>
      </c>
      <c r="C158" s="96"/>
      <c r="D158" s="8" t="s">
        <v>331</v>
      </c>
      <c r="E158" s="13" t="s">
        <v>13</v>
      </c>
      <c r="F158" s="13" t="s">
        <v>14</v>
      </c>
      <c r="G158" s="233">
        <v>4.4009396000000089E-2</v>
      </c>
    </row>
    <row r="159" spans="2:8" x14ac:dyDescent="0.2">
      <c r="B159" s="96">
        <v>6360000002</v>
      </c>
      <c r="C159" s="96"/>
      <c r="D159" s="8" t="s">
        <v>320</v>
      </c>
      <c r="E159" s="13" t="s">
        <v>13</v>
      </c>
      <c r="F159" s="13" t="s">
        <v>14</v>
      </c>
      <c r="G159" s="233">
        <v>1.1033039671160672</v>
      </c>
    </row>
    <row r="160" spans="2:8" x14ac:dyDescent="0.2">
      <c r="B160" s="96">
        <v>6360000003</v>
      </c>
      <c r="C160" s="96"/>
      <c r="D160" s="8" t="s">
        <v>322</v>
      </c>
      <c r="E160" s="13" t="s">
        <v>13</v>
      </c>
      <c r="F160" s="13" t="s">
        <v>14</v>
      </c>
      <c r="G160" s="233">
        <v>0.33589966958431128</v>
      </c>
    </row>
    <row r="161" spans="2:7" x14ac:dyDescent="0.2">
      <c r="B161" s="96">
        <v>6360000004</v>
      </c>
      <c r="C161" s="96"/>
      <c r="D161" s="8" t="s">
        <v>353</v>
      </c>
      <c r="E161" s="13" t="s">
        <v>13</v>
      </c>
      <c r="F161" s="13" t="s">
        <v>14</v>
      </c>
      <c r="G161" s="233">
        <v>4.4009396000000089E-2</v>
      </c>
    </row>
    <row r="162" spans="2:7" x14ac:dyDescent="0.2">
      <c r="B162" s="96">
        <v>6360000005</v>
      </c>
      <c r="C162" s="96"/>
      <c r="D162" s="8" t="s">
        <v>354</v>
      </c>
      <c r="E162" s="13" t="s">
        <v>13</v>
      </c>
      <c r="F162" s="13" t="s">
        <v>14</v>
      </c>
      <c r="G162" s="233">
        <v>4.4009396000000089E-2</v>
      </c>
    </row>
    <row r="163" spans="2:7" x14ac:dyDescent="0.2">
      <c r="B163" s="96">
        <v>6370000001</v>
      </c>
      <c r="C163" s="96"/>
      <c r="D163" s="8" t="s">
        <v>270</v>
      </c>
      <c r="E163" s="13" t="s">
        <v>13</v>
      </c>
      <c r="F163" s="13" t="s">
        <v>14</v>
      </c>
      <c r="G163" s="233">
        <v>0.85523296522900005</v>
      </c>
    </row>
    <row r="164" spans="2:7" x14ac:dyDescent="0.2">
      <c r="B164" s="96">
        <v>6370000002</v>
      </c>
      <c r="C164" s="96"/>
      <c r="D164" s="8" t="s">
        <v>338</v>
      </c>
      <c r="E164" s="13" t="s">
        <v>13</v>
      </c>
      <c r="F164" s="13" t="s">
        <v>14</v>
      </c>
      <c r="G164" s="233">
        <v>4.4009396000000089E-2</v>
      </c>
    </row>
    <row r="165" spans="2:7" x14ac:dyDescent="0.2">
      <c r="B165" s="96">
        <v>6370000003</v>
      </c>
      <c r="C165" s="96"/>
      <c r="D165" s="8" t="s">
        <v>339</v>
      </c>
      <c r="E165" s="13" t="s">
        <v>13</v>
      </c>
      <c r="F165" s="13" t="s">
        <v>14</v>
      </c>
      <c r="G165" s="233">
        <v>4.4009396000000089E-2</v>
      </c>
    </row>
    <row r="166" spans="2:7" x14ac:dyDescent="0.2">
      <c r="B166" s="96">
        <v>6380000002</v>
      </c>
      <c r="C166" s="96"/>
      <c r="D166" s="8" t="s">
        <v>333</v>
      </c>
      <c r="E166" s="13" t="s">
        <v>13</v>
      </c>
      <c r="F166" s="13" t="s">
        <v>14</v>
      </c>
      <c r="G166" s="233">
        <v>4.4009396000000089E-2</v>
      </c>
    </row>
    <row r="167" spans="2:7" x14ac:dyDescent="0.2">
      <c r="B167" s="96">
        <v>6380000003</v>
      </c>
      <c r="C167" s="96"/>
      <c r="D167" s="8" t="s">
        <v>375</v>
      </c>
      <c r="E167" s="13" t="s">
        <v>13</v>
      </c>
      <c r="F167" s="13" t="s">
        <v>14</v>
      </c>
      <c r="G167" s="233">
        <v>4.4009396000000089E-2</v>
      </c>
    </row>
    <row r="168" spans="2:7" x14ac:dyDescent="0.2">
      <c r="B168" s="96">
        <v>6380000004</v>
      </c>
      <c r="C168" s="96"/>
      <c r="D168" s="8" t="s">
        <v>273</v>
      </c>
      <c r="E168" s="13" t="s">
        <v>13</v>
      </c>
      <c r="F168" s="13" t="s">
        <v>14</v>
      </c>
      <c r="G168" s="233">
        <v>1.1504915840564243</v>
      </c>
    </row>
    <row r="169" spans="2:7" x14ac:dyDescent="0.2">
      <c r="B169" s="96">
        <v>6380000005</v>
      </c>
      <c r="C169" s="96"/>
      <c r="D169" s="8" t="s">
        <v>274</v>
      </c>
      <c r="E169" s="13" t="s">
        <v>13</v>
      </c>
      <c r="F169" s="13" t="s">
        <v>14</v>
      </c>
      <c r="G169" s="233">
        <v>4.4009396000000089E-2</v>
      </c>
    </row>
    <row r="170" spans="2:7" x14ac:dyDescent="0.2">
      <c r="B170" s="96">
        <v>6380000007</v>
      </c>
      <c r="C170" s="96"/>
      <c r="D170" s="8" t="s">
        <v>329</v>
      </c>
      <c r="E170" s="13" t="s">
        <v>13</v>
      </c>
      <c r="F170" s="13" t="s">
        <v>14</v>
      </c>
      <c r="G170" s="233">
        <v>4.4009396000000089E-2</v>
      </c>
    </row>
    <row r="171" spans="2:7" x14ac:dyDescent="0.2">
      <c r="B171" s="96">
        <v>6380000008</v>
      </c>
      <c r="C171" s="96"/>
      <c r="D171" s="8" t="s">
        <v>323</v>
      </c>
      <c r="E171" s="13" t="s">
        <v>13</v>
      </c>
      <c r="F171" s="13" t="s">
        <v>14</v>
      </c>
      <c r="G171" s="233">
        <v>1.7577982488676596</v>
      </c>
    </row>
    <row r="172" spans="2:7" x14ac:dyDescent="0.2">
      <c r="B172" s="96">
        <v>6380000009</v>
      </c>
      <c r="C172" s="96"/>
      <c r="D172" s="8" t="s">
        <v>321</v>
      </c>
      <c r="E172" s="13" t="s">
        <v>13</v>
      </c>
      <c r="F172" s="13" t="s">
        <v>14</v>
      </c>
      <c r="G172" s="233">
        <v>0.32891787563680541</v>
      </c>
    </row>
    <row r="173" spans="2:7" x14ac:dyDescent="0.2">
      <c r="B173" s="96">
        <v>6380000010</v>
      </c>
      <c r="C173" s="96"/>
      <c r="D173" s="8" t="s">
        <v>332</v>
      </c>
      <c r="E173" s="13" t="s">
        <v>13</v>
      </c>
      <c r="F173" s="13" t="s">
        <v>14</v>
      </c>
      <c r="G173" s="233">
        <v>4.4009396000000089E-2</v>
      </c>
    </row>
    <row r="174" spans="2:7" x14ac:dyDescent="0.2">
      <c r="B174" s="96">
        <v>6380000012</v>
      </c>
      <c r="C174" s="96"/>
      <c r="D174" s="8" t="s">
        <v>345</v>
      </c>
      <c r="E174" s="13" t="s">
        <v>13</v>
      </c>
      <c r="F174" s="13" t="s">
        <v>14</v>
      </c>
      <c r="G174" s="233">
        <v>4.4009396000000089E-2</v>
      </c>
    </row>
    <row r="175" spans="2:7" x14ac:dyDescent="0.2">
      <c r="B175" s="96">
        <v>6380000014</v>
      </c>
      <c r="C175" s="96"/>
      <c r="D175" s="8" t="s">
        <v>312</v>
      </c>
      <c r="E175" s="13" t="s">
        <v>13</v>
      </c>
      <c r="F175" s="13" t="s">
        <v>14</v>
      </c>
      <c r="G175" s="233">
        <v>4.4009396000000089E-2</v>
      </c>
    </row>
    <row r="176" spans="2:7" x14ac:dyDescent="0.2">
      <c r="B176" s="96">
        <v>6380000015</v>
      </c>
      <c r="C176" s="96"/>
      <c r="D176" s="8" t="s">
        <v>327</v>
      </c>
      <c r="E176" s="13" t="s">
        <v>13</v>
      </c>
      <c r="F176" s="13" t="s">
        <v>14</v>
      </c>
      <c r="G176" s="233">
        <v>4.4009396000000089E-2</v>
      </c>
    </row>
    <row r="177" spans="2:7" x14ac:dyDescent="0.2">
      <c r="B177" s="96">
        <v>6380000017</v>
      </c>
      <c r="C177" s="96"/>
      <c r="D177" s="8" t="s">
        <v>317</v>
      </c>
      <c r="E177" s="13" t="s">
        <v>13</v>
      </c>
      <c r="F177" s="13" t="s">
        <v>14</v>
      </c>
      <c r="G177" s="233">
        <v>4.4009396000000089E-2</v>
      </c>
    </row>
    <row r="178" spans="2:7" x14ac:dyDescent="0.2">
      <c r="B178" s="96">
        <v>6380000018</v>
      </c>
      <c r="C178" s="96"/>
      <c r="D178" s="8" t="s">
        <v>309</v>
      </c>
      <c r="E178" s="13" t="s">
        <v>13</v>
      </c>
      <c r="F178" s="13" t="s">
        <v>14</v>
      </c>
      <c r="G178" s="233">
        <v>4.4009396000000089E-2</v>
      </c>
    </row>
    <row r="179" spans="2:7" x14ac:dyDescent="0.2">
      <c r="B179" s="96">
        <v>6380000019</v>
      </c>
      <c r="C179" s="96"/>
      <c r="D179" s="8" t="s">
        <v>355</v>
      </c>
      <c r="E179" s="13" t="s">
        <v>13</v>
      </c>
      <c r="F179" s="13" t="s">
        <v>14</v>
      </c>
      <c r="G179" s="233">
        <v>4.4009396000000089E-2</v>
      </c>
    </row>
    <row r="180" spans="2:7" x14ac:dyDescent="0.2">
      <c r="B180" s="96">
        <v>6380000020</v>
      </c>
      <c r="C180" s="96"/>
      <c r="D180" s="8" t="s">
        <v>308</v>
      </c>
      <c r="E180" s="13" t="s">
        <v>13</v>
      </c>
      <c r="F180" s="13" t="s">
        <v>14</v>
      </c>
      <c r="G180" s="233">
        <v>4.4009396000000089E-2</v>
      </c>
    </row>
    <row r="181" spans="2:7" x14ac:dyDescent="0.2">
      <c r="B181" s="96">
        <v>6380000021</v>
      </c>
      <c r="C181" s="96"/>
      <c r="D181" s="8" t="s">
        <v>330</v>
      </c>
      <c r="E181" s="13" t="s">
        <v>13</v>
      </c>
      <c r="F181" s="13" t="s">
        <v>14</v>
      </c>
      <c r="G181" s="233">
        <v>4.4009396000000089E-2</v>
      </c>
    </row>
    <row r="182" spans="2:7" x14ac:dyDescent="0.2">
      <c r="B182" s="96">
        <v>6380000022</v>
      </c>
      <c r="C182" s="96"/>
      <c r="D182" s="8" t="s">
        <v>328</v>
      </c>
      <c r="E182" s="13" t="s">
        <v>13</v>
      </c>
      <c r="F182" s="13" t="s">
        <v>14</v>
      </c>
      <c r="G182" s="233">
        <v>4.4009396000000089E-2</v>
      </c>
    </row>
    <row r="183" spans="2:7" x14ac:dyDescent="0.2">
      <c r="B183" s="96">
        <v>6380000023</v>
      </c>
      <c r="C183" s="96"/>
      <c r="D183" s="8" t="s">
        <v>307</v>
      </c>
      <c r="E183" s="13" t="s">
        <v>13</v>
      </c>
      <c r="F183" s="13" t="s">
        <v>14</v>
      </c>
      <c r="G183" s="233">
        <v>4.4009396000000089E-2</v>
      </c>
    </row>
    <row r="184" spans="2:7" x14ac:dyDescent="0.2">
      <c r="B184" s="96">
        <v>6380000024</v>
      </c>
      <c r="C184" s="96"/>
      <c r="D184" s="8" t="s">
        <v>306</v>
      </c>
      <c r="E184" s="13" t="s">
        <v>13</v>
      </c>
      <c r="F184" s="13" t="s">
        <v>14</v>
      </c>
      <c r="G184" s="233">
        <v>4.4009396000000089E-2</v>
      </c>
    </row>
    <row r="185" spans="2:7" x14ac:dyDescent="0.2">
      <c r="B185" s="96">
        <v>6380000025</v>
      </c>
      <c r="C185" s="96"/>
      <c r="D185" s="8" t="s">
        <v>319</v>
      </c>
      <c r="E185" s="13" t="s">
        <v>13</v>
      </c>
      <c r="F185" s="13" t="s">
        <v>14</v>
      </c>
      <c r="G185" s="233">
        <v>4.4009396000000089E-2</v>
      </c>
    </row>
    <row r="186" spans="2:7" x14ac:dyDescent="0.2">
      <c r="B186" s="96">
        <v>6380000026</v>
      </c>
      <c r="C186" s="96"/>
      <c r="D186" s="8" t="s">
        <v>314</v>
      </c>
      <c r="E186" s="13" t="s">
        <v>13</v>
      </c>
      <c r="F186" s="13" t="s">
        <v>14</v>
      </c>
      <c r="G186" s="233">
        <v>4.4009396000000089E-2</v>
      </c>
    </row>
    <row r="187" spans="2:7" x14ac:dyDescent="0.2">
      <c r="B187" s="96">
        <v>6380000027</v>
      </c>
      <c r="C187" s="96"/>
      <c r="D187" s="8" t="s">
        <v>318</v>
      </c>
      <c r="E187" s="13" t="s">
        <v>13</v>
      </c>
      <c r="F187" s="13" t="s">
        <v>14</v>
      </c>
      <c r="G187" s="233">
        <v>4.4009396000000089E-2</v>
      </c>
    </row>
    <row r="188" spans="2:7" x14ac:dyDescent="0.2">
      <c r="B188" s="96">
        <v>6380000028</v>
      </c>
      <c r="C188" s="96"/>
      <c r="D188" s="8" t="s">
        <v>305</v>
      </c>
      <c r="E188" s="13" t="s">
        <v>13</v>
      </c>
      <c r="F188" s="13" t="s">
        <v>14</v>
      </c>
      <c r="G188" s="233">
        <v>4.4009396000000089E-2</v>
      </c>
    </row>
    <row r="189" spans="2:7" x14ac:dyDescent="0.2">
      <c r="B189" s="96">
        <v>6380000029</v>
      </c>
      <c r="C189" s="96"/>
      <c r="D189" s="8" t="s">
        <v>348</v>
      </c>
      <c r="E189" s="13" t="s">
        <v>13</v>
      </c>
      <c r="F189" s="13" t="s">
        <v>14</v>
      </c>
      <c r="G189" s="233">
        <v>4.4009396000000089E-2</v>
      </c>
    </row>
    <row r="190" spans="2:7" x14ac:dyDescent="0.2">
      <c r="B190" s="96">
        <v>6380000030</v>
      </c>
      <c r="C190" s="96"/>
      <c r="D190" s="8" t="s">
        <v>326</v>
      </c>
      <c r="E190" s="13" t="s">
        <v>13</v>
      </c>
      <c r="F190" s="13" t="s">
        <v>14</v>
      </c>
      <c r="G190" s="233">
        <v>3.6801887621379477</v>
      </c>
    </row>
    <row r="191" spans="2:7" x14ac:dyDescent="0.2">
      <c r="B191" s="96">
        <v>6380000031</v>
      </c>
      <c r="C191" s="96"/>
      <c r="D191" s="8" t="s">
        <v>310</v>
      </c>
      <c r="E191" s="13" t="s">
        <v>13</v>
      </c>
      <c r="F191" s="13" t="s">
        <v>14</v>
      </c>
      <c r="G191" s="233">
        <v>4.4009396000000089E-2</v>
      </c>
    </row>
    <row r="192" spans="2:7" x14ac:dyDescent="0.2">
      <c r="B192" s="96">
        <v>6381000001</v>
      </c>
      <c r="C192" s="96"/>
      <c r="D192" s="8" t="s">
        <v>313</v>
      </c>
      <c r="E192" s="13" t="s">
        <v>13</v>
      </c>
      <c r="F192" s="13" t="s">
        <v>14</v>
      </c>
      <c r="G192" s="233">
        <v>4.4009396000000089E-2</v>
      </c>
    </row>
    <row r="193" spans="2:10" x14ac:dyDescent="0.2">
      <c r="B193" s="96">
        <v>6381000002</v>
      </c>
      <c r="C193" s="96"/>
      <c r="D193" s="8" t="s">
        <v>302</v>
      </c>
      <c r="E193" s="13" t="s">
        <v>13</v>
      </c>
      <c r="F193" s="13" t="s">
        <v>14</v>
      </c>
      <c r="G193" s="233">
        <v>4.4009396000000089E-2</v>
      </c>
    </row>
    <row r="194" spans="2:10" x14ac:dyDescent="0.2">
      <c r="B194" s="96">
        <v>6381000003</v>
      </c>
      <c r="C194" s="96"/>
      <c r="D194" s="8" t="s">
        <v>315</v>
      </c>
      <c r="E194" s="13" t="s">
        <v>13</v>
      </c>
      <c r="F194" s="13" t="s">
        <v>14</v>
      </c>
      <c r="G194" s="233">
        <v>4.4009396000000089E-2</v>
      </c>
    </row>
    <row r="195" spans="2:10" x14ac:dyDescent="0.2">
      <c r="B195" s="96">
        <v>6381000004</v>
      </c>
      <c r="C195" s="96"/>
      <c r="D195" s="8" t="s">
        <v>350</v>
      </c>
      <c r="E195" s="13" t="s">
        <v>13</v>
      </c>
      <c r="F195" s="13" t="s">
        <v>14</v>
      </c>
      <c r="G195" s="233">
        <v>4.4009396000000089E-2</v>
      </c>
    </row>
    <row r="196" spans="2:10" x14ac:dyDescent="0.2">
      <c r="B196" s="96">
        <v>6381000005</v>
      </c>
      <c r="C196" s="96"/>
      <c r="D196" s="8" t="s">
        <v>316</v>
      </c>
      <c r="E196" s="13" t="s">
        <v>13</v>
      </c>
      <c r="F196" s="13" t="s">
        <v>14</v>
      </c>
      <c r="G196" s="233">
        <v>4.4009396000000089E-2</v>
      </c>
    </row>
    <row r="197" spans="2:10" x14ac:dyDescent="0.2">
      <c r="B197" s="96">
        <v>6381000006</v>
      </c>
      <c r="C197" s="96"/>
      <c r="D197" s="8" t="s">
        <v>311</v>
      </c>
      <c r="E197" s="13" t="s">
        <v>13</v>
      </c>
      <c r="F197" s="13" t="s">
        <v>14</v>
      </c>
      <c r="G197" s="233">
        <v>4.4009396000000089E-2</v>
      </c>
    </row>
    <row r="198" spans="2:10" x14ac:dyDescent="0.2">
      <c r="B198" s="96">
        <v>6382000001</v>
      </c>
      <c r="C198" s="96"/>
      <c r="D198" s="8" t="s">
        <v>349</v>
      </c>
      <c r="E198" s="13" t="s">
        <v>13</v>
      </c>
      <c r="F198" s="13" t="s">
        <v>14</v>
      </c>
      <c r="G198" s="233">
        <v>1.3639102328987036</v>
      </c>
    </row>
    <row r="199" spans="2:10" x14ac:dyDescent="0.2">
      <c r="B199" s="96">
        <v>6382000002</v>
      </c>
      <c r="C199" s="96"/>
      <c r="D199" s="8" t="s">
        <v>351</v>
      </c>
      <c r="E199" s="13" t="s">
        <v>13</v>
      </c>
      <c r="F199" s="13" t="s">
        <v>14</v>
      </c>
      <c r="G199" s="233">
        <v>4.4009396000000089E-2</v>
      </c>
    </row>
    <row r="200" spans="2:10" x14ac:dyDescent="0.2">
      <c r="B200" s="96">
        <v>6390000001</v>
      </c>
      <c r="C200" s="96"/>
      <c r="D200" s="8" t="s">
        <v>368</v>
      </c>
      <c r="E200" s="13" t="s">
        <v>13</v>
      </c>
      <c r="F200" s="13" t="s">
        <v>14</v>
      </c>
      <c r="G200" s="233">
        <v>4.4009396000000089E-2</v>
      </c>
      <c r="J200" s="110"/>
    </row>
    <row r="201" spans="2:10" x14ac:dyDescent="0.2">
      <c r="B201" s="96">
        <v>6391000001</v>
      </c>
      <c r="C201" s="96"/>
      <c r="D201" s="8" t="s">
        <v>363</v>
      </c>
      <c r="E201" s="13" t="s">
        <v>13</v>
      </c>
      <c r="F201" s="13" t="s">
        <v>14</v>
      </c>
      <c r="G201" s="233">
        <v>4.4009396000000089E-2</v>
      </c>
    </row>
    <row r="202" spans="2:10" x14ac:dyDescent="0.2">
      <c r="B202" s="96">
        <v>6391000003</v>
      </c>
      <c r="C202" s="96"/>
      <c r="D202" s="8" t="s">
        <v>378</v>
      </c>
      <c r="E202" s="13" t="s">
        <v>13</v>
      </c>
      <c r="F202" s="13" t="s">
        <v>14</v>
      </c>
      <c r="G202" s="233">
        <v>4.4009396000000089E-2</v>
      </c>
    </row>
    <row r="203" spans="2:10" x14ac:dyDescent="0.2">
      <c r="B203" s="96">
        <v>6410000001</v>
      </c>
      <c r="C203" s="96"/>
      <c r="D203" s="8" t="s">
        <v>361</v>
      </c>
      <c r="E203" s="13" t="s">
        <v>13</v>
      </c>
      <c r="F203" s="13" t="s">
        <v>14</v>
      </c>
      <c r="G203" s="233">
        <v>4.4009396000000089E-2</v>
      </c>
    </row>
    <row r="204" spans="2:10" x14ac:dyDescent="0.2">
      <c r="B204" s="96">
        <v>6410000002</v>
      </c>
      <c r="C204" s="96"/>
      <c r="D204" s="8" t="s">
        <v>357</v>
      </c>
      <c r="E204" s="13" t="s">
        <v>13</v>
      </c>
      <c r="F204" s="13" t="s">
        <v>14</v>
      </c>
      <c r="G204" s="233">
        <v>4.4009396000000089E-2</v>
      </c>
    </row>
    <row r="205" spans="2:10" x14ac:dyDescent="0.2">
      <c r="B205" s="96">
        <v>6430000001</v>
      </c>
      <c r="C205" s="96"/>
      <c r="D205" s="8" t="s">
        <v>275</v>
      </c>
      <c r="E205" s="13" t="s">
        <v>13</v>
      </c>
      <c r="F205" s="13" t="s">
        <v>14</v>
      </c>
      <c r="G205" s="233">
        <v>4.4009396000000089E-2</v>
      </c>
    </row>
    <row r="206" spans="2:10" x14ac:dyDescent="0.2">
      <c r="B206" s="96">
        <v>6430000002</v>
      </c>
      <c r="C206" s="96"/>
      <c r="D206" s="8" t="s">
        <v>362</v>
      </c>
      <c r="E206" s="13" t="s">
        <v>13</v>
      </c>
      <c r="F206" s="13" t="s">
        <v>14</v>
      </c>
      <c r="G206" s="233">
        <v>4.4009396000000089E-2</v>
      </c>
    </row>
    <row r="207" spans="2:10" x14ac:dyDescent="0.2">
      <c r="B207" s="96">
        <v>6430000003</v>
      </c>
      <c r="C207" s="96"/>
      <c r="D207" s="8" t="s">
        <v>386</v>
      </c>
      <c r="E207" s="13" t="s">
        <v>13</v>
      </c>
      <c r="F207" s="13" t="s">
        <v>14</v>
      </c>
      <c r="G207" s="233">
        <v>4.4009396000000089E-2</v>
      </c>
    </row>
    <row r="208" spans="2:10" x14ac:dyDescent="0.2">
      <c r="B208" s="96">
        <v>6510000001</v>
      </c>
      <c r="C208" s="96"/>
      <c r="D208" s="8" t="s">
        <v>182</v>
      </c>
      <c r="E208" s="13" t="s">
        <v>13</v>
      </c>
      <c r="F208" s="13" t="s">
        <v>14</v>
      </c>
      <c r="G208" s="233">
        <v>0.38703339070936099</v>
      </c>
    </row>
    <row r="209" spans="2:7" x14ac:dyDescent="0.2">
      <c r="B209" s="96">
        <v>6530000001</v>
      </c>
      <c r="C209" s="96"/>
      <c r="D209" s="8" t="s">
        <v>364</v>
      </c>
      <c r="E209" s="13" t="s">
        <v>13</v>
      </c>
      <c r="F209" s="13" t="s">
        <v>14</v>
      </c>
      <c r="G209" s="233">
        <v>4.4009396000000089E-2</v>
      </c>
    </row>
    <row r="210" spans="2:7" x14ac:dyDescent="0.2">
      <c r="B210" s="96">
        <v>6530000002</v>
      </c>
      <c r="C210" s="96"/>
      <c r="D210" s="8" t="s">
        <v>271</v>
      </c>
      <c r="E210" s="13" t="s">
        <v>13</v>
      </c>
      <c r="F210" s="13" t="s">
        <v>14</v>
      </c>
      <c r="G210" s="233">
        <v>1.4192384357577676</v>
      </c>
    </row>
    <row r="211" spans="2:7" x14ac:dyDescent="0.2">
      <c r="B211" s="96">
        <v>6540000001</v>
      </c>
      <c r="C211" s="96"/>
      <c r="D211" s="8" t="s">
        <v>276</v>
      </c>
      <c r="E211" s="13" t="s">
        <v>13</v>
      </c>
      <c r="F211" s="13" t="s">
        <v>14</v>
      </c>
      <c r="G211" s="233">
        <v>4.4009396000000089E-2</v>
      </c>
    </row>
    <row r="212" spans="2:7" x14ac:dyDescent="0.2">
      <c r="B212" s="96">
        <v>6561000001</v>
      </c>
      <c r="C212" s="96"/>
      <c r="D212" s="8" t="s">
        <v>358</v>
      </c>
      <c r="E212" s="13" t="s">
        <v>13</v>
      </c>
      <c r="F212" s="13" t="s">
        <v>14</v>
      </c>
      <c r="G212" s="233">
        <v>4.4009396000000089E-2</v>
      </c>
    </row>
    <row r="213" spans="2:7" x14ac:dyDescent="0.2">
      <c r="B213" s="96">
        <v>6561000002</v>
      </c>
      <c r="C213" s="96"/>
      <c r="D213" s="8" t="s">
        <v>356</v>
      </c>
      <c r="E213" s="13" t="s">
        <v>13</v>
      </c>
      <c r="F213" s="13" t="s">
        <v>14</v>
      </c>
      <c r="G213" s="233">
        <v>4.4009396000000089E-2</v>
      </c>
    </row>
    <row r="214" spans="2:7" x14ac:dyDescent="0.2">
      <c r="B214" s="96">
        <v>6561000003</v>
      </c>
      <c r="C214" s="96"/>
      <c r="D214" s="8" t="s">
        <v>269</v>
      </c>
      <c r="E214" s="13" t="s">
        <v>13</v>
      </c>
      <c r="F214" s="13" t="s">
        <v>14</v>
      </c>
      <c r="G214" s="233">
        <v>0.13604533357627968</v>
      </c>
    </row>
    <row r="215" spans="2:7" x14ac:dyDescent="0.2">
      <c r="B215" s="96">
        <v>6561000004</v>
      </c>
      <c r="C215" s="96"/>
      <c r="D215" s="8" t="s">
        <v>359</v>
      </c>
      <c r="E215" s="13" t="s">
        <v>13</v>
      </c>
      <c r="F215" s="13" t="s">
        <v>14</v>
      </c>
      <c r="G215" s="233">
        <v>4.4009396000000089E-2</v>
      </c>
    </row>
    <row r="216" spans="2:7" x14ac:dyDescent="0.2">
      <c r="B216" s="96">
        <v>6561000005</v>
      </c>
      <c r="C216" s="96"/>
      <c r="D216" s="8" t="s">
        <v>365</v>
      </c>
      <c r="E216" s="13" t="s">
        <v>13</v>
      </c>
      <c r="F216" s="13" t="s">
        <v>14</v>
      </c>
      <c r="G216" s="233">
        <v>4.4009396000000089E-2</v>
      </c>
    </row>
    <row r="217" spans="2:7" x14ac:dyDescent="0.2">
      <c r="B217" s="96">
        <v>6562000001</v>
      </c>
      <c r="C217" s="96"/>
      <c r="D217" s="8" t="s">
        <v>373</v>
      </c>
      <c r="E217" s="13" t="s">
        <v>13</v>
      </c>
      <c r="F217" s="13" t="s">
        <v>14</v>
      </c>
      <c r="G217" s="233">
        <v>4.4009396000000089E-2</v>
      </c>
    </row>
    <row r="218" spans="2:7" x14ac:dyDescent="0.2">
      <c r="B218" s="96">
        <v>6562000002</v>
      </c>
      <c r="C218" s="96"/>
      <c r="D218" s="8" t="s">
        <v>388</v>
      </c>
      <c r="E218" s="13" t="s">
        <v>13</v>
      </c>
      <c r="F218" s="13" t="s">
        <v>14</v>
      </c>
      <c r="G218" s="233">
        <v>4.4009396000000089E-2</v>
      </c>
    </row>
    <row r="219" spans="2:7" x14ac:dyDescent="0.2">
      <c r="B219" s="96">
        <v>6562000003</v>
      </c>
      <c r="C219" s="96"/>
      <c r="D219" s="8" t="s">
        <v>366</v>
      </c>
      <c r="E219" s="13" t="s">
        <v>13</v>
      </c>
      <c r="F219" s="13" t="s">
        <v>14</v>
      </c>
      <c r="G219" s="233">
        <v>4.4009396000000089E-2</v>
      </c>
    </row>
    <row r="220" spans="2:7" x14ac:dyDescent="0.2">
      <c r="B220" s="96">
        <v>6562000004</v>
      </c>
      <c r="C220" s="96"/>
      <c r="D220" s="8" t="s">
        <v>377</v>
      </c>
      <c r="E220" s="13" t="s">
        <v>13</v>
      </c>
      <c r="F220" s="13" t="s">
        <v>14</v>
      </c>
      <c r="G220" s="233">
        <v>4.4009396000000089E-2</v>
      </c>
    </row>
    <row r="221" spans="2:7" x14ac:dyDescent="0.2">
      <c r="B221" s="96">
        <v>6562000005</v>
      </c>
      <c r="C221" s="96"/>
      <c r="D221" s="8" t="s">
        <v>367</v>
      </c>
      <c r="E221" s="13" t="s">
        <v>13</v>
      </c>
      <c r="F221" s="13" t="s">
        <v>14</v>
      </c>
      <c r="G221" s="233">
        <v>4.4009396000000089E-2</v>
      </c>
    </row>
    <row r="222" spans="2:7" x14ac:dyDescent="0.2">
      <c r="B222" s="96">
        <v>6563000001</v>
      </c>
      <c r="C222" s="96"/>
      <c r="D222" s="8" t="s">
        <v>383</v>
      </c>
      <c r="E222" s="13" t="s">
        <v>13</v>
      </c>
      <c r="F222" s="13" t="s">
        <v>14</v>
      </c>
      <c r="G222" s="233">
        <v>4.4009396000000089E-2</v>
      </c>
    </row>
    <row r="223" spans="2:7" x14ac:dyDescent="0.2">
      <c r="B223" s="96">
        <v>6563000002</v>
      </c>
      <c r="C223" s="96"/>
      <c r="D223" s="8" t="s">
        <v>385</v>
      </c>
      <c r="E223" s="13" t="s">
        <v>13</v>
      </c>
      <c r="F223" s="13" t="s">
        <v>14</v>
      </c>
      <c r="G223" s="233">
        <v>4.4009396000000089E-2</v>
      </c>
    </row>
    <row r="224" spans="2:7" x14ac:dyDescent="0.2">
      <c r="B224" s="96">
        <v>6563000003</v>
      </c>
      <c r="C224" s="96"/>
      <c r="D224" s="8" t="s">
        <v>387</v>
      </c>
      <c r="E224" s="13" t="s">
        <v>13</v>
      </c>
      <c r="F224" s="13" t="s">
        <v>14</v>
      </c>
      <c r="G224" s="233">
        <v>4.4009396000000089E-2</v>
      </c>
    </row>
    <row r="225" spans="2:7" x14ac:dyDescent="0.2">
      <c r="B225" s="96">
        <v>6563000004</v>
      </c>
      <c r="C225" s="96"/>
      <c r="D225" s="8" t="s">
        <v>370</v>
      </c>
      <c r="E225" s="13" t="s">
        <v>13</v>
      </c>
      <c r="F225" s="13" t="s">
        <v>14</v>
      </c>
      <c r="G225" s="233">
        <v>4.4009396000000089E-2</v>
      </c>
    </row>
    <row r="226" spans="2:7" x14ac:dyDescent="0.2">
      <c r="B226" s="96">
        <v>6563000005</v>
      </c>
      <c r="C226" s="96"/>
      <c r="D226" s="8" t="s">
        <v>376</v>
      </c>
      <c r="E226" s="13" t="s">
        <v>13</v>
      </c>
      <c r="F226" s="13" t="s">
        <v>14</v>
      </c>
      <c r="G226" s="233">
        <v>4.4009396000000089E-2</v>
      </c>
    </row>
    <row r="227" spans="2:7" x14ac:dyDescent="0.2">
      <c r="B227" s="96">
        <v>6590000001</v>
      </c>
      <c r="C227" s="96"/>
      <c r="D227" s="8" t="s">
        <v>369</v>
      </c>
      <c r="E227" s="13" t="s">
        <v>13</v>
      </c>
      <c r="F227" s="13" t="s">
        <v>14</v>
      </c>
      <c r="G227" s="233">
        <v>4.4009396000000089E-2</v>
      </c>
    </row>
    <row r="228" spans="2:7" x14ac:dyDescent="0.2">
      <c r="B228" s="96">
        <v>6590000002</v>
      </c>
      <c r="C228" s="96"/>
      <c r="D228" s="8" t="s">
        <v>360</v>
      </c>
      <c r="E228" s="13" t="s">
        <v>13</v>
      </c>
      <c r="F228" s="13" t="s">
        <v>14</v>
      </c>
      <c r="G228" s="233">
        <v>4.4009396000000089E-2</v>
      </c>
    </row>
    <row r="229" spans="2:7" x14ac:dyDescent="0.2">
      <c r="B229" s="96">
        <v>6590000003</v>
      </c>
      <c r="C229" s="96"/>
      <c r="D229" s="8" t="s">
        <v>372</v>
      </c>
      <c r="E229" s="13" t="s">
        <v>13</v>
      </c>
      <c r="F229" s="13" t="s">
        <v>14</v>
      </c>
      <c r="G229" s="233">
        <v>4.4009396000000089E-2</v>
      </c>
    </row>
    <row r="230" spans="2:7" x14ac:dyDescent="0.2">
      <c r="B230" s="96">
        <v>6590000004</v>
      </c>
      <c r="C230" s="96"/>
      <c r="D230" s="8" t="s">
        <v>380</v>
      </c>
      <c r="E230" s="13" t="s">
        <v>13</v>
      </c>
      <c r="F230" s="13" t="s">
        <v>14</v>
      </c>
      <c r="G230" s="233">
        <v>4.4009396000000089E-2</v>
      </c>
    </row>
    <row r="231" spans="2:7" x14ac:dyDescent="0.2">
      <c r="B231" s="96">
        <v>6590000005</v>
      </c>
      <c r="C231" s="96"/>
      <c r="D231" s="8" t="s">
        <v>379</v>
      </c>
      <c r="E231" s="13" t="s">
        <v>13</v>
      </c>
      <c r="F231" s="13" t="s">
        <v>14</v>
      </c>
      <c r="G231" s="233">
        <v>4.4009396000000089E-2</v>
      </c>
    </row>
    <row r="232" spans="2:7" x14ac:dyDescent="0.2">
      <c r="B232" s="96">
        <v>6590000006</v>
      </c>
      <c r="C232" s="96"/>
      <c r="D232" s="8" t="s">
        <v>272</v>
      </c>
      <c r="E232" s="13" t="s">
        <v>13</v>
      </c>
      <c r="F232" s="13" t="s">
        <v>14</v>
      </c>
      <c r="G232" s="233">
        <v>3.1502394655737795</v>
      </c>
    </row>
    <row r="233" spans="2:7" x14ac:dyDescent="0.2">
      <c r="B233" s="96">
        <v>6590000007</v>
      </c>
      <c r="C233" s="96"/>
      <c r="D233" s="8" t="s">
        <v>382</v>
      </c>
      <c r="E233" s="13" t="s">
        <v>13</v>
      </c>
      <c r="F233" s="13" t="s">
        <v>14</v>
      </c>
      <c r="G233" s="233">
        <v>4.4009396000000089E-2</v>
      </c>
    </row>
    <row r="234" spans="2:7" x14ac:dyDescent="0.2">
      <c r="B234" s="96">
        <v>6590000010</v>
      </c>
      <c r="C234" s="96"/>
      <c r="D234" s="8" t="s">
        <v>381</v>
      </c>
      <c r="E234" s="13" t="s">
        <v>13</v>
      </c>
      <c r="F234" s="13" t="s">
        <v>14</v>
      </c>
      <c r="G234" s="233">
        <v>4.4009396000000089E-2</v>
      </c>
    </row>
    <row r="235" spans="2:7" x14ac:dyDescent="0.2">
      <c r="B235" s="96">
        <v>6590000011</v>
      </c>
      <c r="C235" s="96"/>
      <c r="D235" s="8" t="s">
        <v>384</v>
      </c>
      <c r="E235" s="13" t="s">
        <v>13</v>
      </c>
      <c r="F235" s="13" t="s">
        <v>14</v>
      </c>
      <c r="G235" s="233">
        <v>4.4009396000000089E-2</v>
      </c>
    </row>
    <row r="236" spans="2:7" x14ac:dyDescent="0.2">
      <c r="B236" s="96">
        <v>6840000001</v>
      </c>
      <c r="C236" s="96"/>
      <c r="D236" s="8" t="s">
        <v>374</v>
      </c>
      <c r="E236" s="13" t="s">
        <v>13</v>
      </c>
      <c r="F236" s="13" t="s">
        <v>14</v>
      </c>
      <c r="G236" s="233">
        <v>4.4009396000000089E-2</v>
      </c>
    </row>
    <row r="237" spans="2:7" x14ac:dyDescent="0.2">
      <c r="B237" s="222">
        <v>8710000001</v>
      </c>
      <c r="C237" s="222"/>
      <c r="D237" s="225" t="s">
        <v>268</v>
      </c>
      <c r="E237" s="223" t="s">
        <v>13</v>
      </c>
      <c r="F237" s="223" t="s">
        <v>14</v>
      </c>
      <c r="G237" s="234">
        <v>0</v>
      </c>
    </row>
    <row r="238" spans="2:7" x14ac:dyDescent="0.2">
      <c r="B238" s="222">
        <v>6380000016</v>
      </c>
      <c r="C238" s="222"/>
      <c r="D238" s="225" t="s">
        <v>304</v>
      </c>
      <c r="E238" s="223" t="s">
        <v>13</v>
      </c>
      <c r="F238" s="223" t="s">
        <v>14</v>
      </c>
      <c r="G238" s="234">
        <v>0</v>
      </c>
    </row>
    <row r="239" spans="2:7" x14ac:dyDescent="0.2">
      <c r="B239" s="96"/>
      <c r="C239" s="96"/>
      <c r="D239" s="9"/>
      <c r="G239" s="194"/>
    </row>
  </sheetData>
  <phoneticPr fontId="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Resumen</vt:lpstr>
      <vt:lpstr>Análisis &gt;&gt;</vt:lpstr>
      <vt:lpstr>Flujos</vt:lpstr>
      <vt:lpstr>OPEX</vt:lpstr>
      <vt:lpstr>CAPEX</vt:lpstr>
      <vt:lpstr>WACC</vt:lpstr>
      <vt:lpstr>EE.FF</vt:lpstr>
      <vt:lpstr>Insumos &gt;&gt;</vt:lpstr>
      <vt:lpstr>Insumos - OPEX</vt:lpstr>
      <vt:lpstr>Insumos - CAPEX</vt:lpstr>
      <vt:lpstr>Insumos - WACC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Nicole Molina</dc:creator>
  <cp:lastModifiedBy>Fano, Christian</cp:lastModifiedBy>
  <dcterms:created xsi:type="dcterms:W3CDTF">2024-08-01T20:30:35Z</dcterms:created>
  <dcterms:modified xsi:type="dcterms:W3CDTF">2024-09-06T18:36:34Z</dcterms:modified>
</cp:coreProperties>
</file>